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6.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7.xml" ContentType="application/vnd.openxmlformats-officedocument.drawing+xml"/>
  <Override PartName="/xl/ctrlProps/ctrlProp5.xml" ContentType="application/vnd.ms-excel.controlproperties+xml"/>
  <Override PartName="/xl/charts/chart6.xml" ContentType="application/vnd.openxmlformats-officedocument.drawingml.chart+xml"/>
  <Override PartName="/xl/drawings/drawing8.xml" ContentType="application/vnd.openxmlformats-officedocument.drawingml.chartshapes+xml"/>
  <Override PartName="/xl/charts/chart7.xml" ContentType="application/vnd.openxmlformats-officedocument.drawingml.chart+xml"/>
  <Override PartName="/xl/drawings/drawing9.xml" ContentType="application/vnd.openxmlformats-officedocument.drawingml.chartshapes+xml"/>
  <Override PartName="/xl/charts/chart8.xml" ContentType="application/vnd.openxmlformats-officedocument.drawingml.chart+xml"/>
  <Override PartName="/xl/drawings/drawing10.xml" ContentType="application/vnd.openxmlformats-officedocument.drawingml.chartshapes+xml"/>
  <Override PartName="/xl/charts/chart9.xml" ContentType="application/vnd.openxmlformats-officedocument.drawingml.chart+xml"/>
  <Override PartName="/xl/drawings/drawing11.xml" ContentType="application/vnd.openxmlformats-officedocument.drawingml.chartshapes+xml"/>
  <Override PartName="/xl/charts/chart10.xml" ContentType="application/vnd.openxmlformats-officedocument.drawingml.chart+xml"/>
  <Override PartName="/xl/drawings/drawing12.xml" ContentType="application/vnd.openxmlformats-officedocument.drawingml.chartshapes+xml"/>
  <Override PartName="/xl/charts/chart11.xml" ContentType="application/vnd.openxmlformats-officedocument.drawingml.chart+xml"/>
  <Override PartName="/xl/charts/chart12.xml" ContentType="application/vnd.openxmlformats-officedocument.drawingml.chart+xml"/>
  <Override PartName="/xl/drawings/drawing13.xml" ContentType="application/vnd.openxmlformats-officedocument.drawingml.chartshapes+xml"/>
  <Override PartName="/xl/charts/chart13.xml" ContentType="application/vnd.openxmlformats-officedocument.drawingml.chart+xml"/>
  <Override PartName="/xl/drawings/drawing14.xml" ContentType="application/vnd.openxmlformats-officedocument.drawingml.chartshapes+xml"/>
  <Override PartName="/xl/pivotTables/pivotTable1.xml" ContentType="application/vnd.openxmlformats-officedocument.spreadsheetml.pivotTable+xml"/>
  <Override PartName="/xl/drawings/drawing15.xml" ContentType="application/vnd.openxmlformats-officedocument.drawing+xml"/>
  <Override PartName="/xl/ctrlProps/ctrlProp6.xml" ContentType="application/vnd.ms-excel.controlproperties+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AE6600E7-7A62-396C-DE95-9942FA9DD81E}"/>
  <workbookPr codeName="ЭтаКнига" hidePivotFieldList="1"/>
  <bookViews>
    <workbookView xWindow="-120" yWindow="-120" windowWidth="20736" windowHeight="11160" firstSheet="2" activeTab="2"/>
  </bookViews>
  <sheets>
    <sheet name="Лист3" sheetId="36" state="hidden" r:id="rId1"/>
    <sheet name="ПАНЕЛЬ ИНСТРУМЕНТОВ РИСКОВ" sheetId="17" state="hidden" r:id="rId2"/>
    <sheet name="РЕЕСТР РИСКОВ_2023" sheetId="31" r:id="rId3"/>
    <sheet name="Лист2" sheetId="42" state="hidden" r:id="rId4"/>
    <sheet name="INHERENT MAP" sheetId="22" r:id="rId5"/>
    <sheet name="PLAN@RISK" sheetId="40" state="hidden" r:id="rId6"/>
    <sheet name="CRITICAL RISK CATEGORY" sheetId="33" state="hidden" r:id="rId7"/>
    <sheet name="Forecast MAP (2)" sheetId="39" state="hidden" r:id="rId8"/>
    <sheet name="Для презы СД" sheetId="32" r:id="rId9"/>
    <sheet name="data dash" sheetId="10" state="hidden" r:id="rId10"/>
    <sheet name="Check" sheetId="25" state="hidden" r:id="rId11"/>
  </sheets>
  <externalReferences>
    <externalReference r:id="rId12"/>
    <externalReference r:id="rId13"/>
    <externalReference r:id="rId14"/>
    <externalReference r:id="rId15"/>
    <externalReference r:id="rId16"/>
    <externalReference r:id="rId17"/>
    <externalReference r:id="rId18"/>
    <externalReference r:id="rId19"/>
  </externalReferences>
  <definedNames>
    <definedName name="\22" localSheetId="6" hidden="1">#REF!</definedName>
    <definedName name="\22" localSheetId="7" hidden="1">#REF!</definedName>
    <definedName name="\22" localSheetId="4" hidden="1">#REF!</definedName>
    <definedName name="\22" localSheetId="1" hidden="1">#REF!</definedName>
    <definedName name="\22" localSheetId="2" hidden="1">#REF!</definedName>
    <definedName name="\22" hidden="1">#REF!</definedName>
    <definedName name="___________________qq1" localSheetId="6" hidden="1">{"RETRO",#N/A,FALSE,"Ret";"retro",#N/A,FALSE,"Ret_RO";"retp",#N/A,FALSE,"Ret_P";"livro",#N/A,FALSE,"Livr_RO";"livp",#N/A,FALSE,"Livr_P";"puro",#N/A,FALSE,"Pu_RO";"pup",#N/A,FALSE,"Pu_P";"stocro",#N/A,FALSE,"Stock_RO";"stocp",#N/A,FALSE,"Stock_P";"vitro",#N/A,FALSE,"Vitr-RO";"vitp",#N/A,FALSE,"Vitr-P";"destro",#N/A,FALSE,"Dest_RO";"destp",#N/A,FALSE,"Dest_P"}</definedName>
    <definedName name="___________________qq1" localSheetId="7" hidden="1">{"RETRO",#N/A,FALSE,"Ret";"retro",#N/A,FALSE,"Ret_RO";"retp",#N/A,FALSE,"Ret_P";"livro",#N/A,FALSE,"Livr_RO";"livp",#N/A,FALSE,"Livr_P";"puro",#N/A,FALSE,"Pu_RO";"pup",#N/A,FALSE,"Pu_P";"stocro",#N/A,FALSE,"Stock_RO";"stocp",#N/A,FALSE,"Stock_P";"vitro",#N/A,FALSE,"Vitr-RO";"vitp",#N/A,FALSE,"Vitr-P";"destro",#N/A,FALSE,"Dest_RO";"destp",#N/A,FALSE,"Dest_P"}</definedName>
    <definedName name="___________________qq1" localSheetId="4" hidden="1">{"RETRO",#N/A,FALSE,"Ret";"retro",#N/A,FALSE,"Ret_RO";"retp",#N/A,FALSE,"Ret_P";"livro",#N/A,FALSE,"Livr_RO";"livp",#N/A,FALSE,"Livr_P";"puro",#N/A,FALSE,"Pu_RO";"pup",#N/A,FALSE,"Pu_P";"stocro",#N/A,FALSE,"Stock_RO";"stocp",#N/A,FALSE,"Stock_P";"vitro",#N/A,FALSE,"Vitr-RO";"vitp",#N/A,FALSE,"Vitr-P";"destro",#N/A,FALSE,"Dest_RO";"destp",#N/A,FALSE,"Dest_P"}</definedName>
    <definedName name="___________________qq1" localSheetId="1" hidden="1">{"RETRO",#N/A,FALSE,"Ret";"retro",#N/A,FALSE,"Ret_RO";"retp",#N/A,FALSE,"Ret_P";"livro",#N/A,FALSE,"Livr_RO";"livp",#N/A,FALSE,"Livr_P";"puro",#N/A,FALSE,"Pu_RO";"pup",#N/A,FALSE,"Pu_P";"stocro",#N/A,FALSE,"Stock_RO";"stocp",#N/A,FALSE,"Stock_P";"vitro",#N/A,FALSE,"Vitr-RO";"vitp",#N/A,FALSE,"Vitr-P";"destro",#N/A,FALSE,"Dest_RO";"destp",#N/A,FALSE,"Dest_P"}</definedName>
    <definedName name="___________________qq1" hidden="1">{"RETRO",#N/A,FALSE,"Ret";"retro",#N/A,FALSE,"Ret_RO";"retp",#N/A,FALSE,"Ret_P";"livro",#N/A,FALSE,"Livr_RO";"livp",#N/A,FALSE,"Livr_P";"puro",#N/A,FALSE,"Pu_RO";"pup",#N/A,FALSE,"Pu_P";"stocro",#N/A,FALSE,"Stock_RO";"stocp",#N/A,FALSE,"Stock_P";"vitro",#N/A,FALSE,"Vitr-RO";"vitp",#N/A,FALSE,"Vitr-P";"destro",#N/A,FALSE,"Dest_RO";"destp",#N/A,FALSE,"Dest_P"}</definedName>
    <definedName name="___________________qq11" localSheetId="6" hidden="1">{"RETRO",#N/A,FALSE,"Ret";"retro",#N/A,FALSE,"Ret_RO";"retp",#N/A,FALSE,"Ret_P";"livro",#N/A,FALSE,"Livr_RO";"livp",#N/A,FALSE,"Livr_P";"puro",#N/A,FALSE,"Pu_RO";"pup",#N/A,FALSE,"Pu_P";"stocro",#N/A,FALSE,"Stock_RO";"stocp",#N/A,FALSE,"Stock_P";"vitro",#N/A,FALSE,"Vitr-RO";"vitp",#N/A,FALSE,"Vitr-P";"destro",#N/A,FALSE,"Dest_RO";"destp",#N/A,FALSE,"Dest_P"}</definedName>
    <definedName name="___________________qq11" localSheetId="7" hidden="1">{"RETRO",#N/A,FALSE,"Ret";"retro",#N/A,FALSE,"Ret_RO";"retp",#N/A,FALSE,"Ret_P";"livro",#N/A,FALSE,"Livr_RO";"livp",#N/A,FALSE,"Livr_P";"puro",#N/A,FALSE,"Pu_RO";"pup",#N/A,FALSE,"Pu_P";"stocro",#N/A,FALSE,"Stock_RO";"stocp",#N/A,FALSE,"Stock_P";"vitro",#N/A,FALSE,"Vitr-RO";"vitp",#N/A,FALSE,"Vitr-P";"destro",#N/A,FALSE,"Dest_RO";"destp",#N/A,FALSE,"Dest_P"}</definedName>
    <definedName name="___________________qq11" localSheetId="4" hidden="1">{"RETRO",#N/A,FALSE,"Ret";"retro",#N/A,FALSE,"Ret_RO";"retp",#N/A,FALSE,"Ret_P";"livro",#N/A,FALSE,"Livr_RO";"livp",#N/A,FALSE,"Livr_P";"puro",#N/A,FALSE,"Pu_RO";"pup",#N/A,FALSE,"Pu_P";"stocro",#N/A,FALSE,"Stock_RO";"stocp",#N/A,FALSE,"Stock_P";"vitro",#N/A,FALSE,"Vitr-RO";"vitp",#N/A,FALSE,"Vitr-P";"destro",#N/A,FALSE,"Dest_RO";"destp",#N/A,FALSE,"Dest_P"}</definedName>
    <definedName name="___________________qq11" localSheetId="1" hidden="1">{"RETRO",#N/A,FALSE,"Ret";"retro",#N/A,FALSE,"Ret_RO";"retp",#N/A,FALSE,"Ret_P";"livro",#N/A,FALSE,"Livr_RO";"livp",#N/A,FALSE,"Livr_P";"puro",#N/A,FALSE,"Pu_RO";"pup",#N/A,FALSE,"Pu_P";"stocro",#N/A,FALSE,"Stock_RO";"stocp",#N/A,FALSE,"Stock_P";"vitro",#N/A,FALSE,"Vitr-RO";"vitp",#N/A,FALSE,"Vitr-P";"destro",#N/A,FALSE,"Dest_RO";"destp",#N/A,FALSE,"Dest_P"}</definedName>
    <definedName name="___________________qq11" hidden="1">{"RETRO",#N/A,FALSE,"Ret";"retro",#N/A,FALSE,"Ret_RO";"retp",#N/A,FALSE,"Ret_P";"livro",#N/A,FALSE,"Livr_RO";"livp",#N/A,FALSE,"Livr_P";"puro",#N/A,FALSE,"Pu_RO";"pup",#N/A,FALSE,"Pu_P";"stocro",#N/A,FALSE,"Stock_RO";"stocp",#N/A,FALSE,"Stock_P";"vitro",#N/A,FALSE,"Vitr-RO";"vitp",#N/A,FALSE,"Vitr-P";"destro",#N/A,FALSE,"Dest_RO";"destp",#N/A,FALSE,"Dest_P"}</definedName>
    <definedName name="___________________qq2" localSheetId="6" hidden="1">{"RETRO",#N/A,FALSE,"Ret";"retro",#N/A,FALSE,"Ret_RO";"retp",#N/A,FALSE,"Ret_P";"livro",#N/A,FALSE,"Livr_RO";"livp",#N/A,FALSE,"Livr_P";"puro",#N/A,FALSE,"Pu_RO";"pup",#N/A,FALSE,"Pu_P";"stocro",#N/A,FALSE,"Stock_RO";"stocp",#N/A,FALSE,"Stock_P";"vitro",#N/A,FALSE,"Vitr-RO";"vitp",#N/A,FALSE,"Vitr-P";"destro",#N/A,FALSE,"Dest_RO";"destp",#N/A,FALSE,"Dest_P"}</definedName>
    <definedName name="___________________qq2" localSheetId="7" hidden="1">{"RETRO",#N/A,FALSE,"Ret";"retro",#N/A,FALSE,"Ret_RO";"retp",#N/A,FALSE,"Ret_P";"livro",#N/A,FALSE,"Livr_RO";"livp",#N/A,FALSE,"Livr_P";"puro",#N/A,FALSE,"Pu_RO";"pup",#N/A,FALSE,"Pu_P";"stocro",#N/A,FALSE,"Stock_RO";"stocp",#N/A,FALSE,"Stock_P";"vitro",#N/A,FALSE,"Vitr-RO";"vitp",#N/A,FALSE,"Vitr-P";"destro",#N/A,FALSE,"Dest_RO";"destp",#N/A,FALSE,"Dest_P"}</definedName>
    <definedName name="___________________qq2" localSheetId="4" hidden="1">{"RETRO",#N/A,FALSE,"Ret";"retro",#N/A,FALSE,"Ret_RO";"retp",#N/A,FALSE,"Ret_P";"livro",#N/A,FALSE,"Livr_RO";"livp",#N/A,FALSE,"Livr_P";"puro",#N/A,FALSE,"Pu_RO";"pup",#N/A,FALSE,"Pu_P";"stocro",#N/A,FALSE,"Stock_RO";"stocp",#N/A,FALSE,"Stock_P";"vitro",#N/A,FALSE,"Vitr-RO";"vitp",#N/A,FALSE,"Vitr-P";"destro",#N/A,FALSE,"Dest_RO";"destp",#N/A,FALSE,"Dest_P"}</definedName>
    <definedName name="___________________qq2" localSheetId="1" hidden="1">{"RETRO",#N/A,FALSE,"Ret";"retro",#N/A,FALSE,"Ret_RO";"retp",#N/A,FALSE,"Ret_P";"livro",#N/A,FALSE,"Livr_RO";"livp",#N/A,FALSE,"Livr_P";"puro",#N/A,FALSE,"Pu_RO";"pup",#N/A,FALSE,"Pu_P";"stocro",#N/A,FALSE,"Stock_RO";"stocp",#N/A,FALSE,"Stock_P";"vitro",#N/A,FALSE,"Vitr-RO";"vitp",#N/A,FALSE,"Vitr-P";"destro",#N/A,FALSE,"Dest_RO";"destp",#N/A,FALSE,"Dest_P"}</definedName>
    <definedName name="___________________qq2" hidden="1">{"RETRO",#N/A,FALSE,"Ret";"retro",#N/A,FALSE,"Ret_RO";"retp",#N/A,FALSE,"Ret_P";"livro",#N/A,FALSE,"Livr_RO";"livp",#N/A,FALSE,"Livr_P";"puro",#N/A,FALSE,"Pu_RO";"pup",#N/A,FALSE,"Pu_P";"stocro",#N/A,FALSE,"Stock_RO";"stocp",#N/A,FALSE,"Stock_P";"vitro",#N/A,FALSE,"Vitr-RO";"vitp",#N/A,FALSE,"Vitr-P";"destro",#N/A,FALSE,"Dest_RO";"destp",#N/A,FALSE,"Dest_P"}</definedName>
    <definedName name="________________qq1" localSheetId="6" hidden="1">{"RETRO",#N/A,FALSE,"Ret";"retro",#N/A,FALSE,"Ret_RO";"retp",#N/A,FALSE,"Ret_P";"livro",#N/A,FALSE,"Livr_RO";"livp",#N/A,FALSE,"Livr_P";"puro",#N/A,FALSE,"Pu_RO";"pup",#N/A,FALSE,"Pu_P";"stocro",#N/A,FALSE,"Stock_RO";"stocp",#N/A,FALSE,"Stock_P";"vitro",#N/A,FALSE,"Vitr-RO";"vitp",#N/A,FALSE,"Vitr-P";"destro",#N/A,FALSE,"Dest_RO";"destp",#N/A,FALSE,"Dest_P"}</definedName>
    <definedName name="________________qq1" localSheetId="7" hidden="1">{"RETRO",#N/A,FALSE,"Ret";"retro",#N/A,FALSE,"Ret_RO";"retp",#N/A,FALSE,"Ret_P";"livro",#N/A,FALSE,"Livr_RO";"livp",#N/A,FALSE,"Livr_P";"puro",#N/A,FALSE,"Pu_RO";"pup",#N/A,FALSE,"Pu_P";"stocro",#N/A,FALSE,"Stock_RO";"stocp",#N/A,FALSE,"Stock_P";"vitro",#N/A,FALSE,"Vitr-RO";"vitp",#N/A,FALSE,"Vitr-P";"destro",#N/A,FALSE,"Dest_RO";"destp",#N/A,FALSE,"Dest_P"}</definedName>
    <definedName name="________________qq1" localSheetId="4" hidden="1">{"RETRO",#N/A,FALSE,"Ret";"retro",#N/A,FALSE,"Ret_RO";"retp",#N/A,FALSE,"Ret_P";"livro",#N/A,FALSE,"Livr_RO";"livp",#N/A,FALSE,"Livr_P";"puro",#N/A,FALSE,"Pu_RO";"pup",#N/A,FALSE,"Pu_P";"stocro",#N/A,FALSE,"Stock_RO";"stocp",#N/A,FALSE,"Stock_P";"vitro",#N/A,FALSE,"Vitr-RO";"vitp",#N/A,FALSE,"Vitr-P";"destro",#N/A,FALSE,"Dest_RO";"destp",#N/A,FALSE,"Dest_P"}</definedName>
    <definedName name="________________qq1" localSheetId="1" hidden="1">{"RETRO",#N/A,FALSE,"Ret";"retro",#N/A,FALSE,"Ret_RO";"retp",#N/A,FALSE,"Ret_P";"livro",#N/A,FALSE,"Livr_RO";"livp",#N/A,FALSE,"Livr_P";"puro",#N/A,FALSE,"Pu_RO";"pup",#N/A,FALSE,"Pu_P";"stocro",#N/A,FALSE,"Stock_RO";"stocp",#N/A,FALSE,"Stock_P";"vitro",#N/A,FALSE,"Vitr-RO";"vitp",#N/A,FALSE,"Vitr-P";"destro",#N/A,FALSE,"Dest_RO";"destp",#N/A,FALSE,"Dest_P"}</definedName>
    <definedName name="________________qq1" hidden="1">{"RETRO",#N/A,FALSE,"Ret";"retro",#N/A,FALSE,"Ret_RO";"retp",#N/A,FALSE,"Ret_P";"livro",#N/A,FALSE,"Livr_RO";"livp",#N/A,FALSE,"Livr_P";"puro",#N/A,FALSE,"Pu_RO";"pup",#N/A,FALSE,"Pu_P";"stocro",#N/A,FALSE,"Stock_RO";"stocp",#N/A,FALSE,"Stock_P";"vitro",#N/A,FALSE,"Vitr-RO";"vitp",#N/A,FALSE,"Vitr-P";"destro",#N/A,FALSE,"Dest_RO";"destp",#N/A,FALSE,"Dest_P"}</definedName>
    <definedName name="________________qq11" localSheetId="6" hidden="1">{"RETRO",#N/A,FALSE,"Ret";"retro",#N/A,FALSE,"Ret_RO";"retp",#N/A,FALSE,"Ret_P";"livro",#N/A,FALSE,"Livr_RO";"livp",#N/A,FALSE,"Livr_P";"puro",#N/A,FALSE,"Pu_RO";"pup",#N/A,FALSE,"Pu_P";"stocro",#N/A,FALSE,"Stock_RO";"stocp",#N/A,FALSE,"Stock_P";"vitro",#N/A,FALSE,"Vitr-RO";"vitp",#N/A,FALSE,"Vitr-P";"destro",#N/A,FALSE,"Dest_RO";"destp",#N/A,FALSE,"Dest_P"}</definedName>
    <definedName name="________________qq11" localSheetId="7" hidden="1">{"RETRO",#N/A,FALSE,"Ret";"retro",#N/A,FALSE,"Ret_RO";"retp",#N/A,FALSE,"Ret_P";"livro",#N/A,FALSE,"Livr_RO";"livp",#N/A,FALSE,"Livr_P";"puro",#N/A,FALSE,"Pu_RO";"pup",#N/A,FALSE,"Pu_P";"stocro",#N/A,FALSE,"Stock_RO";"stocp",#N/A,FALSE,"Stock_P";"vitro",#N/A,FALSE,"Vitr-RO";"vitp",#N/A,FALSE,"Vitr-P";"destro",#N/A,FALSE,"Dest_RO";"destp",#N/A,FALSE,"Dest_P"}</definedName>
    <definedName name="________________qq11" localSheetId="4" hidden="1">{"RETRO",#N/A,FALSE,"Ret";"retro",#N/A,FALSE,"Ret_RO";"retp",#N/A,FALSE,"Ret_P";"livro",#N/A,FALSE,"Livr_RO";"livp",#N/A,FALSE,"Livr_P";"puro",#N/A,FALSE,"Pu_RO";"pup",#N/A,FALSE,"Pu_P";"stocro",#N/A,FALSE,"Stock_RO";"stocp",#N/A,FALSE,"Stock_P";"vitro",#N/A,FALSE,"Vitr-RO";"vitp",#N/A,FALSE,"Vitr-P";"destro",#N/A,FALSE,"Dest_RO";"destp",#N/A,FALSE,"Dest_P"}</definedName>
    <definedName name="________________qq11" localSheetId="1" hidden="1">{"RETRO",#N/A,FALSE,"Ret";"retro",#N/A,FALSE,"Ret_RO";"retp",#N/A,FALSE,"Ret_P";"livro",#N/A,FALSE,"Livr_RO";"livp",#N/A,FALSE,"Livr_P";"puro",#N/A,FALSE,"Pu_RO";"pup",#N/A,FALSE,"Pu_P";"stocro",#N/A,FALSE,"Stock_RO";"stocp",#N/A,FALSE,"Stock_P";"vitro",#N/A,FALSE,"Vitr-RO";"vitp",#N/A,FALSE,"Vitr-P";"destro",#N/A,FALSE,"Dest_RO";"destp",#N/A,FALSE,"Dest_P"}</definedName>
    <definedName name="________________qq11" hidden="1">{"RETRO",#N/A,FALSE,"Ret";"retro",#N/A,FALSE,"Ret_RO";"retp",#N/A,FALSE,"Ret_P";"livro",#N/A,FALSE,"Livr_RO";"livp",#N/A,FALSE,"Livr_P";"puro",#N/A,FALSE,"Pu_RO";"pup",#N/A,FALSE,"Pu_P";"stocro",#N/A,FALSE,"Stock_RO";"stocp",#N/A,FALSE,"Stock_P";"vitro",#N/A,FALSE,"Vitr-RO";"vitp",#N/A,FALSE,"Vitr-P";"destro",#N/A,FALSE,"Dest_RO";"destp",#N/A,FALSE,"Dest_P"}</definedName>
    <definedName name="________________qq2" localSheetId="6" hidden="1">{"RETRO",#N/A,FALSE,"Ret";"retro",#N/A,FALSE,"Ret_RO";"retp",#N/A,FALSE,"Ret_P";"livro",#N/A,FALSE,"Livr_RO";"livp",#N/A,FALSE,"Livr_P";"puro",#N/A,FALSE,"Pu_RO";"pup",#N/A,FALSE,"Pu_P";"stocro",#N/A,FALSE,"Stock_RO";"stocp",#N/A,FALSE,"Stock_P";"vitro",#N/A,FALSE,"Vitr-RO";"vitp",#N/A,FALSE,"Vitr-P";"destro",#N/A,FALSE,"Dest_RO";"destp",#N/A,FALSE,"Dest_P"}</definedName>
    <definedName name="________________qq2" localSheetId="7" hidden="1">{"RETRO",#N/A,FALSE,"Ret";"retro",#N/A,FALSE,"Ret_RO";"retp",#N/A,FALSE,"Ret_P";"livro",#N/A,FALSE,"Livr_RO";"livp",#N/A,FALSE,"Livr_P";"puro",#N/A,FALSE,"Pu_RO";"pup",#N/A,FALSE,"Pu_P";"stocro",#N/A,FALSE,"Stock_RO";"stocp",#N/A,FALSE,"Stock_P";"vitro",#N/A,FALSE,"Vitr-RO";"vitp",#N/A,FALSE,"Vitr-P";"destro",#N/A,FALSE,"Dest_RO";"destp",#N/A,FALSE,"Dest_P"}</definedName>
    <definedName name="________________qq2" localSheetId="4" hidden="1">{"RETRO",#N/A,FALSE,"Ret";"retro",#N/A,FALSE,"Ret_RO";"retp",#N/A,FALSE,"Ret_P";"livro",#N/A,FALSE,"Livr_RO";"livp",#N/A,FALSE,"Livr_P";"puro",#N/A,FALSE,"Pu_RO";"pup",#N/A,FALSE,"Pu_P";"stocro",#N/A,FALSE,"Stock_RO";"stocp",#N/A,FALSE,"Stock_P";"vitro",#N/A,FALSE,"Vitr-RO";"vitp",#N/A,FALSE,"Vitr-P";"destro",#N/A,FALSE,"Dest_RO";"destp",#N/A,FALSE,"Dest_P"}</definedName>
    <definedName name="________________qq2" localSheetId="1" hidden="1">{"RETRO",#N/A,FALSE,"Ret";"retro",#N/A,FALSE,"Ret_RO";"retp",#N/A,FALSE,"Ret_P";"livro",#N/A,FALSE,"Livr_RO";"livp",#N/A,FALSE,"Livr_P";"puro",#N/A,FALSE,"Pu_RO";"pup",#N/A,FALSE,"Pu_P";"stocro",#N/A,FALSE,"Stock_RO";"stocp",#N/A,FALSE,"Stock_P";"vitro",#N/A,FALSE,"Vitr-RO";"vitp",#N/A,FALSE,"Vitr-P";"destro",#N/A,FALSE,"Dest_RO";"destp",#N/A,FALSE,"Dest_P"}</definedName>
    <definedName name="________________qq2" hidden="1">{"RETRO",#N/A,FALSE,"Ret";"retro",#N/A,FALSE,"Ret_RO";"retp",#N/A,FALSE,"Ret_P";"livro",#N/A,FALSE,"Livr_RO";"livp",#N/A,FALSE,"Livr_P";"puro",#N/A,FALSE,"Pu_RO";"pup",#N/A,FALSE,"Pu_P";"stocro",#N/A,FALSE,"Stock_RO";"stocp",#N/A,FALSE,"Stock_P";"vitro",#N/A,FALSE,"Vitr-RO";"vitp",#N/A,FALSE,"Vitr-P";"destro",#N/A,FALSE,"Dest_RO";"destp",#N/A,FALSE,"Dest_P"}</definedName>
    <definedName name="_____________qq1" localSheetId="6" hidden="1">{"RETRO",#N/A,FALSE,"Ret";"retro",#N/A,FALSE,"Ret_RO";"retp",#N/A,FALSE,"Ret_P";"livro",#N/A,FALSE,"Livr_RO";"livp",#N/A,FALSE,"Livr_P";"puro",#N/A,FALSE,"Pu_RO";"pup",#N/A,FALSE,"Pu_P";"stocro",#N/A,FALSE,"Stock_RO";"stocp",#N/A,FALSE,"Stock_P";"vitro",#N/A,FALSE,"Vitr-RO";"vitp",#N/A,FALSE,"Vitr-P";"destro",#N/A,FALSE,"Dest_RO";"destp",#N/A,FALSE,"Dest_P"}</definedName>
    <definedName name="_____________qq1" localSheetId="7" hidden="1">{"RETRO",#N/A,FALSE,"Ret";"retro",#N/A,FALSE,"Ret_RO";"retp",#N/A,FALSE,"Ret_P";"livro",#N/A,FALSE,"Livr_RO";"livp",#N/A,FALSE,"Livr_P";"puro",#N/A,FALSE,"Pu_RO";"pup",#N/A,FALSE,"Pu_P";"stocro",#N/A,FALSE,"Stock_RO";"stocp",#N/A,FALSE,"Stock_P";"vitro",#N/A,FALSE,"Vitr-RO";"vitp",#N/A,FALSE,"Vitr-P";"destro",#N/A,FALSE,"Dest_RO";"destp",#N/A,FALSE,"Dest_P"}</definedName>
    <definedName name="_____________qq1" localSheetId="4" hidden="1">{"RETRO",#N/A,FALSE,"Ret";"retro",#N/A,FALSE,"Ret_RO";"retp",#N/A,FALSE,"Ret_P";"livro",#N/A,FALSE,"Livr_RO";"livp",#N/A,FALSE,"Livr_P";"puro",#N/A,FALSE,"Pu_RO";"pup",#N/A,FALSE,"Pu_P";"stocro",#N/A,FALSE,"Stock_RO";"stocp",#N/A,FALSE,"Stock_P";"vitro",#N/A,FALSE,"Vitr-RO";"vitp",#N/A,FALSE,"Vitr-P";"destro",#N/A,FALSE,"Dest_RO";"destp",#N/A,FALSE,"Dest_P"}</definedName>
    <definedName name="_____________qq1" localSheetId="1" hidden="1">{"RETRO",#N/A,FALSE,"Ret";"retro",#N/A,FALSE,"Ret_RO";"retp",#N/A,FALSE,"Ret_P";"livro",#N/A,FALSE,"Livr_RO";"livp",#N/A,FALSE,"Livr_P";"puro",#N/A,FALSE,"Pu_RO";"pup",#N/A,FALSE,"Pu_P";"stocro",#N/A,FALSE,"Stock_RO";"stocp",#N/A,FALSE,"Stock_P";"vitro",#N/A,FALSE,"Vitr-RO";"vitp",#N/A,FALSE,"Vitr-P";"destro",#N/A,FALSE,"Dest_RO";"destp",#N/A,FALSE,"Dest_P"}</definedName>
    <definedName name="_____________qq1" hidden="1">{"RETRO",#N/A,FALSE,"Ret";"retro",#N/A,FALSE,"Ret_RO";"retp",#N/A,FALSE,"Ret_P";"livro",#N/A,FALSE,"Livr_RO";"livp",#N/A,FALSE,"Livr_P";"puro",#N/A,FALSE,"Pu_RO";"pup",#N/A,FALSE,"Pu_P";"stocro",#N/A,FALSE,"Stock_RO";"stocp",#N/A,FALSE,"Stock_P";"vitro",#N/A,FALSE,"Vitr-RO";"vitp",#N/A,FALSE,"Vitr-P";"destro",#N/A,FALSE,"Dest_RO";"destp",#N/A,FALSE,"Dest_P"}</definedName>
    <definedName name="_____________qq11" localSheetId="6" hidden="1">{"RETRO",#N/A,FALSE,"Ret";"retro",#N/A,FALSE,"Ret_RO";"retp",#N/A,FALSE,"Ret_P";"livro",#N/A,FALSE,"Livr_RO";"livp",#N/A,FALSE,"Livr_P";"puro",#N/A,FALSE,"Pu_RO";"pup",#N/A,FALSE,"Pu_P";"stocro",#N/A,FALSE,"Stock_RO";"stocp",#N/A,FALSE,"Stock_P";"vitro",#N/A,FALSE,"Vitr-RO";"vitp",#N/A,FALSE,"Vitr-P";"destro",#N/A,FALSE,"Dest_RO";"destp",#N/A,FALSE,"Dest_P"}</definedName>
    <definedName name="_____________qq11" localSheetId="7" hidden="1">{"RETRO",#N/A,FALSE,"Ret";"retro",#N/A,FALSE,"Ret_RO";"retp",#N/A,FALSE,"Ret_P";"livro",#N/A,FALSE,"Livr_RO";"livp",#N/A,FALSE,"Livr_P";"puro",#N/A,FALSE,"Pu_RO";"pup",#N/A,FALSE,"Pu_P";"stocro",#N/A,FALSE,"Stock_RO";"stocp",#N/A,FALSE,"Stock_P";"vitro",#N/A,FALSE,"Vitr-RO";"vitp",#N/A,FALSE,"Vitr-P";"destro",#N/A,FALSE,"Dest_RO";"destp",#N/A,FALSE,"Dest_P"}</definedName>
    <definedName name="_____________qq11" localSheetId="4" hidden="1">{"RETRO",#N/A,FALSE,"Ret";"retro",#N/A,FALSE,"Ret_RO";"retp",#N/A,FALSE,"Ret_P";"livro",#N/A,FALSE,"Livr_RO";"livp",#N/A,FALSE,"Livr_P";"puro",#N/A,FALSE,"Pu_RO";"pup",#N/A,FALSE,"Pu_P";"stocro",#N/A,FALSE,"Stock_RO";"stocp",#N/A,FALSE,"Stock_P";"vitro",#N/A,FALSE,"Vitr-RO";"vitp",#N/A,FALSE,"Vitr-P";"destro",#N/A,FALSE,"Dest_RO";"destp",#N/A,FALSE,"Dest_P"}</definedName>
    <definedName name="_____________qq11" localSheetId="1" hidden="1">{"RETRO",#N/A,FALSE,"Ret";"retro",#N/A,FALSE,"Ret_RO";"retp",#N/A,FALSE,"Ret_P";"livro",#N/A,FALSE,"Livr_RO";"livp",#N/A,FALSE,"Livr_P";"puro",#N/A,FALSE,"Pu_RO";"pup",#N/A,FALSE,"Pu_P";"stocro",#N/A,FALSE,"Stock_RO";"stocp",#N/A,FALSE,"Stock_P";"vitro",#N/A,FALSE,"Vitr-RO";"vitp",#N/A,FALSE,"Vitr-P";"destro",#N/A,FALSE,"Dest_RO";"destp",#N/A,FALSE,"Dest_P"}</definedName>
    <definedName name="_____________qq11" hidden="1">{"RETRO",#N/A,FALSE,"Ret";"retro",#N/A,FALSE,"Ret_RO";"retp",#N/A,FALSE,"Ret_P";"livro",#N/A,FALSE,"Livr_RO";"livp",#N/A,FALSE,"Livr_P";"puro",#N/A,FALSE,"Pu_RO";"pup",#N/A,FALSE,"Pu_P";"stocro",#N/A,FALSE,"Stock_RO";"stocp",#N/A,FALSE,"Stock_P";"vitro",#N/A,FALSE,"Vitr-RO";"vitp",#N/A,FALSE,"Vitr-P";"destro",#N/A,FALSE,"Dest_RO";"destp",#N/A,FALSE,"Dest_P"}</definedName>
    <definedName name="_____________qq2" localSheetId="6" hidden="1">{"RETRO",#N/A,FALSE,"Ret";"retro",#N/A,FALSE,"Ret_RO";"retp",#N/A,FALSE,"Ret_P";"livro",#N/A,FALSE,"Livr_RO";"livp",#N/A,FALSE,"Livr_P";"puro",#N/A,FALSE,"Pu_RO";"pup",#N/A,FALSE,"Pu_P";"stocro",#N/A,FALSE,"Stock_RO";"stocp",#N/A,FALSE,"Stock_P";"vitro",#N/A,FALSE,"Vitr-RO";"vitp",#N/A,FALSE,"Vitr-P";"destro",#N/A,FALSE,"Dest_RO";"destp",#N/A,FALSE,"Dest_P"}</definedName>
    <definedName name="_____________qq2" localSheetId="7" hidden="1">{"RETRO",#N/A,FALSE,"Ret";"retro",#N/A,FALSE,"Ret_RO";"retp",#N/A,FALSE,"Ret_P";"livro",#N/A,FALSE,"Livr_RO";"livp",#N/A,FALSE,"Livr_P";"puro",#N/A,FALSE,"Pu_RO";"pup",#N/A,FALSE,"Pu_P";"stocro",#N/A,FALSE,"Stock_RO";"stocp",#N/A,FALSE,"Stock_P";"vitro",#N/A,FALSE,"Vitr-RO";"vitp",#N/A,FALSE,"Vitr-P";"destro",#N/A,FALSE,"Dest_RO";"destp",#N/A,FALSE,"Dest_P"}</definedName>
    <definedName name="_____________qq2" localSheetId="4" hidden="1">{"RETRO",#N/A,FALSE,"Ret";"retro",#N/A,FALSE,"Ret_RO";"retp",#N/A,FALSE,"Ret_P";"livro",#N/A,FALSE,"Livr_RO";"livp",#N/A,FALSE,"Livr_P";"puro",#N/A,FALSE,"Pu_RO";"pup",#N/A,FALSE,"Pu_P";"stocro",#N/A,FALSE,"Stock_RO";"stocp",#N/A,FALSE,"Stock_P";"vitro",#N/A,FALSE,"Vitr-RO";"vitp",#N/A,FALSE,"Vitr-P";"destro",#N/A,FALSE,"Dest_RO";"destp",#N/A,FALSE,"Dest_P"}</definedName>
    <definedName name="_____________qq2" localSheetId="1" hidden="1">{"RETRO",#N/A,FALSE,"Ret";"retro",#N/A,FALSE,"Ret_RO";"retp",#N/A,FALSE,"Ret_P";"livro",#N/A,FALSE,"Livr_RO";"livp",#N/A,FALSE,"Livr_P";"puro",#N/A,FALSE,"Pu_RO";"pup",#N/A,FALSE,"Pu_P";"stocro",#N/A,FALSE,"Stock_RO";"stocp",#N/A,FALSE,"Stock_P";"vitro",#N/A,FALSE,"Vitr-RO";"vitp",#N/A,FALSE,"Vitr-P";"destro",#N/A,FALSE,"Dest_RO";"destp",#N/A,FALSE,"Dest_P"}</definedName>
    <definedName name="_____________qq2" hidden="1">{"RETRO",#N/A,FALSE,"Ret";"retro",#N/A,FALSE,"Ret_RO";"retp",#N/A,FALSE,"Ret_P";"livro",#N/A,FALSE,"Livr_RO";"livp",#N/A,FALSE,"Livr_P";"puro",#N/A,FALSE,"Pu_RO";"pup",#N/A,FALSE,"Pu_P";"stocro",#N/A,FALSE,"Stock_RO";"stocp",#N/A,FALSE,"Stock_P";"vitro",#N/A,FALSE,"Vitr-RO";"vitp",#N/A,FALSE,"Vitr-P";"destro",#N/A,FALSE,"Dest_RO";"destp",#N/A,FALSE,"Dest_P"}</definedName>
    <definedName name="____________qq1" localSheetId="6" hidden="1">{"RETRO",#N/A,FALSE,"Ret";"retro",#N/A,FALSE,"Ret_RO";"retp",#N/A,FALSE,"Ret_P";"livro",#N/A,FALSE,"Livr_RO";"livp",#N/A,FALSE,"Livr_P";"puro",#N/A,FALSE,"Pu_RO";"pup",#N/A,FALSE,"Pu_P";"stocro",#N/A,FALSE,"Stock_RO";"stocp",#N/A,FALSE,"Stock_P";"vitro",#N/A,FALSE,"Vitr-RO";"vitp",#N/A,FALSE,"Vitr-P";"destro",#N/A,FALSE,"Dest_RO";"destp",#N/A,FALSE,"Dest_P"}</definedName>
    <definedName name="____________qq1" localSheetId="7" hidden="1">{"RETRO",#N/A,FALSE,"Ret";"retro",#N/A,FALSE,"Ret_RO";"retp",#N/A,FALSE,"Ret_P";"livro",#N/A,FALSE,"Livr_RO";"livp",#N/A,FALSE,"Livr_P";"puro",#N/A,FALSE,"Pu_RO";"pup",#N/A,FALSE,"Pu_P";"stocro",#N/A,FALSE,"Stock_RO";"stocp",#N/A,FALSE,"Stock_P";"vitro",#N/A,FALSE,"Vitr-RO";"vitp",#N/A,FALSE,"Vitr-P";"destro",#N/A,FALSE,"Dest_RO";"destp",#N/A,FALSE,"Dest_P"}</definedName>
    <definedName name="____________qq1" localSheetId="4" hidden="1">{"RETRO",#N/A,FALSE,"Ret";"retro",#N/A,FALSE,"Ret_RO";"retp",#N/A,FALSE,"Ret_P";"livro",#N/A,FALSE,"Livr_RO";"livp",#N/A,FALSE,"Livr_P";"puro",#N/A,FALSE,"Pu_RO";"pup",#N/A,FALSE,"Pu_P";"stocro",#N/A,FALSE,"Stock_RO";"stocp",#N/A,FALSE,"Stock_P";"vitro",#N/A,FALSE,"Vitr-RO";"vitp",#N/A,FALSE,"Vitr-P";"destro",#N/A,FALSE,"Dest_RO";"destp",#N/A,FALSE,"Dest_P"}</definedName>
    <definedName name="____________qq1" localSheetId="1" hidden="1">{"RETRO",#N/A,FALSE,"Ret";"retro",#N/A,FALSE,"Ret_RO";"retp",#N/A,FALSE,"Ret_P";"livro",#N/A,FALSE,"Livr_RO";"livp",#N/A,FALSE,"Livr_P";"puro",#N/A,FALSE,"Pu_RO";"pup",#N/A,FALSE,"Pu_P";"stocro",#N/A,FALSE,"Stock_RO";"stocp",#N/A,FALSE,"Stock_P";"vitro",#N/A,FALSE,"Vitr-RO";"vitp",#N/A,FALSE,"Vitr-P";"destro",#N/A,FALSE,"Dest_RO";"destp",#N/A,FALSE,"Dest_P"}</definedName>
    <definedName name="____________qq1" hidden="1">{"RETRO",#N/A,FALSE,"Ret";"retro",#N/A,FALSE,"Ret_RO";"retp",#N/A,FALSE,"Ret_P";"livro",#N/A,FALSE,"Livr_RO";"livp",#N/A,FALSE,"Livr_P";"puro",#N/A,FALSE,"Pu_RO";"pup",#N/A,FALSE,"Pu_P";"stocro",#N/A,FALSE,"Stock_RO";"stocp",#N/A,FALSE,"Stock_P";"vitro",#N/A,FALSE,"Vitr-RO";"vitp",#N/A,FALSE,"Vitr-P";"destro",#N/A,FALSE,"Dest_RO";"destp",#N/A,FALSE,"Dest_P"}</definedName>
    <definedName name="____________qq11" localSheetId="6" hidden="1">{"RETRO",#N/A,FALSE,"Ret";"retro",#N/A,FALSE,"Ret_RO";"retp",#N/A,FALSE,"Ret_P";"livro",#N/A,FALSE,"Livr_RO";"livp",#N/A,FALSE,"Livr_P";"puro",#N/A,FALSE,"Pu_RO";"pup",#N/A,FALSE,"Pu_P";"stocro",#N/A,FALSE,"Stock_RO";"stocp",#N/A,FALSE,"Stock_P";"vitro",#N/A,FALSE,"Vitr-RO";"vitp",#N/A,FALSE,"Vitr-P";"destro",#N/A,FALSE,"Dest_RO";"destp",#N/A,FALSE,"Dest_P"}</definedName>
    <definedName name="____________qq11" localSheetId="7" hidden="1">{"RETRO",#N/A,FALSE,"Ret";"retro",#N/A,FALSE,"Ret_RO";"retp",#N/A,FALSE,"Ret_P";"livro",#N/A,FALSE,"Livr_RO";"livp",#N/A,FALSE,"Livr_P";"puro",#N/A,FALSE,"Pu_RO";"pup",#N/A,FALSE,"Pu_P";"stocro",#N/A,FALSE,"Stock_RO";"stocp",#N/A,FALSE,"Stock_P";"vitro",#N/A,FALSE,"Vitr-RO";"vitp",#N/A,FALSE,"Vitr-P";"destro",#N/A,FALSE,"Dest_RO";"destp",#N/A,FALSE,"Dest_P"}</definedName>
    <definedName name="____________qq11" localSheetId="4" hidden="1">{"RETRO",#N/A,FALSE,"Ret";"retro",#N/A,FALSE,"Ret_RO";"retp",#N/A,FALSE,"Ret_P";"livro",#N/A,FALSE,"Livr_RO";"livp",#N/A,FALSE,"Livr_P";"puro",#N/A,FALSE,"Pu_RO";"pup",#N/A,FALSE,"Pu_P";"stocro",#N/A,FALSE,"Stock_RO";"stocp",#N/A,FALSE,"Stock_P";"vitro",#N/A,FALSE,"Vitr-RO";"vitp",#N/A,FALSE,"Vitr-P";"destro",#N/A,FALSE,"Dest_RO";"destp",#N/A,FALSE,"Dest_P"}</definedName>
    <definedName name="____________qq11" localSheetId="1" hidden="1">{"RETRO",#N/A,FALSE,"Ret";"retro",#N/A,FALSE,"Ret_RO";"retp",#N/A,FALSE,"Ret_P";"livro",#N/A,FALSE,"Livr_RO";"livp",#N/A,FALSE,"Livr_P";"puro",#N/A,FALSE,"Pu_RO";"pup",#N/A,FALSE,"Pu_P";"stocro",#N/A,FALSE,"Stock_RO";"stocp",#N/A,FALSE,"Stock_P";"vitro",#N/A,FALSE,"Vitr-RO";"vitp",#N/A,FALSE,"Vitr-P";"destro",#N/A,FALSE,"Dest_RO";"destp",#N/A,FALSE,"Dest_P"}</definedName>
    <definedName name="____________qq11" hidden="1">{"RETRO",#N/A,FALSE,"Ret";"retro",#N/A,FALSE,"Ret_RO";"retp",#N/A,FALSE,"Ret_P";"livro",#N/A,FALSE,"Livr_RO";"livp",#N/A,FALSE,"Livr_P";"puro",#N/A,FALSE,"Pu_RO";"pup",#N/A,FALSE,"Pu_P";"stocro",#N/A,FALSE,"Stock_RO";"stocp",#N/A,FALSE,"Stock_P";"vitro",#N/A,FALSE,"Vitr-RO";"vitp",#N/A,FALSE,"Vitr-P";"destro",#N/A,FALSE,"Dest_RO";"destp",#N/A,FALSE,"Dest_P"}</definedName>
    <definedName name="____________qq2" localSheetId="6" hidden="1">{"RETRO",#N/A,FALSE,"Ret";"retro",#N/A,FALSE,"Ret_RO";"retp",#N/A,FALSE,"Ret_P";"livro",#N/A,FALSE,"Livr_RO";"livp",#N/A,FALSE,"Livr_P";"puro",#N/A,FALSE,"Pu_RO";"pup",#N/A,FALSE,"Pu_P";"stocro",#N/A,FALSE,"Stock_RO";"stocp",#N/A,FALSE,"Stock_P";"vitro",#N/A,FALSE,"Vitr-RO";"vitp",#N/A,FALSE,"Vitr-P";"destro",#N/A,FALSE,"Dest_RO";"destp",#N/A,FALSE,"Dest_P"}</definedName>
    <definedName name="____________qq2" localSheetId="7" hidden="1">{"RETRO",#N/A,FALSE,"Ret";"retro",#N/A,FALSE,"Ret_RO";"retp",#N/A,FALSE,"Ret_P";"livro",#N/A,FALSE,"Livr_RO";"livp",#N/A,FALSE,"Livr_P";"puro",#N/A,FALSE,"Pu_RO";"pup",#N/A,FALSE,"Pu_P";"stocro",#N/A,FALSE,"Stock_RO";"stocp",#N/A,FALSE,"Stock_P";"vitro",#N/A,FALSE,"Vitr-RO";"vitp",#N/A,FALSE,"Vitr-P";"destro",#N/A,FALSE,"Dest_RO";"destp",#N/A,FALSE,"Dest_P"}</definedName>
    <definedName name="____________qq2" localSheetId="4" hidden="1">{"RETRO",#N/A,FALSE,"Ret";"retro",#N/A,FALSE,"Ret_RO";"retp",#N/A,FALSE,"Ret_P";"livro",#N/A,FALSE,"Livr_RO";"livp",#N/A,FALSE,"Livr_P";"puro",#N/A,FALSE,"Pu_RO";"pup",#N/A,FALSE,"Pu_P";"stocro",#N/A,FALSE,"Stock_RO";"stocp",#N/A,FALSE,"Stock_P";"vitro",#N/A,FALSE,"Vitr-RO";"vitp",#N/A,FALSE,"Vitr-P";"destro",#N/A,FALSE,"Dest_RO";"destp",#N/A,FALSE,"Dest_P"}</definedName>
    <definedName name="____________qq2" localSheetId="1" hidden="1">{"RETRO",#N/A,FALSE,"Ret";"retro",#N/A,FALSE,"Ret_RO";"retp",#N/A,FALSE,"Ret_P";"livro",#N/A,FALSE,"Livr_RO";"livp",#N/A,FALSE,"Livr_P";"puro",#N/A,FALSE,"Pu_RO";"pup",#N/A,FALSE,"Pu_P";"stocro",#N/A,FALSE,"Stock_RO";"stocp",#N/A,FALSE,"Stock_P";"vitro",#N/A,FALSE,"Vitr-RO";"vitp",#N/A,FALSE,"Vitr-P";"destro",#N/A,FALSE,"Dest_RO";"destp",#N/A,FALSE,"Dest_P"}</definedName>
    <definedName name="____________qq2" hidden="1">{"RETRO",#N/A,FALSE,"Ret";"retro",#N/A,FALSE,"Ret_RO";"retp",#N/A,FALSE,"Ret_P";"livro",#N/A,FALSE,"Livr_RO";"livp",#N/A,FALSE,"Livr_P";"puro",#N/A,FALSE,"Pu_RO";"pup",#N/A,FALSE,"Pu_P";"stocro",#N/A,FALSE,"Stock_RO";"stocp",#N/A,FALSE,"Stock_P";"vitro",#N/A,FALSE,"Vitr-RO";"vitp",#N/A,FALSE,"Vitr-P";"destro",#N/A,FALSE,"Dest_RO";"destp",#N/A,FALSE,"Dest_P"}</definedName>
    <definedName name="___________qq1" localSheetId="6" hidden="1">{"RETRO",#N/A,FALSE,"Ret";"retro",#N/A,FALSE,"Ret_RO";"retp",#N/A,FALSE,"Ret_P";"livro",#N/A,FALSE,"Livr_RO";"livp",#N/A,FALSE,"Livr_P";"puro",#N/A,FALSE,"Pu_RO";"pup",#N/A,FALSE,"Pu_P";"stocro",#N/A,FALSE,"Stock_RO";"stocp",#N/A,FALSE,"Stock_P";"vitro",#N/A,FALSE,"Vitr-RO";"vitp",#N/A,FALSE,"Vitr-P";"destro",#N/A,FALSE,"Dest_RO";"destp",#N/A,FALSE,"Dest_P"}</definedName>
    <definedName name="___________qq1" localSheetId="7" hidden="1">{"RETRO",#N/A,FALSE,"Ret";"retro",#N/A,FALSE,"Ret_RO";"retp",#N/A,FALSE,"Ret_P";"livro",#N/A,FALSE,"Livr_RO";"livp",#N/A,FALSE,"Livr_P";"puro",#N/A,FALSE,"Pu_RO";"pup",#N/A,FALSE,"Pu_P";"stocro",#N/A,FALSE,"Stock_RO";"stocp",#N/A,FALSE,"Stock_P";"vitro",#N/A,FALSE,"Vitr-RO";"vitp",#N/A,FALSE,"Vitr-P";"destro",#N/A,FALSE,"Dest_RO";"destp",#N/A,FALSE,"Dest_P"}</definedName>
    <definedName name="___________qq1" localSheetId="4" hidden="1">{"RETRO",#N/A,FALSE,"Ret";"retro",#N/A,FALSE,"Ret_RO";"retp",#N/A,FALSE,"Ret_P";"livro",#N/A,FALSE,"Livr_RO";"livp",#N/A,FALSE,"Livr_P";"puro",#N/A,FALSE,"Pu_RO";"pup",#N/A,FALSE,"Pu_P";"stocro",#N/A,FALSE,"Stock_RO";"stocp",#N/A,FALSE,"Stock_P";"vitro",#N/A,FALSE,"Vitr-RO";"vitp",#N/A,FALSE,"Vitr-P";"destro",#N/A,FALSE,"Dest_RO";"destp",#N/A,FALSE,"Dest_P"}</definedName>
    <definedName name="___________qq1" localSheetId="1" hidden="1">{"RETRO",#N/A,FALSE,"Ret";"retro",#N/A,FALSE,"Ret_RO";"retp",#N/A,FALSE,"Ret_P";"livro",#N/A,FALSE,"Livr_RO";"livp",#N/A,FALSE,"Livr_P";"puro",#N/A,FALSE,"Pu_RO";"pup",#N/A,FALSE,"Pu_P";"stocro",#N/A,FALSE,"Stock_RO";"stocp",#N/A,FALSE,"Stock_P";"vitro",#N/A,FALSE,"Vitr-RO";"vitp",#N/A,FALSE,"Vitr-P";"destro",#N/A,FALSE,"Dest_RO";"destp",#N/A,FALSE,"Dest_P"}</definedName>
    <definedName name="___________qq1" hidden="1">{"RETRO",#N/A,FALSE,"Ret";"retro",#N/A,FALSE,"Ret_RO";"retp",#N/A,FALSE,"Ret_P";"livro",#N/A,FALSE,"Livr_RO";"livp",#N/A,FALSE,"Livr_P";"puro",#N/A,FALSE,"Pu_RO";"pup",#N/A,FALSE,"Pu_P";"stocro",#N/A,FALSE,"Stock_RO";"stocp",#N/A,FALSE,"Stock_P";"vitro",#N/A,FALSE,"Vitr-RO";"vitp",#N/A,FALSE,"Vitr-P";"destro",#N/A,FALSE,"Dest_RO";"destp",#N/A,FALSE,"Dest_P"}</definedName>
    <definedName name="___________qq11" localSheetId="6" hidden="1">{"RETRO",#N/A,FALSE,"Ret";"retro",#N/A,FALSE,"Ret_RO";"retp",#N/A,FALSE,"Ret_P";"livro",#N/A,FALSE,"Livr_RO";"livp",#N/A,FALSE,"Livr_P";"puro",#N/A,FALSE,"Pu_RO";"pup",#N/A,FALSE,"Pu_P";"stocro",#N/A,FALSE,"Stock_RO";"stocp",#N/A,FALSE,"Stock_P";"vitro",#N/A,FALSE,"Vitr-RO";"vitp",#N/A,FALSE,"Vitr-P";"destro",#N/A,FALSE,"Dest_RO";"destp",#N/A,FALSE,"Dest_P"}</definedName>
    <definedName name="___________qq11" localSheetId="7" hidden="1">{"RETRO",#N/A,FALSE,"Ret";"retro",#N/A,FALSE,"Ret_RO";"retp",#N/A,FALSE,"Ret_P";"livro",#N/A,FALSE,"Livr_RO";"livp",#N/A,FALSE,"Livr_P";"puro",#N/A,FALSE,"Pu_RO";"pup",#N/A,FALSE,"Pu_P";"stocro",#N/A,FALSE,"Stock_RO";"stocp",#N/A,FALSE,"Stock_P";"vitro",#N/A,FALSE,"Vitr-RO";"vitp",#N/A,FALSE,"Vitr-P";"destro",#N/A,FALSE,"Dest_RO";"destp",#N/A,FALSE,"Dest_P"}</definedName>
    <definedName name="___________qq11" localSheetId="4" hidden="1">{"RETRO",#N/A,FALSE,"Ret";"retro",#N/A,FALSE,"Ret_RO";"retp",#N/A,FALSE,"Ret_P";"livro",#N/A,FALSE,"Livr_RO";"livp",#N/A,FALSE,"Livr_P";"puro",#N/A,FALSE,"Pu_RO";"pup",#N/A,FALSE,"Pu_P";"stocro",#N/A,FALSE,"Stock_RO";"stocp",#N/A,FALSE,"Stock_P";"vitro",#N/A,FALSE,"Vitr-RO";"vitp",#N/A,FALSE,"Vitr-P";"destro",#N/A,FALSE,"Dest_RO";"destp",#N/A,FALSE,"Dest_P"}</definedName>
    <definedName name="___________qq11" localSheetId="1" hidden="1">{"RETRO",#N/A,FALSE,"Ret";"retro",#N/A,FALSE,"Ret_RO";"retp",#N/A,FALSE,"Ret_P";"livro",#N/A,FALSE,"Livr_RO";"livp",#N/A,FALSE,"Livr_P";"puro",#N/A,FALSE,"Pu_RO";"pup",#N/A,FALSE,"Pu_P";"stocro",#N/A,FALSE,"Stock_RO";"stocp",#N/A,FALSE,"Stock_P";"vitro",#N/A,FALSE,"Vitr-RO";"vitp",#N/A,FALSE,"Vitr-P";"destro",#N/A,FALSE,"Dest_RO";"destp",#N/A,FALSE,"Dest_P"}</definedName>
    <definedName name="___________qq11" hidden="1">{"RETRO",#N/A,FALSE,"Ret";"retro",#N/A,FALSE,"Ret_RO";"retp",#N/A,FALSE,"Ret_P";"livro",#N/A,FALSE,"Livr_RO";"livp",#N/A,FALSE,"Livr_P";"puro",#N/A,FALSE,"Pu_RO";"pup",#N/A,FALSE,"Pu_P";"stocro",#N/A,FALSE,"Stock_RO";"stocp",#N/A,FALSE,"Stock_P";"vitro",#N/A,FALSE,"Vitr-RO";"vitp",#N/A,FALSE,"Vitr-P";"destro",#N/A,FALSE,"Dest_RO";"destp",#N/A,FALSE,"Dest_P"}</definedName>
    <definedName name="___________qq2" localSheetId="6" hidden="1">{"RETRO",#N/A,FALSE,"Ret";"retro",#N/A,FALSE,"Ret_RO";"retp",#N/A,FALSE,"Ret_P";"livro",#N/A,FALSE,"Livr_RO";"livp",#N/A,FALSE,"Livr_P";"puro",#N/A,FALSE,"Pu_RO";"pup",#N/A,FALSE,"Pu_P";"stocro",#N/A,FALSE,"Stock_RO";"stocp",#N/A,FALSE,"Stock_P";"vitro",#N/A,FALSE,"Vitr-RO";"vitp",#N/A,FALSE,"Vitr-P";"destro",#N/A,FALSE,"Dest_RO";"destp",#N/A,FALSE,"Dest_P"}</definedName>
    <definedName name="___________qq2" localSheetId="7" hidden="1">{"RETRO",#N/A,FALSE,"Ret";"retro",#N/A,FALSE,"Ret_RO";"retp",#N/A,FALSE,"Ret_P";"livro",#N/A,FALSE,"Livr_RO";"livp",#N/A,FALSE,"Livr_P";"puro",#N/A,FALSE,"Pu_RO";"pup",#N/A,FALSE,"Pu_P";"stocro",#N/A,FALSE,"Stock_RO";"stocp",#N/A,FALSE,"Stock_P";"vitro",#N/A,FALSE,"Vitr-RO";"vitp",#N/A,FALSE,"Vitr-P";"destro",#N/A,FALSE,"Dest_RO";"destp",#N/A,FALSE,"Dest_P"}</definedName>
    <definedName name="___________qq2" localSheetId="4" hidden="1">{"RETRO",#N/A,FALSE,"Ret";"retro",#N/A,FALSE,"Ret_RO";"retp",#N/A,FALSE,"Ret_P";"livro",#N/A,FALSE,"Livr_RO";"livp",#N/A,FALSE,"Livr_P";"puro",#N/A,FALSE,"Pu_RO";"pup",#N/A,FALSE,"Pu_P";"stocro",#N/A,FALSE,"Stock_RO";"stocp",#N/A,FALSE,"Stock_P";"vitro",#N/A,FALSE,"Vitr-RO";"vitp",#N/A,FALSE,"Vitr-P";"destro",#N/A,FALSE,"Dest_RO";"destp",#N/A,FALSE,"Dest_P"}</definedName>
    <definedName name="___________qq2" localSheetId="1" hidden="1">{"RETRO",#N/A,FALSE,"Ret";"retro",#N/A,FALSE,"Ret_RO";"retp",#N/A,FALSE,"Ret_P";"livro",#N/A,FALSE,"Livr_RO";"livp",#N/A,FALSE,"Livr_P";"puro",#N/A,FALSE,"Pu_RO";"pup",#N/A,FALSE,"Pu_P";"stocro",#N/A,FALSE,"Stock_RO";"stocp",#N/A,FALSE,"Stock_P";"vitro",#N/A,FALSE,"Vitr-RO";"vitp",#N/A,FALSE,"Vitr-P";"destro",#N/A,FALSE,"Dest_RO";"destp",#N/A,FALSE,"Dest_P"}</definedName>
    <definedName name="___________qq2" hidden="1">{"RETRO",#N/A,FALSE,"Ret";"retro",#N/A,FALSE,"Ret_RO";"retp",#N/A,FALSE,"Ret_P";"livro",#N/A,FALSE,"Livr_RO";"livp",#N/A,FALSE,"Livr_P";"puro",#N/A,FALSE,"Pu_RO";"pup",#N/A,FALSE,"Pu_P";"stocro",#N/A,FALSE,"Stock_RO";"stocp",#N/A,FALSE,"Stock_P";"vitro",#N/A,FALSE,"Vitr-RO";"vitp",#N/A,FALSE,"Vitr-P";"destro",#N/A,FALSE,"Dest_RO";"destp",#N/A,FALSE,"Dest_P"}</definedName>
    <definedName name="__________qq1" localSheetId="6" hidden="1">{"RETRO",#N/A,FALSE,"Ret";"retro",#N/A,FALSE,"Ret_RO";"retp",#N/A,FALSE,"Ret_P";"livro",#N/A,FALSE,"Livr_RO";"livp",#N/A,FALSE,"Livr_P";"puro",#N/A,FALSE,"Pu_RO";"pup",#N/A,FALSE,"Pu_P";"stocro",#N/A,FALSE,"Stock_RO";"stocp",#N/A,FALSE,"Stock_P";"vitro",#N/A,FALSE,"Vitr-RO";"vitp",#N/A,FALSE,"Vitr-P";"destro",#N/A,FALSE,"Dest_RO";"destp",#N/A,FALSE,"Dest_P"}</definedName>
    <definedName name="__________qq1" localSheetId="7" hidden="1">{"RETRO",#N/A,FALSE,"Ret";"retro",#N/A,FALSE,"Ret_RO";"retp",#N/A,FALSE,"Ret_P";"livro",#N/A,FALSE,"Livr_RO";"livp",#N/A,FALSE,"Livr_P";"puro",#N/A,FALSE,"Pu_RO";"pup",#N/A,FALSE,"Pu_P";"stocro",#N/A,FALSE,"Stock_RO";"stocp",#N/A,FALSE,"Stock_P";"vitro",#N/A,FALSE,"Vitr-RO";"vitp",#N/A,FALSE,"Vitr-P";"destro",#N/A,FALSE,"Dest_RO";"destp",#N/A,FALSE,"Dest_P"}</definedName>
    <definedName name="__________qq1" localSheetId="4" hidden="1">{"RETRO",#N/A,FALSE,"Ret";"retro",#N/A,FALSE,"Ret_RO";"retp",#N/A,FALSE,"Ret_P";"livro",#N/A,FALSE,"Livr_RO";"livp",#N/A,FALSE,"Livr_P";"puro",#N/A,FALSE,"Pu_RO";"pup",#N/A,FALSE,"Pu_P";"stocro",#N/A,FALSE,"Stock_RO";"stocp",#N/A,FALSE,"Stock_P";"vitro",#N/A,FALSE,"Vitr-RO";"vitp",#N/A,FALSE,"Vitr-P";"destro",#N/A,FALSE,"Dest_RO";"destp",#N/A,FALSE,"Dest_P"}</definedName>
    <definedName name="__________qq1" localSheetId="1" hidden="1">{"RETRO",#N/A,FALSE,"Ret";"retro",#N/A,FALSE,"Ret_RO";"retp",#N/A,FALSE,"Ret_P";"livro",#N/A,FALSE,"Livr_RO";"livp",#N/A,FALSE,"Livr_P";"puro",#N/A,FALSE,"Pu_RO";"pup",#N/A,FALSE,"Pu_P";"stocro",#N/A,FALSE,"Stock_RO";"stocp",#N/A,FALSE,"Stock_P";"vitro",#N/A,FALSE,"Vitr-RO";"vitp",#N/A,FALSE,"Vitr-P";"destro",#N/A,FALSE,"Dest_RO";"destp",#N/A,FALSE,"Dest_P"}</definedName>
    <definedName name="__________qq1" hidden="1">{"RETRO",#N/A,FALSE,"Ret";"retro",#N/A,FALSE,"Ret_RO";"retp",#N/A,FALSE,"Ret_P";"livro",#N/A,FALSE,"Livr_RO";"livp",#N/A,FALSE,"Livr_P";"puro",#N/A,FALSE,"Pu_RO";"pup",#N/A,FALSE,"Pu_P";"stocro",#N/A,FALSE,"Stock_RO";"stocp",#N/A,FALSE,"Stock_P";"vitro",#N/A,FALSE,"Vitr-RO";"vitp",#N/A,FALSE,"Vitr-P";"destro",#N/A,FALSE,"Dest_RO";"destp",#N/A,FALSE,"Dest_P"}</definedName>
    <definedName name="__________qq11" localSheetId="6" hidden="1">{"RETRO",#N/A,FALSE,"Ret";"retro",#N/A,FALSE,"Ret_RO";"retp",#N/A,FALSE,"Ret_P";"livro",#N/A,FALSE,"Livr_RO";"livp",#N/A,FALSE,"Livr_P";"puro",#N/A,FALSE,"Pu_RO";"pup",#N/A,FALSE,"Pu_P";"stocro",#N/A,FALSE,"Stock_RO";"stocp",#N/A,FALSE,"Stock_P";"vitro",#N/A,FALSE,"Vitr-RO";"vitp",#N/A,FALSE,"Vitr-P";"destro",#N/A,FALSE,"Dest_RO";"destp",#N/A,FALSE,"Dest_P"}</definedName>
    <definedName name="__________qq11" localSheetId="7" hidden="1">{"RETRO",#N/A,FALSE,"Ret";"retro",#N/A,FALSE,"Ret_RO";"retp",#N/A,FALSE,"Ret_P";"livro",#N/A,FALSE,"Livr_RO";"livp",#N/A,FALSE,"Livr_P";"puro",#N/A,FALSE,"Pu_RO";"pup",#N/A,FALSE,"Pu_P";"stocro",#N/A,FALSE,"Stock_RO";"stocp",#N/A,FALSE,"Stock_P";"vitro",#N/A,FALSE,"Vitr-RO";"vitp",#N/A,FALSE,"Vitr-P";"destro",#N/A,FALSE,"Dest_RO";"destp",#N/A,FALSE,"Dest_P"}</definedName>
    <definedName name="__________qq11" localSheetId="4" hidden="1">{"RETRO",#N/A,FALSE,"Ret";"retro",#N/A,FALSE,"Ret_RO";"retp",#N/A,FALSE,"Ret_P";"livro",#N/A,FALSE,"Livr_RO";"livp",#N/A,FALSE,"Livr_P";"puro",#N/A,FALSE,"Pu_RO";"pup",#N/A,FALSE,"Pu_P";"stocro",#N/A,FALSE,"Stock_RO";"stocp",#N/A,FALSE,"Stock_P";"vitro",#N/A,FALSE,"Vitr-RO";"vitp",#N/A,FALSE,"Vitr-P";"destro",#N/A,FALSE,"Dest_RO";"destp",#N/A,FALSE,"Dest_P"}</definedName>
    <definedName name="__________qq11" localSheetId="1" hidden="1">{"RETRO",#N/A,FALSE,"Ret";"retro",#N/A,FALSE,"Ret_RO";"retp",#N/A,FALSE,"Ret_P";"livro",#N/A,FALSE,"Livr_RO";"livp",#N/A,FALSE,"Livr_P";"puro",#N/A,FALSE,"Pu_RO";"pup",#N/A,FALSE,"Pu_P";"stocro",#N/A,FALSE,"Stock_RO";"stocp",#N/A,FALSE,"Stock_P";"vitro",#N/A,FALSE,"Vitr-RO";"vitp",#N/A,FALSE,"Vitr-P";"destro",#N/A,FALSE,"Dest_RO";"destp",#N/A,FALSE,"Dest_P"}</definedName>
    <definedName name="__________qq11" hidden="1">{"RETRO",#N/A,FALSE,"Ret";"retro",#N/A,FALSE,"Ret_RO";"retp",#N/A,FALSE,"Ret_P";"livro",#N/A,FALSE,"Livr_RO";"livp",#N/A,FALSE,"Livr_P";"puro",#N/A,FALSE,"Pu_RO";"pup",#N/A,FALSE,"Pu_P";"stocro",#N/A,FALSE,"Stock_RO";"stocp",#N/A,FALSE,"Stock_P";"vitro",#N/A,FALSE,"Vitr-RO";"vitp",#N/A,FALSE,"Vitr-P";"destro",#N/A,FALSE,"Dest_RO";"destp",#N/A,FALSE,"Dest_P"}</definedName>
    <definedName name="__________qq2" localSheetId="6" hidden="1">{"RETRO",#N/A,FALSE,"Ret";"retro",#N/A,FALSE,"Ret_RO";"retp",#N/A,FALSE,"Ret_P";"livro",#N/A,FALSE,"Livr_RO";"livp",#N/A,FALSE,"Livr_P";"puro",#N/A,FALSE,"Pu_RO";"pup",#N/A,FALSE,"Pu_P";"stocro",#N/A,FALSE,"Stock_RO";"stocp",#N/A,FALSE,"Stock_P";"vitro",#N/A,FALSE,"Vitr-RO";"vitp",#N/A,FALSE,"Vitr-P";"destro",#N/A,FALSE,"Dest_RO";"destp",#N/A,FALSE,"Dest_P"}</definedName>
    <definedName name="__________qq2" localSheetId="7" hidden="1">{"RETRO",#N/A,FALSE,"Ret";"retro",#N/A,FALSE,"Ret_RO";"retp",#N/A,FALSE,"Ret_P";"livro",#N/A,FALSE,"Livr_RO";"livp",#N/A,FALSE,"Livr_P";"puro",#N/A,FALSE,"Pu_RO";"pup",#N/A,FALSE,"Pu_P";"stocro",#N/A,FALSE,"Stock_RO";"stocp",#N/A,FALSE,"Stock_P";"vitro",#N/A,FALSE,"Vitr-RO";"vitp",#N/A,FALSE,"Vitr-P";"destro",#N/A,FALSE,"Dest_RO";"destp",#N/A,FALSE,"Dest_P"}</definedName>
    <definedName name="__________qq2" localSheetId="4" hidden="1">{"RETRO",#N/A,FALSE,"Ret";"retro",#N/A,FALSE,"Ret_RO";"retp",#N/A,FALSE,"Ret_P";"livro",#N/A,FALSE,"Livr_RO";"livp",#N/A,FALSE,"Livr_P";"puro",#N/A,FALSE,"Pu_RO";"pup",#N/A,FALSE,"Pu_P";"stocro",#N/A,FALSE,"Stock_RO";"stocp",#N/A,FALSE,"Stock_P";"vitro",#N/A,FALSE,"Vitr-RO";"vitp",#N/A,FALSE,"Vitr-P";"destro",#N/A,FALSE,"Dest_RO";"destp",#N/A,FALSE,"Dest_P"}</definedName>
    <definedName name="__________qq2" localSheetId="1" hidden="1">{"RETRO",#N/A,FALSE,"Ret";"retro",#N/A,FALSE,"Ret_RO";"retp",#N/A,FALSE,"Ret_P";"livro",#N/A,FALSE,"Livr_RO";"livp",#N/A,FALSE,"Livr_P";"puro",#N/A,FALSE,"Pu_RO";"pup",#N/A,FALSE,"Pu_P";"stocro",#N/A,FALSE,"Stock_RO";"stocp",#N/A,FALSE,"Stock_P";"vitro",#N/A,FALSE,"Vitr-RO";"vitp",#N/A,FALSE,"Vitr-P";"destro",#N/A,FALSE,"Dest_RO";"destp",#N/A,FALSE,"Dest_P"}</definedName>
    <definedName name="__________qq2" hidden="1">{"RETRO",#N/A,FALSE,"Ret";"retro",#N/A,FALSE,"Ret_RO";"retp",#N/A,FALSE,"Ret_P";"livro",#N/A,FALSE,"Livr_RO";"livp",#N/A,FALSE,"Livr_P";"puro",#N/A,FALSE,"Pu_RO";"pup",#N/A,FALSE,"Pu_P";"stocro",#N/A,FALSE,"Stock_RO";"stocp",#N/A,FALSE,"Stock_P";"vitro",#N/A,FALSE,"Vitr-RO";"vitp",#N/A,FALSE,"Vitr-P";"destro",#N/A,FALSE,"Dest_RO";"destp",#N/A,FALSE,"Dest_P"}</definedName>
    <definedName name="_________qq1" localSheetId="6" hidden="1">{"RETRO",#N/A,FALSE,"Ret";"retro",#N/A,FALSE,"Ret_RO";"retp",#N/A,FALSE,"Ret_P";"livro",#N/A,FALSE,"Livr_RO";"livp",#N/A,FALSE,"Livr_P";"puro",#N/A,FALSE,"Pu_RO";"pup",#N/A,FALSE,"Pu_P";"stocro",#N/A,FALSE,"Stock_RO";"stocp",#N/A,FALSE,"Stock_P";"vitro",#N/A,FALSE,"Vitr-RO";"vitp",#N/A,FALSE,"Vitr-P";"destro",#N/A,FALSE,"Dest_RO";"destp",#N/A,FALSE,"Dest_P"}</definedName>
    <definedName name="_________qq1" localSheetId="7" hidden="1">{"RETRO",#N/A,FALSE,"Ret";"retro",#N/A,FALSE,"Ret_RO";"retp",#N/A,FALSE,"Ret_P";"livro",#N/A,FALSE,"Livr_RO";"livp",#N/A,FALSE,"Livr_P";"puro",#N/A,FALSE,"Pu_RO";"pup",#N/A,FALSE,"Pu_P";"stocro",#N/A,FALSE,"Stock_RO";"stocp",#N/A,FALSE,"Stock_P";"vitro",#N/A,FALSE,"Vitr-RO";"vitp",#N/A,FALSE,"Vitr-P";"destro",#N/A,FALSE,"Dest_RO";"destp",#N/A,FALSE,"Dest_P"}</definedName>
    <definedName name="_________qq1" localSheetId="4" hidden="1">{"RETRO",#N/A,FALSE,"Ret";"retro",#N/A,FALSE,"Ret_RO";"retp",#N/A,FALSE,"Ret_P";"livro",#N/A,FALSE,"Livr_RO";"livp",#N/A,FALSE,"Livr_P";"puro",#N/A,FALSE,"Pu_RO";"pup",#N/A,FALSE,"Pu_P";"stocro",#N/A,FALSE,"Stock_RO";"stocp",#N/A,FALSE,"Stock_P";"vitro",#N/A,FALSE,"Vitr-RO";"vitp",#N/A,FALSE,"Vitr-P";"destro",#N/A,FALSE,"Dest_RO";"destp",#N/A,FALSE,"Dest_P"}</definedName>
    <definedName name="_________qq1" localSheetId="1" hidden="1">{"RETRO",#N/A,FALSE,"Ret";"retro",#N/A,FALSE,"Ret_RO";"retp",#N/A,FALSE,"Ret_P";"livro",#N/A,FALSE,"Livr_RO";"livp",#N/A,FALSE,"Livr_P";"puro",#N/A,FALSE,"Pu_RO";"pup",#N/A,FALSE,"Pu_P";"stocro",#N/A,FALSE,"Stock_RO";"stocp",#N/A,FALSE,"Stock_P";"vitro",#N/A,FALSE,"Vitr-RO";"vitp",#N/A,FALSE,"Vitr-P";"destro",#N/A,FALSE,"Dest_RO";"destp",#N/A,FALSE,"Dest_P"}</definedName>
    <definedName name="_________qq1" hidden="1">{"RETRO",#N/A,FALSE,"Ret";"retro",#N/A,FALSE,"Ret_RO";"retp",#N/A,FALSE,"Ret_P";"livro",#N/A,FALSE,"Livr_RO";"livp",#N/A,FALSE,"Livr_P";"puro",#N/A,FALSE,"Pu_RO";"pup",#N/A,FALSE,"Pu_P";"stocro",#N/A,FALSE,"Stock_RO";"stocp",#N/A,FALSE,"Stock_P";"vitro",#N/A,FALSE,"Vitr-RO";"vitp",#N/A,FALSE,"Vitr-P";"destro",#N/A,FALSE,"Dest_RO";"destp",#N/A,FALSE,"Dest_P"}</definedName>
    <definedName name="_________qq11" localSheetId="6" hidden="1">{"RETRO",#N/A,FALSE,"Ret";"retro",#N/A,FALSE,"Ret_RO";"retp",#N/A,FALSE,"Ret_P";"livro",#N/A,FALSE,"Livr_RO";"livp",#N/A,FALSE,"Livr_P";"puro",#N/A,FALSE,"Pu_RO";"pup",#N/A,FALSE,"Pu_P";"stocro",#N/A,FALSE,"Stock_RO";"stocp",#N/A,FALSE,"Stock_P";"vitro",#N/A,FALSE,"Vitr-RO";"vitp",#N/A,FALSE,"Vitr-P";"destro",#N/A,FALSE,"Dest_RO";"destp",#N/A,FALSE,"Dest_P"}</definedName>
    <definedName name="_________qq11" localSheetId="7" hidden="1">{"RETRO",#N/A,FALSE,"Ret";"retro",#N/A,FALSE,"Ret_RO";"retp",#N/A,FALSE,"Ret_P";"livro",#N/A,FALSE,"Livr_RO";"livp",#N/A,FALSE,"Livr_P";"puro",#N/A,FALSE,"Pu_RO";"pup",#N/A,FALSE,"Pu_P";"stocro",#N/A,FALSE,"Stock_RO";"stocp",#N/A,FALSE,"Stock_P";"vitro",#N/A,FALSE,"Vitr-RO";"vitp",#N/A,FALSE,"Vitr-P";"destro",#N/A,FALSE,"Dest_RO";"destp",#N/A,FALSE,"Dest_P"}</definedName>
    <definedName name="_________qq11" localSheetId="4" hidden="1">{"RETRO",#N/A,FALSE,"Ret";"retro",#N/A,FALSE,"Ret_RO";"retp",#N/A,FALSE,"Ret_P";"livro",#N/A,FALSE,"Livr_RO";"livp",#N/A,FALSE,"Livr_P";"puro",#N/A,FALSE,"Pu_RO";"pup",#N/A,FALSE,"Pu_P";"stocro",#N/A,FALSE,"Stock_RO";"stocp",#N/A,FALSE,"Stock_P";"vitro",#N/A,FALSE,"Vitr-RO";"vitp",#N/A,FALSE,"Vitr-P";"destro",#N/A,FALSE,"Dest_RO";"destp",#N/A,FALSE,"Dest_P"}</definedName>
    <definedName name="_________qq11" localSheetId="1" hidden="1">{"RETRO",#N/A,FALSE,"Ret";"retro",#N/A,FALSE,"Ret_RO";"retp",#N/A,FALSE,"Ret_P";"livro",#N/A,FALSE,"Livr_RO";"livp",#N/A,FALSE,"Livr_P";"puro",#N/A,FALSE,"Pu_RO";"pup",#N/A,FALSE,"Pu_P";"stocro",#N/A,FALSE,"Stock_RO";"stocp",#N/A,FALSE,"Stock_P";"vitro",#N/A,FALSE,"Vitr-RO";"vitp",#N/A,FALSE,"Vitr-P";"destro",#N/A,FALSE,"Dest_RO";"destp",#N/A,FALSE,"Dest_P"}</definedName>
    <definedName name="_________qq11" hidden="1">{"RETRO",#N/A,FALSE,"Ret";"retro",#N/A,FALSE,"Ret_RO";"retp",#N/A,FALSE,"Ret_P";"livro",#N/A,FALSE,"Livr_RO";"livp",#N/A,FALSE,"Livr_P";"puro",#N/A,FALSE,"Pu_RO";"pup",#N/A,FALSE,"Pu_P";"stocro",#N/A,FALSE,"Stock_RO";"stocp",#N/A,FALSE,"Stock_P";"vitro",#N/A,FALSE,"Vitr-RO";"vitp",#N/A,FALSE,"Vitr-P";"destro",#N/A,FALSE,"Dest_RO";"destp",#N/A,FALSE,"Dest_P"}</definedName>
    <definedName name="_________qq2" localSheetId="6" hidden="1">{"RETRO",#N/A,FALSE,"Ret";"retro",#N/A,FALSE,"Ret_RO";"retp",#N/A,FALSE,"Ret_P";"livro",#N/A,FALSE,"Livr_RO";"livp",#N/A,FALSE,"Livr_P";"puro",#N/A,FALSE,"Pu_RO";"pup",#N/A,FALSE,"Pu_P";"stocro",#N/A,FALSE,"Stock_RO";"stocp",#N/A,FALSE,"Stock_P";"vitro",#N/A,FALSE,"Vitr-RO";"vitp",#N/A,FALSE,"Vitr-P";"destro",#N/A,FALSE,"Dest_RO";"destp",#N/A,FALSE,"Dest_P"}</definedName>
    <definedName name="_________qq2" localSheetId="7" hidden="1">{"RETRO",#N/A,FALSE,"Ret";"retro",#N/A,FALSE,"Ret_RO";"retp",#N/A,FALSE,"Ret_P";"livro",#N/A,FALSE,"Livr_RO";"livp",#N/A,FALSE,"Livr_P";"puro",#N/A,FALSE,"Pu_RO";"pup",#N/A,FALSE,"Pu_P";"stocro",#N/A,FALSE,"Stock_RO";"stocp",#N/A,FALSE,"Stock_P";"vitro",#N/A,FALSE,"Vitr-RO";"vitp",#N/A,FALSE,"Vitr-P";"destro",#N/A,FALSE,"Dest_RO";"destp",#N/A,FALSE,"Dest_P"}</definedName>
    <definedName name="_________qq2" localSheetId="4" hidden="1">{"RETRO",#N/A,FALSE,"Ret";"retro",#N/A,FALSE,"Ret_RO";"retp",#N/A,FALSE,"Ret_P";"livro",#N/A,FALSE,"Livr_RO";"livp",#N/A,FALSE,"Livr_P";"puro",#N/A,FALSE,"Pu_RO";"pup",#N/A,FALSE,"Pu_P";"stocro",#N/A,FALSE,"Stock_RO";"stocp",#N/A,FALSE,"Stock_P";"vitro",#N/A,FALSE,"Vitr-RO";"vitp",#N/A,FALSE,"Vitr-P";"destro",#N/A,FALSE,"Dest_RO";"destp",#N/A,FALSE,"Dest_P"}</definedName>
    <definedName name="_________qq2" localSheetId="1" hidden="1">{"RETRO",#N/A,FALSE,"Ret";"retro",#N/A,FALSE,"Ret_RO";"retp",#N/A,FALSE,"Ret_P";"livro",#N/A,FALSE,"Livr_RO";"livp",#N/A,FALSE,"Livr_P";"puro",#N/A,FALSE,"Pu_RO";"pup",#N/A,FALSE,"Pu_P";"stocro",#N/A,FALSE,"Stock_RO";"stocp",#N/A,FALSE,"Stock_P";"vitro",#N/A,FALSE,"Vitr-RO";"vitp",#N/A,FALSE,"Vitr-P";"destro",#N/A,FALSE,"Dest_RO";"destp",#N/A,FALSE,"Dest_P"}</definedName>
    <definedName name="_________qq2" hidden="1">{"RETRO",#N/A,FALSE,"Ret";"retro",#N/A,FALSE,"Ret_RO";"retp",#N/A,FALSE,"Ret_P";"livro",#N/A,FALSE,"Livr_RO";"livp",#N/A,FALSE,"Livr_P";"puro",#N/A,FALSE,"Pu_RO";"pup",#N/A,FALSE,"Pu_P";"stocro",#N/A,FALSE,"Stock_RO";"stocp",#N/A,FALSE,"Stock_P";"vitro",#N/A,FALSE,"Vitr-RO";"vitp",#N/A,FALSE,"Vitr-P";"destro",#N/A,FALSE,"Dest_RO";"destp",#N/A,FALSE,"Dest_P"}</definedName>
    <definedName name="________qq1" localSheetId="6" hidden="1">{"RETRO",#N/A,FALSE,"Ret";"retro",#N/A,FALSE,"Ret_RO";"retp",#N/A,FALSE,"Ret_P";"livro",#N/A,FALSE,"Livr_RO";"livp",#N/A,FALSE,"Livr_P";"puro",#N/A,FALSE,"Pu_RO";"pup",#N/A,FALSE,"Pu_P";"stocro",#N/A,FALSE,"Stock_RO";"stocp",#N/A,FALSE,"Stock_P";"vitro",#N/A,FALSE,"Vitr-RO";"vitp",#N/A,FALSE,"Vitr-P";"destro",#N/A,FALSE,"Dest_RO";"destp",#N/A,FALSE,"Dest_P"}</definedName>
    <definedName name="________qq1" localSheetId="7" hidden="1">{"RETRO",#N/A,FALSE,"Ret";"retro",#N/A,FALSE,"Ret_RO";"retp",#N/A,FALSE,"Ret_P";"livro",#N/A,FALSE,"Livr_RO";"livp",#N/A,FALSE,"Livr_P";"puro",#N/A,FALSE,"Pu_RO";"pup",#N/A,FALSE,"Pu_P";"stocro",#N/A,FALSE,"Stock_RO";"stocp",#N/A,FALSE,"Stock_P";"vitro",#N/A,FALSE,"Vitr-RO";"vitp",#N/A,FALSE,"Vitr-P";"destro",#N/A,FALSE,"Dest_RO";"destp",#N/A,FALSE,"Dest_P"}</definedName>
    <definedName name="________qq1" localSheetId="4" hidden="1">{"RETRO",#N/A,FALSE,"Ret";"retro",#N/A,FALSE,"Ret_RO";"retp",#N/A,FALSE,"Ret_P";"livro",#N/A,FALSE,"Livr_RO";"livp",#N/A,FALSE,"Livr_P";"puro",#N/A,FALSE,"Pu_RO";"pup",#N/A,FALSE,"Pu_P";"stocro",#N/A,FALSE,"Stock_RO";"stocp",#N/A,FALSE,"Stock_P";"vitro",#N/A,FALSE,"Vitr-RO";"vitp",#N/A,FALSE,"Vitr-P";"destro",#N/A,FALSE,"Dest_RO";"destp",#N/A,FALSE,"Dest_P"}</definedName>
    <definedName name="________qq1" localSheetId="1" hidden="1">{"RETRO",#N/A,FALSE,"Ret";"retro",#N/A,FALSE,"Ret_RO";"retp",#N/A,FALSE,"Ret_P";"livro",#N/A,FALSE,"Livr_RO";"livp",#N/A,FALSE,"Livr_P";"puro",#N/A,FALSE,"Pu_RO";"pup",#N/A,FALSE,"Pu_P";"stocro",#N/A,FALSE,"Stock_RO";"stocp",#N/A,FALSE,"Stock_P";"vitro",#N/A,FALSE,"Vitr-RO";"vitp",#N/A,FALSE,"Vitr-P";"destro",#N/A,FALSE,"Dest_RO";"destp",#N/A,FALSE,"Dest_P"}</definedName>
    <definedName name="________qq1" hidden="1">{"RETRO",#N/A,FALSE,"Ret";"retro",#N/A,FALSE,"Ret_RO";"retp",#N/A,FALSE,"Ret_P";"livro",#N/A,FALSE,"Livr_RO";"livp",#N/A,FALSE,"Livr_P";"puro",#N/A,FALSE,"Pu_RO";"pup",#N/A,FALSE,"Pu_P";"stocro",#N/A,FALSE,"Stock_RO";"stocp",#N/A,FALSE,"Stock_P";"vitro",#N/A,FALSE,"Vitr-RO";"vitp",#N/A,FALSE,"Vitr-P";"destro",#N/A,FALSE,"Dest_RO";"destp",#N/A,FALSE,"Dest_P"}</definedName>
    <definedName name="________qq11" localSheetId="6" hidden="1">{"RETRO",#N/A,FALSE,"Ret";"retro",#N/A,FALSE,"Ret_RO";"retp",#N/A,FALSE,"Ret_P";"livro",#N/A,FALSE,"Livr_RO";"livp",#N/A,FALSE,"Livr_P";"puro",#N/A,FALSE,"Pu_RO";"pup",#N/A,FALSE,"Pu_P";"stocro",#N/A,FALSE,"Stock_RO";"stocp",#N/A,FALSE,"Stock_P";"vitro",#N/A,FALSE,"Vitr-RO";"vitp",#N/A,FALSE,"Vitr-P";"destro",#N/A,FALSE,"Dest_RO";"destp",#N/A,FALSE,"Dest_P"}</definedName>
    <definedName name="________qq11" localSheetId="7" hidden="1">{"RETRO",#N/A,FALSE,"Ret";"retro",#N/A,FALSE,"Ret_RO";"retp",#N/A,FALSE,"Ret_P";"livro",#N/A,FALSE,"Livr_RO";"livp",#N/A,FALSE,"Livr_P";"puro",#N/A,FALSE,"Pu_RO";"pup",#N/A,FALSE,"Pu_P";"stocro",#N/A,FALSE,"Stock_RO";"stocp",#N/A,FALSE,"Stock_P";"vitro",#N/A,FALSE,"Vitr-RO";"vitp",#N/A,FALSE,"Vitr-P";"destro",#N/A,FALSE,"Dest_RO";"destp",#N/A,FALSE,"Dest_P"}</definedName>
    <definedName name="________qq11" localSheetId="4" hidden="1">{"RETRO",#N/A,FALSE,"Ret";"retro",#N/A,FALSE,"Ret_RO";"retp",#N/A,FALSE,"Ret_P";"livro",#N/A,FALSE,"Livr_RO";"livp",#N/A,FALSE,"Livr_P";"puro",#N/A,FALSE,"Pu_RO";"pup",#N/A,FALSE,"Pu_P";"stocro",#N/A,FALSE,"Stock_RO";"stocp",#N/A,FALSE,"Stock_P";"vitro",#N/A,FALSE,"Vitr-RO";"vitp",#N/A,FALSE,"Vitr-P";"destro",#N/A,FALSE,"Dest_RO";"destp",#N/A,FALSE,"Dest_P"}</definedName>
    <definedName name="________qq11" localSheetId="1" hidden="1">{"RETRO",#N/A,FALSE,"Ret";"retro",#N/A,FALSE,"Ret_RO";"retp",#N/A,FALSE,"Ret_P";"livro",#N/A,FALSE,"Livr_RO";"livp",#N/A,FALSE,"Livr_P";"puro",#N/A,FALSE,"Pu_RO";"pup",#N/A,FALSE,"Pu_P";"stocro",#N/A,FALSE,"Stock_RO";"stocp",#N/A,FALSE,"Stock_P";"vitro",#N/A,FALSE,"Vitr-RO";"vitp",#N/A,FALSE,"Vitr-P";"destro",#N/A,FALSE,"Dest_RO";"destp",#N/A,FALSE,"Dest_P"}</definedName>
    <definedName name="________qq11" hidden="1">{"RETRO",#N/A,FALSE,"Ret";"retro",#N/A,FALSE,"Ret_RO";"retp",#N/A,FALSE,"Ret_P";"livro",#N/A,FALSE,"Livr_RO";"livp",#N/A,FALSE,"Livr_P";"puro",#N/A,FALSE,"Pu_RO";"pup",#N/A,FALSE,"Pu_P";"stocro",#N/A,FALSE,"Stock_RO";"stocp",#N/A,FALSE,"Stock_P";"vitro",#N/A,FALSE,"Vitr-RO";"vitp",#N/A,FALSE,"Vitr-P";"destro",#N/A,FALSE,"Dest_RO";"destp",#N/A,FALSE,"Dest_P"}</definedName>
    <definedName name="________qq2" localSheetId="6" hidden="1">{"RETRO",#N/A,FALSE,"Ret";"retro",#N/A,FALSE,"Ret_RO";"retp",#N/A,FALSE,"Ret_P";"livro",#N/A,FALSE,"Livr_RO";"livp",#N/A,FALSE,"Livr_P";"puro",#N/A,FALSE,"Pu_RO";"pup",#N/A,FALSE,"Pu_P";"stocro",#N/A,FALSE,"Stock_RO";"stocp",#N/A,FALSE,"Stock_P";"vitro",#N/A,FALSE,"Vitr-RO";"vitp",#N/A,FALSE,"Vitr-P";"destro",#N/A,FALSE,"Dest_RO";"destp",#N/A,FALSE,"Dest_P"}</definedName>
    <definedName name="________qq2" localSheetId="7" hidden="1">{"RETRO",#N/A,FALSE,"Ret";"retro",#N/A,FALSE,"Ret_RO";"retp",#N/A,FALSE,"Ret_P";"livro",#N/A,FALSE,"Livr_RO";"livp",#N/A,FALSE,"Livr_P";"puro",#N/A,FALSE,"Pu_RO";"pup",#N/A,FALSE,"Pu_P";"stocro",#N/A,FALSE,"Stock_RO";"stocp",#N/A,FALSE,"Stock_P";"vitro",#N/A,FALSE,"Vitr-RO";"vitp",#N/A,FALSE,"Vitr-P";"destro",#N/A,FALSE,"Dest_RO";"destp",#N/A,FALSE,"Dest_P"}</definedName>
    <definedName name="________qq2" localSheetId="4" hidden="1">{"RETRO",#N/A,FALSE,"Ret";"retro",#N/A,FALSE,"Ret_RO";"retp",#N/A,FALSE,"Ret_P";"livro",#N/A,FALSE,"Livr_RO";"livp",#N/A,FALSE,"Livr_P";"puro",#N/A,FALSE,"Pu_RO";"pup",#N/A,FALSE,"Pu_P";"stocro",#N/A,FALSE,"Stock_RO";"stocp",#N/A,FALSE,"Stock_P";"vitro",#N/A,FALSE,"Vitr-RO";"vitp",#N/A,FALSE,"Vitr-P";"destro",#N/A,FALSE,"Dest_RO";"destp",#N/A,FALSE,"Dest_P"}</definedName>
    <definedName name="________qq2" localSheetId="1" hidden="1">{"RETRO",#N/A,FALSE,"Ret";"retro",#N/A,FALSE,"Ret_RO";"retp",#N/A,FALSE,"Ret_P";"livro",#N/A,FALSE,"Livr_RO";"livp",#N/A,FALSE,"Livr_P";"puro",#N/A,FALSE,"Pu_RO";"pup",#N/A,FALSE,"Pu_P";"stocro",#N/A,FALSE,"Stock_RO";"stocp",#N/A,FALSE,"Stock_P";"vitro",#N/A,FALSE,"Vitr-RO";"vitp",#N/A,FALSE,"Vitr-P";"destro",#N/A,FALSE,"Dest_RO";"destp",#N/A,FALSE,"Dest_P"}</definedName>
    <definedName name="________qq2" hidden="1">{"RETRO",#N/A,FALSE,"Ret";"retro",#N/A,FALSE,"Ret_RO";"retp",#N/A,FALSE,"Ret_P";"livro",#N/A,FALSE,"Livr_RO";"livp",#N/A,FALSE,"Livr_P";"puro",#N/A,FALSE,"Pu_RO";"pup",#N/A,FALSE,"Pu_P";"stocro",#N/A,FALSE,"Stock_RO";"stocp",#N/A,FALSE,"Stock_P";"vitro",#N/A,FALSE,"Vitr-RO";"vitp",#N/A,FALSE,"Vitr-P";"destro",#N/A,FALSE,"Dest_RO";"destp",#N/A,FALSE,"Dest_P"}</definedName>
    <definedName name="_______qq1" localSheetId="6" hidden="1">{"RETRO",#N/A,FALSE,"Ret";"retro",#N/A,FALSE,"Ret_RO";"retp",#N/A,FALSE,"Ret_P";"livro",#N/A,FALSE,"Livr_RO";"livp",#N/A,FALSE,"Livr_P";"puro",#N/A,FALSE,"Pu_RO";"pup",#N/A,FALSE,"Pu_P";"stocro",#N/A,FALSE,"Stock_RO";"stocp",#N/A,FALSE,"Stock_P";"vitro",#N/A,FALSE,"Vitr-RO";"vitp",#N/A,FALSE,"Vitr-P";"destro",#N/A,FALSE,"Dest_RO";"destp",#N/A,FALSE,"Dest_P"}</definedName>
    <definedName name="_______qq1" localSheetId="7" hidden="1">{"RETRO",#N/A,FALSE,"Ret";"retro",#N/A,FALSE,"Ret_RO";"retp",#N/A,FALSE,"Ret_P";"livro",#N/A,FALSE,"Livr_RO";"livp",#N/A,FALSE,"Livr_P";"puro",#N/A,FALSE,"Pu_RO";"pup",#N/A,FALSE,"Pu_P";"stocro",#N/A,FALSE,"Stock_RO";"stocp",#N/A,FALSE,"Stock_P";"vitro",#N/A,FALSE,"Vitr-RO";"vitp",#N/A,FALSE,"Vitr-P";"destro",#N/A,FALSE,"Dest_RO";"destp",#N/A,FALSE,"Dest_P"}</definedName>
    <definedName name="_______qq1" localSheetId="4" hidden="1">{"RETRO",#N/A,FALSE,"Ret";"retro",#N/A,FALSE,"Ret_RO";"retp",#N/A,FALSE,"Ret_P";"livro",#N/A,FALSE,"Livr_RO";"livp",#N/A,FALSE,"Livr_P";"puro",#N/A,FALSE,"Pu_RO";"pup",#N/A,FALSE,"Pu_P";"stocro",#N/A,FALSE,"Stock_RO";"stocp",#N/A,FALSE,"Stock_P";"vitro",#N/A,FALSE,"Vitr-RO";"vitp",#N/A,FALSE,"Vitr-P";"destro",#N/A,FALSE,"Dest_RO";"destp",#N/A,FALSE,"Dest_P"}</definedName>
    <definedName name="_______qq1" localSheetId="1" hidden="1">{"RETRO",#N/A,FALSE,"Ret";"retro",#N/A,FALSE,"Ret_RO";"retp",#N/A,FALSE,"Ret_P";"livro",#N/A,FALSE,"Livr_RO";"livp",#N/A,FALSE,"Livr_P";"puro",#N/A,FALSE,"Pu_RO";"pup",#N/A,FALSE,"Pu_P";"stocro",#N/A,FALSE,"Stock_RO";"stocp",#N/A,FALSE,"Stock_P";"vitro",#N/A,FALSE,"Vitr-RO";"vitp",#N/A,FALSE,"Vitr-P";"destro",#N/A,FALSE,"Dest_RO";"destp",#N/A,FALSE,"Dest_P"}</definedName>
    <definedName name="_______qq1" hidden="1">{"RETRO",#N/A,FALSE,"Ret";"retro",#N/A,FALSE,"Ret_RO";"retp",#N/A,FALSE,"Ret_P";"livro",#N/A,FALSE,"Livr_RO";"livp",#N/A,FALSE,"Livr_P";"puro",#N/A,FALSE,"Pu_RO";"pup",#N/A,FALSE,"Pu_P";"stocro",#N/A,FALSE,"Stock_RO";"stocp",#N/A,FALSE,"Stock_P";"vitro",#N/A,FALSE,"Vitr-RO";"vitp",#N/A,FALSE,"Vitr-P";"destro",#N/A,FALSE,"Dest_RO";"destp",#N/A,FALSE,"Dest_P"}</definedName>
    <definedName name="_______qq11" localSheetId="6" hidden="1">{"RETRO",#N/A,FALSE,"Ret";"retro",#N/A,FALSE,"Ret_RO";"retp",#N/A,FALSE,"Ret_P";"livro",#N/A,FALSE,"Livr_RO";"livp",#N/A,FALSE,"Livr_P";"puro",#N/A,FALSE,"Pu_RO";"pup",#N/A,FALSE,"Pu_P";"stocro",#N/A,FALSE,"Stock_RO";"stocp",#N/A,FALSE,"Stock_P";"vitro",#N/A,FALSE,"Vitr-RO";"vitp",#N/A,FALSE,"Vitr-P";"destro",#N/A,FALSE,"Dest_RO";"destp",#N/A,FALSE,"Dest_P"}</definedName>
    <definedName name="_______qq11" localSheetId="7" hidden="1">{"RETRO",#N/A,FALSE,"Ret";"retro",#N/A,FALSE,"Ret_RO";"retp",#N/A,FALSE,"Ret_P";"livro",#N/A,FALSE,"Livr_RO";"livp",#N/A,FALSE,"Livr_P";"puro",#N/A,FALSE,"Pu_RO";"pup",#N/A,FALSE,"Pu_P";"stocro",#N/A,FALSE,"Stock_RO";"stocp",#N/A,FALSE,"Stock_P";"vitro",#N/A,FALSE,"Vitr-RO";"vitp",#N/A,FALSE,"Vitr-P";"destro",#N/A,FALSE,"Dest_RO";"destp",#N/A,FALSE,"Dest_P"}</definedName>
    <definedName name="_______qq11" localSheetId="4" hidden="1">{"RETRO",#N/A,FALSE,"Ret";"retro",#N/A,FALSE,"Ret_RO";"retp",#N/A,FALSE,"Ret_P";"livro",#N/A,FALSE,"Livr_RO";"livp",#N/A,FALSE,"Livr_P";"puro",#N/A,FALSE,"Pu_RO";"pup",#N/A,FALSE,"Pu_P";"stocro",#N/A,FALSE,"Stock_RO";"stocp",#N/A,FALSE,"Stock_P";"vitro",#N/A,FALSE,"Vitr-RO";"vitp",#N/A,FALSE,"Vitr-P";"destro",#N/A,FALSE,"Dest_RO";"destp",#N/A,FALSE,"Dest_P"}</definedName>
    <definedName name="_______qq11" localSheetId="1" hidden="1">{"RETRO",#N/A,FALSE,"Ret";"retro",#N/A,FALSE,"Ret_RO";"retp",#N/A,FALSE,"Ret_P";"livro",#N/A,FALSE,"Livr_RO";"livp",#N/A,FALSE,"Livr_P";"puro",#N/A,FALSE,"Pu_RO";"pup",#N/A,FALSE,"Pu_P";"stocro",#N/A,FALSE,"Stock_RO";"stocp",#N/A,FALSE,"Stock_P";"vitro",#N/A,FALSE,"Vitr-RO";"vitp",#N/A,FALSE,"Vitr-P";"destro",#N/A,FALSE,"Dest_RO";"destp",#N/A,FALSE,"Dest_P"}</definedName>
    <definedName name="_______qq11" hidden="1">{"RETRO",#N/A,FALSE,"Ret";"retro",#N/A,FALSE,"Ret_RO";"retp",#N/A,FALSE,"Ret_P";"livro",#N/A,FALSE,"Livr_RO";"livp",#N/A,FALSE,"Livr_P";"puro",#N/A,FALSE,"Pu_RO";"pup",#N/A,FALSE,"Pu_P";"stocro",#N/A,FALSE,"Stock_RO";"stocp",#N/A,FALSE,"Stock_P";"vitro",#N/A,FALSE,"Vitr-RO";"vitp",#N/A,FALSE,"Vitr-P";"destro",#N/A,FALSE,"Dest_RO";"destp",#N/A,FALSE,"Dest_P"}</definedName>
    <definedName name="_______qq2" localSheetId="6" hidden="1">{"RETRO",#N/A,FALSE,"Ret";"retro",#N/A,FALSE,"Ret_RO";"retp",#N/A,FALSE,"Ret_P";"livro",#N/A,FALSE,"Livr_RO";"livp",#N/A,FALSE,"Livr_P";"puro",#N/A,FALSE,"Pu_RO";"pup",#N/A,FALSE,"Pu_P";"stocro",#N/A,FALSE,"Stock_RO";"stocp",#N/A,FALSE,"Stock_P";"vitro",#N/A,FALSE,"Vitr-RO";"vitp",#N/A,FALSE,"Vitr-P";"destro",#N/A,FALSE,"Dest_RO";"destp",#N/A,FALSE,"Dest_P"}</definedName>
    <definedName name="_______qq2" localSheetId="7" hidden="1">{"RETRO",#N/A,FALSE,"Ret";"retro",#N/A,FALSE,"Ret_RO";"retp",#N/A,FALSE,"Ret_P";"livro",#N/A,FALSE,"Livr_RO";"livp",#N/A,FALSE,"Livr_P";"puro",#N/A,FALSE,"Pu_RO";"pup",#N/A,FALSE,"Pu_P";"stocro",#N/A,FALSE,"Stock_RO";"stocp",#N/A,FALSE,"Stock_P";"vitro",#N/A,FALSE,"Vitr-RO";"vitp",#N/A,FALSE,"Vitr-P";"destro",#N/A,FALSE,"Dest_RO";"destp",#N/A,FALSE,"Dest_P"}</definedName>
    <definedName name="_______qq2" localSheetId="4" hidden="1">{"RETRO",#N/A,FALSE,"Ret";"retro",#N/A,FALSE,"Ret_RO";"retp",#N/A,FALSE,"Ret_P";"livro",#N/A,FALSE,"Livr_RO";"livp",#N/A,FALSE,"Livr_P";"puro",#N/A,FALSE,"Pu_RO";"pup",#N/A,FALSE,"Pu_P";"stocro",#N/A,FALSE,"Stock_RO";"stocp",#N/A,FALSE,"Stock_P";"vitro",#N/A,FALSE,"Vitr-RO";"vitp",#N/A,FALSE,"Vitr-P";"destro",#N/A,FALSE,"Dest_RO";"destp",#N/A,FALSE,"Dest_P"}</definedName>
    <definedName name="_______qq2" localSheetId="1" hidden="1">{"RETRO",#N/A,FALSE,"Ret";"retro",#N/A,FALSE,"Ret_RO";"retp",#N/A,FALSE,"Ret_P";"livro",#N/A,FALSE,"Livr_RO";"livp",#N/A,FALSE,"Livr_P";"puro",#N/A,FALSE,"Pu_RO";"pup",#N/A,FALSE,"Pu_P";"stocro",#N/A,FALSE,"Stock_RO";"stocp",#N/A,FALSE,"Stock_P";"vitro",#N/A,FALSE,"Vitr-RO";"vitp",#N/A,FALSE,"Vitr-P";"destro",#N/A,FALSE,"Dest_RO";"destp",#N/A,FALSE,"Dest_P"}</definedName>
    <definedName name="_______qq2" hidden="1">{"RETRO",#N/A,FALSE,"Ret";"retro",#N/A,FALSE,"Ret_RO";"retp",#N/A,FALSE,"Ret_P";"livro",#N/A,FALSE,"Livr_RO";"livp",#N/A,FALSE,"Livr_P";"puro",#N/A,FALSE,"Pu_RO";"pup",#N/A,FALSE,"Pu_P";"stocro",#N/A,FALSE,"Stock_RO";"stocp",#N/A,FALSE,"Stock_P";"vitro",#N/A,FALSE,"Vitr-RO";"vitp",#N/A,FALSE,"Vitr-P";"destro",#N/A,FALSE,"Dest_RO";"destp",#N/A,FALSE,"Dest_P"}</definedName>
    <definedName name="______qq1" localSheetId="6" hidden="1">{"RETRO",#N/A,FALSE,"Ret";"retro",#N/A,FALSE,"Ret_RO";"retp",#N/A,FALSE,"Ret_P";"livro",#N/A,FALSE,"Livr_RO";"livp",#N/A,FALSE,"Livr_P";"puro",#N/A,FALSE,"Pu_RO";"pup",#N/A,FALSE,"Pu_P";"stocro",#N/A,FALSE,"Stock_RO";"stocp",#N/A,FALSE,"Stock_P";"vitro",#N/A,FALSE,"Vitr-RO";"vitp",#N/A,FALSE,"Vitr-P";"destro",#N/A,FALSE,"Dest_RO";"destp",#N/A,FALSE,"Dest_P"}</definedName>
    <definedName name="______qq1" localSheetId="7" hidden="1">{"RETRO",#N/A,FALSE,"Ret";"retro",#N/A,FALSE,"Ret_RO";"retp",#N/A,FALSE,"Ret_P";"livro",#N/A,FALSE,"Livr_RO";"livp",#N/A,FALSE,"Livr_P";"puro",#N/A,FALSE,"Pu_RO";"pup",#N/A,FALSE,"Pu_P";"stocro",#N/A,FALSE,"Stock_RO";"stocp",#N/A,FALSE,"Stock_P";"vitro",#N/A,FALSE,"Vitr-RO";"vitp",#N/A,FALSE,"Vitr-P";"destro",#N/A,FALSE,"Dest_RO";"destp",#N/A,FALSE,"Dest_P"}</definedName>
    <definedName name="______qq1" localSheetId="4" hidden="1">{"RETRO",#N/A,FALSE,"Ret";"retro",#N/A,FALSE,"Ret_RO";"retp",#N/A,FALSE,"Ret_P";"livro",#N/A,FALSE,"Livr_RO";"livp",#N/A,FALSE,"Livr_P";"puro",#N/A,FALSE,"Pu_RO";"pup",#N/A,FALSE,"Pu_P";"stocro",#N/A,FALSE,"Stock_RO";"stocp",#N/A,FALSE,"Stock_P";"vitro",#N/A,FALSE,"Vitr-RO";"vitp",#N/A,FALSE,"Vitr-P";"destro",#N/A,FALSE,"Dest_RO";"destp",#N/A,FALSE,"Dest_P"}</definedName>
    <definedName name="______qq1" localSheetId="1" hidden="1">{"RETRO",#N/A,FALSE,"Ret";"retro",#N/A,FALSE,"Ret_RO";"retp",#N/A,FALSE,"Ret_P";"livro",#N/A,FALSE,"Livr_RO";"livp",#N/A,FALSE,"Livr_P";"puro",#N/A,FALSE,"Pu_RO";"pup",#N/A,FALSE,"Pu_P";"stocro",#N/A,FALSE,"Stock_RO";"stocp",#N/A,FALSE,"Stock_P";"vitro",#N/A,FALSE,"Vitr-RO";"vitp",#N/A,FALSE,"Vitr-P";"destro",#N/A,FALSE,"Dest_RO";"destp",#N/A,FALSE,"Dest_P"}</definedName>
    <definedName name="______qq1" hidden="1">{"RETRO",#N/A,FALSE,"Ret";"retro",#N/A,FALSE,"Ret_RO";"retp",#N/A,FALSE,"Ret_P";"livro",#N/A,FALSE,"Livr_RO";"livp",#N/A,FALSE,"Livr_P";"puro",#N/A,FALSE,"Pu_RO";"pup",#N/A,FALSE,"Pu_P";"stocro",#N/A,FALSE,"Stock_RO";"stocp",#N/A,FALSE,"Stock_P";"vitro",#N/A,FALSE,"Vitr-RO";"vitp",#N/A,FALSE,"Vitr-P";"destro",#N/A,FALSE,"Dest_RO";"destp",#N/A,FALSE,"Dest_P"}</definedName>
    <definedName name="______qq11" localSheetId="6" hidden="1">{"RETRO",#N/A,FALSE,"Ret";"retro",#N/A,FALSE,"Ret_RO";"retp",#N/A,FALSE,"Ret_P";"livro",#N/A,FALSE,"Livr_RO";"livp",#N/A,FALSE,"Livr_P";"puro",#N/A,FALSE,"Pu_RO";"pup",#N/A,FALSE,"Pu_P";"stocro",#N/A,FALSE,"Stock_RO";"stocp",#N/A,FALSE,"Stock_P";"vitro",#N/A,FALSE,"Vitr-RO";"vitp",#N/A,FALSE,"Vitr-P";"destro",#N/A,FALSE,"Dest_RO";"destp",#N/A,FALSE,"Dest_P"}</definedName>
    <definedName name="______qq11" localSheetId="7" hidden="1">{"RETRO",#N/A,FALSE,"Ret";"retro",#N/A,FALSE,"Ret_RO";"retp",#N/A,FALSE,"Ret_P";"livro",#N/A,FALSE,"Livr_RO";"livp",#N/A,FALSE,"Livr_P";"puro",#N/A,FALSE,"Pu_RO";"pup",#N/A,FALSE,"Pu_P";"stocro",#N/A,FALSE,"Stock_RO";"stocp",#N/A,FALSE,"Stock_P";"vitro",#N/A,FALSE,"Vitr-RO";"vitp",#N/A,FALSE,"Vitr-P";"destro",#N/A,FALSE,"Dest_RO";"destp",#N/A,FALSE,"Dest_P"}</definedName>
    <definedName name="______qq11" localSheetId="4" hidden="1">{"RETRO",#N/A,FALSE,"Ret";"retro",#N/A,FALSE,"Ret_RO";"retp",#N/A,FALSE,"Ret_P";"livro",#N/A,FALSE,"Livr_RO";"livp",#N/A,FALSE,"Livr_P";"puro",#N/A,FALSE,"Pu_RO";"pup",#N/A,FALSE,"Pu_P";"stocro",#N/A,FALSE,"Stock_RO";"stocp",#N/A,FALSE,"Stock_P";"vitro",#N/A,FALSE,"Vitr-RO";"vitp",#N/A,FALSE,"Vitr-P";"destro",#N/A,FALSE,"Dest_RO";"destp",#N/A,FALSE,"Dest_P"}</definedName>
    <definedName name="______qq11" localSheetId="1" hidden="1">{"RETRO",#N/A,FALSE,"Ret";"retro",#N/A,FALSE,"Ret_RO";"retp",#N/A,FALSE,"Ret_P";"livro",#N/A,FALSE,"Livr_RO";"livp",#N/A,FALSE,"Livr_P";"puro",#N/A,FALSE,"Pu_RO";"pup",#N/A,FALSE,"Pu_P";"stocro",#N/A,FALSE,"Stock_RO";"stocp",#N/A,FALSE,"Stock_P";"vitro",#N/A,FALSE,"Vitr-RO";"vitp",#N/A,FALSE,"Vitr-P";"destro",#N/A,FALSE,"Dest_RO";"destp",#N/A,FALSE,"Dest_P"}</definedName>
    <definedName name="______qq11" hidden="1">{"RETRO",#N/A,FALSE,"Ret";"retro",#N/A,FALSE,"Ret_RO";"retp",#N/A,FALSE,"Ret_P";"livro",#N/A,FALSE,"Livr_RO";"livp",#N/A,FALSE,"Livr_P";"puro",#N/A,FALSE,"Pu_RO";"pup",#N/A,FALSE,"Pu_P";"stocro",#N/A,FALSE,"Stock_RO";"stocp",#N/A,FALSE,"Stock_P";"vitro",#N/A,FALSE,"Vitr-RO";"vitp",#N/A,FALSE,"Vitr-P";"destro",#N/A,FALSE,"Dest_RO";"destp",#N/A,FALSE,"Dest_P"}</definedName>
    <definedName name="______qq2" localSheetId="6" hidden="1">{"RETRO",#N/A,FALSE,"Ret";"retro",#N/A,FALSE,"Ret_RO";"retp",#N/A,FALSE,"Ret_P";"livro",#N/A,FALSE,"Livr_RO";"livp",#N/A,FALSE,"Livr_P";"puro",#N/A,FALSE,"Pu_RO";"pup",#N/A,FALSE,"Pu_P";"stocro",#N/A,FALSE,"Stock_RO";"stocp",#N/A,FALSE,"Stock_P";"vitro",#N/A,FALSE,"Vitr-RO";"vitp",#N/A,FALSE,"Vitr-P";"destro",#N/A,FALSE,"Dest_RO";"destp",#N/A,FALSE,"Dest_P"}</definedName>
    <definedName name="______qq2" localSheetId="7" hidden="1">{"RETRO",#N/A,FALSE,"Ret";"retro",#N/A,FALSE,"Ret_RO";"retp",#N/A,FALSE,"Ret_P";"livro",#N/A,FALSE,"Livr_RO";"livp",#N/A,FALSE,"Livr_P";"puro",#N/A,FALSE,"Pu_RO";"pup",#N/A,FALSE,"Pu_P";"stocro",#N/A,FALSE,"Stock_RO";"stocp",#N/A,FALSE,"Stock_P";"vitro",#N/A,FALSE,"Vitr-RO";"vitp",#N/A,FALSE,"Vitr-P";"destro",#N/A,FALSE,"Dest_RO";"destp",#N/A,FALSE,"Dest_P"}</definedName>
    <definedName name="______qq2" localSheetId="4" hidden="1">{"RETRO",#N/A,FALSE,"Ret";"retro",#N/A,FALSE,"Ret_RO";"retp",#N/A,FALSE,"Ret_P";"livro",#N/A,FALSE,"Livr_RO";"livp",#N/A,FALSE,"Livr_P";"puro",#N/A,FALSE,"Pu_RO";"pup",#N/A,FALSE,"Pu_P";"stocro",#N/A,FALSE,"Stock_RO";"stocp",#N/A,FALSE,"Stock_P";"vitro",#N/A,FALSE,"Vitr-RO";"vitp",#N/A,FALSE,"Vitr-P";"destro",#N/A,FALSE,"Dest_RO";"destp",#N/A,FALSE,"Dest_P"}</definedName>
    <definedName name="______qq2" localSheetId="1" hidden="1">{"RETRO",#N/A,FALSE,"Ret";"retro",#N/A,FALSE,"Ret_RO";"retp",#N/A,FALSE,"Ret_P";"livro",#N/A,FALSE,"Livr_RO";"livp",#N/A,FALSE,"Livr_P";"puro",#N/A,FALSE,"Pu_RO";"pup",#N/A,FALSE,"Pu_P";"stocro",#N/A,FALSE,"Stock_RO";"stocp",#N/A,FALSE,"Stock_P";"vitro",#N/A,FALSE,"Vitr-RO";"vitp",#N/A,FALSE,"Vitr-P";"destro",#N/A,FALSE,"Dest_RO";"destp",#N/A,FALSE,"Dest_P"}</definedName>
    <definedName name="______qq2" hidden="1">{"RETRO",#N/A,FALSE,"Ret";"retro",#N/A,FALSE,"Ret_RO";"retp",#N/A,FALSE,"Ret_P";"livro",#N/A,FALSE,"Livr_RO";"livp",#N/A,FALSE,"Livr_P";"puro",#N/A,FALSE,"Pu_RO";"pup",#N/A,FALSE,"Pu_P";"stocro",#N/A,FALSE,"Stock_RO";"stocp",#N/A,FALSE,"Stock_P";"vitro",#N/A,FALSE,"Vitr-RO";"vitp",#N/A,FALSE,"Vitr-P";"destro",#N/A,FALSE,"Dest_RO";"destp",#N/A,FALSE,"Dest_P"}</definedName>
    <definedName name="_____qq1" localSheetId="6" hidden="1">{"RETRO",#N/A,FALSE,"Ret";"retro",#N/A,FALSE,"Ret_RO";"retp",#N/A,FALSE,"Ret_P";"livro",#N/A,FALSE,"Livr_RO";"livp",#N/A,FALSE,"Livr_P";"puro",#N/A,FALSE,"Pu_RO";"pup",#N/A,FALSE,"Pu_P";"stocro",#N/A,FALSE,"Stock_RO";"stocp",#N/A,FALSE,"Stock_P";"vitro",#N/A,FALSE,"Vitr-RO";"vitp",#N/A,FALSE,"Vitr-P";"destro",#N/A,FALSE,"Dest_RO";"destp",#N/A,FALSE,"Dest_P"}</definedName>
    <definedName name="_____qq1" localSheetId="7" hidden="1">{"RETRO",#N/A,FALSE,"Ret";"retro",#N/A,FALSE,"Ret_RO";"retp",#N/A,FALSE,"Ret_P";"livro",#N/A,FALSE,"Livr_RO";"livp",#N/A,FALSE,"Livr_P";"puro",#N/A,FALSE,"Pu_RO";"pup",#N/A,FALSE,"Pu_P";"stocro",#N/A,FALSE,"Stock_RO";"stocp",#N/A,FALSE,"Stock_P";"vitro",#N/A,FALSE,"Vitr-RO";"vitp",#N/A,FALSE,"Vitr-P";"destro",#N/A,FALSE,"Dest_RO";"destp",#N/A,FALSE,"Dest_P"}</definedName>
    <definedName name="_____qq1" localSheetId="4" hidden="1">{"RETRO",#N/A,FALSE,"Ret";"retro",#N/A,FALSE,"Ret_RO";"retp",#N/A,FALSE,"Ret_P";"livro",#N/A,FALSE,"Livr_RO";"livp",#N/A,FALSE,"Livr_P";"puro",#N/A,FALSE,"Pu_RO";"pup",#N/A,FALSE,"Pu_P";"stocro",#N/A,FALSE,"Stock_RO";"stocp",#N/A,FALSE,"Stock_P";"vitro",#N/A,FALSE,"Vitr-RO";"vitp",#N/A,FALSE,"Vitr-P";"destro",#N/A,FALSE,"Dest_RO";"destp",#N/A,FALSE,"Dest_P"}</definedName>
    <definedName name="_____qq1" localSheetId="1" hidden="1">{"RETRO",#N/A,FALSE,"Ret";"retro",#N/A,FALSE,"Ret_RO";"retp",#N/A,FALSE,"Ret_P";"livro",#N/A,FALSE,"Livr_RO";"livp",#N/A,FALSE,"Livr_P";"puro",#N/A,FALSE,"Pu_RO";"pup",#N/A,FALSE,"Pu_P";"stocro",#N/A,FALSE,"Stock_RO";"stocp",#N/A,FALSE,"Stock_P";"vitro",#N/A,FALSE,"Vitr-RO";"vitp",#N/A,FALSE,"Vitr-P";"destro",#N/A,FALSE,"Dest_RO";"destp",#N/A,FALSE,"Dest_P"}</definedName>
    <definedName name="_____qq1" hidden="1">{"RETRO",#N/A,FALSE,"Ret";"retro",#N/A,FALSE,"Ret_RO";"retp",#N/A,FALSE,"Ret_P";"livro",#N/A,FALSE,"Livr_RO";"livp",#N/A,FALSE,"Livr_P";"puro",#N/A,FALSE,"Pu_RO";"pup",#N/A,FALSE,"Pu_P";"stocro",#N/A,FALSE,"Stock_RO";"stocp",#N/A,FALSE,"Stock_P";"vitro",#N/A,FALSE,"Vitr-RO";"vitp",#N/A,FALSE,"Vitr-P";"destro",#N/A,FALSE,"Dest_RO";"destp",#N/A,FALSE,"Dest_P"}</definedName>
    <definedName name="_____qq11" localSheetId="6" hidden="1">{"RETRO",#N/A,FALSE,"Ret";"retro",#N/A,FALSE,"Ret_RO";"retp",#N/A,FALSE,"Ret_P";"livro",#N/A,FALSE,"Livr_RO";"livp",#N/A,FALSE,"Livr_P";"puro",#N/A,FALSE,"Pu_RO";"pup",#N/A,FALSE,"Pu_P";"stocro",#N/A,FALSE,"Stock_RO";"stocp",#N/A,FALSE,"Stock_P";"vitro",#N/A,FALSE,"Vitr-RO";"vitp",#N/A,FALSE,"Vitr-P";"destro",#N/A,FALSE,"Dest_RO";"destp",#N/A,FALSE,"Dest_P"}</definedName>
    <definedName name="_____qq11" localSheetId="7" hidden="1">{"RETRO",#N/A,FALSE,"Ret";"retro",#N/A,FALSE,"Ret_RO";"retp",#N/A,FALSE,"Ret_P";"livro",#N/A,FALSE,"Livr_RO";"livp",#N/A,FALSE,"Livr_P";"puro",#N/A,FALSE,"Pu_RO";"pup",#N/A,FALSE,"Pu_P";"stocro",#N/A,FALSE,"Stock_RO";"stocp",#N/A,FALSE,"Stock_P";"vitro",#N/A,FALSE,"Vitr-RO";"vitp",#N/A,FALSE,"Vitr-P";"destro",#N/A,FALSE,"Dest_RO";"destp",#N/A,FALSE,"Dest_P"}</definedName>
    <definedName name="_____qq11" localSheetId="4" hidden="1">{"RETRO",#N/A,FALSE,"Ret";"retro",#N/A,FALSE,"Ret_RO";"retp",#N/A,FALSE,"Ret_P";"livro",#N/A,FALSE,"Livr_RO";"livp",#N/A,FALSE,"Livr_P";"puro",#N/A,FALSE,"Pu_RO";"pup",#N/A,FALSE,"Pu_P";"stocro",#N/A,FALSE,"Stock_RO";"stocp",#N/A,FALSE,"Stock_P";"vitro",#N/A,FALSE,"Vitr-RO";"vitp",#N/A,FALSE,"Vitr-P";"destro",#N/A,FALSE,"Dest_RO";"destp",#N/A,FALSE,"Dest_P"}</definedName>
    <definedName name="_____qq11" localSheetId="1" hidden="1">{"RETRO",#N/A,FALSE,"Ret";"retro",#N/A,FALSE,"Ret_RO";"retp",#N/A,FALSE,"Ret_P";"livro",#N/A,FALSE,"Livr_RO";"livp",#N/A,FALSE,"Livr_P";"puro",#N/A,FALSE,"Pu_RO";"pup",#N/A,FALSE,"Pu_P";"stocro",#N/A,FALSE,"Stock_RO";"stocp",#N/A,FALSE,"Stock_P";"vitro",#N/A,FALSE,"Vitr-RO";"vitp",#N/A,FALSE,"Vitr-P";"destro",#N/A,FALSE,"Dest_RO";"destp",#N/A,FALSE,"Dest_P"}</definedName>
    <definedName name="_____qq11" hidden="1">{"RETRO",#N/A,FALSE,"Ret";"retro",#N/A,FALSE,"Ret_RO";"retp",#N/A,FALSE,"Ret_P";"livro",#N/A,FALSE,"Livr_RO";"livp",#N/A,FALSE,"Livr_P";"puro",#N/A,FALSE,"Pu_RO";"pup",#N/A,FALSE,"Pu_P";"stocro",#N/A,FALSE,"Stock_RO";"stocp",#N/A,FALSE,"Stock_P";"vitro",#N/A,FALSE,"Vitr-RO";"vitp",#N/A,FALSE,"Vitr-P";"destro",#N/A,FALSE,"Dest_RO";"destp",#N/A,FALSE,"Dest_P"}</definedName>
    <definedName name="_____qq2" localSheetId="6" hidden="1">{"RETRO",#N/A,FALSE,"Ret";"retro",#N/A,FALSE,"Ret_RO";"retp",#N/A,FALSE,"Ret_P";"livro",#N/A,FALSE,"Livr_RO";"livp",#N/A,FALSE,"Livr_P";"puro",#N/A,FALSE,"Pu_RO";"pup",#N/A,FALSE,"Pu_P";"stocro",#N/A,FALSE,"Stock_RO";"stocp",#N/A,FALSE,"Stock_P";"vitro",#N/A,FALSE,"Vitr-RO";"vitp",#N/A,FALSE,"Vitr-P";"destro",#N/A,FALSE,"Dest_RO";"destp",#N/A,FALSE,"Dest_P"}</definedName>
    <definedName name="_____qq2" localSheetId="7" hidden="1">{"RETRO",#N/A,FALSE,"Ret";"retro",#N/A,FALSE,"Ret_RO";"retp",#N/A,FALSE,"Ret_P";"livro",#N/A,FALSE,"Livr_RO";"livp",#N/A,FALSE,"Livr_P";"puro",#N/A,FALSE,"Pu_RO";"pup",#N/A,FALSE,"Pu_P";"stocro",#N/A,FALSE,"Stock_RO";"stocp",#N/A,FALSE,"Stock_P";"vitro",#N/A,FALSE,"Vitr-RO";"vitp",#N/A,FALSE,"Vitr-P";"destro",#N/A,FALSE,"Dest_RO";"destp",#N/A,FALSE,"Dest_P"}</definedName>
    <definedName name="_____qq2" localSheetId="4" hidden="1">{"RETRO",#N/A,FALSE,"Ret";"retro",#N/A,FALSE,"Ret_RO";"retp",#N/A,FALSE,"Ret_P";"livro",#N/A,FALSE,"Livr_RO";"livp",#N/A,FALSE,"Livr_P";"puro",#N/A,FALSE,"Pu_RO";"pup",#N/A,FALSE,"Pu_P";"stocro",#N/A,FALSE,"Stock_RO";"stocp",#N/A,FALSE,"Stock_P";"vitro",#N/A,FALSE,"Vitr-RO";"vitp",#N/A,FALSE,"Vitr-P";"destro",#N/A,FALSE,"Dest_RO";"destp",#N/A,FALSE,"Dest_P"}</definedName>
    <definedName name="_____qq2" localSheetId="1" hidden="1">{"RETRO",#N/A,FALSE,"Ret";"retro",#N/A,FALSE,"Ret_RO";"retp",#N/A,FALSE,"Ret_P";"livro",#N/A,FALSE,"Livr_RO";"livp",#N/A,FALSE,"Livr_P";"puro",#N/A,FALSE,"Pu_RO";"pup",#N/A,FALSE,"Pu_P";"stocro",#N/A,FALSE,"Stock_RO";"stocp",#N/A,FALSE,"Stock_P";"vitro",#N/A,FALSE,"Vitr-RO";"vitp",#N/A,FALSE,"Vitr-P";"destro",#N/A,FALSE,"Dest_RO";"destp",#N/A,FALSE,"Dest_P"}</definedName>
    <definedName name="_____qq2" hidden="1">{"RETRO",#N/A,FALSE,"Ret";"retro",#N/A,FALSE,"Ret_RO";"retp",#N/A,FALSE,"Ret_P";"livro",#N/A,FALSE,"Livr_RO";"livp",#N/A,FALSE,"Livr_P";"puro",#N/A,FALSE,"Pu_RO";"pup",#N/A,FALSE,"Pu_P";"stocro",#N/A,FALSE,"Stock_RO";"stocp",#N/A,FALSE,"Stock_P";"vitro",#N/A,FALSE,"Vitr-RO";"vitp",#N/A,FALSE,"Vitr-P";"destro",#N/A,FALSE,"Dest_RO";"destp",#N/A,FALSE,"Dest_P"}</definedName>
    <definedName name="____qq1" localSheetId="6" hidden="1">{"RETRO",#N/A,FALSE,"Ret";"retro",#N/A,FALSE,"Ret_RO";"retp",#N/A,FALSE,"Ret_P";"livro",#N/A,FALSE,"Livr_RO";"livp",#N/A,FALSE,"Livr_P";"puro",#N/A,FALSE,"Pu_RO";"pup",#N/A,FALSE,"Pu_P";"stocro",#N/A,FALSE,"Stock_RO";"stocp",#N/A,FALSE,"Stock_P";"vitro",#N/A,FALSE,"Vitr-RO";"vitp",#N/A,FALSE,"Vitr-P";"destro",#N/A,FALSE,"Dest_RO";"destp",#N/A,FALSE,"Dest_P"}</definedName>
    <definedName name="____qq1" localSheetId="7" hidden="1">{"RETRO",#N/A,FALSE,"Ret";"retro",#N/A,FALSE,"Ret_RO";"retp",#N/A,FALSE,"Ret_P";"livro",#N/A,FALSE,"Livr_RO";"livp",#N/A,FALSE,"Livr_P";"puro",#N/A,FALSE,"Pu_RO";"pup",#N/A,FALSE,"Pu_P";"stocro",#N/A,FALSE,"Stock_RO";"stocp",#N/A,FALSE,"Stock_P";"vitro",#N/A,FALSE,"Vitr-RO";"vitp",#N/A,FALSE,"Vitr-P";"destro",#N/A,FALSE,"Dest_RO";"destp",#N/A,FALSE,"Dest_P"}</definedName>
    <definedName name="____qq1" localSheetId="4" hidden="1">{"RETRO",#N/A,FALSE,"Ret";"retro",#N/A,FALSE,"Ret_RO";"retp",#N/A,FALSE,"Ret_P";"livro",#N/A,FALSE,"Livr_RO";"livp",#N/A,FALSE,"Livr_P";"puro",#N/A,FALSE,"Pu_RO";"pup",#N/A,FALSE,"Pu_P";"stocro",#N/A,FALSE,"Stock_RO";"stocp",#N/A,FALSE,"Stock_P";"vitro",#N/A,FALSE,"Vitr-RO";"vitp",#N/A,FALSE,"Vitr-P";"destro",#N/A,FALSE,"Dest_RO";"destp",#N/A,FALSE,"Dest_P"}</definedName>
    <definedName name="____qq1" localSheetId="1" hidden="1">{"RETRO",#N/A,FALSE,"Ret";"retro",#N/A,FALSE,"Ret_RO";"retp",#N/A,FALSE,"Ret_P";"livro",#N/A,FALSE,"Livr_RO";"livp",#N/A,FALSE,"Livr_P";"puro",#N/A,FALSE,"Pu_RO";"pup",#N/A,FALSE,"Pu_P";"stocro",#N/A,FALSE,"Stock_RO";"stocp",#N/A,FALSE,"Stock_P";"vitro",#N/A,FALSE,"Vitr-RO";"vitp",#N/A,FALSE,"Vitr-P";"destro",#N/A,FALSE,"Dest_RO";"destp",#N/A,FALSE,"Dest_P"}</definedName>
    <definedName name="____qq1" hidden="1">{"RETRO",#N/A,FALSE,"Ret";"retro",#N/A,FALSE,"Ret_RO";"retp",#N/A,FALSE,"Ret_P";"livro",#N/A,FALSE,"Livr_RO";"livp",#N/A,FALSE,"Livr_P";"puro",#N/A,FALSE,"Pu_RO";"pup",#N/A,FALSE,"Pu_P";"stocro",#N/A,FALSE,"Stock_RO";"stocp",#N/A,FALSE,"Stock_P";"vitro",#N/A,FALSE,"Vitr-RO";"vitp",#N/A,FALSE,"Vitr-P";"destro",#N/A,FALSE,"Dest_RO";"destp",#N/A,FALSE,"Dest_P"}</definedName>
    <definedName name="____qq11" localSheetId="6" hidden="1">{"RETRO",#N/A,FALSE,"Ret";"retro",#N/A,FALSE,"Ret_RO";"retp",#N/A,FALSE,"Ret_P";"livro",#N/A,FALSE,"Livr_RO";"livp",#N/A,FALSE,"Livr_P";"puro",#N/A,FALSE,"Pu_RO";"pup",#N/A,FALSE,"Pu_P";"stocro",#N/A,FALSE,"Stock_RO";"stocp",#N/A,FALSE,"Stock_P";"vitro",#N/A,FALSE,"Vitr-RO";"vitp",#N/A,FALSE,"Vitr-P";"destro",#N/A,FALSE,"Dest_RO";"destp",#N/A,FALSE,"Dest_P"}</definedName>
    <definedName name="____qq11" localSheetId="7" hidden="1">{"RETRO",#N/A,FALSE,"Ret";"retro",#N/A,FALSE,"Ret_RO";"retp",#N/A,FALSE,"Ret_P";"livro",#N/A,FALSE,"Livr_RO";"livp",#N/A,FALSE,"Livr_P";"puro",#N/A,FALSE,"Pu_RO";"pup",#N/A,FALSE,"Pu_P";"stocro",#N/A,FALSE,"Stock_RO";"stocp",#N/A,FALSE,"Stock_P";"vitro",#N/A,FALSE,"Vitr-RO";"vitp",#N/A,FALSE,"Vitr-P";"destro",#N/A,FALSE,"Dest_RO";"destp",#N/A,FALSE,"Dest_P"}</definedName>
    <definedName name="____qq11" localSheetId="4" hidden="1">{"RETRO",#N/A,FALSE,"Ret";"retro",#N/A,FALSE,"Ret_RO";"retp",#N/A,FALSE,"Ret_P";"livro",#N/A,FALSE,"Livr_RO";"livp",#N/A,FALSE,"Livr_P";"puro",#N/A,FALSE,"Pu_RO";"pup",#N/A,FALSE,"Pu_P";"stocro",#N/A,FALSE,"Stock_RO";"stocp",#N/A,FALSE,"Stock_P";"vitro",#N/A,FALSE,"Vitr-RO";"vitp",#N/A,FALSE,"Vitr-P";"destro",#N/A,FALSE,"Dest_RO";"destp",#N/A,FALSE,"Dest_P"}</definedName>
    <definedName name="____qq11" localSheetId="1" hidden="1">{"RETRO",#N/A,FALSE,"Ret";"retro",#N/A,FALSE,"Ret_RO";"retp",#N/A,FALSE,"Ret_P";"livro",#N/A,FALSE,"Livr_RO";"livp",#N/A,FALSE,"Livr_P";"puro",#N/A,FALSE,"Pu_RO";"pup",#N/A,FALSE,"Pu_P";"stocro",#N/A,FALSE,"Stock_RO";"stocp",#N/A,FALSE,"Stock_P";"vitro",#N/A,FALSE,"Vitr-RO";"vitp",#N/A,FALSE,"Vitr-P";"destro",#N/A,FALSE,"Dest_RO";"destp",#N/A,FALSE,"Dest_P"}</definedName>
    <definedName name="____qq11" hidden="1">{"RETRO",#N/A,FALSE,"Ret";"retro",#N/A,FALSE,"Ret_RO";"retp",#N/A,FALSE,"Ret_P";"livro",#N/A,FALSE,"Livr_RO";"livp",#N/A,FALSE,"Livr_P";"puro",#N/A,FALSE,"Pu_RO";"pup",#N/A,FALSE,"Pu_P";"stocro",#N/A,FALSE,"Stock_RO";"stocp",#N/A,FALSE,"Stock_P";"vitro",#N/A,FALSE,"Vitr-RO";"vitp",#N/A,FALSE,"Vitr-P";"destro",#N/A,FALSE,"Dest_RO";"destp",#N/A,FALSE,"Dest_P"}</definedName>
    <definedName name="____qq2" localSheetId="6" hidden="1">{"RETRO",#N/A,FALSE,"Ret";"retro",#N/A,FALSE,"Ret_RO";"retp",#N/A,FALSE,"Ret_P";"livro",#N/A,FALSE,"Livr_RO";"livp",#N/A,FALSE,"Livr_P";"puro",#N/A,FALSE,"Pu_RO";"pup",#N/A,FALSE,"Pu_P";"stocro",#N/A,FALSE,"Stock_RO";"stocp",#N/A,FALSE,"Stock_P";"vitro",#N/A,FALSE,"Vitr-RO";"vitp",#N/A,FALSE,"Vitr-P";"destro",#N/A,FALSE,"Dest_RO";"destp",#N/A,FALSE,"Dest_P"}</definedName>
    <definedName name="____qq2" localSheetId="7" hidden="1">{"RETRO",#N/A,FALSE,"Ret";"retro",#N/A,FALSE,"Ret_RO";"retp",#N/A,FALSE,"Ret_P";"livro",#N/A,FALSE,"Livr_RO";"livp",#N/A,FALSE,"Livr_P";"puro",#N/A,FALSE,"Pu_RO";"pup",#N/A,FALSE,"Pu_P";"stocro",#N/A,FALSE,"Stock_RO";"stocp",#N/A,FALSE,"Stock_P";"vitro",#N/A,FALSE,"Vitr-RO";"vitp",#N/A,FALSE,"Vitr-P";"destro",#N/A,FALSE,"Dest_RO";"destp",#N/A,FALSE,"Dest_P"}</definedName>
    <definedName name="____qq2" localSheetId="4" hidden="1">{"RETRO",#N/A,FALSE,"Ret";"retro",#N/A,FALSE,"Ret_RO";"retp",#N/A,FALSE,"Ret_P";"livro",#N/A,FALSE,"Livr_RO";"livp",#N/A,FALSE,"Livr_P";"puro",#N/A,FALSE,"Pu_RO";"pup",#N/A,FALSE,"Pu_P";"stocro",#N/A,FALSE,"Stock_RO";"stocp",#N/A,FALSE,"Stock_P";"vitro",#N/A,FALSE,"Vitr-RO";"vitp",#N/A,FALSE,"Vitr-P";"destro",#N/A,FALSE,"Dest_RO";"destp",#N/A,FALSE,"Dest_P"}</definedName>
    <definedName name="____qq2" localSheetId="1" hidden="1">{"RETRO",#N/A,FALSE,"Ret";"retro",#N/A,FALSE,"Ret_RO";"retp",#N/A,FALSE,"Ret_P";"livro",#N/A,FALSE,"Livr_RO";"livp",#N/A,FALSE,"Livr_P";"puro",#N/A,FALSE,"Pu_RO";"pup",#N/A,FALSE,"Pu_P";"stocro",#N/A,FALSE,"Stock_RO";"stocp",#N/A,FALSE,"Stock_P";"vitro",#N/A,FALSE,"Vitr-RO";"vitp",#N/A,FALSE,"Vitr-P";"destro",#N/A,FALSE,"Dest_RO";"destp",#N/A,FALSE,"Dest_P"}</definedName>
    <definedName name="____qq2" hidden="1">{"RETRO",#N/A,FALSE,"Ret";"retro",#N/A,FALSE,"Ret_RO";"retp",#N/A,FALSE,"Ret_P";"livro",#N/A,FALSE,"Livr_RO";"livp",#N/A,FALSE,"Livr_P";"puro",#N/A,FALSE,"Pu_RO";"pup",#N/A,FALSE,"Pu_P";"stocro",#N/A,FALSE,"Stock_RO";"stocp",#N/A,FALSE,"Stock_P";"vitro",#N/A,FALSE,"Vitr-RO";"vitp",#N/A,FALSE,"Vitr-P";"destro",#N/A,FALSE,"Dest_RO";"destp",#N/A,FALSE,"Dest_P"}</definedName>
    <definedName name="___qq1" localSheetId="6" hidden="1">{"RETRO",#N/A,FALSE,"Ret";"retro",#N/A,FALSE,"Ret_RO";"retp",#N/A,FALSE,"Ret_P";"livro",#N/A,FALSE,"Livr_RO";"livp",#N/A,FALSE,"Livr_P";"puro",#N/A,FALSE,"Pu_RO";"pup",#N/A,FALSE,"Pu_P";"stocro",#N/A,FALSE,"Stock_RO";"stocp",#N/A,FALSE,"Stock_P";"vitro",#N/A,FALSE,"Vitr-RO";"vitp",#N/A,FALSE,"Vitr-P";"destro",#N/A,FALSE,"Dest_RO";"destp",#N/A,FALSE,"Dest_P"}</definedName>
    <definedName name="___qq1" localSheetId="7" hidden="1">{"RETRO",#N/A,FALSE,"Ret";"retro",#N/A,FALSE,"Ret_RO";"retp",#N/A,FALSE,"Ret_P";"livro",#N/A,FALSE,"Livr_RO";"livp",#N/A,FALSE,"Livr_P";"puro",#N/A,FALSE,"Pu_RO";"pup",#N/A,FALSE,"Pu_P";"stocro",#N/A,FALSE,"Stock_RO";"stocp",#N/A,FALSE,"Stock_P";"vitro",#N/A,FALSE,"Vitr-RO";"vitp",#N/A,FALSE,"Vitr-P";"destro",#N/A,FALSE,"Dest_RO";"destp",#N/A,FALSE,"Dest_P"}</definedName>
    <definedName name="___qq1" localSheetId="4" hidden="1">{"RETRO",#N/A,FALSE,"Ret";"retro",#N/A,FALSE,"Ret_RO";"retp",#N/A,FALSE,"Ret_P";"livro",#N/A,FALSE,"Livr_RO";"livp",#N/A,FALSE,"Livr_P";"puro",#N/A,FALSE,"Pu_RO";"pup",#N/A,FALSE,"Pu_P";"stocro",#N/A,FALSE,"Stock_RO";"stocp",#N/A,FALSE,"Stock_P";"vitro",#N/A,FALSE,"Vitr-RO";"vitp",#N/A,FALSE,"Vitr-P";"destro",#N/A,FALSE,"Dest_RO";"destp",#N/A,FALSE,"Dest_P"}</definedName>
    <definedName name="___qq1" localSheetId="1" hidden="1">{"RETRO",#N/A,FALSE,"Ret";"retro",#N/A,FALSE,"Ret_RO";"retp",#N/A,FALSE,"Ret_P";"livro",#N/A,FALSE,"Livr_RO";"livp",#N/A,FALSE,"Livr_P";"puro",#N/A,FALSE,"Pu_RO";"pup",#N/A,FALSE,"Pu_P";"stocro",#N/A,FALSE,"Stock_RO";"stocp",#N/A,FALSE,"Stock_P";"vitro",#N/A,FALSE,"Vitr-RO";"vitp",#N/A,FALSE,"Vitr-P";"destro",#N/A,FALSE,"Dest_RO";"destp",#N/A,FALSE,"Dest_P"}</definedName>
    <definedName name="___qq1" hidden="1">{"RETRO",#N/A,FALSE,"Ret";"retro",#N/A,FALSE,"Ret_RO";"retp",#N/A,FALSE,"Ret_P";"livro",#N/A,FALSE,"Livr_RO";"livp",#N/A,FALSE,"Livr_P";"puro",#N/A,FALSE,"Pu_RO";"pup",#N/A,FALSE,"Pu_P";"stocro",#N/A,FALSE,"Stock_RO";"stocp",#N/A,FALSE,"Stock_P";"vitro",#N/A,FALSE,"Vitr-RO";"vitp",#N/A,FALSE,"Vitr-P";"destro",#N/A,FALSE,"Dest_RO";"destp",#N/A,FALSE,"Dest_P"}</definedName>
    <definedName name="___qq11" localSheetId="6" hidden="1">{"RETRO",#N/A,FALSE,"Ret";"retro",#N/A,FALSE,"Ret_RO";"retp",#N/A,FALSE,"Ret_P";"livro",#N/A,FALSE,"Livr_RO";"livp",#N/A,FALSE,"Livr_P";"puro",#N/A,FALSE,"Pu_RO";"pup",#N/A,FALSE,"Pu_P";"stocro",#N/A,FALSE,"Stock_RO";"stocp",#N/A,FALSE,"Stock_P";"vitro",#N/A,FALSE,"Vitr-RO";"vitp",#N/A,FALSE,"Vitr-P";"destro",#N/A,FALSE,"Dest_RO";"destp",#N/A,FALSE,"Dest_P"}</definedName>
    <definedName name="___qq11" localSheetId="7" hidden="1">{"RETRO",#N/A,FALSE,"Ret";"retro",#N/A,FALSE,"Ret_RO";"retp",#N/A,FALSE,"Ret_P";"livro",#N/A,FALSE,"Livr_RO";"livp",#N/A,FALSE,"Livr_P";"puro",#N/A,FALSE,"Pu_RO";"pup",#N/A,FALSE,"Pu_P";"stocro",#N/A,FALSE,"Stock_RO";"stocp",#N/A,FALSE,"Stock_P";"vitro",#N/A,FALSE,"Vitr-RO";"vitp",#N/A,FALSE,"Vitr-P";"destro",#N/A,FALSE,"Dest_RO";"destp",#N/A,FALSE,"Dest_P"}</definedName>
    <definedName name="___qq11" localSheetId="4" hidden="1">{"RETRO",#N/A,FALSE,"Ret";"retro",#N/A,FALSE,"Ret_RO";"retp",#N/A,FALSE,"Ret_P";"livro",#N/A,FALSE,"Livr_RO";"livp",#N/A,FALSE,"Livr_P";"puro",#N/A,FALSE,"Pu_RO";"pup",#N/A,FALSE,"Pu_P";"stocro",#N/A,FALSE,"Stock_RO";"stocp",#N/A,FALSE,"Stock_P";"vitro",#N/A,FALSE,"Vitr-RO";"vitp",#N/A,FALSE,"Vitr-P";"destro",#N/A,FALSE,"Dest_RO";"destp",#N/A,FALSE,"Dest_P"}</definedName>
    <definedName name="___qq11" localSheetId="1" hidden="1">{"RETRO",#N/A,FALSE,"Ret";"retro",#N/A,FALSE,"Ret_RO";"retp",#N/A,FALSE,"Ret_P";"livro",#N/A,FALSE,"Livr_RO";"livp",#N/A,FALSE,"Livr_P";"puro",#N/A,FALSE,"Pu_RO";"pup",#N/A,FALSE,"Pu_P";"stocro",#N/A,FALSE,"Stock_RO";"stocp",#N/A,FALSE,"Stock_P";"vitro",#N/A,FALSE,"Vitr-RO";"vitp",#N/A,FALSE,"Vitr-P";"destro",#N/A,FALSE,"Dest_RO";"destp",#N/A,FALSE,"Dest_P"}</definedName>
    <definedName name="___qq11" hidden="1">{"RETRO",#N/A,FALSE,"Ret";"retro",#N/A,FALSE,"Ret_RO";"retp",#N/A,FALSE,"Ret_P";"livro",#N/A,FALSE,"Livr_RO";"livp",#N/A,FALSE,"Livr_P";"puro",#N/A,FALSE,"Pu_RO";"pup",#N/A,FALSE,"Pu_P";"stocro",#N/A,FALSE,"Stock_RO";"stocp",#N/A,FALSE,"Stock_P";"vitro",#N/A,FALSE,"Vitr-RO";"vitp",#N/A,FALSE,"Vitr-P";"destro",#N/A,FALSE,"Dest_RO";"destp",#N/A,FALSE,"Dest_P"}</definedName>
    <definedName name="___qq2" localSheetId="6" hidden="1">{"RETRO",#N/A,FALSE,"Ret";"retro",#N/A,FALSE,"Ret_RO";"retp",#N/A,FALSE,"Ret_P";"livro",#N/A,FALSE,"Livr_RO";"livp",#N/A,FALSE,"Livr_P";"puro",#N/A,FALSE,"Pu_RO";"pup",#N/A,FALSE,"Pu_P";"stocro",#N/A,FALSE,"Stock_RO";"stocp",#N/A,FALSE,"Stock_P";"vitro",#N/A,FALSE,"Vitr-RO";"vitp",#N/A,FALSE,"Vitr-P";"destro",#N/A,FALSE,"Dest_RO";"destp",#N/A,FALSE,"Dest_P"}</definedName>
    <definedName name="___qq2" localSheetId="7" hidden="1">{"RETRO",#N/A,FALSE,"Ret";"retro",#N/A,FALSE,"Ret_RO";"retp",#N/A,FALSE,"Ret_P";"livro",#N/A,FALSE,"Livr_RO";"livp",#N/A,FALSE,"Livr_P";"puro",#N/A,FALSE,"Pu_RO";"pup",#N/A,FALSE,"Pu_P";"stocro",#N/A,FALSE,"Stock_RO";"stocp",#N/A,FALSE,"Stock_P";"vitro",#N/A,FALSE,"Vitr-RO";"vitp",#N/A,FALSE,"Vitr-P";"destro",#N/A,FALSE,"Dest_RO";"destp",#N/A,FALSE,"Dest_P"}</definedName>
    <definedName name="___qq2" localSheetId="4" hidden="1">{"RETRO",#N/A,FALSE,"Ret";"retro",#N/A,FALSE,"Ret_RO";"retp",#N/A,FALSE,"Ret_P";"livro",#N/A,FALSE,"Livr_RO";"livp",#N/A,FALSE,"Livr_P";"puro",#N/A,FALSE,"Pu_RO";"pup",#N/A,FALSE,"Pu_P";"stocro",#N/A,FALSE,"Stock_RO";"stocp",#N/A,FALSE,"Stock_P";"vitro",#N/A,FALSE,"Vitr-RO";"vitp",#N/A,FALSE,"Vitr-P";"destro",#N/A,FALSE,"Dest_RO";"destp",#N/A,FALSE,"Dest_P"}</definedName>
    <definedName name="___qq2" localSheetId="1" hidden="1">{"RETRO",#N/A,FALSE,"Ret";"retro",#N/A,FALSE,"Ret_RO";"retp",#N/A,FALSE,"Ret_P";"livro",#N/A,FALSE,"Livr_RO";"livp",#N/A,FALSE,"Livr_P";"puro",#N/A,FALSE,"Pu_RO";"pup",#N/A,FALSE,"Pu_P";"stocro",#N/A,FALSE,"Stock_RO";"stocp",#N/A,FALSE,"Stock_P";"vitro",#N/A,FALSE,"Vitr-RO";"vitp",#N/A,FALSE,"Vitr-P";"destro",#N/A,FALSE,"Dest_RO";"destp",#N/A,FALSE,"Dest_P"}</definedName>
    <definedName name="___qq2" hidden="1">{"RETRO",#N/A,FALSE,"Ret";"retro",#N/A,FALSE,"Ret_RO";"retp",#N/A,FALSE,"Ret_P";"livro",#N/A,FALSE,"Livr_RO";"livp",#N/A,FALSE,"Livr_P";"puro",#N/A,FALSE,"Pu_RO";"pup",#N/A,FALSE,"Pu_P";"stocro",#N/A,FALSE,"Stock_RO";"stocp",#N/A,FALSE,"Stock_P";"vitro",#N/A,FALSE,"Vitr-RO";"vitp",#N/A,FALSE,"Vitr-P";"destro",#N/A,FALSE,"Dest_RO";"destp",#N/A,FALSE,"Dest_P"}</definedName>
    <definedName name="__123Graph_D" localSheetId="6" hidden="1">'[1]Loans out'!#REF!</definedName>
    <definedName name="__123Graph_D" localSheetId="7" hidden="1">'[1]Loans out'!#REF!</definedName>
    <definedName name="__123Graph_D" localSheetId="2" hidden="1">'[1]Loans out'!#REF!</definedName>
    <definedName name="__123Graph_D" hidden="1">'[1]Loans out'!#REF!</definedName>
    <definedName name="__123Graph_E" localSheetId="6" hidden="1">'[1]Loans out'!#REF!</definedName>
    <definedName name="__123Graph_E" localSheetId="7" hidden="1">'[1]Loans out'!#REF!</definedName>
    <definedName name="__123Graph_E" localSheetId="2" hidden="1">'[1]Loans out'!#REF!</definedName>
    <definedName name="__123Graph_E" hidden="1">'[1]Loans out'!#REF!</definedName>
    <definedName name="__qq1" localSheetId="6" hidden="1">{"RETRO",#N/A,FALSE,"Ret";"retro",#N/A,FALSE,"Ret_RO";"retp",#N/A,FALSE,"Ret_P";"livro",#N/A,FALSE,"Livr_RO";"livp",#N/A,FALSE,"Livr_P";"puro",#N/A,FALSE,"Pu_RO";"pup",#N/A,FALSE,"Pu_P";"stocro",#N/A,FALSE,"Stock_RO";"stocp",#N/A,FALSE,"Stock_P";"vitro",#N/A,FALSE,"Vitr-RO";"vitp",#N/A,FALSE,"Vitr-P";"destro",#N/A,FALSE,"Dest_RO";"destp",#N/A,FALSE,"Dest_P"}</definedName>
    <definedName name="__qq1" localSheetId="7" hidden="1">{"RETRO",#N/A,FALSE,"Ret";"retro",#N/A,FALSE,"Ret_RO";"retp",#N/A,FALSE,"Ret_P";"livro",#N/A,FALSE,"Livr_RO";"livp",#N/A,FALSE,"Livr_P";"puro",#N/A,FALSE,"Pu_RO";"pup",#N/A,FALSE,"Pu_P";"stocro",#N/A,FALSE,"Stock_RO";"stocp",#N/A,FALSE,"Stock_P";"vitro",#N/A,FALSE,"Vitr-RO";"vitp",#N/A,FALSE,"Vitr-P";"destro",#N/A,FALSE,"Dest_RO";"destp",#N/A,FALSE,"Dest_P"}</definedName>
    <definedName name="__qq1" localSheetId="4" hidden="1">{"RETRO",#N/A,FALSE,"Ret";"retro",#N/A,FALSE,"Ret_RO";"retp",#N/A,FALSE,"Ret_P";"livro",#N/A,FALSE,"Livr_RO";"livp",#N/A,FALSE,"Livr_P";"puro",#N/A,FALSE,"Pu_RO";"pup",#N/A,FALSE,"Pu_P";"stocro",#N/A,FALSE,"Stock_RO";"stocp",#N/A,FALSE,"Stock_P";"vitro",#N/A,FALSE,"Vitr-RO";"vitp",#N/A,FALSE,"Vitr-P";"destro",#N/A,FALSE,"Dest_RO";"destp",#N/A,FALSE,"Dest_P"}</definedName>
    <definedName name="__qq1" localSheetId="1" hidden="1">{"RETRO",#N/A,FALSE,"Ret";"retro",#N/A,FALSE,"Ret_RO";"retp",#N/A,FALSE,"Ret_P";"livro",#N/A,FALSE,"Livr_RO";"livp",#N/A,FALSE,"Livr_P";"puro",#N/A,FALSE,"Pu_RO";"pup",#N/A,FALSE,"Pu_P";"stocro",#N/A,FALSE,"Stock_RO";"stocp",#N/A,FALSE,"Stock_P";"vitro",#N/A,FALSE,"Vitr-RO";"vitp",#N/A,FALSE,"Vitr-P";"destro",#N/A,FALSE,"Dest_RO";"destp",#N/A,FALSE,"Dest_P"}</definedName>
    <definedName name="__qq1" hidden="1">{"RETRO",#N/A,FALSE,"Ret";"retro",#N/A,FALSE,"Ret_RO";"retp",#N/A,FALSE,"Ret_P";"livro",#N/A,FALSE,"Livr_RO";"livp",#N/A,FALSE,"Livr_P";"puro",#N/A,FALSE,"Pu_RO";"pup",#N/A,FALSE,"Pu_P";"stocro",#N/A,FALSE,"Stock_RO";"stocp",#N/A,FALSE,"Stock_P";"vitro",#N/A,FALSE,"Vitr-RO";"vitp",#N/A,FALSE,"Vitr-P";"destro",#N/A,FALSE,"Dest_RO";"destp",#N/A,FALSE,"Dest_P"}</definedName>
    <definedName name="__qq11" localSheetId="6" hidden="1">{"RETRO",#N/A,FALSE,"Ret";"retro",#N/A,FALSE,"Ret_RO";"retp",#N/A,FALSE,"Ret_P";"livro",#N/A,FALSE,"Livr_RO";"livp",#N/A,FALSE,"Livr_P";"puro",#N/A,FALSE,"Pu_RO";"pup",#N/A,FALSE,"Pu_P";"stocro",#N/A,FALSE,"Stock_RO";"stocp",#N/A,FALSE,"Stock_P";"vitro",#N/A,FALSE,"Vitr-RO";"vitp",#N/A,FALSE,"Vitr-P";"destro",#N/A,FALSE,"Dest_RO";"destp",#N/A,FALSE,"Dest_P"}</definedName>
    <definedName name="__qq11" localSheetId="7" hidden="1">{"RETRO",#N/A,FALSE,"Ret";"retro",#N/A,FALSE,"Ret_RO";"retp",#N/A,FALSE,"Ret_P";"livro",#N/A,FALSE,"Livr_RO";"livp",#N/A,FALSE,"Livr_P";"puro",#N/A,FALSE,"Pu_RO";"pup",#N/A,FALSE,"Pu_P";"stocro",#N/A,FALSE,"Stock_RO";"stocp",#N/A,FALSE,"Stock_P";"vitro",#N/A,FALSE,"Vitr-RO";"vitp",#N/A,FALSE,"Vitr-P";"destro",#N/A,FALSE,"Dest_RO";"destp",#N/A,FALSE,"Dest_P"}</definedName>
    <definedName name="__qq11" localSheetId="4" hidden="1">{"RETRO",#N/A,FALSE,"Ret";"retro",#N/A,FALSE,"Ret_RO";"retp",#N/A,FALSE,"Ret_P";"livro",#N/A,FALSE,"Livr_RO";"livp",#N/A,FALSE,"Livr_P";"puro",#N/A,FALSE,"Pu_RO";"pup",#N/A,FALSE,"Pu_P";"stocro",#N/A,FALSE,"Stock_RO";"stocp",#N/A,FALSE,"Stock_P";"vitro",#N/A,FALSE,"Vitr-RO";"vitp",#N/A,FALSE,"Vitr-P";"destro",#N/A,FALSE,"Dest_RO";"destp",#N/A,FALSE,"Dest_P"}</definedName>
    <definedName name="__qq11" localSheetId="1" hidden="1">{"RETRO",#N/A,FALSE,"Ret";"retro",#N/A,FALSE,"Ret_RO";"retp",#N/A,FALSE,"Ret_P";"livro",#N/A,FALSE,"Livr_RO";"livp",#N/A,FALSE,"Livr_P";"puro",#N/A,FALSE,"Pu_RO";"pup",#N/A,FALSE,"Pu_P";"stocro",#N/A,FALSE,"Stock_RO";"stocp",#N/A,FALSE,"Stock_P";"vitro",#N/A,FALSE,"Vitr-RO";"vitp",#N/A,FALSE,"Vitr-P";"destro",#N/A,FALSE,"Dest_RO";"destp",#N/A,FALSE,"Dest_P"}</definedName>
    <definedName name="__qq11" hidden="1">{"RETRO",#N/A,FALSE,"Ret";"retro",#N/A,FALSE,"Ret_RO";"retp",#N/A,FALSE,"Ret_P";"livro",#N/A,FALSE,"Livr_RO";"livp",#N/A,FALSE,"Livr_P";"puro",#N/A,FALSE,"Pu_RO";"pup",#N/A,FALSE,"Pu_P";"stocro",#N/A,FALSE,"Stock_RO";"stocp",#N/A,FALSE,"Stock_P";"vitro",#N/A,FALSE,"Vitr-RO";"vitp",#N/A,FALSE,"Vitr-P";"destro",#N/A,FALSE,"Dest_RO";"destp",#N/A,FALSE,"Dest_P"}</definedName>
    <definedName name="__qq2" localSheetId="6" hidden="1">{"RETRO",#N/A,FALSE,"Ret";"retro",#N/A,FALSE,"Ret_RO";"retp",#N/A,FALSE,"Ret_P";"livro",#N/A,FALSE,"Livr_RO";"livp",#N/A,FALSE,"Livr_P";"puro",#N/A,FALSE,"Pu_RO";"pup",#N/A,FALSE,"Pu_P";"stocro",#N/A,FALSE,"Stock_RO";"stocp",#N/A,FALSE,"Stock_P";"vitro",#N/A,FALSE,"Vitr-RO";"vitp",#N/A,FALSE,"Vitr-P";"destro",#N/A,FALSE,"Dest_RO";"destp",#N/A,FALSE,"Dest_P"}</definedName>
    <definedName name="__qq2" localSheetId="7" hidden="1">{"RETRO",#N/A,FALSE,"Ret";"retro",#N/A,FALSE,"Ret_RO";"retp",#N/A,FALSE,"Ret_P";"livro",#N/A,FALSE,"Livr_RO";"livp",#N/A,FALSE,"Livr_P";"puro",#N/A,FALSE,"Pu_RO";"pup",#N/A,FALSE,"Pu_P";"stocro",#N/A,FALSE,"Stock_RO";"stocp",#N/A,FALSE,"Stock_P";"vitro",#N/A,FALSE,"Vitr-RO";"vitp",#N/A,FALSE,"Vitr-P";"destro",#N/A,FALSE,"Dest_RO";"destp",#N/A,FALSE,"Dest_P"}</definedName>
    <definedName name="__qq2" localSheetId="4" hidden="1">{"RETRO",#N/A,FALSE,"Ret";"retro",#N/A,FALSE,"Ret_RO";"retp",#N/A,FALSE,"Ret_P";"livro",#N/A,FALSE,"Livr_RO";"livp",#N/A,FALSE,"Livr_P";"puro",#N/A,FALSE,"Pu_RO";"pup",#N/A,FALSE,"Pu_P";"stocro",#N/A,FALSE,"Stock_RO";"stocp",#N/A,FALSE,"Stock_P";"vitro",#N/A,FALSE,"Vitr-RO";"vitp",#N/A,FALSE,"Vitr-P";"destro",#N/A,FALSE,"Dest_RO";"destp",#N/A,FALSE,"Dest_P"}</definedName>
    <definedName name="__qq2" localSheetId="1" hidden="1">{"RETRO",#N/A,FALSE,"Ret";"retro",#N/A,FALSE,"Ret_RO";"retp",#N/A,FALSE,"Ret_P";"livro",#N/A,FALSE,"Livr_RO";"livp",#N/A,FALSE,"Livr_P";"puro",#N/A,FALSE,"Pu_RO";"pup",#N/A,FALSE,"Pu_P";"stocro",#N/A,FALSE,"Stock_RO";"stocp",#N/A,FALSE,"Stock_P";"vitro",#N/A,FALSE,"Vitr-RO";"vitp",#N/A,FALSE,"Vitr-P";"destro",#N/A,FALSE,"Dest_RO";"destp",#N/A,FALSE,"Dest_P"}</definedName>
    <definedName name="__qq2" hidden="1">{"RETRO",#N/A,FALSE,"Ret";"retro",#N/A,FALSE,"Ret_RO";"retp",#N/A,FALSE,"Ret_P";"livro",#N/A,FALSE,"Livr_RO";"livp",#N/A,FALSE,"Livr_P";"puro",#N/A,FALSE,"Pu_RO";"pup",#N/A,FALSE,"Pu_P";"stocro",#N/A,FALSE,"Stock_RO";"stocp",#N/A,FALSE,"Stock_P";"vitro",#N/A,FALSE,"Vitr-RO";"vitp",#N/A,FALSE,"Vitr-P";"destro",#N/A,FALSE,"Dest_RO";"destp",#N/A,FALSE,"Dest_P"}</definedName>
    <definedName name="_135F5" localSheetId="6" hidden="1">#REF!</definedName>
    <definedName name="_135F5" localSheetId="7" hidden="1">#REF!</definedName>
    <definedName name="_135F5" localSheetId="4" hidden="1">#REF!</definedName>
    <definedName name="_135F5" localSheetId="2" hidden="1">#REF!</definedName>
    <definedName name="_135F5" hidden="1">#REF!</definedName>
    <definedName name="_Fill" localSheetId="6" hidden="1">#REF!</definedName>
    <definedName name="_Fill" localSheetId="7" hidden="1">#REF!</definedName>
    <definedName name="_Fill" localSheetId="4" hidden="1">#REF!</definedName>
    <definedName name="_Fill" localSheetId="2" hidden="1">#REF!</definedName>
    <definedName name="_Fill" hidden="1">#REF!</definedName>
    <definedName name="_Order1" hidden="1">255</definedName>
    <definedName name="_qq1" localSheetId="6" hidden="1">{"RETRO",#N/A,FALSE,"Ret";"retro",#N/A,FALSE,"Ret_RO";"retp",#N/A,FALSE,"Ret_P";"livro",#N/A,FALSE,"Livr_RO";"livp",#N/A,FALSE,"Livr_P";"puro",#N/A,FALSE,"Pu_RO";"pup",#N/A,FALSE,"Pu_P";"stocro",#N/A,FALSE,"Stock_RO";"stocp",#N/A,FALSE,"Stock_P";"vitro",#N/A,FALSE,"Vitr-RO";"vitp",#N/A,FALSE,"Vitr-P";"destro",#N/A,FALSE,"Dest_RO";"destp",#N/A,FALSE,"Dest_P"}</definedName>
    <definedName name="_qq1" localSheetId="7" hidden="1">{"RETRO",#N/A,FALSE,"Ret";"retro",#N/A,FALSE,"Ret_RO";"retp",#N/A,FALSE,"Ret_P";"livro",#N/A,FALSE,"Livr_RO";"livp",#N/A,FALSE,"Livr_P";"puro",#N/A,FALSE,"Pu_RO";"pup",#N/A,FALSE,"Pu_P";"stocro",#N/A,FALSE,"Stock_RO";"stocp",#N/A,FALSE,"Stock_P";"vitro",#N/A,FALSE,"Vitr-RO";"vitp",#N/A,FALSE,"Vitr-P";"destro",#N/A,FALSE,"Dest_RO";"destp",#N/A,FALSE,"Dest_P"}</definedName>
    <definedName name="_qq1" localSheetId="4" hidden="1">{"RETRO",#N/A,FALSE,"Ret";"retro",#N/A,FALSE,"Ret_RO";"retp",#N/A,FALSE,"Ret_P";"livro",#N/A,FALSE,"Livr_RO";"livp",#N/A,FALSE,"Livr_P";"puro",#N/A,FALSE,"Pu_RO";"pup",#N/A,FALSE,"Pu_P";"stocro",#N/A,FALSE,"Stock_RO";"stocp",#N/A,FALSE,"Stock_P";"vitro",#N/A,FALSE,"Vitr-RO";"vitp",#N/A,FALSE,"Vitr-P";"destro",#N/A,FALSE,"Dest_RO";"destp",#N/A,FALSE,"Dest_P"}</definedName>
    <definedName name="_qq1" localSheetId="1" hidden="1">{"RETRO",#N/A,FALSE,"Ret";"retro",#N/A,FALSE,"Ret_RO";"retp",#N/A,FALSE,"Ret_P";"livro",#N/A,FALSE,"Livr_RO";"livp",#N/A,FALSE,"Livr_P";"puro",#N/A,FALSE,"Pu_RO";"pup",#N/A,FALSE,"Pu_P";"stocro",#N/A,FALSE,"Stock_RO";"stocp",#N/A,FALSE,"Stock_P";"vitro",#N/A,FALSE,"Vitr-RO";"vitp",#N/A,FALSE,"Vitr-P";"destro",#N/A,FALSE,"Dest_RO";"destp",#N/A,FALSE,"Dest_P"}</definedName>
    <definedName name="_qq1" hidden="1">{"RETRO",#N/A,FALSE,"Ret";"retro",#N/A,FALSE,"Ret_RO";"retp",#N/A,FALSE,"Ret_P";"livro",#N/A,FALSE,"Livr_RO";"livp",#N/A,FALSE,"Livr_P";"puro",#N/A,FALSE,"Pu_RO";"pup",#N/A,FALSE,"Pu_P";"stocro",#N/A,FALSE,"Stock_RO";"stocp",#N/A,FALSE,"Stock_P";"vitro",#N/A,FALSE,"Vitr-RO";"vitp",#N/A,FALSE,"Vitr-P";"destro",#N/A,FALSE,"Dest_RO";"destp",#N/A,FALSE,"Dest_P"}</definedName>
    <definedName name="_qq11" localSheetId="6" hidden="1">{"RETRO",#N/A,FALSE,"Ret";"retro",#N/A,FALSE,"Ret_RO";"retp",#N/A,FALSE,"Ret_P";"livro",#N/A,FALSE,"Livr_RO";"livp",#N/A,FALSE,"Livr_P";"puro",#N/A,FALSE,"Pu_RO";"pup",#N/A,FALSE,"Pu_P";"stocro",#N/A,FALSE,"Stock_RO";"stocp",#N/A,FALSE,"Stock_P";"vitro",#N/A,FALSE,"Vitr-RO";"vitp",#N/A,FALSE,"Vitr-P";"destro",#N/A,FALSE,"Dest_RO";"destp",#N/A,FALSE,"Dest_P"}</definedName>
    <definedName name="_qq11" localSheetId="7" hidden="1">{"RETRO",#N/A,FALSE,"Ret";"retro",#N/A,FALSE,"Ret_RO";"retp",#N/A,FALSE,"Ret_P";"livro",#N/A,FALSE,"Livr_RO";"livp",#N/A,FALSE,"Livr_P";"puro",#N/A,FALSE,"Pu_RO";"pup",#N/A,FALSE,"Pu_P";"stocro",#N/A,FALSE,"Stock_RO";"stocp",#N/A,FALSE,"Stock_P";"vitro",#N/A,FALSE,"Vitr-RO";"vitp",#N/A,FALSE,"Vitr-P";"destro",#N/A,FALSE,"Dest_RO";"destp",#N/A,FALSE,"Dest_P"}</definedName>
    <definedName name="_qq11" localSheetId="4" hidden="1">{"RETRO",#N/A,FALSE,"Ret";"retro",#N/A,FALSE,"Ret_RO";"retp",#N/A,FALSE,"Ret_P";"livro",#N/A,FALSE,"Livr_RO";"livp",#N/A,FALSE,"Livr_P";"puro",#N/A,FALSE,"Pu_RO";"pup",#N/A,FALSE,"Pu_P";"stocro",#N/A,FALSE,"Stock_RO";"stocp",#N/A,FALSE,"Stock_P";"vitro",#N/A,FALSE,"Vitr-RO";"vitp",#N/A,FALSE,"Vitr-P";"destro",#N/A,FALSE,"Dest_RO";"destp",#N/A,FALSE,"Dest_P"}</definedName>
    <definedName name="_qq11" localSheetId="1" hidden="1">{"RETRO",#N/A,FALSE,"Ret";"retro",#N/A,FALSE,"Ret_RO";"retp",#N/A,FALSE,"Ret_P";"livro",#N/A,FALSE,"Livr_RO";"livp",#N/A,FALSE,"Livr_P";"puro",#N/A,FALSE,"Pu_RO";"pup",#N/A,FALSE,"Pu_P";"stocro",#N/A,FALSE,"Stock_RO";"stocp",#N/A,FALSE,"Stock_P";"vitro",#N/A,FALSE,"Vitr-RO";"vitp",#N/A,FALSE,"Vitr-P";"destro",#N/A,FALSE,"Dest_RO";"destp",#N/A,FALSE,"Dest_P"}</definedName>
    <definedName name="_qq11" hidden="1">{"RETRO",#N/A,FALSE,"Ret";"retro",#N/A,FALSE,"Ret_RO";"retp",#N/A,FALSE,"Ret_P";"livro",#N/A,FALSE,"Livr_RO";"livp",#N/A,FALSE,"Livr_P";"puro",#N/A,FALSE,"Pu_RO";"pup",#N/A,FALSE,"Pu_P";"stocro",#N/A,FALSE,"Stock_RO";"stocp",#N/A,FALSE,"Stock_P";"vitro",#N/A,FALSE,"Vitr-RO";"vitp",#N/A,FALSE,"Vitr-P";"destro",#N/A,FALSE,"Dest_RO";"destp",#N/A,FALSE,"Dest_P"}</definedName>
    <definedName name="_qq2" localSheetId="6" hidden="1">{"RETRO",#N/A,FALSE,"Ret";"retro",#N/A,FALSE,"Ret_RO";"retp",#N/A,FALSE,"Ret_P";"livro",#N/A,FALSE,"Livr_RO";"livp",#N/A,FALSE,"Livr_P";"puro",#N/A,FALSE,"Pu_RO";"pup",#N/A,FALSE,"Pu_P";"stocro",#N/A,FALSE,"Stock_RO";"stocp",#N/A,FALSE,"Stock_P";"vitro",#N/A,FALSE,"Vitr-RO";"vitp",#N/A,FALSE,"Vitr-P";"destro",#N/A,FALSE,"Dest_RO";"destp",#N/A,FALSE,"Dest_P"}</definedName>
    <definedName name="_qq2" localSheetId="7" hidden="1">{"RETRO",#N/A,FALSE,"Ret";"retro",#N/A,FALSE,"Ret_RO";"retp",#N/A,FALSE,"Ret_P";"livro",#N/A,FALSE,"Livr_RO";"livp",#N/A,FALSE,"Livr_P";"puro",#N/A,FALSE,"Pu_RO";"pup",#N/A,FALSE,"Pu_P";"stocro",#N/A,FALSE,"Stock_RO";"stocp",#N/A,FALSE,"Stock_P";"vitro",#N/A,FALSE,"Vitr-RO";"vitp",#N/A,FALSE,"Vitr-P";"destro",#N/A,FALSE,"Dest_RO";"destp",#N/A,FALSE,"Dest_P"}</definedName>
    <definedName name="_qq2" localSheetId="4" hidden="1">{"RETRO",#N/A,FALSE,"Ret";"retro",#N/A,FALSE,"Ret_RO";"retp",#N/A,FALSE,"Ret_P";"livro",#N/A,FALSE,"Livr_RO";"livp",#N/A,FALSE,"Livr_P";"puro",#N/A,FALSE,"Pu_RO";"pup",#N/A,FALSE,"Pu_P";"stocro",#N/A,FALSE,"Stock_RO";"stocp",#N/A,FALSE,"Stock_P";"vitro",#N/A,FALSE,"Vitr-RO";"vitp",#N/A,FALSE,"Vitr-P";"destro",#N/A,FALSE,"Dest_RO";"destp",#N/A,FALSE,"Dest_P"}</definedName>
    <definedName name="_qq2" localSheetId="1" hidden="1">{"RETRO",#N/A,FALSE,"Ret";"retro",#N/A,FALSE,"Ret_RO";"retp",#N/A,FALSE,"Ret_P";"livro",#N/A,FALSE,"Livr_RO";"livp",#N/A,FALSE,"Livr_P";"puro",#N/A,FALSE,"Pu_RO";"pup",#N/A,FALSE,"Pu_P";"stocro",#N/A,FALSE,"Stock_RO";"stocp",#N/A,FALSE,"Stock_P";"vitro",#N/A,FALSE,"Vitr-RO";"vitp",#N/A,FALSE,"Vitr-P";"destro",#N/A,FALSE,"Dest_RO";"destp",#N/A,FALSE,"Dest_P"}</definedName>
    <definedName name="_qq2" hidden="1">{"RETRO",#N/A,FALSE,"Ret";"retro",#N/A,FALSE,"Ret_RO";"retp",#N/A,FALSE,"Ret_P";"livro",#N/A,FALSE,"Livr_RO";"livp",#N/A,FALSE,"Livr_P";"puro",#N/A,FALSE,"Pu_RO";"pup",#N/A,FALSE,"Pu_P";"stocro",#N/A,FALSE,"Stock_RO";"stocp",#N/A,FALSE,"Stock_P";"vitro",#N/A,FALSE,"Vitr-RO";"vitp",#N/A,FALSE,"Vitr-P";"destro",#N/A,FALSE,"Dest_RO";"destp",#N/A,FALSE,"Dest_P"}</definedName>
    <definedName name="_Regression_Out" localSheetId="6" hidden="1">#REF!</definedName>
    <definedName name="_Regression_Out" localSheetId="7" hidden="1">#REF!</definedName>
    <definedName name="_Regression_Out" localSheetId="4" hidden="1">#REF!</definedName>
    <definedName name="_Regression_Out" localSheetId="2" hidden="1">#REF!</definedName>
    <definedName name="_Regression_Out" hidden="1">#REF!</definedName>
    <definedName name="_Regression_X" localSheetId="6" hidden="1">#REF!</definedName>
    <definedName name="_Regression_X" localSheetId="7" hidden="1">#REF!</definedName>
    <definedName name="_Regression_X" localSheetId="4" hidden="1">#REF!</definedName>
    <definedName name="_Regression_X" localSheetId="2" hidden="1">#REF!</definedName>
    <definedName name="_Regression_X" hidden="1">#REF!</definedName>
    <definedName name="_Regression_Y" localSheetId="6" hidden="1">#REF!</definedName>
    <definedName name="_Regression_Y" localSheetId="7" hidden="1">#REF!</definedName>
    <definedName name="_Regression_Y" localSheetId="4" hidden="1">#REF!</definedName>
    <definedName name="_Regression_Y" localSheetId="2" hidden="1">#REF!</definedName>
    <definedName name="_Regression_Y" hidden="1">#REF!</definedName>
    <definedName name="_Table1_In1" localSheetId="6" hidden="1">[2]Input!#REF!</definedName>
    <definedName name="_Table1_In1" localSheetId="7" hidden="1">[2]Input!#REF!</definedName>
    <definedName name="_Table1_In1" localSheetId="4" hidden="1">[2]Input!#REF!</definedName>
    <definedName name="_Table1_In1" localSheetId="2" hidden="1">[2]Input!#REF!</definedName>
    <definedName name="_Table1_In1" hidden="1">[2]Input!#REF!</definedName>
    <definedName name="_Table1_Out" localSheetId="6" hidden="1">[2]Input!#REF!</definedName>
    <definedName name="_Table1_Out" localSheetId="7" hidden="1">[2]Input!#REF!</definedName>
    <definedName name="_Table1_Out" localSheetId="4" hidden="1">[2]Input!#REF!</definedName>
    <definedName name="_Table1_Out" localSheetId="2" hidden="1">[2]Input!#REF!</definedName>
    <definedName name="_Table1_Out" hidden="1">[2]Input!#REF!</definedName>
    <definedName name="_Table2_In1" localSheetId="6" hidden="1">#REF!</definedName>
    <definedName name="_Table2_In1" localSheetId="7" hidden="1">#REF!</definedName>
    <definedName name="_Table2_In1" localSheetId="4" hidden="1">#REF!</definedName>
    <definedName name="_Table2_In1" localSheetId="2" hidden="1">#REF!</definedName>
    <definedName name="_Table2_In1" hidden="1">#REF!</definedName>
    <definedName name="_Table2_In2" localSheetId="6" hidden="1">#REF!</definedName>
    <definedName name="_Table2_In2" localSheetId="7" hidden="1">#REF!</definedName>
    <definedName name="_Table2_In2" localSheetId="4" hidden="1">#REF!</definedName>
    <definedName name="_Table2_In2" localSheetId="2" hidden="1">#REF!</definedName>
    <definedName name="_Table2_In2" hidden="1">#REF!</definedName>
    <definedName name="_Table2_Out" localSheetId="6" hidden="1">#REF!</definedName>
    <definedName name="_Table2_Out" localSheetId="7" hidden="1">#REF!</definedName>
    <definedName name="_Table2_Out" localSheetId="4" hidden="1">#REF!</definedName>
    <definedName name="_Table2_Out" localSheetId="2" hidden="1">#REF!</definedName>
    <definedName name="_Table2_Out" hidden="1">#REF!</definedName>
    <definedName name="_xlchart.v1.0" hidden="1">Check!$B$4:$B$23</definedName>
    <definedName name="_xlchart.v1.1" hidden="1">Check!$E$4:$E$23</definedName>
    <definedName name="_xlchart.v1.2" hidden="1">Check!$B$4:$B$22</definedName>
    <definedName name="_xlchart.v1.3" hidden="1">Check!$G$4:$G$22</definedName>
    <definedName name="_xlchart.v1.4" hidden="1">'Для презы СД'!$AF$5:$AF$32</definedName>
    <definedName name="_xlchart.v1.5" hidden="1">'Для презы СД'!$Z$5:$Z$32</definedName>
    <definedName name="_xlchart.v1.6" hidden="1">Check!$B$4:$B$22</definedName>
    <definedName name="_xlchart.v1.7" hidden="1">Check!$F$4:$F$22</definedName>
    <definedName name="_xlchart.v1.8" hidden="1">Check!$B$4:$B$22</definedName>
    <definedName name="_xlchart.v1.9" hidden="1">Check!$E$4:$E$22</definedName>
    <definedName name="_xlnm._FilterDatabase" localSheetId="10" hidden="1">Check!$T$4:$AE$133</definedName>
    <definedName name="_xlnm._FilterDatabase" localSheetId="6" hidden="1">#REF!</definedName>
    <definedName name="_xlnm._FilterDatabase" localSheetId="7" hidden="1">#REF!</definedName>
    <definedName name="_xlnm._FilterDatabase" localSheetId="4" hidden="1">#REF!</definedName>
    <definedName name="_xlnm._FilterDatabase" localSheetId="2" hidden="1">#REF!</definedName>
    <definedName name="_xlnm._FilterDatabase" hidden="1">#REF!</definedName>
    <definedName name="anscount" hidden="1">2</definedName>
    <definedName name="AS2DocOpenMode" hidden="1">"AS2DocumentEdit"</definedName>
    <definedName name="AS2HasNoAutoHeaderFooter" hidden="1">" "</definedName>
    <definedName name="AS2NamedRange" hidden="1">15</definedName>
    <definedName name="AS2ReportLS" hidden="1">1</definedName>
    <definedName name="AS2StaticLS" localSheetId="6" hidden="1">#REF!</definedName>
    <definedName name="AS2StaticLS" localSheetId="7" hidden="1">#REF!</definedName>
    <definedName name="AS2StaticLS" localSheetId="2" hidden="1">#REF!</definedName>
    <definedName name="AS2StaticLS" hidden="1">#REF!</definedName>
    <definedName name="AS2SyncStepLS" hidden="1">0</definedName>
    <definedName name="AS2TickmarkLS" localSheetId="6" hidden="1">#REF!</definedName>
    <definedName name="AS2TickmarkLS" localSheetId="7" hidden="1">#REF!</definedName>
    <definedName name="AS2TickmarkLS" localSheetId="2" hidden="1">#REF!</definedName>
    <definedName name="AS2TickmarkLS" hidden="1">#REF!</definedName>
    <definedName name="AS2VersionLS" hidden="1">300</definedName>
    <definedName name="BG_Del" hidden="1">15</definedName>
    <definedName name="BG_Ins" hidden="1">4</definedName>
    <definedName name="BG_Mod" hidden="1">6</definedName>
    <definedName name="d" localSheetId="6" hidden="1">#REF!</definedName>
    <definedName name="d" localSheetId="7" hidden="1">#REF!</definedName>
    <definedName name="d" localSheetId="4" hidden="1">#REF!</definedName>
    <definedName name="d" localSheetId="1" hidden="1">#REF!</definedName>
    <definedName name="d" localSheetId="2" hidden="1">#REF!</definedName>
    <definedName name="d" hidden="1">#REF!</definedName>
    <definedName name="hjjh" localSheetId="6" hidden="1">{#N/A,#N/A,TRUE,"Лист1";#N/A,#N/A,TRUE,"Лист2";#N/A,#N/A,TRUE,"Лист3"}</definedName>
    <definedName name="hjjh" hidden="1">{#N/A,#N/A,TRUE,"Лист1";#N/A,#N/A,TRUE,"Лист2";#N/A,#N/A,TRUE,"Лист3"}</definedName>
    <definedName name="HTML_CodePage" hidden="1">1252</definedName>
    <definedName name="HTML_Control" localSheetId="6" hidden="1">{"'Fortis Bank (Nederland) N.V.'!$A$1:$K$55","'spot-prijzen'!$A$1:$H$105"}</definedName>
    <definedName name="HTML_Control" hidden="1">{"'Fortis Bank (Nederland) N.V.'!$A$1:$K$55","'spot-prijzen'!$A$1:$H$105"}</definedName>
    <definedName name="HTML_Description" hidden="1">"Koerslijst"</definedName>
    <definedName name="HTML_Email" hidden="1">"fmk.koerslijst@nl.fortisbank.com"</definedName>
    <definedName name="HTML_Header" hidden="1">"Fortis Bank (Nederland) N.V."</definedName>
    <definedName name="HTML_LastUpdate" hidden="1">"7/31/2002"</definedName>
    <definedName name="HTML_LineAfter" hidden="1">TRUE</definedName>
    <definedName name="HTML_LineBefore" hidden="1">TRUE</definedName>
    <definedName name="HTML_Name" hidden="1">""</definedName>
    <definedName name="HTML_OBDlg2" hidden="1">TRUE</definedName>
    <definedName name="HTML_OBDlg3" hidden="1">TRUE</definedName>
    <definedName name="HTML_OBDlg4" hidden="1">TRUE</definedName>
    <definedName name="HTML_OS" hidden="1">0</definedName>
    <definedName name="HTML_PathFile" hidden="1">"I:\TRANSFER\Test EURO\word_koerslijst\31JUL2002.htm"</definedName>
    <definedName name="HTML_PathTemplate" hidden="1">"I:\TRANSFER\Test EURO\word_koerslijst\17jan2002-2.htm"</definedName>
    <definedName name="HTML_Title" hidden="1">"Koerslijst 31Jul02/"</definedName>
    <definedName name="limcount" hidden="1">2</definedName>
    <definedName name="qq" localSheetId="6" hidden="1">{"RETRO",#N/A,FALSE,"Ret";"retro",#N/A,FALSE,"Ret_RO";"retp",#N/A,FALSE,"Ret_P";"livro",#N/A,FALSE,"Livr_RO";"livp",#N/A,FALSE,"Livr_P";"puro",#N/A,FALSE,"Pu_RO";"pup",#N/A,FALSE,"Pu_P";"stocro",#N/A,FALSE,"Stock_RO";"stocp",#N/A,FALSE,"Stock_P";"vitro",#N/A,FALSE,"Vitr-RO";"vitp",#N/A,FALSE,"Vitr-P";"destro",#N/A,FALSE,"Dest_RO";"destp",#N/A,FALSE,"Dest_P"}</definedName>
    <definedName name="qq" localSheetId="7" hidden="1">{"RETRO",#N/A,FALSE,"Ret";"retro",#N/A,FALSE,"Ret_RO";"retp",#N/A,FALSE,"Ret_P";"livro",#N/A,FALSE,"Livr_RO";"livp",#N/A,FALSE,"Livr_P";"puro",#N/A,FALSE,"Pu_RO";"pup",#N/A,FALSE,"Pu_P";"stocro",#N/A,FALSE,"Stock_RO";"stocp",#N/A,FALSE,"Stock_P";"vitro",#N/A,FALSE,"Vitr-RO";"vitp",#N/A,FALSE,"Vitr-P";"destro",#N/A,FALSE,"Dest_RO";"destp",#N/A,FALSE,"Dest_P"}</definedName>
    <definedName name="qq" localSheetId="4" hidden="1">{"RETRO",#N/A,FALSE,"Ret";"retro",#N/A,FALSE,"Ret_RO";"retp",#N/A,FALSE,"Ret_P";"livro",#N/A,FALSE,"Livr_RO";"livp",#N/A,FALSE,"Livr_P";"puro",#N/A,FALSE,"Pu_RO";"pup",#N/A,FALSE,"Pu_P";"stocro",#N/A,FALSE,"Stock_RO";"stocp",#N/A,FALSE,"Stock_P";"vitro",#N/A,FALSE,"Vitr-RO";"vitp",#N/A,FALSE,"Vitr-P";"destro",#N/A,FALSE,"Dest_RO";"destp",#N/A,FALSE,"Dest_P"}</definedName>
    <definedName name="qq" localSheetId="1" hidden="1">{"RETRO",#N/A,FALSE,"Ret";"retro",#N/A,FALSE,"Ret_RO";"retp",#N/A,FALSE,"Ret_P";"livro",#N/A,FALSE,"Livr_RO";"livp",#N/A,FALSE,"Livr_P";"puro",#N/A,FALSE,"Pu_RO";"pup",#N/A,FALSE,"Pu_P";"stocro",#N/A,FALSE,"Stock_RO";"stocp",#N/A,FALSE,"Stock_P";"vitro",#N/A,FALSE,"Vitr-RO";"vitp",#N/A,FALSE,"Vitr-P";"destro",#N/A,FALSE,"Dest_RO";"destp",#N/A,FALSE,"Dest_P"}</definedName>
    <definedName name="qq" hidden="1">{"RETRO",#N/A,FALSE,"Ret";"retro",#N/A,FALSE,"Ret_RO";"retp",#N/A,FALSE,"Ret_P";"livro",#N/A,FALSE,"Livr_RO";"livp",#N/A,FALSE,"Livr_P";"puro",#N/A,FALSE,"Pu_RO";"pup",#N/A,FALSE,"Pu_P";"stocro",#N/A,FALSE,"Stock_RO";"stocp",#N/A,FALSE,"Stock_P";"vitro",#N/A,FALSE,"Vitr-RO";"vitp",#N/A,FALSE,"Vitr-P";"destro",#N/A,FALSE,"Dest_RO";"destp",#N/A,FALSE,"Dest_P"}</definedName>
    <definedName name="qq1_2" localSheetId="6" hidden="1">{"RETRO",#N/A,FALSE,"Ret";"retro",#N/A,FALSE,"Ret_RO";"retp",#N/A,FALSE,"Ret_P";"livro",#N/A,FALSE,"Livr_RO";"livp",#N/A,FALSE,"Livr_P";"puro",#N/A,FALSE,"Pu_RO";"pup",#N/A,FALSE,"Pu_P";"stocro",#N/A,FALSE,"Stock_RO";"stocp",#N/A,FALSE,"Stock_P";"vitro",#N/A,FALSE,"Vitr-RO";"vitp",#N/A,FALSE,"Vitr-P";"destro",#N/A,FALSE,"Dest_RO";"destp",#N/A,FALSE,"Dest_P"}</definedName>
    <definedName name="qq1_2" localSheetId="7" hidden="1">{"RETRO",#N/A,FALSE,"Ret";"retro",#N/A,FALSE,"Ret_RO";"retp",#N/A,FALSE,"Ret_P";"livro",#N/A,FALSE,"Livr_RO";"livp",#N/A,FALSE,"Livr_P";"puro",#N/A,FALSE,"Pu_RO";"pup",#N/A,FALSE,"Pu_P";"stocro",#N/A,FALSE,"Stock_RO";"stocp",#N/A,FALSE,"Stock_P";"vitro",#N/A,FALSE,"Vitr-RO";"vitp",#N/A,FALSE,"Vitr-P";"destro",#N/A,FALSE,"Dest_RO";"destp",#N/A,FALSE,"Dest_P"}</definedName>
    <definedName name="qq1_2" localSheetId="4" hidden="1">{"RETRO",#N/A,FALSE,"Ret";"retro",#N/A,FALSE,"Ret_RO";"retp",#N/A,FALSE,"Ret_P";"livro",#N/A,FALSE,"Livr_RO";"livp",#N/A,FALSE,"Livr_P";"puro",#N/A,FALSE,"Pu_RO";"pup",#N/A,FALSE,"Pu_P";"stocro",#N/A,FALSE,"Stock_RO";"stocp",#N/A,FALSE,"Stock_P";"vitro",#N/A,FALSE,"Vitr-RO";"vitp",#N/A,FALSE,"Vitr-P";"destro",#N/A,FALSE,"Dest_RO";"destp",#N/A,FALSE,"Dest_P"}</definedName>
    <definedName name="qq1_2" localSheetId="1" hidden="1">{"RETRO",#N/A,FALSE,"Ret";"retro",#N/A,FALSE,"Ret_RO";"retp",#N/A,FALSE,"Ret_P";"livro",#N/A,FALSE,"Livr_RO";"livp",#N/A,FALSE,"Livr_P";"puro",#N/A,FALSE,"Pu_RO";"pup",#N/A,FALSE,"Pu_P";"stocro",#N/A,FALSE,"Stock_RO";"stocp",#N/A,FALSE,"Stock_P";"vitro",#N/A,FALSE,"Vitr-RO";"vitp",#N/A,FALSE,"Vitr-P";"destro",#N/A,FALSE,"Dest_RO";"destp",#N/A,FALSE,"Dest_P"}</definedName>
    <definedName name="qq1_2" hidden="1">{"RETRO",#N/A,FALSE,"Ret";"retro",#N/A,FALSE,"Ret_RO";"retp",#N/A,FALSE,"Ret_P";"livro",#N/A,FALSE,"Livr_RO";"livp",#N/A,FALSE,"Livr_P";"puro",#N/A,FALSE,"Pu_RO";"pup",#N/A,FALSE,"Pu_P";"stocro",#N/A,FALSE,"Stock_RO";"stocp",#N/A,FALSE,"Stock_P";"vitro",#N/A,FALSE,"Vitr-RO";"vitp",#N/A,FALSE,"Vitr-P";"destro",#N/A,FALSE,"Dest_RO";"destp",#N/A,FALSE,"Dest_P"}</definedName>
    <definedName name="qq11_2" localSheetId="6" hidden="1">{"RETRO",#N/A,FALSE,"Ret";"retro",#N/A,FALSE,"Ret_RO";"retp",#N/A,FALSE,"Ret_P";"livro",#N/A,FALSE,"Livr_RO";"livp",#N/A,FALSE,"Livr_P";"puro",#N/A,FALSE,"Pu_RO";"pup",#N/A,FALSE,"Pu_P";"stocro",#N/A,FALSE,"Stock_RO";"stocp",#N/A,FALSE,"Stock_P";"vitro",#N/A,FALSE,"Vitr-RO";"vitp",#N/A,FALSE,"Vitr-P";"destro",#N/A,FALSE,"Dest_RO";"destp",#N/A,FALSE,"Dest_P"}</definedName>
    <definedName name="qq11_2" localSheetId="7" hidden="1">{"RETRO",#N/A,FALSE,"Ret";"retro",#N/A,FALSE,"Ret_RO";"retp",#N/A,FALSE,"Ret_P";"livro",#N/A,FALSE,"Livr_RO";"livp",#N/A,FALSE,"Livr_P";"puro",#N/A,FALSE,"Pu_RO";"pup",#N/A,FALSE,"Pu_P";"stocro",#N/A,FALSE,"Stock_RO";"stocp",#N/A,FALSE,"Stock_P";"vitro",#N/A,FALSE,"Vitr-RO";"vitp",#N/A,FALSE,"Vitr-P";"destro",#N/A,FALSE,"Dest_RO";"destp",#N/A,FALSE,"Dest_P"}</definedName>
    <definedName name="qq11_2" localSheetId="4" hidden="1">{"RETRO",#N/A,FALSE,"Ret";"retro",#N/A,FALSE,"Ret_RO";"retp",#N/A,FALSE,"Ret_P";"livro",#N/A,FALSE,"Livr_RO";"livp",#N/A,FALSE,"Livr_P";"puro",#N/A,FALSE,"Pu_RO";"pup",#N/A,FALSE,"Pu_P";"stocro",#N/A,FALSE,"Stock_RO";"stocp",#N/A,FALSE,"Stock_P";"vitro",#N/A,FALSE,"Vitr-RO";"vitp",#N/A,FALSE,"Vitr-P";"destro",#N/A,FALSE,"Dest_RO";"destp",#N/A,FALSE,"Dest_P"}</definedName>
    <definedName name="qq11_2" localSheetId="1" hidden="1">{"RETRO",#N/A,FALSE,"Ret";"retro",#N/A,FALSE,"Ret_RO";"retp",#N/A,FALSE,"Ret_P";"livro",#N/A,FALSE,"Livr_RO";"livp",#N/A,FALSE,"Livr_P";"puro",#N/A,FALSE,"Pu_RO";"pup",#N/A,FALSE,"Pu_P";"stocro",#N/A,FALSE,"Stock_RO";"stocp",#N/A,FALSE,"Stock_P";"vitro",#N/A,FALSE,"Vitr-RO";"vitp",#N/A,FALSE,"Vitr-P";"destro",#N/A,FALSE,"Dest_RO";"destp",#N/A,FALSE,"Dest_P"}</definedName>
    <definedName name="qq11_2" hidden="1">{"RETRO",#N/A,FALSE,"Ret";"retro",#N/A,FALSE,"Ret_RO";"retp",#N/A,FALSE,"Ret_P";"livro",#N/A,FALSE,"Livr_RO";"livp",#N/A,FALSE,"Livr_P";"puro",#N/A,FALSE,"Pu_RO";"pup",#N/A,FALSE,"Pu_P";"stocro",#N/A,FALSE,"Stock_RO";"stocp",#N/A,FALSE,"Stock_P";"vitro",#N/A,FALSE,"Vitr-RO";"vitp",#N/A,FALSE,"Vitr-P";"destro",#N/A,FALSE,"Dest_RO";"destp",#N/A,FALSE,"Dest_P"}</definedName>
    <definedName name="qsda" hidden="1">4</definedName>
    <definedName name="qw" localSheetId="6" hidden="1">{"RETRO",#N/A,FALSE,"Ret";"retro",#N/A,FALSE,"Ret_RO";"retp",#N/A,FALSE,"Ret_P";"livro",#N/A,FALSE,"Livr_RO";"livp",#N/A,FALSE,"Livr_P";"puro",#N/A,FALSE,"Pu_RO";"pup",#N/A,FALSE,"Pu_P";"stocro",#N/A,FALSE,"Stock_RO";"stocp",#N/A,FALSE,"Stock_P";"vitro",#N/A,FALSE,"Vitr-RO";"vitp",#N/A,FALSE,"Vitr-P";"destro",#N/A,FALSE,"Dest_RO";"destp",#N/A,FALSE,"Dest_P"}</definedName>
    <definedName name="qw" localSheetId="7" hidden="1">{"RETRO",#N/A,FALSE,"Ret";"retro",#N/A,FALSE,"Ret_RO";"retp",#N/A,FALSE,"Ret_P";"livro",#N/A,FALSE,"Livr_RO";"livp",#N/A,FALSE,"Livr_P";"puro",#N/A,FALSE,"Pu_RO";"pup",#N/A,FALSE,"Pu_P";"stocro",#N/A,FALSE,"Stock_RO";"stocp",#N/A,FALSE,"Stock_P";"vitro",#N/A,FALSE,"Vitr-RO";"vitp",#N/A,FALSE,"Vitr-P";"destro",#N/A,FALSE,"Dest_RO";"destp",#N/A,FALSE,"Dest_P"}</definedName>
    <definedName name="qw" localSheetId="4" hidden="1">{"RETRO",#N/A,FALSE,"Ret";"retro",#N/A,FALSE,"Ret_RO";"retp",#N/A,FALSE,"Ret_P";"livro",#N/A,FALSE,"Livr_RO";"livp",#N/A,FALSE,"Livr_P";"puro",#N/A,FALSE,"Pu_RO";"pup",#N/A,FALSE,"Pu_P";"stocro",#N/A,FALSE,"Stock_RO";"stocp",#N/A,FALSE,"Stock_P";"vitro",#N/A,FALSE,"Vitr-RO";"vitp",#N/A,FALSE,"Vitr-P";"destro",#N/A,FALSE,"Dest_RO";"destp",#N/A,FALSE,"Dest_P"}</definedName>
    <definedName name="qw" localSheetId="1" hidden="1">{"RETRO",#N/A,FALSE,"Ret";"retro",#N/A,FALSE,"Ret_RO";"retp",#N/A,FALSE,"Ret_P";"livro",#N/A,FALSE,"Livr_RO";"livp",#N/A,FALSE,"Livr_P";"puro",#N/A,FALSE,"Pu_RO";"pup",#N/A,FALSE,"Pu_P";"stocro",#N/A,FALSE,"Stock_RO";"stocp",#N/A,FALSE,"Stock_P";"vitro",#N/A,FALSE,"Vitr-RO";"vitp",#N/A,FALSE,"Vitr-P";"destro",#N/A,FALSE,"Dest_RO";"destp",#N/A,FALSE,"Dest_P"}</definedName>
    <definedName name="qw" hidden="1">{"RETRO",#N/A,FALSE,"Ret";"retro",#N/A,FALSE,"Ret_RO";"retp",#N/A,FALSE,"Ret_P";"livro",#N/A,FALSE,"Livr_RO";"livp",#N/A,FALSE,"Livr_P";"puro",#N/A,FALSE,"Pu_RO";"pup",#N/A,FALSE,"Pu_P";"stocro",#N/A,FALSE,"Stock_RO";"stocp",#N/A,FALSE,"Stock_P";"vitro",#N/A,FALSE,"Vitr-RO";"vitp",#N/A,FALSE,"Vitr-P";"destro",#N/A,FALSE,"Dest_RO";"destp",#N/A,FALSE,"Dest_P"}</definedName>
    <definedName name="sencount" hidden="1">2</definedName>
    <definedName name="TextRefCopyRangeCount" hidden="1">3</definedName>
    <definedName name="wrn.Aging._.and._.Trend._.Analysis." localSheetId="6" hidden="1">{#N/A,#N/A,FALSE,"Aging Summary";#N/A,#N/A,FALSE,"Ratio Analysis";#N/A,#N/A,FALSE,"Test 120 Day Accts";#N/A,#N/A,FALSE,"Tickmarks"}</definedName>
    <definedName name="wrn.Aging._.and._.Trend._.Analysis." hidden="1">{#N/A,#N/A,FALSE,"Aging Summary";#N/A,#N/A,FALSE,"Ratio Analysis";#N/A,#N/A,FALSE,"Test 120 Day Accts";#N/A,#N/A,FALSE,"Tickmarks"}</definedName>
    <definedName name="wrn.BP_E." localSheetId="6" hidden="1">{"Subs_E",#N/A,FALSE,"SubProj";"Tar_Alm_E",#N/A,FALSE,"Tariffs";"IS_E",#N/A,FALSE,"FSN";"CF_E",#N/A,FALSE,"FSN";"BS_E",#N/A,FALSE,"FSN";"Tum_E",#N/A,FALSE,"Prepaid";"FP_Alm_E",#N/A,FALSE,"FixedPhone";"Staff_E",#N/A,FALSE,"Staff";"Opex_po_dep_E",#N/A,FALSE,"Dep_OpEx";"Opex_po_costs_E",#N/A,FALSE,"Dep_OpEx";"Dep_opex_E",#N/A,FALSE,"Dep_OpEx"}</definedName>
    <definedName name="wrn.BP_E." localSheetId="7" hidden="1">{"Subs_E",#N/A,FALSE,"SubProj";"Tar_Alm_E",#N/A,FALSE,"Tariffs";"IS_E",#N/A,FALSE,"FSN";"CF_E",#N/A,FALSE,"FSN";"BS_E",#N/A,FALSE,"FSN";"Tum_E",#N/A,FALSE,"Prepaid";"FP_Alm_E",#N/A,FALSE,"FixedPhone";"Staff_E",#N/A,FALSE,"Staff";"Opex_po_dep_E",#N/A,FALSE,"Dep_OpEx";"Opex_po_costs_E",#N/A,FALSE,"Dep_OpEx";"Dep_opex_E",#N/A,FALSE,"Dep_OpEx"}</definedName>
    <definedName name="wrn.BP_E." localSheetId="4" hidden="1">{"Subs_E",#N/A,FALSE,"SubProj";"Tar_Alm_E",#N/A,FALSE,"Tariffs";"IS_E",#N/A,FALSE,"FSN";"CF_E",#N/A,FALSE,"FSN";"BS_E",#N/A,FALSE,"FSN";"Tum_E",#N/A,FALSE,"Prepaid";"FP_Alm_E",#N/A,FALSE,"FixedPhone";"Staff_E",#N/A,FALSE,"Staff";"Opex_po_dep_E",#N/A,FALSE,"Dep_OpEx";"Opex_po_costs_E",#N/A,FALSE,"Dep_OpEx";"Dep_opex_E",#N/A,FALSE,"Dep_OpEx"}</definedName>
    <definedName name="wrn.BP_E." localSheetId="1" hidden="1">{"Subs_E",#N/A,FALSE,"SubProj";"Tar_Alm_E",#N/A,FALSE,"Tariffs";"IS_E",#N/A,FALSE,"FSN";"CF_E",#N/A,FALSE,"FSN";"BS_E",#N/A,FALSE,"FSN";"Tum_E",#N/A,FALSE,"Prepaid";"FP_Alm_E",#N/A,FALSE,"FixedPhone";"Staff_E",#N/A,FALSE,"Staff";"Opex_po_dep_E",#N/A,FALSE,"Dep_OpEx";"Opex_po_costs_E",#N/A,FALSE,"Dep_OpEx";"Dep_opex_E",#N/A,FALSE,"Dep_OpEx"}</definedName>
    <definedName name="wrn.BP_E." hidden="1">{"Subs_E",#N/A,FALSE,"SubProj";"Tar_Alm_E",#N/A,FALSE,"Tariffs";"IS_E",#N/A,FALSE,"FSN";"CF_E",#N/A,FALSE,"FSN";"BS_E",#N/A,FALSE,"FSN";"Tum_E",#N/A,FALSE,"Prepaid";"FP_Alm_E",#N/A,FALSE,"FixedPhone";"Staff_E",#N/A,FALSE,"Staff";"Opex_po_dep_E",#N/A,FALSE,"Dep_OpEx";"Opex_po_costs_E",#N/A,FALSE,"Dep_OpEx";"Dep_opex_E",#N/A,FALSE,"Dep_OpEx"}</definedName>
    <definedName name="wrn.BP_E_for_ALL." localSheetId="6" hidden="1">{"IS_E",#N/A,FALSE,"FSN";"CF_E",#N/A,FALSE,"FSN";"Tum_E",#N/A,FALSE,"Prepaid";"FP_Alm_E",#N/A,FALSE,"FixedPhone";"Staff_E",#N/A,FALSE,"Staff";"subs_E",#N/A,FALSE,"SubProj";"subs_all_E",#N/A,FALSE,"SubProj"}</definedName>
    <definedName name="wrn.BP_E_for_ALL." localSheetId="7" hidden="1">{"IS_E",#N/A,FALSE,"FSN";"CF_E",#N/A,FALSE,"FSN";"Tum_E",#N/A,FALSE,"Prepaid";"FP_Alm_E",#N/A,FALSE,"FixedPhone";"Staff_E",#N/A,FALSE,"Staff";"subs_E",#N/A,FALSE,"SubProj";"subs_all_E",#N/A,FALSE,"SubProj"}</definedName>
    <definedName name="wrn.BP_E_for_ALL." localSheetId="4" hidden="1">{"IS_E",#N/A,FALSE,"FSN";"CF_E",#N/A,FALSE,"FSN";"Tum_E",#N/A,FALSE,"Prepaid";"FP_Alm_E",#N/A,FALSE,"FixedPhone";"Staff_E",#N/A,FALSE,"Staff";"subs_E",#N/A,FALSE,"SubProj";"subs_all_E",#N/A,FALSE,"SubProj"}</definedName>
    <definedName name="wrn.BP_E_for_ALL." localSheetId="1" hidden="1">{"IS_E",#N/A,FALSE,"FSN";"CF_E",#N/A,FALSE,"FSN";"Tum_E",#N/A,FALSE,"Prepaid";"FP_Alm_E",#N/A,FALSE,"FixedPhone";"Staff_E",#N/A,FALSE,"Staff";"subs_E",#N/A,FALSE,"SubProj";"subs_all_E",#N/A,FALSE,"SubProj"}</definedName>
    <definedName name="wrn.BP_E_for_ALL." hidden="1">{"IS_E",#N/A,FALSE,"FSN";"CF_E",#N/A,FALSE,"FSN";"Tum_E",#N/A,FALSE,"Prepaid";"FP_Alm_E",#N/A,FALSE,"FixedPhone";"Staff_E",#N/A,FALSE,"Staff";"subs_E",#N/A,FALSE,"SubProj";"subs_all_E",#N/A,FALSE,"SubProj"}</definedName>
    <definedName name="wrn.BP_inside_E." localSheetId="6" hidden="1">{"subs_all_E",#N/A,FALSE,"SubProj";"Subs_E",#N/A,FALSE,"SubProj";"Tar_Alm_E",#N/A,FALSE,"Tariffs";"IS_E",#N/A,FALSE,"FSN";"CF_E",#N/A,FALSE,"FSN";"CF_Dir_E",#N/A,FALSE,"FSN";"BS_E",#N/A,FALSE,"FSN";"Tum_E",#N/A,FALSE,"Prepaid";"FP_Alm_E",#N/A,FALSE,"FixedPhone";"Staff_inside_E",#N/A,FALSE,"Staff";"IS_Alm_E",#N/A,FALSE,"FS_alm";"Opex_po_dep_E",#N/A,FALSE,"Dep_OpEx";"Opex_po_costs_E",#N/A,FALSE,"Dep_OpEx";"Dep_opex_E",#N/A,FALSE,"Dep_OpEx";"Costs_split_E",#N/A,FALSE,"Dep_OpEx"}</definedName>
    <definedName name="wrn.BP_inside_E." localSheetId="7" hidden="1">{"subs_all_E",#N/A,FALSE,"SubProj";"Subs_E",#N/A,FALSE,"SubProj";"Tar_Alm_E",#N/A,FALSE,"Tariffs";"IS_E",#N/A,FALSE,"FSN";"CF_E",#N/A,FALSE,"FSN";"CF_Dir_E",#N/A,FALSE,"FSN";"BS_E",#N/A,FALSE,"FSN";"Tum_E",#N/A,FALSE,"Prepaid";"FP_Alm_E",#N/A,FALSE,"FixedPhone";"Staff_inside_E",#N/A,FALSE,"Staff";"IS_Alm_E",#N/A,FALSE,"FS_alm";"Opex_po_dep_E",#N/A,FALSE,"Dep_OpEx";"Opex_po_costs_E",#N/A,FALSE,"Dep_OpEx";"Dep_opex_E",#N/A,FALSE,"Dep_OpEx";"Costs_split_E",#N/A,FALSE,"Dep_OpEx"}</definedName>
    <definedName name="wrn.BP_inside_E." localSheetId="4" hidden="1">{"subs_all_E",#N/A,FALSE,"SubProj";"Subs_E",#N/A,FALSE,"SubProj";"Tar_Alm_E",#N/A,FALSE,"Tariffs";"IS_E",#N/A,FALSE,"FSN";"CF_E",#N/A,FALSE,"FSN";"CF_Dir_E",#N/A,FALSE,"FSN";"BS_E",#N/A,FALSE,"FSN";"Tum_E",#N/A,FALSE,"Prepaid";"FP_Alm_E",#N/A,FALSE,"FixedPhone";"Staff_inside_E",#N/A,FALSE,"Staff";"IS_Alm_E",#N/A,FALSE,"FS_alm";"Opex_po_dep_E",#N/A,FALSE,"Dep_OpEx";"Opex_po_costs_E",#N/A,FALSE,"Dep_OpEx";"Dep_opex_E",#N/A,FALSE,"Dep_OpEx";"Costs_split_E",#N/A,FALSE,"Dep_OpEx"}</definedName>
    <definedName name="wrn.BP_inside_E." localSheetId="1" hidden="1">{"subs_all_E",#N/A,FALSE,"SubProj";"Subs_E",#N/A,FALSE,"SubProj";"Tar_Alm_E",#N/A,FALSE,"Tariffs";"IS_E",#N/A,FALSE,"FSN";"CF_E",#N/A,FALSE,"FSN";"CF_Dir_E",#N/A,FALSE,"FSN";"BS_E",#N/A,FALSE,"FSN";"Tum_E",#N/A,FALSE,"Prepaid";"FP_Alm_E",#N/A,FALSE,"FixedPhone";"Staff_inside_E",#N/A,FALSE,"Staff";"IS_Alm_E",#N/A,FALSE,"FS_alm";"Opex_po_dep_E",#N/A,FALSE,"Dep_OpEx";"Opex_po_costs_E",#N/A,FALSE,"Dep_OpEx";"Dep_opex_E",#N/A,FALSE,"Dep_OpEx";"Costs_split_E",#N/A,FALSE,"Dep_OpEx"}</definedName>
    <definedName name="wrn.BP_inside_E." hidden="1">{"subs_all_E",#N/A,FALSE,"SubProj";"Subs_E",#N/A,FALSE,"SubProj";"Tar_Alm_E",#N/A,FALSE,"Tariffs";"IS_E",#N/A,FALSE,"FSN";"CF_E",#N/A,FALSE,"FSN";"CF_Dir_E",#N/A,FALSE,"FSN";"BS_E",#N/A,FALSE,"FSN";"Tum_E",#N/A,FALSE,"Prepaid";"FP_Alm_E",#N/A,FALSE,"FixedPhone";"Staff_inside_E",#N/A,FALSE,"Staff";"IS_Alm_E",#N/A,FALSE,"FS_alm";"Opex_po_dep_E",#N/A,FALSE,"Dep_OpEx";"Opex_po_costs_E",#N/A,FALSE,"Dep_OpEx";"Dep_opex_E",#N/A,FALSE,"Dep_OpEx";"Costs_split_E",#N/A,FALSE,"Dep_OpEx"}</definedName>
    <definedName name="wrn.BP_R." localSheetId="6" hidden="1">{"Subs_Reg_R",#N/A,FALSE,"SubsProj";"Capex_R",#N/A,FALSE,"CapEx"}</definedName>
    <definedName name="wrn.BP_R." localSheetId="7" hidden="1">{"Subs_Reg_R",#N/A,FALSE,"SubsProj";"Capex_R",#N/A,FALSE,"CapEx"}</definedName>
    <definedName name="wrn.BP_R." localSheetId="4" hidden="1">{"Subs_Reg_R",#N/A,FALSE,"SubsProj";"Capex_R",#N/A,FALSE,"CapEx"}</definedName>
    <definedName name="wrn.BP_R." localSheetId="1" hidden="1">{"Subs_Reg_R",#N/A,FALSE,"SubsProj";"Capex_R",#N/A,FALSE,"CapEx"}</definedName>
    <definedName name="wrn.BP_R." hidden="1">{"Subs_Reg_R",#N/A,FALSE,"SubsProj";"Capex_R",#N/A,FALSE,"CapEx"}</definedName>
    <definedName name="wrn.BP_R_KTK." localSheetId="6" hidden="1">{"Subs_R",#N/A,FALSE,"SubProj";"Tar_Alm_R",#N/A,FALSE,"Tariffs";"IS_R",#N/A,FALSE,"FSN";"CF_R",#N/A,FALSE,"FSN";"BS_R",#N/A,FALSE,"FSN";"Tum_R",#N/A,FALSE,"Prepaid";"FP_Alm_R",#N/A,FALSE,"FixedPhone";"Staff_R",#N/A,FALSE,"Staff"}</definedName>
    <definedName name="wrn.BP_R_KTK." localSheetId="7" hidden="1">{"Subs_R",#N/A,FALSE,"SubProj";"Tar_Alm_R",#N/A,FALSE,"Tariffs";"IS_R",#N/A,FALSE,"FSN";"CF_R",#N/A,FALSE,"FSN";"BS_R",#N/A,FALSE,"FSN";"Tum_R",#N/A,FALSE,"Prepaid";"FP_Alm_R",#N/A,FALSE,"FixedPhone";"Staff_R",#N/A,FALSE,"Staff"}</definedName>
    <definedName name="wrn.BP_R_KTK." localSheetId="4" hidden="1">{"Subs_R",#N/A,FALSE,"SubProj";"Tar_Alm_R",#N/A,FALSE,"Tariffs";"IS_R",#N/A,FALSE,"FSN";"CF_R",#N/A,FALSE,"FSN";"BS_R",#N/A,FALSE,"FSN";"Tum_R",#N/A,FALSE,"Prepaid";"FP_Alm_R",#N/A,FALSE,"FixedPhone";"Staff_R",#N/A,FALSE,"Staff"}</definedName>
    <definedName name="wrn.BP_R_KTK." localSheetId="1" hidden="1">{"Subs_R",#N/A,FALSE,"SubProj";"Tar_Alm_R",#N/A,FALSE,"Tariffs";"IS_R",#N/A,FALSE,"FSN";"CF_R",#N/A,FALSE,"FSN";"BS_R",#N/A,FALSE,"FSN";"Tum_R",#N/A,FALSE,"Prepaid";"FP_Alm_R",#N/A,FALSE,"FixedPhone";"Staff_R",#N/A,FALSE,"Staff"}</definedName>
    <definedName name="wrn.BP_R_KTK." hidden="1">{"Subs_R",#N/A,FALSE,"SubProj";"Tar_Alm_R",#N/A,FALSE,"Tariffs";"IS_R",#N/A,FALSE,"FSN";"CF_R",#N/A,FALSE,"FSN";"BS_R",#N/A,FALSE,"FSN";"Tum_R",#N/A,FALSE,"Prepaid";"FP_Alm_R",#N/A,FALSE,"FixedPhone";"Staff_R",#N/A,FALSE,"Staff"}</definedName>
    <definedName name="wrn.bplan99." localSheetId="6" hidden="1">{"Subs_active",#N/A,FALSE,"Subscriber Projection";"subs_regist",#N/A,FALSE,"Subscriber Projection";"tariff",#N/A,FALSE,"Tariffs";"Income_rex",#N/A,FALSE,"Financial Summary Total (r)";"cash",#N/A,FALSE,"Financial Summary Total";"prepaid",#N/A,FALSE,"Prepaid-Cellular";"staff",#N/A,FALSE,"Staff Cost"}</definedName>
    <definedName name="wrn.bplan99." localSheetId="7" hidden="1">{"Subs_active",#N/A,FALSE,"Subscriber Projection";"subs_regist",#N/A,FALSE,"Subscriber Projection";"tariff",#N/A,FALSE,"Tariffs";"Income_rex",#N/A,FALSE,"Financial Summary Total (r)";"cash",#N/A,FALSE,"Financial Summary Total";"prepaid",#N/A,FALSE,"Prepaid-Cellular";"staff",#N/A,FALSE,"Staff Cost"}</definedName>
    <definedName name="wrn.bplan99." localSheetId="4" hidden="1">{"Subs_active",#N/A,FALSE,"Subscriber Projection";"subs_regist",#N/A,FALSE,"Subscriber Projection";"tariff",#N/A,FALSE,"Tariffs";"Income_rex",#N/A,FALSE,"Financial Summary Total (r)";"cash",#N/A,FALSE,"Financial Summary Total";"prepaid",#N/A,FALSE,"Prepaid-Cellular";"staff",#N/A,FALSE,"Staff Cost"}</definedName>
    <definedName name="wrn.bplan99." localSheetId="1" hidden="1">{"Subs_active",#N/A,FALSE,"Subscriber Projection";"subs_regist",#N/A,FALSE,"Subscriber Projection";"tariff",#N/A,FALSE,"Tariffs";"Income_rex",#N/A,FALSE,"Financial Summary Total (r)";"cash",#N/A,FALSE,"Financial Summary Total";"prepaid",#N/A,FALSE,"Prepaid-Cellular";"staff",#N/A,FALSE,"Staff Cost"}</definedName>
    <definedName name="wrn.bplan99." hidden="1">{"Subs_active",#N/A,FALSE,"Subscriber Projection";"subs_regist",#N/A,FALSE,"Subscriber Projection";"tariff",#N/A,FALSE,"Tariffs";"Income_rex",#N/A,FALSE,"Financial Summary Total (r)";"cash",#N/A,FALSE,"Financial Summary Total";"prepaid",#N/A,FALSE,"Prepaid-Cellular";"staff",#N/A,FALSE,"Staff Cost"}</definedName>
    <definedName name="wrn.forecast99." localSheetId="6" hidden="1">{"sub_Alm",#N/A,FALSE,"Subscriber Projection";"traffic",#N/A,FALSE,"Traffic";"traffic%",#N/A,FALSE,"Traffic";"tarriff",#N/A,FALSE,"Tariffs";"Tumar_summ",#N/A,FALSE,"Prepaid-Cellular";"Income_rex",#N/A,FALSE,"Financial Summary Total (r)"}</definedName>
    <definedName name="wrn.forecast99." localSheetId="7" hidden="1">{"sub_Alm",#N/A,FALSE,"Subscriber Projection";"traffic",#N/A,FALSE,"Traffic";"traffic%",#N/A,FALSE,"Traffic";"tarriff",#N/A,FALSE,"Tariffs";"Tumar_summ",#N/A,FALSE,"Prepaid-Cellular";"Income_rex",#N/A,FALSE,"Financial Summary Total (r)"}</definedName>
    <definedName name="wrn.forecast99." localSheetId="4" hidden="1">{"sub_Alm",#N/A,FALSE,"Subscriber Projection";"traffic",#N/A,FALSE,"Traffic";"traffic%",#N/A,FALSE,"Traffic";"tarriff",#N/A,FALSE,"Tariffs";"Tumar_summ",#N/A,FALSE,"Prepaid-Cellular";"Income_rex",#N/A,FALSE,"Financial Summary Total (r)"}</definedName>
    <definedName name="wrn.forecast99." localSheetId="1" hidden="1">{"sub_Alm",#N/A,FALSE,"Subscriber Projection";"traffic",#N/A,FALSE,"Traffic";"traffic%",#N/A,FALSE,"Traffic";"tarriff",#N/A,FALSE,"Tariffs";"Tumar_summ",#N/A,FALSE,"Prepaid-Cellular";"Income_rex",#N/A,FALSE,"Financial Summary Total (r)"}</definedName>
    <definedName name="wrn.forecast99." hidden="1">{"sub_Alm",#N/A,FALSE,"Subscriber Projection";"traffic",#N/A,FALSE,"Traffic";"traffic%",#N/A,FALSE,"Traffic";"tarriff",#N/A,FALSE,"Tariffs";"Tumar_summ",#N/A,FALSE,"Prepaid-Cellular";"Income_rex",#N/A,FALSE,"Financial Summary Total (r)"}</definedName>
    <definedName name="wrn.lh97." localSheetId="6" hidden="1">{"RETRO",#N/A,FALSE,"Ret";"retro",#N/A,FALSE,"Ret_RO";"retp",#N/A,FALSE,"Ret_P";"livro",#N/A,FALSE,"Livr_RO";"livp",#N/A,FALSE,"Livr_P";"puro",#N/A,FALSE,"Pu_RO";"pup",#N/A,FALSE,"Pu_P";"stocro",#N/A,FALSE,"Stock_RO";"stocp",#N/A,FALSE,"Stock_P";"vitro",#N/A,FALSE,"Vitr-RO";"vitp",#N/A,FALSE,"Vitr-P";"destro",#N/A,FALSE,"Dest_RO";"destp",#N/A,FALSE,"Dest_P"}</definedName>
    <definedName name="wrn.lh97." localSheetId="7" hidden="1">{"RETRO",#N/A,FALSE,"Ret";"retro",#N/A,FALSE,"Ret_RO";"retp",#N/A,FALSE,"Ret_P";"livro",#N/A,FALSE,"Livr_RO";"livp",#N/A,FALSE,"Livr_P";"puro",#N/A,FALSE,"Pu_RO";"pup",#N/A,FALSE,"Pu_P";"stocro",#N/A,FALSE,"Stock_RO";"stocp",#N/A,FALSE,"Stock_P";"vitro",#N/A,FALSE,"Vitr-RO";"vitp",#N/A,FALSE,"Vitr-P";"destro",#N/A,FALSE,"Dest_RO";"destp",#N/A,FALSE,"Dest_P"}</definedName>
    <definedName name="wrn.lh97." localSheetId="4" hidden="1">{"RETRO",#N/A,FALSE,"Ret";"retro",#N/A,FALSE,"Ret_RO";"retp",#N/A,FALSE,"Ret_P";"livro",#N/A,FALSE,"Livr_RO";"livp",#N/A,FALSE,"Livr_P";"puro",#N/A,FALSE,"Pu_RO";"pup",#N/A,FALSE,"Pu_P";"stocro",#N/A,FALSE,"Stock_RO";"stocp",#N/A,FALSE,"Stock_P";"vitro",#N/A,FALSE,"Vitr-RO";"vitp",#N/A,FALSE,"Vitr-P";"destro",#N/A,FALSE,"Dest_RO";"destp",#N/A,FALSE,"Dest_P"}</definedName>
    <definedName name="wrn.lh97." localSheetId="1" hidden="1">{"RETRO",#N/A,FALSE,"Ret";"retro",#N/A,FALSE,"Ret_RO";"retp",#N/A,FALSE,"Ret_P";"livro",#N/A,FALSE,"Livr_RO";"livp",#N/A,FALSE,"Livr_P";"puro",#N/A,FALSE,"Pu_RO";"pup",#N/A,FALSE,"Pu_P";"stocro",#N/A,FALSE,"Stock_RO";"stocp",#N/A,FALSE,"Stock_P";"vitro",#N/A,FALSE,"Vitr-RO";"vitp",#N/A,FALSE,"Vitr-P";"destro",#N/A,FALSE,"Dest_RO";"destp",#N/A,FALSE,"Dest_P"}</definedName>
    <definedName name="wrn.lh97." hidden="1">{"RETRO",#N/A,FALSE,"Ret";"retro",#N/A,FALSE,"Ret_RO";"retp",#N/A,FALSE,"Ret_P";"livro",#N/A,FALSE,"Livr_RO";"livp",#N/A,FALSE,"Livr_P";"puro",#N/A,FALSE,"Pu_RO";"pup",#N/A,FALSE,"Pu_P";"stocro",#N/A,FALSE,"Stock_RO";"stocp",#N/A,FALSE,"Stock_P";"vitro",#N/A,FALSE,"Vitr-RO";"vitp",#N/A,FALSE,"Vitr-P";"destro",#N/A,FALSE,"Dest_RO";"destp",#N/A,FALSE,"Dest_P"}</definedName>
    <definedName name="wrn.проба." localSheetId="6" hidden="1">{#N/A,#N/A,FALSE,"пробный"}</definedName>
    <definedName name="wrn.проба." localSheetId="7" hidden="1">{#N/A,#N/A,FALSE,"пробный"}</definedName>
    <definedName name="wrn.проба." localSheetId="4" hidden="1">{#N/A,#N/A,FALSE,"пробный"}</definedName>
    <definedName name="wrn.проба." localSheetId="1" hidden="1">{#N/A,#N/A,FALSE,"пробный"}</definedName>
    <definedName name="wrn.проба." hidden="1">{#N/A,#N/A,FALSE,"пробный"}</definedName>
    <definedName name="wrn.Сравнение._.с._.отраслями." localSheetId="6" hidden="1">{#N/A,#N/A,TRUE,"Лист1";#N/A,#N/A,TRUE,"Лист2";#N/A,#N/A,TRUE,"Лист3"}</definedName>
    <definedName name="wrn.Сравнение._.с._.отраслями." hidden="1">{#N/A,#N/A,TRUE,"Лист1";#N/A,#N/A,TRUE,"Лист2";#N/A,#N/A,TRUE,"Лист3"}</definedName>
    <definedName name="wrn_2" localSheetId="6" hidden="1">{"RETRO",#N/A,FALSE,"Ret";"retro",#N/A,FALSE,"Ret_RO";"retp",#N/A,FALSE,"Ret_P";"livro",#N/A,FALSE,"Livr_RO";"livp",#N/A,FALSE,"Livr_P";"puro",#N/A,FALSE,"Pu_RO";"pup",#N/A,FALSE,"Pu_P";"stocro",#N/A,FALSE,"Stock_RO";"stocp",#N/A,FALSE,"Stock_P";"vitro",#N/A,FALSE,"Vitr-RO";"vitp",#N/A,FALSE,"Vitr-P";"destro",#N/A,FALSE,"Dest_RO";"destp",#N/A,FALSE,"Dest_P"}</definedName>
    <definedName name="wrn_2" localSheetId="7" hidden="1">{"RETRO",#N/A,FALSE,"Ret";"retro",#N/A,FALSE,"Ret_RO";"retp",#N/A,FALSE,"Ret_P";"livro",#N/A,FALSE,"Livr_RO";"livp",#N/A,FALSE,"Livr_P";"puro",#N/A,FALSE,"Pu_RO";"pup",#N/A,FALSE,"Pu_P";"stocro",#N/A,FALSE,"Stock_RO";"stocp",#N/A,FALSE,"Stock_P";"vitro",#N/A,FALSE,"Vitr-RO";"vitp",#N/A,FALSE,"Vitr-P";"destro",#N/A,FALSE,"Dest_RO";"destp",#N/A,FALSE,"Dest_P"}</definedName>
    <definedName name="wrn_2" localSheetId="4" hidden="1">{"RETRO",#N/A,FALSE,"Ret";"retro",#N/A,FALSE,"Ret_RO";"retp",#N/A,FALSE,"Ret_P";"livro",#N/A,FALSE,"Livr_RO";"livp",#N/A,FALSE,"Livr_P";"puro",#N/A,FALSE,"Pu_RO";"pup",#N/A,FALSE,"Pu_P";"stocro",#N/A,FALSE,"Stock_RO";"stocp",#N/A,FALSE,"Stock_P";"vitro",#N/A,FALSE,"Vitr-RO";"vitp",#N/A,FALSE,"Vitr-P";"destro",#N/A,FALSE,"Dest_RO";"destp",#N/A,FALSE,"Dest_P"}</definedName>
    <definedName name="wrn_2" localSheetId="1" hidden="1">{"RETRO",#N/A,FALSE,"Ret";"retro",#N/A,FALSE,"Ret_RO";"retp",#N/A,FALSE,"Ret_P";"livro",#N/A,FALSE,"Livr_RO";"livp",#N/A,FALSE,"Livr_P";"puro",#N/A,FALSE,"Pu_RO";"pup",#N/A,FALSE,"Pu_P";"stocro",#N/A,FALSE,"Stock_RO";"stocp",#N/A,FALSE,"Stock_P";"vitro",#N/A,FALSE,"Vitr-RO";"vitp",#N/A,FALSE,"Vitr-P";"destro",#N/A,FALSE,"Dest_RO";"destp",#N/A,FALSE,"Dest_P"}</definedName>
    <definedName name="wrn_2" hidden="1">{"RETRO",#N/A,FALSE,"Ret";"retro",#N/A,FALSE,"Ret_RO";"retp",#N/A,FALSE,"Ret_P";"livro",#N/A,FALSE,"Livr_RO";"livp",#N/A,FALSE,"Livr_P";"puro",#N/A,FALSE,"Pu_RO";"pup",#N/A,FALSE,"Pu_P";"stocro",#N/A,FALSE,"Stock_RO";"stocp",#N/A,FALSE,"Stock_P";"vitro",#N/A,FALSE,"Vitr-RO";"vitp",#N/A,FALSE,"Vitr-P";"destro",#N/A,FALSE,"Dest_RO";"destp",#N/A,FALSE,"Dest_P"}</definedName>
    <definedName name="ww" localSheetId="6" hidden="1">{"RETRO",#N/A,FALSE,"Ret";"retro",#N/A,FALSE,"Ret_RO";"retp",#N/A,FALSE,"Ret_P";"livro",#N/A,FALSE,"Livr_RO";"livp",#N/A,FALSE,"Livr_P";"puro",#N/A,FALSE,"Pu_RO";"pup",#N/A,FALSE,"Pu_P";"stocro",#N/A,FALSE,"Stock_RO";"stocp",#N/A,FALSE,"Stock_P";"vitro",#N/A,FALSE,"Vitr-RO";"vitp",#N/A,FALSE,"Vitr-P";"destro",#N/A,FALSE,"Dest_RO";"destp",#N/A,FALSE,"Dest_P"}</definedName>
    <definedName name="ww" localSheetId="7" hidden="1">{"RETRO",#N/A,FALSE,"Ret";"retro",#N/A,FALSE,"Ret_RO";"retp",#N/A,FALSE,"Ret_P";"livro",#N/A,FALSE,"Livr_RO";"livp",#N/A,FALSE,"Livr_P";"puro",#N/A,FALSE,"Pu_RO";"pup",#N/A,FALSE,"Pu_P";"stocro",#N/A,FALSE,"Stock_RO";"stocp",#N/A,FALSE,"Stock_P";"vitro",#N/A,FALSE,"Vitr-RO";"vitp",#N/A,FALSE,"Vitr-P";"destro",#N/A,FALSE,"Dest_RO";"destp",#N/A,FALSE,"Dest_P"}</definedName>
    <definedName name="ww" localSheetId="4" hidden="1">{"RETRO",#N/A,FALSE,"Ret";"retro",#N/A,FALSE,"Ret_RO";"retp",#N/A,FALSE,"Ret_P";"livro",#N/A,FALSE,"Livr_RO";"livp",#N/A,FALSE,"Livr_P";"puro",#N/A,FALSE,"Pu_RO";"pup",#N/A,FALSE,"Pu_P";"stocro",#N/A,FALSE,"Stock_RO";"stocp",#N/A,FALSE,"Stock_P";"vitro",#N/A,FALSE,"Vitr-RO";"vitp",#N/A,FALSE,"Vitr-P";"destro",#N/A,FALSE,"Dest_RO";"destp",#N/A,FALSE,"Dest_P"}</definedName>
    <definedName name="ww" localSheetId="1" hidden="1">{"RETRO",#N/A,FALSE,"Ret";"retro",#N/A,FALSE,"Ret_RO";"retp",#N/A,FALSE,"Ret_P";"livro",#N/A,FALSE,"Livr_RO";"livp",#N/A,FALSE,"Livr_P";"puro",#N/A,FALSE,"Pu_RO";"pup",#N/A,FALSE,"Pu_P";"stocro",#N/A,FALSE,"Stock_RO";"stocp",#N/A,FALSE,"Stock_P";"vitro",#N/A,FALSE,"Vitr-RO";"vitp",#N/A,FALSE,"Vitr-P";"destro",#N/A,FALSE,"Dest_RO";"destp",#N/A,FALSE,"Dest_P"}</definedName>
    <definedName name="ww" hidden="1">{"RETRO",#N/A,FALSE,"Ret";"retro",#N/A,FALSE,"Ret_RO";"retp",#N/A,FALSE,"Ret_P";"livro",#N/A,FALSE,"Livr_RO";"livp",#N/A,FALSE,"Livr_P";"puro",#N/A,FALSE,"Pu_RO";"pup",#N/A,FALSE,"Pu_P";"stocro",#N/A,FALSE,"Stock_RO";"stocp",#N/A,FALSE,"Stock_P";"vitro",#N/A,FALSE,"Vitr-RO";"vitp",#N/A,FALSE,"Vitr-P";"destro",#N/A,FALSE,"Dest_RO";"destp",#N/A,FALSE,"Dest_P"}</definedName>
    <definedName name="ww_2" localSheetId="6" hidden="1">{"RETRO",#N/A,FALSE,"Ret";"retro",#N/A,FALSE,"Ret_RO";"retp",#N/A,FALSE,"Ret_P";"livro",#N/A,FALSE,"Livr_RO";"livp",#N/A,FALSE,"Livr_P";"puro",#N/A,FALSE,"Pu_RO";"pup",#N/A,FALSE,"Pu_P";"stocro",#N/A,FALSE,"Stock_RO";"stocp",#N/A,FALSE,"Stock_P";"vitro",#N/A,FALSE,"Vitr-RO";"vitp",#N/A,FALSE,"Vitr-P";"destro",#N/A,FALSE,"Dest_RO";"destp",#N/A,FALSE,"Dest_P"}</definedName>
    <definedName name="ww_2" localSheetId="7" hidden="1">{"RETRO",#N/A,FALSE,"Ret";"retro",#N/A,FALSE,"Ret_RO";"retp",#N/A,FALSE,"Ret_P";"livro",#N/A,FALSE,"Livr_RO";"livp",#N/A,FALSE,"Livr_P";"puro",#N/A,FALSE,"Pu_RO";"pup",#N/A,FALSE,"Pu_P";"stocro",#N/A,FALSE,"Stock_RO";"stocp",#N/A,FALSE,"Stock_P";"vitro",#N/A,FALSE,"Vitr-RO";"vitp",#N/A,FALSE,"Vitr-P";"destro",#N/A,FALSE,"Dest_RO";"destp",#N/A,FALSE,"Dest_P"}</definedName>
    <definedName name="ww_2" localSheetId="4" hidden="1">{"RETRO",#N/A,FALSE,"Ret";"retro",#N/A,FALSE,"Ret_RO";"retp",#N/A,FALSE,"Ret_P";"livro",#N/A,FALSE,"Livr_RO";"livp",#N/A,FALSE,"Livr_P";"puro",#N/A,FALSE,"Pu_RO";"pup",#N/A,FALSE,"Pu_P";"stocro",#N/A,FALSE,"Stock_RO";"stocp",#N/A,FALSE,"Stock_P";"vitro",#N/A,FALSE,"Vitr-RO";"vitp",#N/A,FALSE,"Vitr-P";"destro",#N/A,FALSE,"Dest_RO";"destp",#N/A,FALSE,"Dest_P"}</definedName>
    <definedName name="ww_2" localSheetId="1" hidden="1">{"RETRO",#N/A,FALSE,"Ret";"retro",#N/A,FALSE,"Ret_RO";"retp",#N/A,FALSE,"Ret_P";"livro",#N/A,FALSE,"Livr_RO";"livp",#N/A,FALSE,"Livr_P";"puro",#N/A,FALSE,"Pu_RO";"pup",#N/A,FALSE,"Pu_P";"stocro",#N/A,FALSE,"Stock_RO";"stocp",#N/A,FALSE,"Stock_P";"vitro",#N/A,FALSE,"Vitr-RO";"vitp",#N/A,FALSE,"Vitr-P";"destro",#N/A,FALSE,"Dest_RO";"destp",#N/A,FALSE,"Dest_P"}</definedName>
    <definedName name="ww_2" hidden="1">{"RETRO",#N/A,FALSE,"Ret";"retro",#N/A,FALSE,"Ret_RO";"retp",#N/A,FALSE,"Ret_P";"livro",#N/A,FALSE,"Livr_RO";"livp",#N/A,FALSE,"Livr_P";"puro",#N/A,FALSE,"Pu_RO";"pup",#N/A,FALSE,"Pu_P";"stocro",#N/A,FALSE,"Stock_RO";"stocp",#N/A,FALSE,"Stock_P";"vitro",#N/A,FALSE,"Vitr-RO";"vitp",#N/A,FALSE,"Vitr-P";"destro",#N/A,FALSE,"Dest_RO";"destp",#N/A,FALSE,"Dest_P"}</definedName>
    <definedName name="XREF_COLUMN_1" hidden="1">'[3]8180 (8181,8182)'!$P$1:$P$65536</definedName>
    <definedName name="XREF_COLUMN_10" hidden="1">'[3]8082'!$P$1:$P$65536</definedName>
    <definedName name="XREF_COLUMN_11" hidden="1">#N/A</definedName>
    <definedName name="XREF_COLUMN_2" localSheetId="6" hidden="1">#REF!</definedName>
    <definedName name="XREF_COLUMN_2" localSheetId="7" hidden="1">#REF!</definedName>
    <definedName name="XREF_COLUMN_2" localSheetId="2" hidden="1">#REF!</definedName>
    <definedName name="XREF_COLUMN_2" hidden="1">#REF!</definedName>
    <definedName name="XREF_COLUMN_3" hidden="1">'[3]8250'!$D$1:$D$65536</definedName>
    <definedName name="XREF_COLUMN_4" hidden="1">'[3]8140'!$P$1:$P$65536</definedName>
    <definedName name="XREF_COLUMN_5" localSheetId="6" hidden="1">#REF!</definedName>
    <definedName name="XREF_COLUMN_5" localSheetId="7" hidden="1">#REF!</definedName>
    <definedName name="XREF_COLUMN_5" localSheetId="2" hidden="1">#REF!</definedName>
    <definedName name="XREF_COLUMN_5" hidden="1">#REF!</definedName>
    <definedName name="XREF_COLUMN_6" hidden="1">'[3]8070'!$P$1:$P$65536</definedName>
    <definedName name="XREF_COLUMN_7" hidden="1">'[3]8145'!$P$1:$P$65536</definedName>
    <definedName name="XREF_COLUMN_8" hidden="1">'[3]8200'!$P$1:$P$65536</definedName>
    <definedName name="XREF_COLUMN_9" hidden="1">'[3]8113'!$P$1:$P$65536</definedName>
    <definedName name="XRefActiveRow" hidden="1">[3]XREF!$A$15</definedName>
    <definedName name="XRefColumnsCount" hidden="1">1</definedName>
    <definedName name="XRefCopy1" localSheetId="6" hidden="1">[4]summary!#REF!</definedName>
    <definedName name="XRefCopy1" localSheetId="7" hidden="1">[4]summary!#REF!</definedName>
    <definedName name="XRefCopy1" localSheetId="2" hidden="1">[4]summary!#REF!</definedName>
    <definedName name="XRefCopy1" hidden="1">[4]summary!#REF!</definedName>
    <definedName name="XRefCopy12" localSheetId="6" hidden="1">'[5]4'!#REF!</definedName>
    <definedName name="XRefCopy12" localSheetId="7" hidden="1">'[5]4'!#REF!</definedName>
    <definedName name="XRefCopy12" localSheetId="2" hidden="1">'[5]4'!#REF!</definedName>
    <definedName name="XRefCopy12" hidden="1">'[5]4'!#REF!</definedName>
    <definedName name="XRefCopy13" localSheetId="6" hidden="1">'[5]4'!#REF!</definedName>
    <definedName name="XRefCopy13" localSheetId="7" hidden="1">'[5]4'!#REF!</definedName>
    <definedName name="XRefCopy13" localSheetId="2" hidden="1">'[5]4'!#REF!</definedName>
    <definedName name="XRefCopy13" hidden="1">'[5]4'!#REF!</definedName>
    <definedName name="XRefCopy14" localSheetId="6" hidden="1">'[5]4'!#REF!</definedName>
    <definedName name="XRefCopy14" localSheetId="7" hidden="1">'[5]4'!#REF!</definedName>
    <definedName name="XRefCopy14" localSheetId="2" hidden="1">'[5]4'!#REF!</definedName>
    <definedName name="XRefCopy14" hidden="1">'[5]4'!#REF!</definedName>
    <definedName name="XRefCopy14Row" localSheetId="6" hidden="1">[6]XREF!#REF!</definedName>
    <definedName name="XRefCopy14Row" localSheetId="7" hidden="1">[6]XREF!#REF!</definedName>
    <definedName name="XRefCopy14Row" localSheetId="2" hidden="1">[6]XREF!#REF!</definedName>
    <definedName name="XRefCopy14Row" hidden="1">[6]XREF!#REF!</definedName>
    <definedName name="XRefCopy15Row" localSheetId="6" hidden="1">[6]XREF!#REF!</definedName>
    <definedName name="XRefCopy15Row" localSheetId="7" hidden="1">[6]XREF!#REF!</definedName>
    <definedName name="XRefCopy15Row" localSheetId="2" hidden="1">[6]XREF!#REF!</definedName>
    <definedName name="XRefCopy15Row" hidden="1">[6]XREF!#REF!</definedName>
    <definedName name="XRefCopy16" localSheetId="6" hidden="1">'[5]4'!#REF!</definedName>
    <definedName name="XRefCopy16" localSheetId="7" hidden="1">'[5]4'!#REF!</definedName>
    <definedName name="XRefCopy16" localSheetId="2" hidden="1">'[5]4'!#REF!</definedName>
    <definedName name="XRefCopy16" hidden="1">'[5]4'!#REF!</definedName>
    <definedName name="XRefCopy17" localSheetId="6" hidden="1">'[5]4'!#REF!</definedName>
    <definedName name="XRefCopy17" localSheetId="7" hidden="1">'[5]4'!#REF!</definedName>
    <definedName name="XRefCopy17" localSheetId="2" hidden="1">'[5]4'!#REF!</definedName>
    <definedName name="XRefCopy17" hidden="1">'[5]4'!#REF!</definedName>
    <definedName name="XRefCopy17Row" localSheetId="6" hidden="1">[6]XREF!#REF!</definedName>
    <definedName name="XRefCopy17Row" localSheetId="7" hidden="1">[6]XREF!#REF!</definedName>
    <definedName name="XRefCopy17Row" localSheetId="2" hidden="1">[6]XREF!#REF!</definedName>
    <definedName name="XRefCopy17Row" hidden="1">[6]XREF!#REF!</definedName>
    <definedName name="XRefCopy18" localSheetId="6" hidden="1">'[5]4'!#REF!</definedName>
    <definedName name="XRefCopy18" localSheetId="7" hidden="1">'[5]4'!#REF!</definedName>
    <definedName name="XRefCopy18" localSheetId="2" hidden="1">'[5]4'!#REF!</definedName>
    <definedName name="XRefCopy18" hidden="1">'[5]4'!#REF!</definedName>
    <definedName name="XRefCopy19Row" localSheetId="6" hidden="1">[6]XREF!#REF!</definedName>
    <definedName name="XRefCopy19Row" localSheetId="7" hidden="1">[6]XREF!#REF!</definedName>
    <definedName name="XRefCopy19Row" localSheetId="2" hidden="1">[6]XREF!#REF!</definedName>
    <definedName name="XRefCopy19Row" hidden="1">[6]XREF!#REF!</definedName>
    <definedName name="XRefCopy1Row" localSheetId="6" hidden="1">[4]XREF!#REF!</definedName>
    <definedName name="XRefCopy1Row" localSheetId="7" hidden="1">[4]XREF!#REF!</definedName>
    <definedName name="XRefCopy1Row" localSheetId="2" hidden="1">[4]XREF!#REF!</definedName>
    <definedName name="XRefCopy1Row" hidden="1">[4]XREF!#REF!</definedName>
    <definedName name="XRefCopy2" localSheetId="6" hidden="1">#REF!</definedName>
    <definedName name="XRefCopy2" localSheetId="7" hidden="1">#REF!</definedName>
    <definedName name="XRefCopy2" localSheetId="2" hidden="1">#REF!</definedName>
    <definedName name="XRefCopy2" hidden="1">#REF!</definedName>
    <definedName name="XRefCopy20" localSheetId="6" hidden="1">#REF!</definedName>
    <definedName name="XRefCopy20" localSheetId="7" hidden="1">#REF!</definedName>
    <definedName name="XRefCopy20" localSheetId="2" hidden="1">#REF!</definedName>
    <definedName name="XRefCopy20" hidden="1">#REF!</definedName>
    <definedName name="XRefCopy20Row" localSheetId="6" hidden="1">[7]XREF!#REF!</definedName>
    <definedName name="XRefCopy20Row" localSheetId="7" hidden="1">[7]XREF!#REF!</definedName>
    <definedName name="XRefCopy20Row" localSheetId="2" hidden="1">[7]XREF!#REF!</definedName>
    <definedName name="XRefCopy20Row" hidden="1">[7]XREF!#REF!</definedName>
    <definedName name="XRefCopy21Row" localSheetId="6" hidden="1">[7]XREF!#REF!</definedName>
    <definedName name="XRefCopy21Row" localSheetId="7" hidden="1">[7]XREF!#REF!</definedName>
    <definedName name="XRefCopy21Row" localSheetId="2" hidden="1">[7]XREF!#REF!</definedName>
    <definedName name="XRefCopy21Row" hidden="1">[7]XREF!#REF!</definedName>
    <definedName name="XRefCopy22Row" localSheetId="6" hidden="1">[7]XREF!#REF!</definedName>
    <definedName name="XRefCopy22Row" localSheetId="7" hidden="1">[7]XREF!#REF!</definedName>
    <definedName name="XRefCopy22Row" localSheetId="2" hidden="1">[7]XREF!#REF!</definedName>
    <definedName name="XRefCopy22Row" hidden="1">[7]XREF!#REF!</definedName>
    <definedName name="XRefCopy23Row" localSheetId="6" hidden="1">[7]XREF!#REF!</definedName>
    <definedName name="XRefCopy23Row" localSheetId="7" hidden="1">[7]XREF!#REF!</definedName>
    <definedName name="XRefCopy23Row" localSheetId="2" hidden="1">[7]XREF!#REF!</definedName>
    <definedName name="XRefCopy23Row" hidden="1">[7]XREF!#REF!</definedName>
    <definedName name="XRefCopy24" localSheetId="6" hidden="1">#REF!</definedName>
    <definedName name="XRefCopy24" localSheetId="7" hidden="1">#REF!</definedName>
    <definedName name="XRefCopy24" localSheetId="2" hidden="1">#REF!</definedName>
    <definedName name="XRefCopy24" hidden="1">#REF!</definedName>
    <definedName name="XRefCopy24Row" localSheetId="6" hidden="1">[7]XREF!#REF!</definedName>
    <definedName name="XRefCopy24Row" localSheetId="7" hidden="1">[7]XREF!#REF!</definedName>
    <definedName name="XRefCopy24Row" localSheetId="2" hidden="1">[7]XREF!#REF!</definedName>
    <definedName name="XRefCopy24Row" hidden="1">[7]XREF!#REF!</definedName>
    <definedName name="XRefCopy25" hidden="1">#N/A</definedName>
    <definedName name="XRefCopy25Row" localSheetId="6" hidden="1">#REF!</definedName>
    <definedName name="XRefCopy25Row" localSheetId="7" hidden="1">#REF!</definedName>
    <definedName name="XRefCopy25Row" localSheetId="2" hidden="1">#REF!</definedName>
    <definedName name="XRefCopy25Row" hidden="1">#REF!</definedName>
    <definedName name="XRefCopy26" hidden="1">#N/A</definedName>
    <definedName name="XRefCopy26Row" localSheetId="6" hidden="1">[7]XREF!#REF!</definedName>
    <definedName name="XRefCopy26Row" localSheetId="7" hidden="1">[7]XREF!#REF!</definedName>
    <definedName name="XRefCopy26Row" localSheetId="2" hidden="1">[7]XREF!#REF!</definedName>
    <definedName name="XRefCopy26Row" hidden="1">[7]XREF!#REF!</definedName>
    <definedName name="XRefCopy27" hidden="1">#N/A</definedName>
    <definedName name="XRefCopy27Row" localSheetId="6" hidden="1">[7]XREF!#REF!</definedName>
    <definedName name="XRefCopy27Row" localSheetId="7" hidden="1">[7]XREF!#REF!</definedName>
    <definedName name="XRefCopy27Row" localSheetId="2" hidden="1">[7]XREF!#REF!</definedName>
    <definedName name="XRefCopy27Row" hidden="1">[7]XREF!#REF!</definedName>
    <definedName name="XRefCopy28" hidden="1">#N/A</definedName>
    <definedName name="XRefCopy28Row" localSheetId="6" hidden="1">[7]XREF!#REF!</definedName>
    <definedName name="XRefCopy28Row" localSheetId="7" hidden="1">[7]XREF!#REF!</definedName>
    <definedName name="XRefCopy28Row" localSheetId="2" hidden="1">[7]XREF!#REF!</definedName>
    <definedName name="XRefCopy28Row" hidden="1">[7]XREF!#REF!</definedName>
    <definedName name="XRefCopy29" localSheetId="6" hidden="1">#REF!</definedName>
    <definedName name="XRefCopy29" localSheetId="7" hidden="1">#REF!</definedName>
    <definedName name="XRefCopy29" localSheetId="2" hidden="1">#REF!</definedName>
    <definedName name="XRefCopy29" hidden="1">#REF!</definedName>
    <definedName name="XRefCopy29Row" localSheetId="6" hidden="1">[7]XREF!#REF!</definedName>
    <definedName name="XRefCopy29Row" localSheetId="7" hidden="1">[7]XREF!#REF!</definedName>
    <definedName name="XRefCopy29Row" localSheetId="2" hidden="1">[7]XREF!#REF!</definedName>
    <definedName name="XRefCopy29Row" hidden="1">[7]XREF!#REF!</definedName>
    <definedName name="XRefCopy2Row" localSheetId="6" hidden="1">#REF!</definedName>
    <definedName name="XRefCopy2Row" localSheetId="7" hidden="1">#REF!</definedName>
    <definedName name="XRefCopy2Row" localSheetId="2" hidden="1">#REF!</definedName>
    <definedName name="XRefCopy2Row" hidden="1">#REF!</definedName>
    <definedName name="XRefCopy30" hidden="1">#N/A</definedName>
    <definedName name="XRefCopy30Row" localSheetId="6" hidden="1">[7]XREF!#REF!</definedName>
    <definedName name="XRefCopy30Row" localSheetId="7" hidden="1">[7]XREF!#REF!</definedName>
    <definedName name="XRefCopy30Row" localSheetId="2" hidden="1">[7]XREF!#REF!</definedName>
    <definedName name="XRefCopy30Row" hidden="1">[7]XREF!#REF!</definedName>
    <definedName name="XRefCopy31" hidden="1">#N/A</definedName>
    <definedName name="XRefCopy31Row" localSheetId="6" hidden="1">[7]XREF!#REF!</definedName>
    <definedName name="XRefCopy31Row" localSheetId="7" hidden="1">[7]XREF!#REF!</definedName>
    <definedName name="XRefCopy31Row" localSheetId="2" hidden="1">[7]XREF!#REF!</definedName>
    <definedName name="XRefCopy31Row" hidden="1">[7]XREF!#REF!</definedName>
    <definedName name="XRefCopy32" hidden="1">#N/A</definedName>
    <definedName name="XRefCopy32Row" localSheetId="6" hidden="1">[7]XREF!#REF!</definedName>
    <definedName name="XRefCopy32Row" localSheetId="7" hidden="1">[7]XREF!#REF!</definedName>
    <definedName name="XRefCopy32Row" localSheetId="2" hidden="1">[7]XREF!#REF!</definedName>
    <definedName name="XRefCopy32Row" hidden="1">[7]XREF!#REF!</definedName>
    <definedName name="XRefCopy33Row" localSheetId="6" hidden="1">[7]XREF!#REF!</definedName>
    <definedName name="XRefCopy33Row" localSheetId="7" hidden="1">[7]XREF!#REF!</definedName>
    <definedName name="XRefCopy33Row" localSheetId="2" hidden="1">[7]XREF!#REF!</definedName>
    <definedName name="XRefCopy33Row" hidden="1">[7]XREF!#REF!</definedName>
    <definedName name="XRefCopy35Row" localSheetId="6" hidden="1">[7]XREF!#REF!</definedName>
    <definedName name="XRefCopy35Row" localSheetId="7" hidden="1">[7]XREF!#REF!</definedName>
    <definedName name="XRefCopy35Row" localSheetId="2" hidden="1">[7]XREF!#REF!</definedName>
    <definedName name="XRefCopy35Row" hidden="1">[7]XREF!#REF!</definedName>
    <definedName name="XRefCopy36Row" localSheetId="6" hidden="1">[7]XREF!#REF!</definedName>
    <definedName name="XRefCopy36Row" localSheetId="7" hidden="1">[7]XREF!#REF!</definedName>
    <definedName name="XRefCopy36Row" localSheetId="2" hidden="1">[7]XREF!#REF!</definedName>
    <definedName name="XRefCopy36Row" hidden="1">[7]XREF!#REF!</definedName>
    <definedName name="XRefCopy37Row" localSheetId="6" hidden="1">[7]XREF!#REF!</definedName>
    <definedName name="XRefCopy37Row" localSheetId="7" hidden="1">[7]XREF!#REF!</definedName>
    <definedName name="XRefCopy37Row" localSheetId="2" hidden="1">[7]XREF!#REF!</definedName>
    <definedName name="XRefCopy37Row" hidden="1">[7]XREF!#REF!</definedName>
    <definedName name="XRefCopy38Row" localSheetId="6" hidden="1">[7]XREF!#REF!</definedName>
    <definedName name="XRefCopy38Row" localSheetId="7" hidden="1">[7]XREF!#REF!</definedName>
    <definedName name="XRefCopy38Row" localSheetId="2" hidden="1">[7]XREF!#REF!</definedName>
    <definedName name="XRefCopy38Row" hidden="1">[7]XREF!#REF!</definedName>
    <definedName name="XRefCopy39Row" localSheetId="6" hidden="1">[7]XREF!#REF!</definedName>
    <definedName name="XRefCopy39Row" localSheetId="7" hidden="1">[7]XREF!#REF!</definedName>
    <definedName name="XRefCopy39Row" localSheetId="2" hidden="1">[7]XREF!#REF!</definedName>
    <definedName name="XRefCopy39Row" hidden="1">[7]XREF!#REF!</definedName>
    <definedName name="XRefCopy4" localSheetId="6" hidden="1">[4]summary!#REF!</definedName>
    <definedName name="XRefCopy4" localSheetId="7" hidden="1">[4]summary!#REF!</definedName>
    <definedName name="XRefCopy4" localSheetId="2" hidden="1">[4]summary!#REF!</definedName>
    <definedName name="XRefCopy4" hidden="1">[4]summary!#REF!</definedName>
    <definedName name="XRefCopy40Row" localSheetId="6" hidden="1">[7]XREF!#REF!</definedName>
    <definedName name="XRefCopy40Row" localSheetId="7" hidden="1">[7]XREF!#REF!</definedName>
    <definedName name="XRefCopy40Row" localSheetId="2" hidden="1">[7]XREF!#REF!</definedName>
    <definedName name="XRefCopy40Row" hidden="1">[7]XREF!#REF!</definedName>
    <definedName name="XRefCopy41Row" localSheetId="6" hidden="1">[7]XREF!#REF!</definedName>
    <definedName name="XRefCopy41Row" localSheetId="7" hidden="1">[7]XREF!#REF!</definedName>
    <definedName name="XRefCopy41Row" localSheetId="2" hidden="1">[7]XREF!#REF!</definedName>
    <definedName name="XRefCopy41Row" hidden="1">[7]XREF!#REF!</definedName>
    <definedName name="XRefCopy42Row" localSheetId="6" hidden="1">[7]XREF!#REF!</definedName>
    <definedName name="XRefCopy42Row" localSheetId="7" hidden="1">[7]XREF!#REF!</definedName>
    <definedName name="XRefCopy42Row" localSheetId="2" hidden="1">[7]XREF!#REF!</definedName>
    <definedName name="XRefCopy42Row" hidden="1">[7]XREF!#REF!</definedName>
    <definedName name="XRefCopy5Row" localSheetId="6" hidden="1">[8]XREF!#REF!</definedName>
    <definedName name="XRefCopy5Row" localSheetId="7" hidden="1">[8]XREF!#REF!</definedName>
    <definedName name="XRefCopy5Row" localSheetId="2" hidden="1">[8]XREF!#REF!</definedName>
    <definedName name="XRefCopy5Row" hidden="1">[8]XREF!#REF!</definedName>
    <definedName name="XRefCopy80Row" localSheetId="6" hidden="1">[7]XREF!#REF!</definedName>
    <definedName name="XRefCopy80Row" localSheetId="7" hidden="1">[7]XREF!#REF!</definedName>
    <definedName name="XRefCopy80Row" localSheetId="2" hidden="1">[7]XREF!#REF!</definedName>
    <definedName name="XRefCopy80Row" hidden="1">[7]XREF!#REF!</definedName>
    <definedName name="XRefCopyRangeCount" hidden="1">8</definedName>
    <definedName name="XRefPaste1" localSheetId="6" hidden="1">'[5]1-1'!#REF!</definedName>
    <definedName name="XRefPaste1" localSheetId="7" hidden="1">'[5]1-1'!#REF!</definedName>
    <definedName name="XRefPaste1" localSheetId="2" hidden="1">'[5]1-1'!#REF!</definedName>
    <definedName name="XRefPaste1" hidden="1">'[5]1-1'!#REF!</definedName>
    <definedName name="XRefPaste10" hidden="1">'[3]8145'!$O$17</definedName>
    <definedName name="XRefPaste10Row" hidden="1">[3]XREF!$A$11:$IV$11</definedName>
    <definedName name="XRefPaste11" hidden="1">'[3]8200'!$O$17</definedName>
    <definedName name="XRefPaste11Row" hidden="1">[3]XREF!$A$12:$IV$12</definedName>
    <definedName name="XRefPaste12" hidden="1">'[3]8113'!$O$16</definedName>
    <definedName name="XRefPaste12Row" hidden="1">[3]XREF!$A$13:$IV$13</definedName>
    <definedName name="XRefPaste13" hidden="1">'[3]8082'!$O$16</definedName>
    <definedName name="XRefPaste13Row" hidden="1">[3]XREF!$A$14:$IV$14</definedName>
    <definedName name="XRefPaste18" localSheetId="6" hidden="1">'[5]4'!#REF!</definedName>
    <definedName name="XRefPaste18" localSheetId="7" hidden="1">'[5]4'!#REF!</definedName>
    <definedName name="XRefPaste18" localSheetId="2" hidden="1">'[5]4'!#REF!</definedName>
    <definedName name="XRefPaste18" hidden="1">'[5]4'!#REF!</definedName>
    <definedName name="XRefPaste1Row" localSheetId="6" hidden="1">#REF!</definedName>
    <definedName name="XRefPaste1Row" localSheetId="7" hidden="1">#REF!</definedName>
    <definedName name="XRefPaste1Row" localSheetId="2" hidden="1">#REF!</definedName>
    <definedName name="XRefPaste1Row" hidden="1">#REF!</definedName>
    <definedName name="XRefPaste2" localSheetId="6" hidden="1">'[5]1'!#REF!</definedName>
    <definedName name="XRefPaste2" localSheetId="7" hidden="1">'[5]1'!#REF!</definedName>
    <definedName name="XRefPaste2" localSheetId="2" hidden="1">'[5]1'!#REF!</definedName>
    <definedName name="XRefPaste2" hidden="1">'[5]1'!#REF!</definedName>
    <definedName name="XRefPaste21Row" localSheetId="6" hidden="1">[7]XREF!#REF!</definedName>
    <definedName name="XRefPaste21Row" localSheetId="7" hidden="1">[7]XREF!#REF!</definedName>
    <definedName name="XRefPaste21Row" localSheetId="2" hidden="1">[7]XREF!#REF!</definedName>
    <definedName name="XRefPaste21Row" hidden="1">[7]XREF!#REF!</definedName>
    <definedName name="XRefPaste22Row" localSheetId="6" hidden="1">[7]XREF!#REF!</definedName>
    <definedName name="XRefPaste22Row" localSheetId="7" hidden="1">[7]XREF!#REF!</definedName>
    <definedName name="XRefPaste22Row" localSheetId="2" hidden="1">[7]XREF!#REF!</definedName>
    <definedName name="XRefPaste22Row" hidden="1">[7]XREF!#REF!</definedName>
    <definedName name="XRefPaste23Row" localSheetId="6" hidden="1">[7]XREF!#REF!</definedName>
    <definedName name="XRefPaste23Row" localSheetId="7" hidden="1">[7]XREF!#REF!</definedName>
    <definedName name="XRefPaste23Row" localSheetId="2" hidden="1">[7]XREF!#REF!</definedName>
    <definedName name="XRefPaste23Row" hidden="1">[7]XREF!#REF!</definedName>
    <definedName name="XRefPaste24Row" localSheetId="6" hidden="1">[7]XREF!#REF!</definedName>
    <definedName name="XRefPaste24Row" localSheetId="7" hidden="1">[7]XREF!#REF!</definedName>
    <definedName name="XRefPaste24Row" localSheetId="2" hidden="1">[7]XREF!#REF!</definedName>
    <definedName name="XRefPaste24Row" hidden="1">[7]XREF!#REF!</definedName>
    <definedName name="XRefPaste25Row" localSheetId="6" hidden="1">[7]XREF!#REF!</definedName>
    <definedName name="XRefPaste25Row" localSheetId="7" hidden="1">[7]XREF!#REF!</definedName>
    <definedName name="XRefPaste25Row" localSheetId="2" hidden="1">[7]XREF!#REF!</definedName>
    <definedName name="XRefPaste25Row" hidden="1">[7]XREF!#REF!</definedName>
    <definedName name="XRefPaste26Row" localSheetId="6" hidden="1">[7]XREF!#REF!</definedName>
    <definedName name="XRefPaste26Row" localSheetId="7" hidden="1">[7]XREF!#REF!</definedName>
    <definedName name="XRefPaste26Row" localSheetId="2" hidden="1">[7]XREF!#REF!</definedName>
    <definedName name="XRefPaste26Row" hidden="1">[7]XREF!#REF!</definedName>
    <definedName name="XRefPaste27Row" localSheetId="6" hidden="1">[7]XREF!#REF!</definedName>
    <definedName name="XRefPaste27Row" localSheetId="7" hidden="1">[7]XREF!#REF!</definedName>
    <definedName name="XRefPaste27Row" localSheetId="2" hidden="1">[7]XREF!#REF!</definedName>
    <definedName name="XRefPaste27Row" hidden="1">[7]XREF!#REF!</definedName>
    <definedName name="XRefPaste28Row" localSheetId="6" hidden="1">[7]XREF!#REF!</definedName>
    <definedName name="XRefPaste28Row" localSheetId="7" hidden="1">[7]XREF!#REF!</definedName>
    <definedName name="XRefPaste28Row" localSheetId="2" hidden="1">[7]XREF!#REF!</definedName>
    <definedName name="XRefPaste28Row" hidden="1">[7]XREF!#REF!</definedName>
    <definedName name="XRefPaste29Row" localSheetId="6" hidden="1">[7]XREF!#REF!</definedName>
    <definedName name="XRefPaste29Row" localSheetId="7" hidden="1">[7]XREF!#REF!</definedName>
    <definedName name="XRefPaste29Row" localSheetId="2" hidden="1">[7]XREF!#REF!</definedName>
    <definedName name="XRefPaste29Row" hidden="1">[7]XREF!#REF!</definedName>
    <definedName name="XRefPaste2Row" hidden="1">[3]XREF!$A$3:$IV$3</definedName>
    <definedName name="XRefPaste3" hidden="1">'[3]8180 (8181,8182)'!$O$20</definedName>
    <definedName name="XRefPaste30Row" localSheetId="6" hidden="1">[7]XREF!#REF!</definedName>
    <definedName name="XRefPaste30Row" localSheetId="7" hidden="1">[7]XREF!#REF!</definedName>
    <definedName name="XRefPaste30Row" localSheetId="2" hidden="1">[7]XREF!#REF!</definedName>
    <definedName name="XRefPaste30Row" hidden="1">[7]XREF!#REF!</definedName>
    <definedName name="XRefPaste31Row" localSheetId="6" hidden="1">[7]XREF!#REF!</definedName>
    <definedName name="XRefPaste31Row" localSheetId="7" hidden="1">[7]XREF!#REF!</definedName>
    <definedName name="XRefPaste31Row" localSheetId="2" hidden="1">[7]XREF!#REF!</definedName>
    <definedName name="XRefPaste31Row" hidden="1">[7]XREF!#REF!</definedName>
    <definedName name="XRefPaste32Row" localSheetId="6" hidden="1">[7]XREF!#REF!</definedName>
    <definedName name="XRefPaste32Row" localSheetId="7" hidden="1">[7]XREF!#REF!</definedName>
    <definedName name="XRefPaste32Row" localSheetId="2" hidden="1">[7]XREF!#REF!</definedName>
    <definedName name="XRefPaste32Row" hidden="1">[7]XREF!#REF!</definedName>
    <definedName name="XRefPaste33Row" localSheetId="6" hidden="1">[7]XREF!#REF!</definedName>
    <definedName name="XRefPaste33Row" localSheetId="7" hidden="1">[7]XREF!#REF!</definedName>
    <definedName name="XRefPaste33Row" localSheetId="2" hidden="1">[7]XREF!#REF!</definedName>
    <definedName name="XRefPaste33Row" hidden="1">[7]XREF!#REF!</definedName>
    <definedName name="XRefPaste34Row" localSheetId="6" hidden="1">[7]XREF!#REF!</definedName>
    <definedName name="XRefPaste34Row" localSheetId="7" hidden="1">[7]XREF!#REF!</definedName>
    <definedName name="XRefPaste34Row" localSheetId="2" hidden="1">[7]XREF!#REF!</definedName>
    <definedName name="XRefPaste34Row" hidden="1">[7]XREF!#REF!</definedName>
    <definedName name="XRefPaste35Row" localSheetId="6" hidden="1">[7]XREF!#REF!</definedName>
    <definedName name="XRefPaste35Row" localSheetId="7" hidden="1">[7]XREF!#REF!</definedName>
    <definedName name="XRefPaste35Row" localSheetId="2" hidden="1">[7]XREF!#REF!</definedName>
    <definedName name="XRefPaste35Row" hidden="1">[7]XREF!#REF!</definedName>
    <definedName name="XRefPaste36Row" localSheetId="6" hidden="1">[7]XREF!#REF!</definedName>
    <definedName name="XRefPaste36Row" localSheetId="7" hidden="1">[7]XREF!#REF!</definedName>
    <definedName name="XRefPaste36Row" localSheetId="2" hidden="1">[7]XREF!#REF!</definedName>
    <definedName name="XRefPaste36Row" hidden="1">[7]XREF!#REF!</definedName>
    <definedName name="XRefPaste37Row" localSheetId="6" hidden="1">[7]XREF!#REF!</definedName>
    <definedName name="XRefPaste37Row" localSheetId="7" hidden="1">[7]XREF!#REF!</definedName>
    <definedName name="XRefPaste37Row" localSheetId="2" hidden="1">[7]XREF!#REF!</definedName>
    <definedName name="XRefPaste37Row" hidden="1">[7]XREF!#REF!</definedName>
    <definedName name="XRefPaste38Row" localSheetId="6" hidden="1">[7]XREF!#REF!</definedName>
    <definedName name="XRefPaste38Row" localSheetId="7" hidden="1">[7]XREF!#REF!</definedName>
    <definedName name="XRefPaste38Row" localSheetId="2" hidden="1">[7]XREF!#REF!</definedName>
    <definedName name="XRefPaste38Row" hidden="1">[7]XREF!#REF!</definedName>
    <definedName name="XRefPaste39Row" localSheetId="6" hidden="1">[7]XREF!#REF!</definedName>
    <definedName name="XRefPaste39Row" localSheetId="7" hidden="1">[7]XREF!#REF!</definedName>
    <definedName name="XRefPaste39Row" localSheetId="2" hidden="1">[7]XREF!#REF!</definedName>
    <definedName name="XRefPaste39Row" hidden="1">[7]XREF!#REF!</definedName>
    <definedName name="XRefPaste3Row" hidden="1">[3]XREF!$A$4:$IV$4</definedName>
    <definedName name="XRefPaste4" hidden="1">'[3]8210'!$O$18</definedName>
    <definedName name="XRefPaste40Row" localSheetId="6" hidden="1">[7]XREF!#REF!</definedName>
    <definedName name="XRefPaste40Row" localSheetId="7" hidden="1">[7]XREF!#REF!</definedName>
    <definedName name="XRefPaste40Row" localSheetId="2" hidden="1">[7]XREF!#REF!</definedName>
    <definedName name="XRefPaste40Row" hidden="1">[7]XREF!#REF!</definedName>
    <definedName name="XRefPaste41Row" localSheetId="6" hidden="1">[7]XREF!#REF!</definedName>
    <definedName name="XRefPaste41Row" localSheetId="7" hidden="1">[7]XREF!#REF!</definedName>
    <definedName name="XRefPaste41Row" localSheetId="2" hidden="1">[7]XREF!#REF!</definedName>
    <definedName name="XRefPaste41Row" hidden="1">[7]XREF!#REF!</definedName>
    <definedName name="XRefPaste42Row" localSheetId="6" hidden="1">[7]XREF!#REF!</definedName>
    <definedName name="XRefPaste42Row" localSheetId="7" hidden="1">[7]XREF!#REF!</definedName>
    <definedName name="XRefPaste42Row" localSheetId="2" hidden="1">[7]XREF!#REF!</definedName>
    <definedName name="XRefPaste42Row" hidden="1">[7]XREF!#REF!</definedName>
    <definedName name="XRefPaste43Row" localSheetId="6" hidden="1">[7]XREF!#REF!</definedName>
    <definedName name="XRefPaste43Row" localSheetId="7" hidden="1">[7]XREF!#REF!</definedName>
    <definedName name="XRefPaste43Row" localSheetId="2" hidden="1">[7]XREF!#REF!</definedName>
    <definedName name="XRefPaste43Row" hidden="1">[7]XREF!#REF!</definedName>
    <definedName name="XRefPaste44Row" localSheetId="6" hidden="1">[7]XREF!#REF!</definedName>
    <definedName name="XRefPaste44Row" localSheetId="7" hidden="1">[7]XREF!#REF!</definedName>
    <definedName name="XRefPaste44Row" localSheetId="2" hidden="1">[7]XREF!#REF!</definedName>
    <definedName name="XRefPaste44Row" hidden="1">[7]XREF!#REF!</definedName>
    <definedName name="XRefPaste45Row" localSheetId="6" hidden="1">[7]XREF!#REF!</definedName>
    <definedName name="XRefPaste45Row" localSheetId="7" hidden="1">[7]XREF!#REF!</definedName>
    <definedName name="XRefPaste45Row" localSheetId="2" hidden="1">[7]XREF!#REF!</definedName>
    <definedName name="XRefPaste45Row" hidden="1">[7]XREF!#REF!</definedName>
    <definedName name="XRefPaste46Row" localSheetId="6" hidden="1">[7]XREF!#REF!</definedName>
    <definedName name="XRefPaste46Row" localSheetId="7" hidden="1">[7]XREF!#REF!</definedName>
    <definedName name="XRefPaste46Row" localSheetId="2" hidden="1">[7]XREF!#REF!</definedName>
    <definedName name="XRefPaste46Row" hidden="1">[7]XREF!#REF!</definedName>
    <definedName name="XRefPaste47Row" localSheetId="6" hidden="1">[7]XREF!#REF!</definedName>
    <definedName name="XRefPaste47Row" localSheetId="7" hidden="1">[7]XREF!#REF!</definedName>
    <definedName name="XRefPaste47Row" localSheetId="2" hidden="1">[7]XREF!#REF!</definedName>
    <definedName name="XRefPaste47Row" hidden="1">[7]XREF!#REF!</definedName>
    <definedName name="XRefPaste48Row" localSheetId="6" hidden="1">[7]XREF!#REF!</definedName>
    <definedName name="XRefPaste48Row" localSheetId="7" hidden="1">[7]XREF!#REF!</definedName>
    <definedName name="XRefPaste48Row" localSheetId="2" hidden="1">[7]XREF!#REF!</definedName>
    <definedName name="XRefPaste48Row" hidden="1">[7]XREF!#REF!</definedName>
    <definedName name="XRefPaste49Row" localSheetId="6" hidden="1">[7]XREF!#REF!</definedName>
    <definedName name="XRefPaste49Row" localSheetId="7" hidden="1">[7]XREF!#REF!</definedName>
    <definedName name="XRefPaste49Row" localSheetId="2" hidden="1">[7]XREF!#REF!</definedName>
    <definedName name="XRefPaste49Row" hidden="1">[7]XREF!#REF!</definedName>
    <definedName name="XRefPaste4Row" hidden="1">[3]XREF!$A$5:$IV$5</definedName>
    <definedName name="XRefPaste5" hidden="1">'[3]8250'!$C$44</definedName>
    <definedName name="XRefPaste50Row" localSheetId="6" hidden="1">[7]XREF!#REF!</definedName>
    <definedName name="XRefPaste50Row" localSheetId="7" hidden="1">[7]XREF!#REF!</definedName>
    <definedName name="XRefPaste50Row" localSheetId="2" hidden="1">[7]XREF!#REF!</definedName>
    <definedName name="XRefPaste50Row" hidden="1">[7]XREF!#REF!</definedName>
    <definedName name="XRefPaste51Row" localSheetId="6" hidden="1">[7]XREF!#REF!</definedName>
    <definedName name="XRefPaste51Row" localSheetId="7" hidden="1">[7]XREF!#REF!</definedName>
    <definedName name="XRefPaste51Row" localSheetId="2" hidden="1">[7]XREF!#REF!</definedName>
    <definedName name="XRefPaste51Row" hidden="1">[7]XREF!#REF!</definedName>
    <definedName name="XRefPaste5Row" hidden="1">[3]XREF!$A$6:$IV$6</definedName>
    <definedName name="XRefPaste6" hidden="1">'[3]8140'!$O$16</definedName>
    <definedName name="XRefPaste6Row" hidden="1">[3]XREF!$A$7:$IV$7</definedName>
    <definedName name="XRefPaste7" localSheetId="6" hidden="1">#REF!</definedName>
    <definedName name="XRefPaste7" localSheetId="7" hidden="1">#REF!</definedName>
    <definedName name="XRefPaste7" localSheetId="2" hidden="1">#REF!</definedName>
    <definedName name="XRefPaste7" hidden="1">#REF!</definedName>
    <definedName name="XRefPaste7Row" hidden="1">[3]XREF!$A$8:$IV$8</definedName>
    <definedName name="XRefPaste8" localSheetId="6" hidden="1">#REF!</definedName>
    <definedName name="XRefPaste8" localSheetId="7" hidden="1">#REF!</definedName>
    <definedName name="XRefPaste8" localSheetId="2" hidden="1">#REF!</definedName>
    <definedName name="XRefPaste8" hidden="1">#REF!</definedName>
    <definedName name="XRefPaste8Row" hidden="1">[3]XREF!$A$9:$IV$9</definedName>
    <definedName name="XRefPaste9" hidden="1">'[3]8070'!$O$18</definedName>
    <definedName name="XRefPaste9Row" hidden="1">[3]XREF!$A$10:$IV$10</definedName>
    <definedName name="XRefPasteRangeCount" hidden="1">1</definedName>
    <definedName name="yyyyyy" localSheetId="6" hidden="1">#REF!</definedName>
    <definedName name="yyyyyy" localSheetId="7" hidden="1">#REF!</definedName>
    <definedName name="yyyyyy" localSheetId="4" hidden="1">#REF!</definedName>
    <definedName name="yyyyyy" localSheetId="1" hidden="1">#REF!</definedName>
    <definedName name="yyyyyy" localSheetId="2" hidden="1">#REF!</definedName>
    <definedName name="yyyyyy" hidden="1">#REF!</definedName>
    <definedName name="Z_C37E65A7_9893_435E_9759_72E0D8A5DD87_.wvu.PrintTitles" localSheetId="6" hidden="1">#REF!</definedName>
    <definedName name="Z_C37E65A7_9893_435E_9759_72E0D8A5DD87_.wvu.PrintTitles" localSheetId="7" hidden="1">#REF!</definedName>
    <definedName name="Z_C37E65A7_9893_435E_9759_72E0D8A5DD87_.wvu.PrintTitles" localSheetId="2" hidden="1">#REF!</definedName>
    <definedName name="Z_C37E65A7_9893_435E_9759_72E0D8A5DD87_.wvu.PrintTitles" hidden="1">#REF!</definedName>
    <definedName name="апвавваапвваав" localSheetId="6" hidden="1">{#N/A,#N/A,TRUE,"Лист1";#N/A,#N/A,TRUE,"Лист2";#N/A,#N/A,TRUE,"Лист3"}</definedName>
    <definedName name="апвавваапвваав" hidden="1">{#N/A,#N/A,TRUE,"Лист1";#N/A,#N/A,TRUE,"Лист2";#N/A,#N/A,TRUE,"Лист3"}</definedName>
    <definedName name="вуув" localSheetId="6" hidden="1">{#N/A,#N/A,TRUE,"Лист1";#N/A,#N/A,TRUE,"Лист2";#N/A,#N/A,TRUE,"Лист3"}</definedName>
    <definedName name="вуув" hidden="1">{#N/A,#N/A,TRUE,"Лист1";#N/A,#N/A,TRUE,"Лист2";#N/A,#N/A,TRUE,"Лист3"}</definedName>
    <definedName name="грприрцфв00ав98" localSheetId="6" hidden="1">{#N/A,#N/A,TRUE,"Лист1";#N/A,#N/A,TRUE,"Лист2";#N/A,#N/A,TRUE,"Лист3"}</definedName>
    <definedName name="грприрцфв00ав98" hidden="1">{#N/A,#N/A,TRUE,"Лист1";#N/A,#N/A,TRUE,"Лист2";#N/A,#N/A,TRUE,"Лист3"}</definedName>
    <definedName name="грфинцкавг98Х" localSheetId="6" hidden="1">{#N/A,#N/A,TRUE,"Лист1";#N/A,#N/A,TRUE,"Лист2";#N/A,#N/A,TRUE,"Лист3"}</definedName>
    <definedName name="грфинцкавг98Х" hidden="1">{#N/A,#N/A,TRUE,"Лист1";#N/A,#N/A,TRUE,"Лист2";#N/A,#N/A,TRUE,"Лист3"}</definedName>
    <definedName name="дзбж" localSheetId="6" hidden="1">#REF!</definedName>
    <definedName name="дзбж" localSheetId="7" hidden="1">#REF!</definedName>
    <definedName name="дзбж" localSheetId="4" hidden="1">#REF!</definedName>
    <definedName name="дзбж" localSheetId="1" hidden="1">#REF!</definedName>
    <definedName name="дзбж" localSheetId="2" hidden="1">#REF!</definedName>
    <definedName name="дзбж" hidden="1">#REF!</definedName>
    <definedName name="индцкавг98" localSheetId="6" hidden="1">{#N/A,#N/A,TRUE,"Лист1";#N/A,#N/A,TRUE,"Лист2";#N/A,#N/A,TRUE,"Лист3"}</definedName>
    <definedName name="индцкавг98" hidden="1">{#N/A,#N/A,TRUE,"Лист1";#N/A,#N/A,TRUE,"Лист2";#N/A,#N/A,TRUE,"Лист3"}</definedName>
    <definedName name="йй" localSheetId="6" hidden="1">#REF!</definedName>
    <definedName name="йй" localSheetId="7" hidden="1">#REF!</definedName>
    <definedName name="йй" localSheetId="4" hidden="1">#REF!</definedName>
    <definedName name="йй" localSheetId="1" hidden="1">#REF!</definedName>
    <definedName name="йй" localSheetId="2" hidden="1">#REF!</definedName>
    <definedName name="йй" hidden="1">#REF!</definedName>
    <definedName name="Кегок2" localSheetId="6" hidden="1">{#N/A,#N/A,TRUE,"Лист1";#N/A,#N/A,TRUE,"Лист2";#N/A,#N/A,TRUE,"Лист3"}</definedName>
    <definedName name="Кегок2" hidden="1">{#N/A,#N/A,TRUE,"Лист1";#N/A,#N/A,TRUE,"Лист2";#N/A,#N/A,TRUE,"Лист3"}</definedName>
    <definedName name="кеппппппппппп" localSheetId="6" hidden="1">{#N/A,#N/A,TRUE,"Лист1";#N/A,#N/A,TRUE,"Лист2";#N/A,#N/A,TRUE,"Лист3"}</definedName>
    <definedName name="кеппппппппппп" hidden="1">{#N/A,#N/A,TRUE,"Лист1";#N/A,#N/A,TRUE,"Лист2";#N/A,#N/A,TRUE,"Лист3"}</definedName>
    <definedName name="ккк" localSheetId="6" hidden="1">{#N/A,#N/A,TRUE,"Лист1";#N/A,#N/A,TRUE,"Лист2";#N/A,#N/A,TRUE,"Лист3"}</definedName>
    <definedName name="ккк" hidden="1">{#N/A,#N/A,TRUE,"Лист1";#N/A,#N/A,TRUE,"Лист2";#N/A,#N/A,TRUE,"Лист3"}</definedName>
    <definedName name="план" localSheetId="6" hidden="1">{#N/A,#N/A,FALSE,"пробный"}</definedName>
    <definedName name="план" localSheetId="7" hidden="1">{#N/A,#N/A,FALSE,"пробный"}</definedName>
    <definedName name="план" localSheetId="4" hidden="1">{#N/A,#N/A,FALSE,"пробный"}</definedName>
    <definedName name="план" localSheetId="1" hidden="1">{#N/A,#N/A,FALSE,"пробный"}</definedName>
    <definedName name="план" hidden="1">{#N/A,#N/A,FALSE,"пробный"}</definedName>
    <definedName name="прибыль3" localSheetId="6" hidden="1">{#N/A,#N/A,TRUE,"Лист1";#N/A,#N/A,TRUE,"Лист2";#N/A,#N/A,TRUE,"Лист3"}</definedName>
    <definedName name="прибыль3" hidden="1">{#N/A,#N/A,TRUE,"Лист1";#N/A,#N/A,TRUE,"Лист2";#N/A,#N/A,TRUE,"Лист3"}</definedName>
    <definedName name="рис1" localSheetId="6" hidden="1">{#N/A,#N/A,TRUE,"Лист1";#N/A,#N/A,TRUE,"Лист2";#N/A,#N/A,TRUE,"Лист3"}</definedName>
    <definedName name="рис1" hidden="1">{#N/A,#N/A,TRUE,"Лист1";#N/A,#N/A,TRUE,"Лист2";#N/A,#N/A,TRUE,"Лист3"}</definedName>
    <definedName name="рпопо" localSheetId="6" hidden="1">{#N/A,#N/A,TRUE,"Лист1";#N/A,#N/A,TRUE,"Лист2";#N/A,#N/A,TRUE,"Лист3"}</definedName>
    <definedName name="рпопо" hidden="1">{#N/A,#N/A,TRUE,"Лист1";#N/A,#N/A,TRUE,"Лист2";#N/A,#N/A,TRUE,"Лист3"}</definedName>
    <definedName name="Срез_КАТЕГОРИЯ_РИСКА1">#N/A</definedName>
    <definedName name="тп" localSheetId="6" hidden="1">{#N/A,#N/A,TRUE,"Лист1";#N/A,#N/A,TRUE,"Лист2";#N/A,#N/A,TRUE,"Лист3"}</definedName>
    <definedName name="тп" hidden="1">{#N/A,#N/A,TRUE,"Лист1";#N/A,#N/A,TRUE,"Лист2";#N/A,#N/A,TRUE,"Лист3"}</definedName>
    <definedName name="укеееукеееееееееееееее" localSheetId="6" hidden="1">{#N/A,#N/A,TRUE,"Лист1";#N/A,#N/A,TRUE,"Лист2";#N/A,#N/A,TRUE,"Лист3"}</definedName>
    <definedName name="укеееукеееееееееееееее" hidden="1">{#N/A,#N/A,TRUE,"Лист1";#N/A,#N/A,TRUE,"Лист2";#N/A,#N/A,TRUE,"Лист3"}</definedName>
    <definedName name="укеукеуеуе" localSheetId="6" hidden="1">{#N/A,#N/A,TRUE,"Лист1";#N/A,#N/A,TRUE,"Лист2";#N/A,#N/A,TRUE,"Лист3"}</definedName>
    <definedName name="укеукеуеуе" hidden="1">{#N/A,#N/A,TRUE,"Лист1";#N/A,#N/A,TRUE,"Лист2";#N/A,#N/A,TRUE,"Лист3"}</definedName>
    <definedName name="уро" localSheetId="6" hidden="1">{#N/A,#N/A,TRUE,"Лист1";#N/A,#N/A,TRUE,"Лист2";#N/A,#N/A,TRUE,"Лист3"}</definedName>
    <definedName name="уро" hidden="1">{#N/A,#N/A,TRUE,"Лист1";#N/A,#N/A,TRUE,"Лист2";#N/A,#N/A,TRUE,"Лист3"}</definedName>
    <definedName name="ф5" localSheetId="6" hidden="1">#REF!</definedName>
    <definedName name="ф5" localSheetId="7" hidden="1">#REF!</definedName>
    <definedName name="ф5" localSheetId="4" hidden="1">#REF!</definedName>
    <definedName name="ф5" localSheetId="1" hidden="1">#REF!</definedName>
    <definedName name="ф5" localSheetId="2" hidden="1">#REF!</definedName>
    <definedName name="ф5" hidden="1">#REF!</definedName>
    <definedName name="ФЫВ" localSheetId="6" hidden="1">{#N/A,#N/A,FALSE,"пробный"}</definedName>
    <definedName name="ФЫВ" localSheetId="7" hidden="1">{#N/A,#N/A,FALSE,"пробный"}</definedName>
    <definedName name="ФЫВ" localSheetId="4" hidden="1">{#N/A,#N/A,FALSE,"пробный"}</definedName>
    <definedName name="ФЫВ" localSheetId="1" hidden="1">{#N/A,#N/A,FALSE,"пробный"}</definedName>
    <definedName name="ФЫВ" hidden="1">{#N/A,#N/A,FALSE,"пробный"}</definedName>
    <definedName name="ыва" localSheetId="6" hidden="1">{#N/A,#N/A,TRUE,"Лист1";#N/A,#N/A,TRUE,"Лист2";#N/A,#N/A,TRUE,"Лист3"}</definedName>
    <definedName name="ыва" hidden="1">{#N/A,#N/A,TRUE,"Лист1";#N/A,#N/A,TRUE,"Лист2";#N/A,#N/A,TRUE,"Лист3"}</definedName>
    <definedName name="ыуаы" localSheetId="6" hidden="1">{#N/A,#N/A,TRUE,"Лист1";#N/A,#N/A,TRUE,"Лист2";#N/A,#N/A,TRUE,"Лист3"}</definedName>
    <definedName name="ыуаы" hidden="1">{#N/A,#N/A,TRUE,"Лист1";#N/A,#N/A,TRUE,"Лист2";#N/A,#N/A,TRUE,"Лист3"}</definedName>
  </definedNames>
  <calcPr calcId="144525"/>
  <pivotCaches>
    <pivotCache cacheId="0" r:id="rId20"/>
  </pivotCaches>
  <extLst>
    <ext xmlns:x14="http://schemas.microsoft.com/office/spreadsheetml/2009/9/main" uri="{876F7934-8845-4945-9796-88D515C7AA90}">
      <x14:pivotCaches>
        <pivotCache cacheId="1" r:id="rId21"/>
      </x14:pivotCaches>
    </ext>
    <ext xmlns:x14="http://schemas.microsoft.com/office/spreadsheetml/2009/9/main" uri="{BBE1A952-AA13-448e-AADC-164F8A28A991}">
      <x14:slicerCaches>
        <x14:slicerCache r:id="rId22"/>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36" i="32" l="1"/>
  <c r="O47" i="22"/>
  <c r="P47" i="22"/>
  <c r="O48" i="22"/>
  <c r="P48" i="22"/>
  <c r="O49" i="22"/>
  <c r="P49" i="22"/>
  <c r="O50" i="22"/>
  <c r="P50" i="22"/>
  <c r="O52" i="22"/>
  <c r="P52" i="22"/>
  <c r="P45" i="22"/>
  <c r="O45" i="22"/>
  <c r="O43" i="22"/>
  <c r="P43" i="22"/>
  <c r="O44" i="22"/>
  <c r="P44" i="22"/>
  <c r="AE172" i="31"/>
  <c r="AN172" i="31"/>
  <c r="AP172" i="31" s="1"/>
  <c r="AS172" i="31" s="1"/>
  <c r="AO172" i="31"/>
  <c r="AF27" i="32"/>
  <c r="AF7" i="32"/>
  <c r="AF22" i="32"/>
  <c r="AF18" i="32"/>
  <c r="AF8" i="32"/>
  <c r="AF11" i="32"/>
  <c r="AN275" i="31"/>
  <c r="AN276" i="31"/>
  <c r="AR276" i="31" s="1"/>
  <c r="AN277" i="31"/>
  <c r="AR277" i="31" s="1"/>
  <c r="AN278" i="31"/>
  <c r="AN279" i="31"/>
  <c r="AN280" i="31"/>
  <c r="AN281" i="31"/>
  <c r="AN282" i="31"/>
  <c r="AN283" i="31"/>
  <c r="AN284" i="31"/>
  <c r="AN285" i="31"/>
  <c r="AO267" i="31"/>
  <c r="AQ267" i="31"/>
  <c r="AO268" i="31"/>
  <c r="AP268" i="31" s="1"/>
  <c r="AS268" i="31" s="1"/>
  <c r="AQ268" i="31"/>
  <c r="AR268" i="31"/>
  <c r="AO269" i="31"/>
  <c r="AP269" i="31" s="1"/>
  <c r="AS269" i="31" s="1"/>
  <c r="AQ269" i="31"/>
  <c r="AR269" i="31"/>
  <c r="AT269" i="31" s="1"/>
  <c r="AO270" i="31"/>
  <c r="AP270" i="31" s="1"/>
  <c r="AS270" i="31" s="1"/>
  <c r="AT270" i="31" s="1"/>
  <c r="AQ270" i="31"/>
  <c r="AR270" i="31"/>
  <c r="AO271" i="31"/>
  <c r="AP271" i="31" s="1"/>
  <c r="AS271" i="31" s="1"/>
  <c r="AQ271" i="31"/>
  <c r="AR271" i="31"/>
  <c r="AT271" i="31" s="1"/>
  <c r="AO272" i="31"/>
  <c r="AO273" i="31"/>
  <c r="AO274" i="31"/>
  <c r="AO275" i="31"/>
  <c r="AQ275" i="31"/>
  <c r="AR275" i="31"/>
  <c r="AO276" i="31"/>
  <c r="AP276" i="31" s="1"/>
  <c r="AS276" i="31" s="1"/>
  <c r="AO277" i="31"/>
  <c r="Z274" i="31"/>
  <c r="AN274" i="31" s="1"/>
  <c r="AR274" i="31" s="1"/>
  <c r="U114" i="25"/>
  <c r="V114" i="25"/>
  <c r="W114" i="25"/>
  <c r="U115" i="25"/>
  <c r="V115" i="25"/>
  <c r="W115" i="25"/>
  <c r="U116" i="25"/>
  <c r="V116" i="25"/>
  <c r="W116" i="25"/>
  <c r="U117" i="25"/>
  <c r="V117" i="25"/>
  <c r="W117" i="25"/>
  <c r="U118" i="25"/>
  <c r="V118" i="25"/>
  <c r="W118" i="25"/>
  <c r="U119" i="25"/>
  <c r="V119" i="25"/>
  <c r="W119" i="25"/>
  <c r="AD274" i="31"/>
  <c r="V113" i="25" s="1"/>
  <c r="AC274" i="31"/>
  <c r="U113" i="25" s="1"/>
  <c r="AA274" i="31"/>
  <c r="AE274" i="31" s="1"/>
  <c r="W113" i="25" s="1"/>
  <c r="Q50" i="22" l="1"/>
  <c r="Q49" i="22"/>
  <c r="Q48" i="22"/>
  <c r="Q47" i="22"/>
  <c r="Q44" i="22"/>
  <c r="Q52" i="22"/>
  <c r="Q45" i="22"/>
  <c r="Q43" i="22"/>
  <c r="AR172" i="31"/>
  <c r="AT268" i="31"/>
  <c r="AQ274" i="31"/>
  <c r="AP274" i="31"/>
  <c r="AS274" i="31" s="1"/>
  <c r="AT274" i="31" s="1"/>
  <c r="AP277" i="31"/>
  <c r="AS277" i="31" s="1"/>
  <c r="AT277" i="31" s="1"/>
  <c r="X116" i="25" s="1"/>
  <c r="AT276" i="31"/>
  <c r="X115" i="25" s="1"/>
  <c r="AP275" i="31"/>
  <c r="AS275" i="31" s="1"/>
  <c r="AT275" i="31" s="1"/>
  <c r="X114" i="25" s="1"/>
  <c r="AA172" i="31"/>
  <c r="AQ172" i="31" s="1"/>
  <c r="AT172" i="31" s="1"/>
  <c r="AD172" i="31"/>
  <c r="F18" i="25" l="1"/>
  <c r="U81" i="25"/>
  <c r="V81" i="25"/>
  <c r="X81" i="25"/>
  <c r="U82" i="25"/>
  <c r="V82" i="25"/>
  <c r="W82" i="25"/>
  <c r="X82" i="25"/>
  <c r="U83" i="25"/>
  <c r="V83" i="25"/>
  <c r="W83" i="25"/>
  <c r="X83" i="25"/>
  <c r="U84" i="25"/>
  <c r="V84" i="25"/>
  <c r="W84" i="25"/>
  <c r="X84" i="25"/>
  <c r="U85" i="25"/>
  <c r="V85" i="25"/>
  <c r="W85" i="25"/>
  <c r="X85" i="25"/>
  <c r="U86" i="25"/>
  <c r="V86" i="25"/>
  <c r="W86" i="25"/>
  <c r="X86" i="25"/>
  <c r="U87" i="25"/>
  <c r="V87" i="25"/>
  <c r="W87" i="25"/>
  <c r="X87" i="25"/>
  <c r="U88" i="25"/>
  <c r="V88" i="25"/>
  <c r="W88" i="25"/>
  <c r="X88" i="25"/>
  <c r="U89" i="25"/>
  <c r="V89" i="25"/>
  <c r="W89" i="25"/>
  <c r="X89" i="25"/>
  <c r="U90" i="25"/>
  <c r="V90" i="25"/>
  <c r="W90" i="25"/>
  <c r="X90" i="25"/>
  <c r="U94" i="25"/>
  <c r="V94" i="25"/>
  <c r="W94" i="25"/>
  <c r="X94" i="25"/>
  <c r="U95" i="25"/>
  <c r="V95" i="25"/>
  <c r="W95" i="25"/>
  <c r="X95" i="25"/>
  <c r="U96" i="25"/>
  <c r="V96" i="25"/>
  <c r="W96" i="25"/>
  <c r="X96" i="25"/>
  <c r="U99" i="25"/>
  <c r="X99" i="25"/>
  <c r="U104" i="25"/>
  <c r="V104" i="25"/>
  <c r="W104" i="25"/>
  <c r="X104" i="25"/>
  <c r="X108" i="25"/>
  <c r="X109" i="25"/>
  <c r="X110" i="25"/>
  <c r="X111" i="25"/>
  <c r="AD99" i="31"/>
  <c r="AE99" i="31" s="1"/>
  <c r="AD100" i="31"/>
  <c r="AE100" i="31" s="1"/>
  <c r="AD98" i="31"/>
  <c r="AC99" i="31"/>
  <c r="AC100" i="31"/>
  <c r="AC98" i="31"/>
  <c r="AE98" i="31" s="1"/>
  <c r="Z165" i="31"/>
  <c r="AA153" i="31"/>
  <c r="AA152" i="31"/>
  <c r="AC152" i="31" l="1"/>
  <c r="AA190" i="31"/>
  <c r="AQ190" i="31" s="1"/>
  <c r="AT190" i="31" s="1"/>
  <c r="AC190" i="31"/>
  <c r="AD190" i="31"/>
  <c r="AN190" i="31"/>
  <c r="AO190" i="31"/>
  <c r="AO189" i="31"/>
  <c r="AN189" i="31"/>
  <c r="AR189" i="31" s="1"/>
  <c r="AD189" i="31"/>
  <c r="AC189" i="31"/>
  <c r="AA189" i="31"/>
  <c r="AQ189" i="31" s="1"/>
  <c r="AT189" i="31" s="1"/>
  <c r="AE190" i="31" l="1"/>
  <c r="AP190" i="31"/>
  <c r="AS190" i="31" s="1"/>
  <c r="AP189" i="31"/>
  <c r="AS189" i="31" s="1"/>
  <c r="AR190" i="31"/>
  <c r="AE189" i="31"/>
  <c r="AA100" i="31"/>
  <c r="AA99" i="31"/>
  <c r="AA98" i="31"/>
  <c r="D13" i="42" l="1"/>
  <c r="E13" i="42"/>
  <c r="D12" i="42"/>
  <c r="E12" i="42"/>
  <c r="E11" i="42"/>
  <c r="D11" i="42"/>
  <c r="M13" i="42"/>
  <c r="L13" i="42"/>
  <c r="J13" i="42"/>
  <c r="H13" i="42"/>
  <c r="F13" i="42"/>
  <c r="M12" i="42"/>
  <c r="L12" i="42"/>
  <c r="J12" i="42"/>
  <c r="H12" i="42"/>
  <c r="F12" i="42"/>
  <c r="M11" i="42"/>
  <c r="L11" i="42"/>
  <c r="J11" i="42"/>
  <c r="H11" i="42"/>
  <c r="F11" i="42"/>
  <c r="AC267" i="31" l="1"/>
  <c r="U107" i="25" s="1"/>
  <c r="AD267" i="31"/>
  <c r="V107" i="25" s="1"/>
  <c r="AC268" i="31"/>
  <c r="U108" i="25" s="1"/>
  <c r="AD268" i="31"/>
  <c r="V108" i="25" s="1"/>
  <c r="AC269" i="31"/>
  <c r="U109" i="25" s="1"/>
  <c r="AD269" i="31"/>
  <c r="V109" i="25" s="1"/>
  <c r="AC270" i="31"/>
  <c r="U110" i="25" s="1"/>
  <c r="AD270" i="31"/>
  <c r="V110" i="25" s="1"/>
  <c r="AC271" i="31"/>
  <c r="U111" i="25" s="1"/>
  <c r="AD271" i="31"/>
  <c r="V111" i="25" s="1"/>
  <c r="AN267" i="31"/>
  <c r="AC125" i="31"/>
  <c r="Z126" i="31"/>
  <c r="Z125" i="31"/>
  <c r="AC107" i="31"/>
  <c r="Z106" i="31"/>
  <c r="AR267" i="31" l="1"/>
  <c r="AP267" i="31"/>
  <c r="AS267" i="31" s="1"/>
  <c r="AE271" i="31"/>
  <c r="W111" i="25" s="1"/>
  <c r="AE270" i="31"/>
  <c r="W110" i="25" s="1"/>
  <c r="AE269" i="31"/>
  <c r="W109" i="25" s="1"/>
  <c r="AE267" i="31"/>
  <c r="W107" i="25" s="1"/>
  <c r="AE268" i="31"/>
  <c r="W108" i="25" s="1"/>
  <c r="AD125" i="31"/>
  <c r="H11" i="40"/>
  <c r="H13" i="40"/>
  <c r="G10" i="40"/>
  <c r="B4" i="22"/>
  <c r="AC183" i="31"/>
  <c r="AD183" i="31"/>
  <c r="AC184" i="31"/>
  <c r="AD184" i="31"/>
  <c r="AC185" i="31"/>
  <c r="AD185" i="31"/>
  <c r="AC186" i="31"/>
  <c r="AD186" i="31"/>
  <c r="AC187" i="31"/>
  <c r="AD187" i="31"/>
  <c r="AC188" i="31"/>
  <c r="AD188" i="31"/>
  <c r="AA183" i="31"/>
  <c r="AA184" i="31"/>
  <c r="AA185" i="31"/>
  <c r="AA186" i="31"/>
  <c r="AA187" i="31"/>
  <c r="AA188" i="31"/>
  <c r="AT267" i="31" l="1"/>
  <c r="X107" i="25" s="1"/>
  <c r="AE183" i="31"/>
  <c r="AE188" i="31"/>
  <c r="AE187" i="31"/>
  <c r="AE184" i="31"/>
  <c r="AE186" i="31"/>
  <c r="AE185" i="31"/>
  <c r="AN178" i="31"/>
  <c r="AR178" i="31" s="1"/>
  <c r="AO178" i="31"/>
  <c r="AN179" i="31"/>
  <c r="AR179" i="31" s="1"/>
  <c r="AO179" i="31"/>
  <c r="AN180" i="31"/>
  <c r="AR180" i="31" s="1"/>
  <c r="AO180" i="31"/>
  <c r="AN181" i="31"/>
  <c r="AR181" i="31" s="1"/>
  <c r="AO181" i="31"/>
  <c r="AN182" i="31"/>
  <c r="AO182" i="31"/>
  <c r="AN183" i="31"/>
  <c r="AO183" i="31"/>
  <c r="AQ183" i="31"/>
  <c r="AT183" i="31" s="1"/>
  <c r="AN184" i="31"/>
  <c r="AO184" i="31"/>
  <c r="AQ184" i="31"/>
  <c r="AT184" i="31" s="1"/>
  <c r="AN185" i="31"/>
  <c r="AR185" i="31" s="1"/>
  <c r="AO185" i="31"/>
  <c r="AQ185" i="31"/>
  <c r="AT185" i="31" s="1"/>
  <c r="AN186" i="31"/>
  <c r="AR186" i="31" s="1"/>
  <c r="AO186" i="31"/>
  <c r="AQ186" i="31"/>
  <c r="AT186" i="31" s="1"/>
  <c r="AN187" i="31"/>
  <c r="AO187" i="31"/>
  <c r="AQ187" i="31"/>
  <c r="AT187" i="31" s="1"/>
  <c r="AN188" i="31"/>
  <c r="AO188" i="31"/>
  <c r="AQ188" i="31"/>
  <c r="AT188" i="31" s="1"/>
  <c r="AC178" i="31"/>
  <c r="AD178" i="31"/>
  <c r="AC179" i="31"/>
  <c r="AD179" i="31"/>
  <c r="AC180" i="31"/>
  <c r="AD180" i="31"/>
  <c r="AC181" i="31"/>
  <c r="AD181" i="31"/>
  <c r="AC182" i="31"/>
  <c r="AD182" i="31"/>
  <c r="AA178" i="31"/>
  <c r="AQ178" i="31" s="1"/>
  <c r="AT178" i="31" s="1"/>
  <c r="AA179" i="31"/>
  <c r="AQ179" i="31" s="1"/>
  <c r="AT179" i="31" s="1"/>
  <c r="AA180" i="31"/>
  <c r="AQ180" i="31" s="1"/>
  <c r="AT180" i="31" s="1"/>
  <c r="AA181" i="31"/>
  <c r="AQ181" i="31" s="1"/>
  <c r="AT181" i="31" s="1"/>
  <c r="AA182" i="31"/>
  <c r="AQ182" i="31" s="1"/>
  <c r="AT182" i="31" s="1"/>
  <c r="AE180" i="31" l="1"/>
  <c r="AP179" i="31"/>
  <c r="AS179" i="31" s="1"/>
  <c r="AE179" i="31"/>
  <c r="AP183" i="31"/>
  <c r="AS183" i="31" s="1"/>
  <c r="AP182" i="31"/>
  <c r="AS182" i="31" s="1"/>
  <c r="AE178" i="31"/>
  <c r="AE182" i="31"/>
  <c r="AR183" i="31"/>
  <c r="AE181" i="31"/>
  <c r="AP187" i="31"/>
  <c r="AS187" i="31" s="1"/>
  <c r="AP180" i="31"/>
  <c r="AS180" i="31" s="1"/>
  <c r="AP185" i="31"/>
  <c r="AS185" i="31" s="1"/>
  <c r="AP186" i="31"/>
  <c r="AS186" i="31" s="1"/>
  <c r="AP178" i="31"/>
  <c r="AS178" i="31" s="1"/>
  <c r="AP184" i="31"/>
  <c r="AS184" i="31" s="1"/>
  <c r="AP188" i="31"/>
  <c r="AS188" i="31" s="1"/>
  <c r="AP181" i="31"/>
  <c r="AS181" i="31" s="1"/>
  <c r="AR188" i="31"/>
  <c r="AR184" i="31"/>
  <c r="AR182" i="31"/>
  <c r="AR187" i="31"/>
  <c r="AO139" i="31" l="1"/>
  <c r="AN139" i="31"/>
  <c r="AA139" i="31"/>
  <c r="AQ139" i="31" s="1"/>
  <c r="AA140" i="31"/>
  <c r="AA141" i="31"/>
  <c r="AA142" i="31"/>
  <c r="AA143" i="31"/>
  <c r="AA115" i="31"/>
  <c r="AA116" i="31"/>
  <c r="AA256" i="31"/>
  <c r="AA257" i="31"/>
  <c r="AA258" i="31"/>
  <c r="AA259" i="31"/>
  <c r="AA255" i="31"/>
  <c r="AD255" i="31"/>
  <c r="AD256" i="31"/>
  <c r="AE256" i="31" s="1"/>
  <c r="AD257" i="31"/>
  <c r="AE257" i="31" s="1"/>
  <c r="AD258" i="31"/>
  <c r="AE258" i="31" s="1"/>
  <c r="AD259" i="31"/>
  <c r="AE259" i="31" s="1"/>
  <c r="AD254" i="31"/>
  <c r="V98" i="25" s="1"/>
  <c r="AE255" i="31" l="1"/>
  <c r="W99" i="25" s="1"/>
  <c r="V99" i="25"/>
  <c r="AP139" i="31"/>
  <c r="C29" i="25"/>
  <c r="D29" i="25"/>
  <c r="E29" i="25"/>
  <c r="G29" i="25" s="1"/>
  <c r="AO15" i="17"/>
  <c r="AI15" i="17"/>
  <c r="AO3" i="17"/>
  <c r="AI3" i="17"/>
  <c r="H231" i="36"/>
  <c r="I231" i="36"/>
  <c r="J231" i="36"/>
  <c r="K231" i="36"/>
  <c r="L231" i="36"/>
  <c r="N231" i="36"/>
  <c r="N232" i="36" s="1"/>
  <c r="N233" i="36" s="1"/>
  <c r="N234" i="36" s="1"/>
  <c r="N235" i="36" s="1"/>
  <c r="N236" i="36" s="1"/>
  <c r="N237" i="36" s="1"/>
  <c r="O231" i="36"/>
  <c r="Q231" i="36"/>
  <c r="S231" i="36"/>
  <c r="T231" i="36"/>
  <c r="U231" i="36"/>
  <c r="W231" i="36"/>
  <c r="AA231" i="36"/>
  <c r="AB231" i="36"/>
  <c r="AC231" i="36"/>
  <c r="AD231" i="36"/>
  <c r="AE231" i="36"/>
  <c r="AF231" i="36"/>
  <c r="AG231" i="36"/>
  <c r="B232" i="36"/>
  <c r="B233" i="36" s="1"/>
  <c r="B234" i="36" s="1"/>
  <c r="B235" i="36" s="1"/>
  <c r="B236" i="36" s="1"/>
  <c r="B237" i="36" s="1"/>
  <c r="G232" i="36"/>
  <c r="H232" i="36"/>
  <c r="I232" i="36"/>
  <c r="J232" i="36"/>
  <c r="K232" i="36"/>
  <c r="O232" i="36"/>
  <c r="Q232" i="36"/>
  <c r="S232" i="36"/>
  <c r="T232" i="36"/>
  <c r="U232" i="36"/>
  <c r="W232" i="36"/>
  <c r="X232" i="36"/>
  <c r="Y232" i="36"/>
  <c r="Z232" i="36"/>
  <c r="AA232" i="36"/>
  <c r="AB232" i="36"/>
  <c r="AC232" i="36"/>
  <c r="AD232" i="36"/>
  <c r="AE232" i="36"/>
  <c r="AF232" i="36"/>
  <c r="AG232" i="36"/>
  <c r="AH232" i="36"/>
  <c r="G233" i="36"/>
  <c r="H233" i="36"/>
  <c r="I233" i="36"/>
  <c r="J233" i="36"/>
  <c r="K233" i="36"/>
  <c r="L233" i="36"/>
  <c r="O233" i="36"/>
  <c r="Q233" i="36"/>
  <c r="S233" i="36"/>
  <c r="T233" i="36"/>
  <c r="U233" i="36"/>
  <c r="W233" i="36"/>
  <c r="X233" i="36"/>
  <c r="Y233" i="36"/>
  <c r="Z233" i="36"/>
  <c r="AA233" i="36"/>
  <c r="AB233" i="36"/>
  <c r="AC233" i="36"/>
  <c r="AD233" i="36"/>
  <c r="AE233" i="36"/>
  <c r="AF233" i="36"/>
  <c r="AG233" i="36"/>
  <c r="AH233" i="36"/>
  <c r="G234" i="36"/>
  <c r="G235" i="36" s="1"/>
  <c r="G236" i="36" s="1"/>
  <c r="H234" i="36"/>
  <c r="I234" i="36"/>
  <c r="J234" i="36"/>
  <c r="K234" i="36"/>
  <c r="L234" i="36"/>
  <c r="M234" i="36"/>
  <c r="O234" i="36"/>
  <c r="Q234" i="36"/>
  <c r="Q235" i="36" s="1"/>
  <c r="Q236" i="36" s="1"/>
  <c r="S234" i="36"/>
  <c r="T234" i="36"/>
  <c r="U234" i="36"/>
  <c r="W234" i="36"/>
  <c r="X234" i="36"/>
  <c r="Y234" i="36"/>
  <c r="Z234" i="36"/>
  <c r="AA234" i="36"/>
  <c r="AB234" i="36"/>
  <c r="AC234" i="36"/>
  <c r="AD234" i="36"/>
  <c r="AE234" i="36"/>
  <c r="AF234" i="36"/>
  <c r="AG234" i="36"/>
  <c r="AH234" i="36"/>
  <c r="H235" i="36"/>
  <c r="I235" i="36"/>
  <c r="J235" i="36"/>
  <c r="K235" i="36"/>
  <c r="L235" i="36"/>
  <c r="M235" i="36"/>
  <c r="O235" i="36"/>
  <c r="S235" i="36"/>
  <c r="T235" i="36"/>
  <c r="U235" i="36"/>
  <c r="V235" i="36"/>
  <c r="W235" i="36"/>
  <c r="X235" i="36"/>
  <c r="Y235" i="36"/>
  <c r="Z235" i="36"/>
  <c r="AA235" i="36"/>
  <c r="AB235" i="36"/>
  <c r="AC235" i="36"/>
  <c r="AD235" i="36"/>
  <c r="AE235" i="36"/>
  <c r="AF235" i="36"/>
  <c r="AG235" i="36"/>
  <c r="AH235" i="36"/>
  <c r="AI235" i="36"/>
  <c r="AJ235" i="36"/>
  <c r="H236" i="36"/>
  <c r="I236" i="36"/>
  <c r="J236" i="36"/>
  <c r="K236" i="36"/>
  <c r="L236" i="36"/>
  <c r="M236" i="36"/>
  <c r="M237" i="36" s="1"/>
  <c r="O236" i="36"/>
  <c r="S236" i="36"/>
  <c r="T236" i="36"/>
  <c r="U236" i="36"/>
  <c r="V236" i="36"/>
  <c r="W236" i="36"/>
  <c r="X236" i="36"/>
  <c r="Y236" i="36"/>
  <c r="Z236" i="36"/>
  <c r="AA236" i="36"/>
  <c r="AB236" i="36"/>
  <c r="AC236" i="36"/>
  <c r="AD236" i="36"/>
  <c r="AE236" i="36"/>
  <c r="AF236" i="36"/>
  <c r="AG236" i="36"/>
  <c r="AH236" i="36"/>
  <c r="AI236" i="36"/>
  <c r="AJ236" i="36"/>
  <c r="G237" i="36"/>
  <c r="H237" i="36"/>
  <c r="I237" i="36"/>
  <c r="J237" i="36"/>
  <c r="K237" i="36"/>
  <c r="L237" i="36"/>
  <c r="O237" i="36"/>
  <c r="Q237" i="36"/>
  <c r="S237" i="36"/>
  <c r="T237" i="36"/>
  <c r="U237" i="36"/>
  <c r="W237" i="36"/>
  <c r="X237" i="36"/>
  <c r="Y237" i="36"/>
  <c r="Z237" i="36"/>
  <c r="AA237" i="36"/>
  <c r="AB237" i="36"/>
  <c r="AC237" i="36"/>
  <c r="AD237" i="36"/>
  <c r="AE237" i="36"/>
  <c r="AF237" i="36"/>
  <c r="AG237" i="36"/>
  <c r="AH237" i="36"/>
  <c r="B238" i="36"/>
  <c r="B239" i="36" s="1"/>
  <c r="B240" i="36" s="1"/>
  <c r="B241" i="36" s="1"/>
  <c r="B242" i="36" s="1"/>
  <c r="B243" i="36" s="1"/>
  <c r="B244" i="36" s="1"/>
  <c r="G238" i="36"/>
  <c r="G239" i="36" s="1"/>
  <c r="G240" i="36" s="1"/>
  <c r="G241" i="36" s="1"/>
  <c r="G242" i="36" s="1"/>
  <c r="H238" i="36"/>
  <c r="I238" i="36"/>
  <c r="J238" i="36"/>
  <c r="K238" i="36"/>
  <c r="L238" i="36"/>
  <c r="M238" i="36"/>
  <c r="N238" i="36"/>
  <c r="N239" i="36" s="1"/>
  <c r="N240" i="36" s="1"/>
  <c r="N241" i="36" s="1"/>
  <c r="N242" i="36" s="1"/>
  <c r="N243" i="36" s="1"/>
  <c r="N244" i="36" s="1"/>
  <c r="N245" i="36" s="1"/>
  <c r="N246" i="36" s="1"/>
  <c r="N247" i="36" s="1"/>
  <c r="N248" i="36" s="1"/>
  <c r="N249" i="36" s="1"/>
  <c r="N250" i="36" s="1"/>
  <c r="N251" i="36" s="1"/>
  <c r="N252" i="36" s="1"/>
  <c r="N253" i="36" s="1"/>
  <c r="N254" i="36" s="1"/>
  <c r="N255" i="36" s="1"/>
  <c r="N256" i="36" s="1"/>
  <c r="N257" i="36" s="1"/>
  <c r="N258" i="36" s="1"/>
  <c r="N259" i="36" s="1"/>
  <c r="N260" i="36" s="1"/>
  <c r="N261" i="36" s="1"/>
  <c r="N262" i="36" s="1"/>
  <c r="N263" i="36" s="1"/>
  <c r="N264" i="36" s="1"/>
  <c r="N265" i="36" s="1"/>
  <c r="N266" i="36" s="1"/>
  <c r="N267" i="36" s="1"/>
  <c r="N268" i="36" s="1"/>
  <c r="N269" i="36" s="1"/>
  <c r="N270" i="36" s="1"/>
  <c r="N271" i="36" s="1"/>
  <c r="N272" i="36" s="1"/>
  <c r="N273" i="36" s="1"/>
  <c r="N274" i="36" s="1"/>
  <c r="N275" i="36" s="1"/>
  <c r="N276" i="36" s="1"/>
  <c r="N277" i="36" s="1"/>
  <c r="N278" i="36" s="1"/>
  <c r="N279" i="36" s="1"/>
  <c r="N280" i="36" s="1"/>
  <c r="N281" i="36" s="1"/>
  <c r="N282" i="36" s="1"/>
  <c r="N283" i="36" s="1"/>
  <c r="N284" i="36" s="1"/>
  <c r="N285" i="36" s="1"/>
  <c r="N286" i="36" s="1"/>
  <c r="N287" i="36" s="1"/>
  <c r="N288" i="36" s="1"/>
  <c r="N289" i="36" s="1"/>
  <c r="N290" i="36" s="1"/>
  <c r="N291" i="36" s="1"/>
  <c r="N292" i="36" s="1"/>
  <c r="N293" i="36" s="1"/>
  <c r="N294" i="36" s="1"/>
  <c r="N295" i="36" s="1"/>
  <c r="N296" i="36" s="1"/>
  <c r="N297" i="36" s="1"/>
  <c r="N298" i="36" s="1"/>
  <c r="N299" i="36" s="1"/>
  <c r="N300" i="36" s="1"/>
  <c r="N301" i="36" s="1"/>
  <c r="N302" i="36" s="1"/>
  <c r="N303" i="36" s="1"/>
  <c r="N304" i="36" s="1"/>
  <c r="N305" i="36" s="1"/>
  <c r="N306" i="36" s="1"/>
  <c r="N307" i="36" s="1"/>
  <c r="N308" i="36" s="1"/>
  <c r="N309" i="36" s="1"/>
  <c r="N310" i="36" s="1"/>
  <c r="N311" i="36" s="1"/>
  <c r="N312" i="36" s="1"/>
  <c r="N313" i="36" s="1"/>
  <c r="N314" i="36" s="1"/>
  <c r="N315" i="36" s="1"/>
  <c r="N316" i="36" s="1"/>
  <c r="N317" i="36" s="1"/>
  <c r="N318" i="36" s="1"/>
  <c r="N319" i="36" s="1"/>
  <c r="N320" i="36" s="1"/>
  <c r="N321" i="36" s="1"/>
  <c r="N322" i="36" s="1"/>
  <c r="N323" i="36" s="1"/>
  <c r="N324" i="36" s="1"/>
  <c r="N325" i="36" s="1"/>
  <c r="N326" i="36" s="1"/>
  <c r="N327" i="36" s="1"/>
  <c r="N328" i="36" s="1"/>
  <c r="N329" i="36" s="1"/>
  <c r="N330" i="36" s="1"/>
  <c r="N331" i="36" s="1"/>
  <c r="N332" i="36" s="1"/>
  <c r="N333" i="36" s="1"/>
  <c r="N334" i="36" s="1"/>
  <c r="N335" i="36" s="1"/>
  <c r="N336" i="36" s="1"/>
  <c r="N337" i="36" s="1"/>
  <c r="N338" i="36" s="1"/>
  <c r="N339" i="36" s="1"/>
  <c r="N340" i="36" s="1"/>
  <c r="N341" i="36" s="1"/>
  <c r="N342" i="36" s="1"/>
  <c r="N343" i="36" s="1"/>
  <c r="N344" i="36" s="1"/>
  <c r="N345" i="36" s="1"/>
  <c r="N346" i="36" s="1"/>
  <c r="N347" i="36" s="1"/>
  <c r="N348" i="36" s="1"/>
  <c r="N349" i="36" s="1"/>
  <c r="N350" i="36" s="1"/>
  <c r="N351" i="36" s="1"/>
  <c r="N352" i="36" s="1"/>
  <c r="N353" i="36" s="1"/>
  <c r="N354" i="36" s="1"/>
  <c r="N355" i="36" s="1"/>
  <c r="N356" i="36" s="1"/>
  <c r="N357" i="36" s="1"/>
  <c r="N358" i="36" s="1"/>
  <c r="N359" i="36" s="1"/>
  <c r="N360" i="36" s="1"/>
  <c r="N361" i="36" s="1"/>
  <c r="N362" i="36" s="1"/>
  <c r="N363" i="36" s="1"/>
  <c r="N364" i="36" s="1"/>
  <c r="N365" i="36" s="1"/>
  <c r="N366" i="36" s="1"/>
  <c r="N367" i="36" s="1"/>
  <c r="N368" i="36" s="1"/>
  <c r="N369" i="36" s="1"/>
  <c r="N370" i="36" s="1"/>
  <c r="N371" i="36" s="1"/>
  <c r="N372" i="36" s="1"/>
  <c r="N373" i="36" s="1"/>
  <c r="N374" i="36" s="1"/>
  <c r="N375" i="36" s="1"/>
  <c r="N376" i="36" s="1"/>
  <c r="N377" i="36" s="1"/>
  <c r="N378" i="36" s="1"/>
  <c r="N379" i="36" s="1"/>
  <c r="N380" i="36" s="1"/>
  <c r="N381" i="36" s="1"/>
  <c r="N382" i="36" s="1"/>
  <c r="N383" i="36" s="1"/>
  <c r="N384" i="36" s="1"/>
  <c r="N385" i="36" s="1"/>
  <c r="N386" i="36" s="1"/>
  <c r="N387" i="36" s="1"/>
  <c r="N388" i="36" s="1"/>
  <c r="N389" i="36" s="1"/>
  <c r="N390" i="36" s="1"/>
  <c r="N391" i="36" s="1"/>
  <c r="N392" i="36" s="1"/>
  <c r="N393" i="36" s="1"/>
  <c r="N394" i="36" s="1"/>
  <c r="O238" i="36"/>
  <c r="Q238" i="36"/>
  <c r="S238" i="36"/>
  <c r="T238" i="36"/>
  <c r="U238" i="36"/>
  <c r="W238" i="36"/>
  <c r="X238" i="36"/>
  <c r="Y238" i="36"/>
  <c r="Z238" i="36"/>
  <c r="AA238" i="36"/>
  <c r="AB238" i="36"/>
  <c r="AC238" i="36"/>
  <c r="AD238" i="36"/>
  <c r="AE238" i="36"/>
  <c r="AF238" i="36"/>
  <c r="AG238" i="36"/>
  <c r="AH238" i="36"/>
  <c r="H239" i="36"/>
  <c r="I239" i="36"/>
  <c r="J239" i="36"/>
  <c r="K239" i="36"/>
  <c r="L239" i="36"/>
  <c r="M239" i="36"/>
  <c r="O239" i="36"/>
  <c r="Q239" i="36"/>
  <c r="Q240" i="36" s="1"/>
  <c r="Q241" i="36" s="1"/>
  <c r="S239" i="36"/>
  <c r="T239" i="36"/>
  <c r="U239" i="36"/>
  <c r="W239" i="36"/>
  <c r="X239" i="36"/>
  <c r="Y239" i="36"/>
  <c r="Z239" i="36"/>
  <c r="AA239" i="36"/>
  <c r="AB239" i="36"/>
  <c r="AC239" i="36"/>
  <c r="AD239" i="36"/>
  <c r="AE239" i="36"/>
  <c r="AF239" i="36"/>
  <c r="AG239" i="36"/>
  <c r="AH239" i="36"/>
  <c r="H240" i="36"/>
  <c r="I240" i="36"/>
  <c r="J240" i="36"/>
  <c r="K240" i="36"/>
  <c r="L240" i="36"/>
  <c r="M240" i="36"/>
  <c r="O240" i="36"/>
  <c r="S240" i="36"/>
  <c r="T240" i="36"/>
  <c r="U240" i="36"/>
  <c r="V240" i="36"/>
  <c r="W240" i="36"/>
  <c r="X240" i="36"/>
  <c r="Y240" i="36"/>
  <c r="Z240" i="36"/>
  <c r="AA240" i="36"/>
  <c r="AB240" i="36"/>
  <c r="AC240" i="36"/>
  <c r="AD240" i="36"/>
  <c r="AE240" i="36"/>
  <c r="AF240" i="36"/>
  <c r="AG240" i="36"/>
  <c r="AH240" i="36"/>
  <c r="AI240" i="36"/>
  <c r="AJ240" i="36"/>
  <c r="H241" i="36"/>
  <c r="I241" i="36"/>
  <c r="J241" i="36"/>
  <c r="K241" i="36"/>
  <c r="L241" i="36"/>
  <c r="M241" i="36"/>
  <c r="O241" i="36"/>
  <c r="S241" i="36"/>
  <c r="T241" i="36"/>
  <c r="U241" i="36"/>
  <c r="V241" i="36"/>
  <c r="W241" i="36"/>
  <c r="X241" i="36"/>
  <c r="Y241" i="36"/>
  <c r="Z241" i="36"/>
  <c r="AA241" i="36"/>
  <c r="AB241" i="36"/>
  <c r="AC241" i="36"/>
  <c r="AD241" i="36"/>
  <c r="AE241" i="36"/>
  <c r="AF241" i="36"/>
  <c r="AG241" i="36"/>
  <c r="AH241" i="36"/>
  <c r="AI241" i="36"/>
  <c r="AJ241" i="36"/>
  <c r="H242" i="36"/>
  <c r="I242" i="36"/>
  <c r="J242" i="36"/>
  <c r="K242" i="36"/>
  <c r="L242" i="36"/>
  <c r="M242" i="36"/>
  <c r="M243" i="36" s="1"/>
  <c r="M244" i="36" s="1"/>
  <c r="O242" i="36"/>
  <c r="Q242" i="36"/>
  <c r="Q243" i="36" s="1"/>
  <c r="Q244" i="36" s="1"/>
  <c r="S242" i="36"/>
  <c r="T242" i="36"/>
  <c r="U242" i="36"/>
  <c r="W242" i="36"/>
  <c r="X242" i="36"/>
  <c r="Y242" i="36"/>
  <c r="Z242" i="36"/>
  <c r="AA242" i="36"/>
  <c r="AB242" i="36"/>
  <c r="AC242" i="36"/>
  <c r="AD242" i="36"/>
  <c r="AE242" i="36"/>
  <c r="AF242" i="36"/>
  <c r="AG242" i="36"/>
  <c r="AH242" i="36"/>
  <c r="G243" i="36"/>
  <c r="H243" i="36"/>
  <c r="I243" i="36"/>
  <c r="J243" i="36"/>
  <c r="K243" i="36"/>
  <c r="L243" i="36"/>
  <c r="O243" i="36"/>
  <c r="S243" i="36"/>
  <c r="T243" i="36"/>
  <c r="U243" i="36"/>
  <c r="V243" i="36"/>
  <c r="W243" i="36"/>
  <c r="X243" i="36"/>
  <c r="Y243" i="36"/>
  <c r="Z243" i="36"/>
  <c r="AA243" i="36"/>
  <c r="AB243" i="36"/>
  <c r="AC243" i="36"/>
  <c r="AD243" i="36"/>
  <c r="AE243" i="36"/>
  <c r="AF243" i="36"/>
  <c r="AG243" i="36"/>
  <c r="AH243" i="36"/>
  <c r="AI243" i="36"/>
  <c r="AJ243" i="36"/>
  <c r="G244" i="36"/>
  <c r="H244" i="36"/>
  <c r="I244" i="36"/>
  <c r="J244" i="36"/>
  <c r="K244" i="36"/>
  <c r="L244" i="36"/>
  <c r="O244" i="36"/>
  <c r="S244" i="36"/>
  <c r="T244" i="36"/>
  <c r="U244" i="36"/>
  <c r="V244" i="36"/>
  <c r="W244" i="36"/>
  <c r="X244" i="36"/>
  <c r="Y244" i="36"/>
  <c r="Z244" i="36"/>
  <c r="AA244" i="36"/>
  <c r="AB244" i="36"/>
  <c r="AC244" i="36"/>
  <c r="AD244" i="36"/>
  <c r="AE244" i="36"/>
  <c r="AF244" i="36"/>
  <c r="AG244" i="36"/>
  <c r="AH244" i="36"/>
  <c r="AI244" i="36"/>
  <c r="AJ244" i="36"/>
  <c r="B245" i="36"/>
  <c r="B246" i="36" s="1"/>
  <c r="B247" i="36" s="1"/>
  <c r="B248" i="36" s="1"/>
  <c r="B249" i="36" s="1"/>
  <c r="B250" i="36" s="1"/>
  <c r="B251" i="36" s="1"/>
  <c r="B252" i="36" s="1"/>
  <c r="B253" i="36" s="1"/>
  <c r="B254" i="36" s="1"/>
  <c r="B255" i="36" s="1"/>
  <c r="B256" i="36" s="1"/>
  <c r="B257" i="36" s="1"/>
  <c r="B258" i="36" s="1"/>
  <c r="B259" i="36" s="1"/>
  <c r="B260" i="36" s="1"/>
  <c r="B261" i="36" s="1"/>
  <c r="B262" i="36" s="1"/>
  <c r="B263" i="36" s="1"/>
  <c r="B264" i="36" s="1"/>
  <c r="B265" i="36" s="1"/>
  <c r="B266" i="36" s="1"/>
  <c r="B267" i="36" s="1"/>
  <c r="B268" i="36" s="1"/>
  <c r="B269" i="36" s="1"/>
  <c r="B270" i="36" s="1"/>
  <c r="B271" i="36" s="1"/>
  <c r="B272" i="36" s="1"/>
  <c r="B273" i="36" s="1"/>
  <c r="B274" i="36" s="1"/>
  <c r="B275" i="36" s="1"/>
  <c r="B276" i="36" s="1"/>
  <c r="B277" i="36" s="1"/>
  <c r="B278" i="36" s="1"/>
  <c r="B279" i="36" s="1"/>
  <c r="B280" i="36" s="1"/>
  <c r="B281" i="36" s="1"/>
  <c r="B282" i="36" s="1"/>
  <c r="B283" i="36" s="1"/>
  <c r="B284" i="36" s="1"/>
  <c r="B285" i="36" s="1"/>
  <c r="B286" i="36" s="1"/>
  <c r="B287" i="36" s="1"/>
  <c r="B288" i="36" s="1"/>
  <c r="B289" i="36" s="1"/>
  <c r="B290" i="36" s="1"/>
  <c r="B291" i="36" s="1"/>
  <c r="B292" i="36" s="1"/>
  <c r="B293" i="36" s="1"/>
  <c r="B294" i="36" s="1"/>
  <c r="B295" i="36" s="1"/>
  <c r="B296" i="36" s="1"/>
  <c r="B297" i="36" s="1"/>
  <c r="B298" i="36" s="1"/>
  <c r="B299" i="36" s="1"/>
  <c r="B300" i="36" s="1"/>
  <c r="B301" i="36" s="1"/>
  <c r="B302" i="36" s="1"/>
  <c r="B303" i="36" s="1"/>
  <c r="B304" i="36" s="1"/>
  <c r="B305" i="36" s="1"/>
  <c r="B306" i="36" s="1"/>
  <c r="B307" i="36" s="1"/>
  <c r="B308" i="36" s="1"/>
  <c r="B309" i="36" s="1"/>
  <c r="B310" i="36" s="1"/>
  <c r="B311" i="36" s="1"/>
  <c r="B312" i="36" s="1"/>
  <c r="B313" i="36" s="1"/>
  <c r="B314" i="36" s="1"/>
  <c r="B315" i="36" s="1"/>
  <c r="B316" i="36" s="1"/>
  <c r="B317" i="36" s="1"/>
  <c r="B318" i="36" s="1"/>
  <c r="B319" i="36" s="1"/>
  <c r="B320" i="36" s="1"/>
  <c r="B321" i="36" s="1"/>
  <c r="B322" i="36" s="1"/>
  <c r="B323" i="36" s="1"/>
  <c r="B324" i="36" s="1"/>
  <c r="B325" i="36" s="1"/>
  <c r="B326" i="36" s="1"/>
  <c r="B327" i="36" s="1"/>
  <c r="B328" i="36" s="1"/>
  <c r="B329" i="36" s="1"/>
  <c r="B330" i="36" s="1"/>
  <c r="B331" i="36" s="1"/>
  <c r="B332" i="36" s="1"/>
  <c r="B333" i="36" s="1"/>
  <c r="B334" i="36" s="1"/>
  <c r="B335" i="36" s="1"/>
  <c r="B336" i="36" s="1"/>
  <c r="B337" i="36" s="1"/>
  <c r="B338" i="36" s="1"/>
  <c r="B339" i="36" s="1"/>
  <c r="B340" i="36" s="1"/>
  <c r="B341" i="36" s="1"/>
  <c r="B342" i="36" s="1"/>
  <c r="B343" i="36" s="1"/>
  <c r="B344" i="36" s="1"/>
  <c r="B345" i="36" s="1"/>
  <c r="B346" i="36" s="1"/>
  <c r="B347" i="36" s="1"/>
  <c r="B348" i="36" s="1"/>
  <c r="B349" i="36" s="1"/>
  <c r="B350" i="36" s="1"/>
  <c r="B351" i="36" s="1"/>
  <c r="B352" i="36" s="1"/>
  <c r="B353" i="36" s="1"/>
  <c r="B354" i="36" s="1"/>
  <c r="B355" i="36" s="1"/>
  <c r="B356" i="36" s="1"/>
  <c r="B357" i="36" s="1"/>
  <c r="B358" i="36" s="1"/>
  <c r="B359" i="36" s="1"/>
  <c r="B360" i="36" s="1"/>
  <c r="B361" i="36" s="1"/>
  <c r="B362" i="36" s="1"/>
  <c r="B363" i="36" s="1"/>
  <c r="B364" i="36" s="1"/>
  <c r="B365" i="36" s="1"/>
  <c r="B366" i="36" s="1"/>
  <c r="B367" i="36" s="1"/>
  <c r="B368" i="36" s="1"/>
  <c r="B369" i="36" s="1"/>
  <c r="B370" i="36" s="1"/>
  <c r="B371" i="36" s="1"/>
  <c r="B372" i="36" s="1"/>
  <c r="B373" i="36" s="1"/>
  <c r="B374" i="36" s="1"/>
  <c r="B375" i="36" s="1"/>
  <c r="B376" i="36" s="1"/>
  <c r="B377" i="36" s="1"/>
  <c r="B378" i="36" s="1"/>
  <c r="B379" i="36" s="1"/>
  <c r="B380" i="36" s="1"/>
  <c r="B381" i="36" s="1"/>
  <c r="B382" i="36" s="1"/>
  <c r="B383" i="36" s="1"/>
  <c r="B384" i="36" s="1"/>
  <c r="B385" i="36" s="1"/>
  <c r="B386" i="36" s="1"/>
  <c r="B387" i="36" s="1"/>
  <c r="B388" i="36" s="1"/>
  <c r="B389" i="36" s="1"/>
  <c r="B390" i="36" s="1"/>
  <c r="B391" i="36" s="1"/>
  <c r="B392" i="36" s="1"/>
  <c r="B393" i="36" s="1"/>
  <c r="B394" i="36" s="1"/>
  <c r="G245" i="36"/>
  <c r="G246" i="36" s="1"/>
  <c r="G247" i="36" s="1"/>
  <c r="G248" i="36" s="1"/>
  <c r="G249" i="36" s="1"/>
  <c r="G250" i="36" s="1"/>
  <c r="G251" i="36" s="1"/>
  <c r="G252" i="36" s="1"/>
  <c r="G253" i="36" s="1"/>
  <c r="G254" i="36" s="1"/>
  <c r="G255" i="36" s="1"/>
  <c r="G256" i="36" s="1"/>
  <c r="G257" i="36" s="1"/>
  <c r="G258" i="36" s="1"/>
  <c r="G259" i="36" s="1"/>
  <c r="G260" i="36" s="1"/>
  <c r="G261" i="36" s="1"/>
  <c r="G262" i="36" s="1"/>
  <c r="G263" i="36" s="1"/>
  <c r="G264" i="36" s="1"/>
  <c r="G265" i="36" s="1"/>
  <c r="G266" i="36" s="1"/>
  <c r="G267" i="36" s="1"/>
  <c r="G268" i="36" s="1"/>
  <c r="G269" i="36" s="1"/>
  <c r="G270" i="36" s="1"/>
  <c r="G271" i="36" s="1"/>
  <c r="G272" i="36" s="1"/>
  <c r="G273" i="36" s="1"/>
  <c r="G274" i="36" s="1"/>
  <c r="G275" i="36" s="1"/>
  <c r="G276" i="36" s="1"/>
  <c r="G277" i="36" s="1"/>
  <c r="G278" i="36" s="1"/>
  <c r="G279" i="36" s="1"/>
  <c r="G280" i="36" s="1"/>
  <c r="G281" i="36" s="1"/>
  <c r="G282" i="36" s="1"/>
  <c r="G283" i="36" s="1"/>
  <c r="G284" i="36" s="1"/>
  <c r="G285" i="36" s="1"/>
  <c r="G286" i="36" s="1"/>
  <c r="G287" i="36" s="1"/>
  <c r="G288" i="36" s="1"/>
  <c r="G289" i="36" s="1"/>
  <c r="G290" i="36" s="1"/>
  <c r="G291" i="36" s="1"/>
  <c r="G292" i="36" s="1"/>
  <c r="G293" i="36" s="1"/>
  <c r="G294" i="36" s="1"/>
  <c r="G295" i="36" s="1"/>
  <c r="G296" i="36" s="1"/>
  <c r="G297" i="36" s="1"/>
  <c r="G298" i="36" s="1"/>
  <c r="G299" i="36" s="1"/>
  <c r="G300" i="36" s="1"/>
  <c r="G301" i="36" s="1"/>
  <c r="G302" i="36" s="1"/>
  <c r="G303" i="36" s="1"/>
  <c r="G304" i="36" s="1"/>
  <c r="G305" i="36" s="1"/>
  <c r="G306" i="36" s="1"/>
  <c r="G307" i="36" s="1"/>
  <c r="G308" i="36" s="1"/>
  <c r="G309" i="36" s="1"/>
  <c r="G310" i="36" s="1"/>
  <c r="G311" i="36" s="1"/>
  <c r="G312" i="36" s="1"/>
  <c r="G313" i="36" s="1"/>
  <c r="G314" i="36" s="1"/>
  <c r="G315" i="36" s="1"/>
  <c r="G316" i="36" s="1"/>
  <c r="G317" i="36" s="1"/>
  <c r="G318" i="36" s="1"/>
  <c r="G319" i="36" s="1"/>
  <c r="G320" i="36" s="1"/>
  <c r="G321" i="36" s="1"/>
  <c r="G322" i="36" s="1"/>
  <c r="G323" i="36" s="1"/>
  <c r="G324" i="36" s="1"/>
  <c r="G325" i="36" s="1"/>
  <c r="G326" i="36" s="1"/>
  <c r="G327" i="36" s="1"/>
  <c r="G328" i="36" s="1"/>
  <c r="G329" i="36" s="1"/>
  <c r="G330" i="36" s="1"/>
  <c r="G331" i="36" s="1"/>
  <c r="G332" i="36" s="1"/>
  <c r="G333" i="36" s="1"/>
  <c r="G334" i="36" s="1"/>
  <c r="G335" i="36" s="1"/>
  <c r="G336" i="36" s="1"/>
  <c r="G337" i="36" s="1"/>
  <c r="G338" i="36" s="1"/>
  <c r="G339" i="36" s="1"/>
  <c r="G340" i="36" s="1"/>
  <c r="G341" i="36" s="1"/>
  <c r="G342" i="36" s="1"/>
  <c r="G343" i="36" s="1"/>
  <c r="G344" i="36" s="1"/>
  <c r="G345" i="36" s="1"/>
  <c r="G346" i="36" s="1"/>
  <c r="G347" i="36" s="1"/>
  <c r="G348" i="36" s="1"/>
  <c r="G349" i="36" s="1"/>
  <c r="G350" i="36" s="1"/>
  <c r="G351" i="36" s="1"/>
  <c r="G352" i="36" s="1"/>
  <c r="G353" i="36" s="1"/>
  <c r="G354" i="36" s="1"/>
  <c r="G355" i="36" s="1"/>
  <c r="G356" i="36" s="1"/>
  <c r="G357" i="36" s="1"/>
  <c r="G358" i="36" s="1"/>
  <c r="G359" i="36" s="1"/>
  <c r="G360" i="36" s="1"/>
  <c r="G361" i="36" s="1"/>
  <c r="G362" i="36" s="1"/>
  <c r="G363" i="36" s="1"/>
  <c r="G364" i="36" s="1"/>
  <c r="G365" i="36" s="1"/>
  <c r="G366" i="36" s="1"/>
  <c r="G367" i="36" s="1"/>
  <c r="G368" i="36" s="1"/>
  <c r="G369" i="36" s="1"/>
  <c r="G370" i="36" s="1"/>
  <c r="G371" i="36" s="1"/>
  <c r="G372" i="36" s="1"/>
  <c r="G373" i="36" s="1"/>
  <c r="G374" i="36" s="1"/>
  <c r="G375" i="36" s="1"/>
  <c r="G376" i="36" s="1"/>
  <c r="G377" i="36" s="1"/>
  <c r="G378" i="36" s="1"/>
  <c r="G379" i="36" s="1"/>
  <c r="G380" i="36" s="1"/>
  <c r="G381" i="36" s="1"/>
  <c r="G382" i="36" s="1"/>
  <c r="G383" i="36" s="1"/>
  <c r="G384" i="36" s="1"/>
  <c r="G385" i="36" s="1"/>
  <c r="G386" i="36" s="1"/>
  <c r="G387" i="36" s="1"/>
  <c r="G388" i="36" s="1"/>
  <c r="G389" i="36" s="1"/>
  <c r="G390" i="36" s="1"/>
  <c r="G391" i="36" s="1"/>
  <c r="G392" i="36" s="1"/>
  <c r="G393" i="36" s="1"/>
  <c r="G394" i="36" s="1"/>
  <c r="H245" i="36"/>
  <c r="I245" i="36"/>
  <c r="J245" i="36"/>
  <c r="K245" i="36"/>
  <c r="L245" i="36"/>
  <c r="M245" i="36"/>
  <c r="M246" i="36" s="1"/>
  <c r="M247" i="36" s="1"/>
  <c r="M248" i="36" s="1"/>
  <c r="M249" i="36" s="1"/>
  <c r="M250" i="36" s="1"/>
  <c r="M251" i="36" s="1"/>
  <c r="M252" i="36" s="1"/>
  <c r="M253" i="36" s="1"/>
  <c r="M254" i="36" s="1"/>
  <c r="M255" i="36" s="1"/>
  <c r="M256" i="36" s="1"/>
  <c r="M257" i="36" s="1"/>
  <c r="M258" i="36" s="1"/>
  <c r="M259" i="36" s="1"/>
  <c r="M260" i="36" s="1"/>
  <c r="M261" i="36" s="1"/>
  <c r="M262" i="36" s="1"/>
  <c r="M263" i="36" s="1"/>
  <c r="M264" i="36" s="1"/>
  <c r="M265" i="36" s="1"/>
  <c r="M266" i="36" s="1"/>
  <c r="M267" i="36" s="1"/>
  <c r="M268" i="36" s="1"/>
  <c r="M269" i="36" s="1"/>
  <c r="M270" i="36" s="1"/>
  <c r="M271" i="36" s="1"/>
  <c r="M272" i="36" s="1"/>
  <c r="M273" i="36" s="1"/>
  <c r="M274" i="36" s="1"/>
  <c r="M275" i="36" s="1"/>
  <c r="M276" i="36" s="1"/>
  <c r="M277" i="36" s="1"/>
  <c r="M278" i="36" s="1"/>
  <c r="M279" i="36" s="1"/>
  <c r="M280" i="36" s="1"/>
  <c r="M281" i="36" s="1"/>
  <c r="M282" i="36" s="1"/>
  <c r="M283" i="36" s="1"/>
  <c r="M284" i="36" s="1"/>
  <c r="M285" i="36" s="1"/>
  <c r="M286" i="36" s="1"/>
  <c r="M287" i="36" s="1"/>
  <c r="M288" i="36" s="1"/>
  <c r="M289" i="36" s="1"/>
  <c r="M290" i="36" s="1"/>
  <c r="M291" i="36" s="1"/>
  <c r="M292" i="36" s="1"/>
  <c r="M293" i="36" s="1"/>
  <c r="M294" i="36" s="1"/>
  <c r="M295" i="36" s="1"/>
  <c r="M296" i="36" s="1"/>
  <c r="M297" i="36" s="1"/>
  <c r="M298" i="36" s="1"/>
  <c r="M299" i="36" s="1"/>
  <c r="M300" i="36" s="1"/>
  <c r="M301" i="36" s="1"/>
  <c r="M302" i="36" s="1"/>
  <c r="M303" i="36" s="1"/>
  <c r="M304" i="36" s="1"/>
  <c r="M305" i="36" s="1"/>
  <c r="M306" i="36" s="1"/>
  <c r="M307" i="36" s="1"/>
  <c r="M308" i="36" s="1"/>
  <c r="M309" i="36" s="1"/>
  <c r="M310" i="36" s="1"/>
  <c r="M311" i="36" s="1"/>
  <c r="M312" i="36" s="1"/>
  <c r="M313" i="36" s="1"/>
  <c r="M314" i="36" s="1"/>
  <c r="M315" i="36" s="1"/>
  <c r="M316" i="36" s="1"/>
  <c r="M317" i="36" s="1"/>
  <c r="M318" i="36" s="1"/>
  <c r="M319" i="36" s="1"/>
  <c r="M320" i="36" s="1"/>
  <c r="M321" i="36" s="1"/>
  <c r="M322" i="36" s="1"/>
  <c r="M323" i="36" s="1"/>
  <c r="M324" i="36" s="1"/>
  <c r="M325" i="36" s="1"/>
  <c r="M326" i="36" s="1"/>
  <c r="M327" i="36" s="1"/>
  <c r="M328" i="36" s="1"/>
  <c r="M329" i="36" s="1"/>
  <c r="M330" i="36" s="1"/>
  <c r="M331" i="36" s="1"/>
  <c r="M332" i="36" s="1"/>
  <c r="M333" i="36" s="1"/>
  <c r="M334" i="36" s="1"/>
  <c r="M335" i="36" s="1"/>
  <c r="M336" i="36" s="1"/>
  <c r="M337" i="36" s="1"/>
  <c r="M338" i="36" s="1"/>
  <c r="M339" i="36" s="1"/>
  <c r="M340" i="36" s="1"/>
  <c r="M341" i="36" s="1"/>
  <c r="M342" i="36" s="1"/>
  <c r="M343" i="36" s="1"/>
  <c r="M344" i="36" s="1"/>
  <c r="M345" i="36" s="1"/>
  <c r="M346" i="36" s="1"/>
  <c r="M347" i="36" s="1"/>
  <c r="M348" i="36" s="1"/>
  <c r="M349" i="36" s="1"/>
  <c r="M350" i="36" s="1"/>
  <c r="M351" i="36" s="1"/>
  <c r="M352" i="36" s="1"/>
  <c r="M353" i="36" s="1"/>
  <c r="M354" i="36" s="1"/>
  <c r="M355" i="36" s="1"/>
  <c r="M356" i="36" s="1"/>
  <c r="M357" i="36" s="1"/>
  <c r="M358" i="36" s="1"/>
  <c r="M359" i="36" s="1"/>
  <c r="M360" i="36" s="1"/>
  <c r="M361" i="36" s="1"/>
  <c r="M362" i="36" s="1"/>
  <c r="M363" i="36" s="1"/>
  <c r="M364" i="36" s="1"/>
  <c r="M365" i="36" s="1"/>
  <c r="M366" i="36" s="1"/>
  <c r="M367" i="36" s="1"/>
  <c r="M368" i="36" s="1"/>
  <c r="M369" i="36" s="1"/>
  <c r="M370" i="36" s="1"/>
  <c r="M371" i="36" s="1"/>
  <c r="M372" i="36" s="1"/>
  <c r="M373" i="36" s="1"/>
  <c r="M374" i="36" s="1"/>
  <c r="M375" i="36" s="1"/>
  <c r="M376" i="36" s="1"/>
  <c r="M377" i="36" s="1"/>
  <c r="M378" i="36" s="1"/>
  <c r="M379" i="36" s="1"/>
  <c r="M380" i="36" s="1"/>
  <c r="M381" i="36" s="1"/>
  <c r="M382" i="36" s="1"/>
  <c r="M383" i="36" s="1"/>
  <c r="M384" i="36" s="1"/>
  <c r="M385" i="36" s="1"/>
  <c r="M386" i="36" s="1"/>
  <c r="M387" i="36" s="1"/>
  <c r="M388" i="36" s="1"/>
  <c r="M389" i="36" s="1"/>
  <c r="M390" i="36" s="1"/>
  <c r="M391" i="36" s="1"/>
  <c r="M392" i="36" s="1"/>
  <c r="M393" i="36" s="1"/>
  <c r="M394" i="36" s="1"/>
  <c r="O245" i="36"/>
  <c r="Q245" i="36"/>
  <c r="Q246" i="36" s="1"/>
  <c r="Q247" i="36" s="1"/>
  <c r="Q248" i="36" s="1"/>
  <c r="Q249" i="36" s="1"/>
  <c r="Q250" i="36" s="1"/>
  <c r="Q251" i="36" s="1"/>
  <c r="Q252" i="36" s="1"/>
  <c r="Q253" i="36" s="1"/>
  <c r="Q254" i="36" s="1"/>
  <c r="Q255" i="36" s="1"/>
  <c r="Q256" i="36" s="1"/>
  <c r="Q257" i="36" s="1"/>
  <c r="Q258" i="36" s="1"/>
  <c r="Q259" i="36" s="1"/>
  <c r="Q260" i="36" s="1"/>
  <c r="Q261" i="36" s="1"/>
  <c r="Q262" i="36" s="1"/>
  <c r="Q263" i="36" s="1"/>
  <c r="Q264" i="36" s="1"/>
  <c r="Q265" i="36" s="1"/>
  <c r="Q266" i="36" s="1"/>
  <c r="Q267" i="36" s="1"/>
  <c r="Q268" i="36" s="1"/>
  <c r="Q269" i="36" s="1"/>
  <c r="Q270" i="36" s="1"/>
  <c r="Q271" i="36" s="1"/>
  <c r="Q272" i="36" s="1"/>
  <c r="Q273" i="36" s="1"/>
  <c r="Q274" i="36" s="1"/>
  <c r="Q275" i="36" s="1"/>
  <c r="Q276" i="36" s="1"/>
  <c r="Q277" i="36" s="1"/>
  <c r="Q278" i="36" s="1"/>
  <c r="Q279" i="36" s="1"/>
  <c r="Q280" i="36" s="1"/>
  <c r="Q281" i="36" s="1"/>
  <c r="Q282" i="36" s="1"/>
  <c r="Q283" i="36" s="1"/>
  <c r="Q284" i="36" s="1"/>
  <c r="Q285" i="36" s="1"/>
  <c r="Q286" i="36" s="1"/>
  <c r="Q287" i="36" s="1"/>
  <c r="Q288" i="36" s="1"/>
  <c r="Q289" i="36" s="1"/>
  <c r="Q290" i="36" s="1"/>
  <c r="Q291" i="36" s="1"/>
  <c r="Q292" i="36" s="1"/>
  <c r="Q293" i="36" s="1"/>
  <c r="Q294" i="36" s="1"/>
  <c r="Q295" i="36" s="1"/>
  <c r="Q296" i="36" s="1"/>
  <c r="Q297" i="36" s="1"/>
  <c r="Q298" i="36" s="1"/>
  <c r="Q299" i="36" s="1"/>
  <c r="Q300" i="36" s="1"/>
  <c r="Q301" i="36" s="1"/>
  <c r="Q302" i="36" s="1"/>
  <c r="Q303" i="36" s="1"/>
  <c r="Q304" i="36" s="1"/>
  <c r="Q305" i="36" s="1"/>
  <c r="Q306" i="36" s="1"/>
  <c r="Q307" i="36" s="1"/>
  <c r="Q308" i="36" s="1"/>
  <c r="Q309" i="36" s="1"/>
  <c r="Q310" i="36" s="1"/>
  <c r="Q311" i="36" s="1"/>
  <c r="Q312" i="36" s="1"/>
  <c r="Q313" i="36" s="1"/>
  <c r="Q314" i="36" s="1"/>
  <c r="Q315" i="36" s="1"/>
  <c r="Q316" i="36" s="1"/>
  <c r="Q317" i="36" s="1"/>
  <c r="Q318" i="36" s="1"/>
  <c r="Q319" i="36" s="1"/>
  <c r="Q320" i="36" s="1"/>
  <c r="Q321" i="36" s="1"/>
  <c r="Q322" i="36" s="1"/>
  <c r="Q323" i="36" s="1"/>
  <c r="Q324" i="36" s="1"/>
  <c r="Q325" i="36" s="1"/>
  <c r="Q326" i="36" s="1"/>
  <c r="Q327" i="36" s="1"/>
  <c r="Q328" i="36" s="1"/>
  <c r="Q329" i="36" s="1"/>
  <c r="Q330" i="36" s="1"/>
  <c r="Q331" i="36" s="1"/>
  <c r="Q332" i="36" s="1"/>
  <c r="Q333" i="36" s="1"/>
  <c r="Q334" i="36" s="1"/>
  <c r="Q335" i="36" s="1"/>
  <c r="Q336" i="36" s="1"/>
  <c r="Q337" i="36" s="1"/>
  <c r="Q338" i="36" s="1"/>
  <c r="Q339" i="36" s="1"/>
  <c r="Q340" i="36" s="1"/>
  <c r="Q341" i="36" s="1"/>
  <c r="Q342" i="36" s="1"/>
  <c r="Q343" i="36" s="1"/>
  <c r="Q344" i="36" s="1"/>
  <c r="Q345" i="36" s="1"/>
  <c r="Q346" i="36" s="1"/>
  <c r="Q347" i="36" s="1"/>
  <c r="Q348" i="36" s="1"/>
  <c r="Q349" i="36" s="1"/>
  <c r="Q350" i="36" s="1"/>
  <c r="Q351" i="36" s="1"/>
  <c r="Q352" i="36" s="1"/>
  <c r="Q353" i="36" s="1"/>
  <c r="Q354" i="36" s="1"/>
  <c r="Q355" i="36" s="1"/>
  <c r="Q356" i="36" s="1"/>
  <c r="Q357" i="36" s="1"/>
  <c r="Q358" i="36" s="1"/>
  <c r="Q359" i="36" s="1"/>
  <c r="Q360" i="36" s="1"/>
  <c r="Q361" i="36" s="1"/>
  <c r="Q362" i="36" s="1"/>
  <c r="Q363" i="36" s="1"/>
  <c r="Q364" i="36" s="1"/>
  <c r="Q365" i="36" s="1"/>
  <c r="Q366" i="36" s="1"/>
  <c r="Q367" i="36" s="1"/>
  <c r="Q368" i="36" s="1"/>
  <c r="Q369" i="36" s="1"/>
  <c r="Q370" i="36" s="1"/>
  <c r="Q371" i="36" s="1"/>
  <c r="Q372" i="36" s="1"/>
  <c r="Q373" i="36" s="1"/>
  <c r="Q374" i="36" s="1"/>
  <c r="Q375" i="36" s="1"/>
  <c r="Q376" i="36" s="1"/>
  <c r="Q377" i="36" s="1"/>
  <c r="Q378" i="36" s="1"/>
  <c r="Q379" i="36" s="1"/>
  <c r="Q380" i="36" s="1"/>
  <c r="Q381" i="36" s="1"/>
  <c r="Q382" i="36" s="1"/>
  <c r="Q383" i="36" s="1"/>
  <c r="Q384" i="36" s="1"/>
  <c r="Q385" i="36" s="1"/>
  <c r="Q386" i="36" s="1"/>
  <c r="Q387" i="36" s="1"/>
  <c r="Q388" i="36" s="1"/>
  <c r="Q389" i="36" s="1"/>
  <c r="Q390" i="36" s="1"/>
  <c r="Q391" i="36" s="1"/>
  <c r="Q392" i="36" s="1"/>
  <c r="Q393" i="36" s="1"/>
  <c r="Q394" i="36" s="1"/>
  <c r="S245" i="36"/>
  <c r="T245" i="36"/>
  <c r="U245" i="36"/>
  <c r="V245" i="36"/>
  <c r="W245" i="36"/>
  <c r="AA245" i="36"/>
  <c r="AB245" i="36"/>
  <c r="AC245" i="36"/>
  <c r="AD245" i="36"/>
  <c r="AE245" i="36"/>
  <c r="AF245" i="36"/>
  <c r="AG245" i="36"/>
  <c r="H246" i="36"/>
  <c r="I246" i="36"/>
  <c r="J246" i="36"/>
  <c r="K246" i="36"/>
  <c r="L246" i="36"/>
  <c r="O246" i="36"/>
  <c r="S246" i="36"/>
  <c r="T246" i="36"/>
  <c r="U246" i="36"/>
  <c r="V246" i="36"/>
  <c r="W246" i="36"/>
  <c r="X246" i="36"/>
  <c r="Y246" i="36"/>
  <c r="Z246" i="36"/>
  <c r="AA246" i="36"/>
  <c r="AB246" i="36"/>
  <c r="AC246" i="36"/>
  <c r="AD246" i="36"/>
  <c r="AE246" i="36"/>
  <c r="AF246" i="36"/>
  <c r="AG246" i="36"/>
  <c r="AH246" i="36"/>
  <c r="AI246" i="36"/>
  <c r="AJ246" i="36"/>
  <c r="AM246" i="36"/>
  <c r="AM247" i="36" s="1"/>
  <c r="AM248" i="36" s="1"/>
  <c r="AM249" i="36" s="1"/>
  <c r="AM250" i="36" s="1"/>
  <c r="AM251" i="36" s="1"/>
  <c r="AM252" i="36" s="1"/>
  <c r="AM253" i="36" s="1"/>
  <c r="AM254" i="36" s="1"/>
  <c r="AM255" i="36" s="1"/>
  <c r="AM256" i="36" s="1"/>
  <c r="AM257" i="36" s="1"/>
  <c r="AM258" i="36" s="1"/>
  <c r="AM259" i="36" s="1"/>
  <c r="AM260" i="36" s="1"/>
  <c r="AM261" i="36" s="1"/>
  <c r="AM262" i="36" s="1"/>
  <c r="AM263" i="36" s="1"/>
  <c r="AM264" i="36" s="1"/>
  <c r="AM265" i="36" s="1"/>
  <c r="AM266" i="36" s="1"/>
  <c r="AM267" i="36" s="1"/>
  <c r="AM268" i="36" s="1"/>
  <c r="AM269" i="36" s="1"/>
  <c r="AM270" i="36" s="1"/>
  <c r="AM271" i="36" s="1"/>
  <c r="AM272" i="36" s="1"/>
  <c r="AM273" i="36" s="1"/>
  <c r="AM274" i="36" s="1"/>
  <c r="AM275" i="36" s="1"/>
  <c r="AM276" i="36" s="1"/>
  <c r="AM277" i="36" s="1"/>
  <c r="AM278" i="36" s="1"/>
  <c r="AM279" i="36" s="1"/>
  <c r="AM280" i="36" s="1"/>
  <c r="AM281" i="36" s="1"/>
  <c r="AM282" i="36" s="1"/>
  <c r="AM283" i="36" s="1"/>
  <c r="AM284" i="36" s="1"/>
  <c r="AM285" i="36" s="1"/>
  <c r="AM286" i="36" s="1"/>
  <c r="AM287" i="36" s="1"/>
  <c r="AM288" i="36" s="1"/>
  <c r="AM289" i="36" s="1"/>
  <c r="AM290" i="36" s="1"/>
  <c r="AM291" i="36" s="1"/>
  <c r="AM292" i="36" s="1"/>
  <c r="AM293" i="36" s="1"/>
  <c r="AM294" i="36" s="1"/>
  <c r="AM295" i="36" s="1"/>
  <c r="AM296" i="36" s="1"/>
  <c r="AM297" i="36" s="1"/>
  <c r="AM298" i="36" s="1"/>
  <c r="AM299" i="36" s="1"/>
  <c r="AM300" i="36" s="1"/>
  <c r="AM301" i="36" s="1"/>
  <c r="AM302" i="36" s="1"/>
  <c r="AM303" i="36" s="1"/>
  <c r="AM304" i="36" s="1"/>
  <c r="AM305" i="36" s="1"/>
  <c r="AM306" i="36" s="1"/>
  <c r="AM307" i="36" s="1"/>
  <c r="AM308" i="36" s="1"/>
  <c r="AM309" i="36" s="1"/>
  <c r="AM310" i="36" s="1"/>
  <c r="AM311" i="36" s="1"/>
  <c r="AM312" i="36" s="1"/>
  <c r="AM313" i="36" s="1"/>
  <c r="AM314" i="36" s="1"/>
  <c r="AM315" i="36" s="1"/>
  <c r="AM316" i="36" s="1"/>
  <c r="AM317" i="36" s="1"/>
  <c r="AM318" i="36" s="1"/>
  <c r="AM319" i="36" s="1"/>
  <c r="AM320" i="36" s="1"/>
  <c r="AM321" i="36" s="1"/>
  <c r="AM322" i="36" s="1"/>
  <c r="AM323" i="36" s="1"/>
  <c r="AM324" i="36" s="1"/>
  <c r="AM325" i="36" s="1"/>
  <c r="AM326" i="36" s="1"/>
  <c r="AM327" i="36" s="1"/>
  <c r="AM328" i="36" s="1"/>
  <c r="AM329" i="36" s="1"/>
  <c r="AM330" i="36" s="1"/>
  <c r="AM331" i="36" s="1"/>
  <c r="AM332" i="36" s="1"/>
  <c r="AM333" i="36" s="1"/>
  <c r="AM334" i="36" s="1"/>
  <c r="AM335" i="36" s="1"/>
  <c r="AM336" i="36" s="1"/>
  <c r="AM337" i="36" s="1"/>
  <c r="AM338" i="36" s="1"/>
  <c r="AM339" i="36" s="1"/>
  <c r="AM340" i="36" s="1"/>
  <c r="AM341" i="36" s="1"/>
  <c r="AM342" i="36" s="1"/>
  <c r="AM343" i="36" s="1"/>
  <c r="AM344" i="36" s="1"/>
  <c r="AM345" i="36" s="1"/>
  <c r="AM346" i="36" s="1"/>
  <c r="AM347" i="36" s="1"/>
  <c r="AM348" i="36" s="1"/>
  <c r="AM349" i="36" s="1"/>
  <c r="AM350" i="36" s="1"/>
  <c r="AM351" i="36" s="1"/>
  <c r="AM352" i="36" s="1"/>
  <c r="AM353" i="36" s="1"/>
  <c r="AM354" i="36" s="1"/>
  <c r="AM355" i="36" s="1"/>
  <c r="AM356" i="36" s="1"/>
  <c r="AM357" i="36" s="1"/>
  <c r="AM358" i="36" s="1"/>
  <c r="AM359" i="36" s="1"/>
  <c r="AM360" i="36" s="1"/>
  <c r="AM361" i="36" s="1"/>
  <c r="AM362" i="36" s="1"/>
  <c r="AM363" i="36" s="1"/>
  <c r="AM364" i="36" s="1"/>
  <c r="AM365" i="36" s="1"/>
  <c r="AM366" i="36" s="1"/>
  <c r="AM367" i="36" s="1"/>
  <c r="AM368" i="36" s="1"/>
  <c r="AM369" i="36" s="1"/>
  <c r="AM370" i="36" s="1"/>
  <c r="AM371" i="36" s="1"/>
  <c r="AM372" i="36" s="1"/>
  <c r="AM373" i="36" s="1"/>
  <c r="AM374" i="36" s="1"/>
  <c r="AM375" i="36" s="1"/>
  <c r="AM376" i="36" s="1"/>
  <c r="AM377" i="36" s="1"/>
  <c r="AM378" i="36" s="1"/>
  <c r="AM379" i="36" s="1"/>
  <c r="AM380" i="36" s="1"/>
  <c r="AM381" i="36" s="1"/>
  <c r="AM382" i="36" s="1"/>
  <c r="AM383" i="36" s="1"/>
  <c r="AM384" i="36" s="1"/>
  <c r="AM385" i="36" s="1"/>
  <c r="AM386" i="36" s="1"/>
  <c r="AM387" i="36" s="1"/>
  <c r="AM388" i="36" s="1"/>
  <c r="AM389" i="36" s="1"/>
  <c r="AM390" i="36" s="1"/>
  <c r="AM391" i="36" s="1"/>
  <c r="AM392" i="36" s="1"/>
  <c r="AM393" i="36" s="1"/>
  <c r="AM394" i="36" s="1"/>
  <c r="AN246" i="36"/>
  <c r="AN247" i="36" s="1"/>
  <c r="AN248" i="36" s="1"/>
  <c r="AN249" i="36" s="1"/>
  <c r="AN250" i="36" s="1"/>
  <c r="AN251" i="36" s="1"/>
  <c r="AN252" i="36" s="1"/>
  <c r="AN253" i="36" s="1"/>
  <c r="AN254" i="36" s="1"/>
  <c r="AN255" i="36" s="1"/>
  <c r="AN256" i="36" s="1"/>
  <c r="AN257" i="36" s="1"/>
  <c r="AN258" i="36" s="1"/>
  <c r="AN259" i="36" s="1"/>
  <c r="AN260" i="36" s="1"/>
  <c r="AN261" i="36" s="1"/>
  <c r="AN262" i="36" s="1"/>
  <c r="AN263" i="36" s="1"/>
  <c r="AN264" i="36" s="1"/>
  <c r="AN265" i="36" s="1"/>
  <c r="AN266" i="36" s="1"/>
  <c r="AN267" i="36" s="1"/>
  <c r="AN268" i="36" s="1"/>
  <c r="AN269" i="36" s="1"/>
  <c r="AN270" i="36" s="1"/>
  <c r="AN271" i="36" s="1"/>
  <c r="AN272" i="36" s="1"/>
  <c r="AN273" i="36" s="1"/>
  <c r="AN274" i="36" s="1"/>
  <c r="AN275" i="36" s="1"/>
  <c r="AN276" i="36" s="1"/>
  <c r="AN277" i="36" s="1"/>
  <c r="AN278" i="36" s="1"/>
  <c r="AN279" i="36" s="1"/>
  <c r="AN280" i="36" s="1"/>
  <c r="AN281" i="36" s="1"/>
  <c r="AN282" i="36" s="1"/>
  <c r="AN283" i="36" s="1"/>
  <c r="AN284" i="36" s="1"/>
  <c r="AN285" i="36" s="1"/>
  <c r="AN286" i="36" s="1"/>
  <c r="AN287" i="36" s="1"/>
  <c r="AN288" i="36" s="1"/>
  <c r="AN289" i="36" s="1"/>
  <c r="AN290" i="36" s="1"/>
  <c r="AN291" i="36" s="1"/>
  <c r="AN292" i="36" s="1"/>
  <c r="AN293" i="36" s="1"/>
  <c r="AN294" i="36" s="1"/>
  <c r="AN295" i="36" s="1"/>
  <c r="AN296" i="36" s="1"/>
  <c r="AN297" i="36" s="1"/>
  <c r="AN298" i="36" s="1"/>
  <c r="AN299" i="36" s="1"/>
  <c r="AN300" i="36" s="1"/>
  <c r="AN301" i="36" s="1"/>
  <c r="AN302" i="36" s="1"/>
  <c r="AN303" i="36" s="1"/>
  <c r="AN304" i="36" s="1"/>
  <c r="AN305" i="36" s="1"/>
  <c r="AN306" i="36" s="1"/>
  <c r="AN307" i="36" s="1"/>
  <c r="AN308" i="36" s="1"/>
  <c r="AN309" i="36" s="1"/>
  <c r="AN310" i="36" s="1"/>
  <c r="AN311" i="36" s="1"/>
  <c r="AN312" i="36" s="1"/>
  <c r="AN313" i="36" s="1"/>
  <c r="AN314" i="36" s="1"/>
  <c r="AN315" i="36" s="1"/>
  <c r="AN316" i="36" s="1"/>
  <c r="AN317" i="36" s="1"/>
  <c r="AN318" i="36" s="1"/>
  <c r="AN319" i="36" s="1"/>
  <c r="AN320" i="36" s="1"/>
  <c r="AN321" i="36" s="1"/>
  <c r="AN322" i="36" s="1"/>
  <c r="AN323" i="36" s="1"/>
  <c r="AN324" i="36" s="1"/>
  <c r="AN325" i="36" s="1"/>
  <c r="AN326" i="36" s="1"/>
  <c r="AN327" i="36" s="1"/>
  <c r="AN328" i="36" s="1"/>
  <c r="AN329" i="36" s="1"/>
  <c r="AN330" i="36" s="1"/>
  <c r="AN331" i="36" s="1"/>
  <c r="AN332" i="36" s="1"/>
  <c r="AN333" i="36" s="1"/>
  <c r="AN334" i="36" s="1"/>
  <c r="AN335" i="36" s="1"/>
  <c r="AN336" i="36" s="1"/>
  <c r="AN337" i="36" s="1"/>
  <c r="AN338" i="36" s="1"/>
  <c r="AN339" i="36" s="1"/>
  <c r="AN340" i="36" s="1"/>
  <c r="AN341" i="36" s="1"/>
  <c r="AN342" i="36" s="1"/>
  <c r="AN343" i="36" s="1"/>
  <c r="AN344" i="36" s="1"/>
  <c r="AN345" i="36" s="1"/>
  <c r="AN346" i="36" s="1"/>
  <c r="AN347" i="36" s="1"/>
  <c r="AN348" i="36" s="1"/>
  <c r="AN349" i="36" s="1"/>
  <c r="AN350" i="36" s="1"/>
  <c r="AN351" i="36" s="1"/>
  <c r="AN352" i="36" s="1"/>
  <c r="AN353" i="36" s="1"/>
  <c r="AN354" i="36" s="1"/>
  <c r="AN355" i="36" s="1"/>
  <c r="AN356" i="36" s="1"/>
  <c r="AN357" i="36" s="1"/>
  <c r="AN358" i="36" s="1"/>
  <c r="AN359" i="36" s="1"/>
  <c r="AN360" i="36" s="1"/>
  <c r="AN361" i="36" s="1"/>
  <c r="AN362" i="36" s="1"/>
  <c r="AN363" i="36" s="1"/>
  <c r="AN364" i="36" s="1"/>
  <c r="AN365" i="36" s="1"/>
  <c r="AN366" i="36" s="1"/>
  <c r="AN367" i="36" s="1"/>
  <c r="AN368" i="36" s="1"/>
  <c r="AN369" i="36" s="1"/>
  <c r="AN370" i="36" s="1"/>
  <c r="AN371" i="36" s="1"/>
  <c r="AN372" i="36" s="1"/>
  <c r="AN373" i="36" s="1"/>
  <c r="AN374" i="36" s="1"/>
  <c r="AN375" i="36" s="1"/>
  <c r="AN376" i="36" s="1"/>
  <c r="AN377" i="36" s="1"/>
  <c r="AN378" i="36" s="1"/>
  <c r="AN379" i="36" s="1"/>
  <c r="AN380" i="36" s="1"/>
  <c r="AN381" i="36" s="1"/>
  <c r="AN382" i="36" s="1"/>
  <c r="AN383" i="36" s="1"/>
  <c r="AN384" i="36" s="1"/>
  <c r="AN385" i="36" s="1"/>
  <c r="AN386" i="36" s="1"/>
  <c r="AN387" i="36" s="1"/>
  <c r="AN388" i="36" s="1"/>
  <c r="AN389" i="36" s="1"/>
  <c r="AN390" i="36" s="1"/>
  <c r="AN391" i="36" s="1"/>
  <c r="AN392" i="36" s="1"/>
  <c r="AN393" i="36" s="1"/>
  <c r="AN394" i="36" s="1"/>
  <c r="H247" i="36"/>
  <c r="I247" i="36"/>
  <c r="J247" i="36"/>
  <c r="K247" i="36"/>
  <c r="L247" i="36"/>
  <c r="O247" i="36"/>
  <c r="S247" i="36"/>
  <c r="T247" i="36"/>
  <c r="U247" i="36"/>
  <c r="V247" i="36"/>
  <c r="W247" i="36"/>
  <c r="X247" i="36"/>
  <c r="Y247" i="36"/>
  <c r="Z247" i="36"/>
  <c r="AA247" i="36"/>
  <c r="AB247" i="36"/>
  <c r="AC247" i="36"/>
  <c r="AD247" i="36"/>
  <c r="AE247" i="36"/>
  <c r="AF247" i="36"/>
  <c r="AG247" i="36"/>
  <c r="AH247" i="36"/>
  <c r="AI247" i="36"/>
  <c r="AJ247" i="36"/>
  <c r="H248" i="36"/>
  <c r="I248" i="36"/>
  <c r="J248" i="36"/>
  <c r="K248" i="36"/>
  <c r="L248" i="36"/>
  <c r="O248" i="36"/>
  <c r="S248" i="36"/>
  <c r="T248" i="36"/>
  <c r="U248" i="36"/>
  <c r="V248" i="36"/>
  <c r="W248" i="36"/>
  <c r="X248" i="36"/>
  <c r="Y248" i="36"/>
  <c r="Z248" i="36"/>
  <c r="AA248" i="36"/>
  <c r="AB248" i="36"/>
  <c r="AC248" i="36"/>
  <c r="AD248" i="36"/>
  <c r="AE248" i="36"/>
  <c r="AF248" i="36"/>
  <c r="AG248" i="36"/>
  <c r="AH248" i="36"/>
  <c r="AI248" i="36"/>
  <c r="AJ248" i="36"/>
  <c r="H249" i="36"/>
  <c r="I249" i="36"/>
  <c r="J249" i="36"/>
  <c r="K249" i="36"/>
  <c r="L249" i="36"/>
  <c r="O249" i="36"/>
  <c r="S249" i="36"/>
  <c r="T249" i="36"/>
  <c r="U249" i="36"/>
  <c r="V249" i="36"/>
  <c r="W249" i="36"/>
  <c r="X249" i="36"/>
  <c r="Y249" i="36"/>
  <c r="Z249" i="36"/>
  <c r="AA249" i="36"/>
  <c r="AB249" i="36"/>
  <c r="AC249" i="36"/>
  <c r="AD249" i="36"/>
  <c r="AE249" i="36"/>
  <c r="AF249" i="36"/>
  <c r="AG249" i="36"/>
  <c r="AH249" i="36"/>
  <c r="AI249" i="36"/>
  <c r="AJ249" i="36"/>
  <c r="H250" i="36"/>
  <c r="I250" i="36"/>
  <c r="J250" i="36"/>
  <c r="K250" i="36"/>
  <c r="L250" i="36"/>
  <c r="O250" i="36"/>
  <c r="S250" i="36"/>
  <c r="T250" i="36"/>
  <c r="U250" i="36"/>
  <c r="V250" i="36"/>
  <c r="W250" i="36"/>
  <c r="X250" i="36"/>
  <c r="Y250" i="36"/>
  <c r="Z250" i="36"/>
  <c r="AA250" i="36"/>
  <c r="AB250" i="36"/>
  <c r="AC250" i="36"/>
  <c r="AD250" i="36"/>
  <c r="AE250" i="36"/>
  <c r="AF250" i="36"/>
  <c r="AG250" i="36"/>
  <c r="AH250" i="36"/>
  <c r="AI250" i="36"/>
  <c r="AJ250" i="36"/>
  <c r="H251" i="36"/>
  <c r="I251" i="36"/>
  <c r="J251" i="36"/>
  <c r="K251" i="36"/>
  <c r="L251" i="36"/>
  <c r="O251" i="36"/>
  <c r="S251" i="36"/>
  <c r="T251" i="36"/>
  <c r="U251" i="36"/>
  <c r="V251" i="36"/>
  <c r="W251" i="36"/>
  <c r="X251" i="36"/>
  <c r="Y251" i="36"/>
  <c r="Z251" i="36"/>
  <c r="AA251" i="36"/>
  <c r="AB251" i="36"/>
  <c r="AC251" i="36"/>
  <c r="AD251" i="36"/>
  <c r="AE251" i="36"/>
  <c r="AF251" i="36"/>
  <c r="AG251" i="36"/>
  <c r="AH251" i="36"/>
  <c r="AI251" i="36"/>
  <c r="AJ251" i="36"/>
  <c r="H252" i="36"/>
  <c r="I252" i="36"/>
  <c r="J252" i="36"/>
  <c r="K252" i="36"/>
  <c r="L252" i="36"/>
  <c r="O252" i="36"/>
  <c r="S252" i="36"/>
  <c r="T252" i="36"/>
  <c r="U252" i="36"/>
  <c r="V252" i="36"/>
  <c r="W252" i="36"/>
  <c r="X252" i="36"/>
  <c r="Y252" i="36"/>
  <c r="Z252" i="36"/>
  <c r="AA252" i="36"/>
  <c r="AB252" i="36"/>
  <c r="AC252" i="36"/>
  <c r="AD252" i="36"/>
  <c r="AE252" i="36"/>
  <c r="AF252" i="36"/>
  <c r="AG252" i="36"/>
  <c r="AH252" i="36"/>
  <c r="AI252" i="36"/>
  <c r="AJ252" i="36"/>
  <c r="H253" i="36"/>
  <c r="I253" i="36"/>
  <c r="J253" i="36"/>
  <c r="K253" i="36"/>
  <c r="L253" i="36"/>
  <c r="O253" i="36"/>
  <c r="S253" i="36"/>
  <c r="T253" i="36"/>
  <c r="U253" i="36"/>
  <c r="V253" i="36"/>
  <c r="W253" i="36"/>
  <c r="X253" i="36"/>
  <c r="Y253" i="36"/>
  <c r="Z253" i="36"/>
  <c r="AA253" i="36"/>
  <c r="AB253" i="36"/>
  <c r="AC253" i="36"/>
  <c r="AD253" i="36"/>
  <c r="AE253" i="36"/>
  <c r="AF253" i="36"/>
  <c r="AG253" i="36"/>
  <c r="AH253" i="36"/>
  <c r="AI253" i="36"/>
  <c r="AJ253" i="36"/>
  <c r="H254" i="36"/>
  <c r="I254" i="36"/>
  <c r="J254" i="36"/>
  <c r="K254" i="36"/>
  <c r="L254" i="36"/>
  <c r="O254" i="36"/>
  <c r="S254" i="36"/>
  <c r="T254" i="36"/>
  <c r="U254" i="36"/>
  <c r="V254" i="36"/>
  <c r="W254" i="36"/>
  <c r="X254" i="36"/>
  <c r="Y254" i="36"/>
  <c r="Z254" i="36"/>
  <c r="AA254" i="36"/>
  <c r="AB254" i="36"/>
  <c r="AC254" i="36"/>
  <c r="AD254" i="36"/>
  <c r="AE254" i="36"/>
  <c r="AF254" i="36"/>
  <c r="AG254" i="36"/>
  <c r="AH254" i="36"/>
  <c r="AI254" i="36"/>
  <c r="AJ254" i="36"/>
  <c r="H255" i="36"/>
  <c r="I255" i="36"/>
  <c r="J255" i="36"/>
  <c r="K255" i="36"/>
  <c r="L255" i="36"/>
  <c r="O255" i="36"/>
  <c r="S255" i="36"/>
  <c r="T255" i="36"/>
  <c r="U255" i="36"/>
  <c r="V255" i="36"/>
  <c r="W255" i="36"/>
  <c r="X255" i="36"/>
  <c r="Y255" i="36"/>
  <c r="Z255" i="36"/>
  <c r="AA255" i="36"/>
  <c r="AB255" i="36"/>
  <c r="AC255" i="36"/>
  <c r="AD255" i="36"/>
  <c r="AE255" i="36"/>
  <c r="AF255" i="36"/>
  <c r="AG255" i="36"/>
  <c r="AH255" i="36"/>
  <c r="AI255" i="36"/>
  <c r="AJ255" i="36"/>
  <c r="H256" i="36"/>
  <c r="I256" i="36"/>
  <c r="J256" i="36"/>
  <c r="K256" i="36"/>
  <c r="L256" i="36"/>
  <c r="O256" i="36"/>
  <c r="S256" i="36"/>
  <c r="T256" i="36"/>
  <c r="U256" i="36"/>
  <c r="V256" i="36"/>
  <c r="W256" i="36"/>
  <c r="X256" i="36"/>
  <c r="Y256" i="36"/>
  <c r="Z256" i="36"/>
  <c r="AA256" i="36"/>
  <c r="AB256" i="36"/>
  <c r="AC256" i="36"/>
  <c r="AD256" i="36"/>
  <c r="AE256" i="36"/>
  <c r="AF256" i="36"/>
  <c r="AG256" i="36"/>
  <c r="AH256" i="36"/>
  <c r="AI256" i="36"/>
  <c r="AJ256" i="36"/>
  <c r="H257" i="36"/>
  <c r="I257" i="36"/>
  <c r="J257" i="36"/>
  <c r="K257" i="36"/>
  <c r="L257" i="36"/>
  <c r="O257" i="36"/>
  <c r="S257" i="36"/>
  <c r="T257" i="36"/>
  <c r="U257" i="36"/>
  <c r="V257" i="36"/>
  <c r="W257" i="36"/>
  <c r="X257" i="36"/>
  <c r="Y257" i="36"/>
  <c r="Z257" i="36"/>
  <c r="AA257" i="36"/>
  <c r="AB257" i="36"/>
  <c r="AC257" i="36"/>
  <c r="AD257" i="36"/>
  <c r="AE257" i="36"/>
  <c r="AF257" i="36"/>
  <c r="AG257" i="36"/>
  <c r="AH257" i="36"/>
  <c r="AI257" i="36"/>
  <c r="AJ257" i="36"/>
  <c r="H258" i="36"/>
  <c r="I258" i="36"/>
  <c r="J258" i="36"/>
  <c r="K258" i="36"/>
  <c r="L258" i="36"/>
  <c r="O258" i="36"/>
  <c r="S258" i="36"/>
  <c r="T258" i="36"/>
  <c r="U258" i="36"/>
  <c r="V258" i="36"/>
  <c r="W258" i="36"/>
  <c r="X258" i="36"/>
  <c r="Y258" i="36"/>
  <c r="Z258" i="36"/>
  <c r="AA258" i="36"/>
  <c r="AB258" i="36"/>
  <c r="AC258" i="36"/>
  <c r="AD258" i="36"/>
  <c r="AE258" i="36"/>
  <c r="AF258" i="36"/>
  <c r="AG258" i="36"/>
  <c r="AH258" i="36"/>
  <c r="AI258" i="36"/>
  <c r="AJ258" i="36"/>
  <c r="H259" i="36"/>
  <c r="I259" i="36"/>
  <c r="J259" i="36"/>
  <c r="K259" i="36"/>
  <c r="L259" i="36"/>
  <c r="O259" i="36"/>
  <c r="S259" i="36"/>
  <c r="T259" i="36"/>
  <c r="U259" i="36"/>
  <c r="V259" i="36"/>
  <c r="W259" i="36"/>
  <c r="X259" i="36"/>
  <c r="Y259" i="36"/>
  <c r="Z259" i="36"/>
  <c r="AA259" i="36"/>
  <c r="AB259" i="36"/>
  <c r="AC259" i="36"/>
  <c r="AD259" i="36"/>
  <c r="AE259" i="36"/>
  <c r="AF259" i="36"/>
  <c r="AG259" i="36"/>
  <c r="AH259" i="36"/>
  <c r="AI259" i="36"/>
  <c r="AJ259" i="36"/>
  <c r="H260" i="36"/>
  <c r="I260" i="36"/>
  <c r="J260" i="36"/>
  <c r="K260" i="36"/>
  <c r="L260" i="36"/>
  <c r="O260" i="36"/>
  <c r="S260" i="36"/>
  <c r="T260" i="36"/>
  <c r="U260" i="36"/>
  <c r="V260" i="36"/>
  <c r="W260" i="36"/>
  <c r="X260" i="36"/>
  <c r="Y260" i="36"/>
  <c r="Z260" i="36"/>
  <c r="AA260" i="36"/>
  <c r="AB260" i="36"/>
  <c r="AC260" i="36"/>
  <c r="AD260" i="36"/>
  <c r="AE260" i="36"/>
  <c r="AF260" i="36"/>
  <c r="AG260" i="36"/>
  <c r="AH260" i="36"/>
  <c r="AI260" i="36"/>
  <c r="AJ260" i="36"/>
  <c r="H261" i="36"/>
  <c r="I261" i="36"/>
  <c r="J261" i="36"/>
  <c r="K261" i="36"/>
  <c r="L261" i="36"/>
  <c r="O261" i="36"/>
  <c r="S261" i="36"/>
  <c r="T261" i="36"/>
  <c r="U261" i="36"/>
  <c r="V261" i="36"/>
  <c r="W261" i="36"/>
  <c r="X261" i="36"/>
  <c r="Y261" i="36"/>
  <c r="Z261" i="36"/>
  <c r="AA261" i="36"/>
  <c r="AB261" i="36"/>
  <c r="AC261" i="36"/>
  <c r="AD261" i="36"/>
  <c r="AE261" i="36"/>
  <c r="AF261" i="36"/>
  <c r="AG261" i="36"/>
  <c r="AH261" i="36"/>
  <c r="AI261" i="36"/>
  <c r="AJ261" i="36"/>
  <c r="H262" i="36"/>
  <c r="I262" i="36"/>
  <c r="J262" i="36"/>
  <c r="K262" i="36"/>
  <c r="L262" i="36"/>
  <c r="O262" i="36"/>
  <c r="S262" i="36"/>
  <c r="T262" i="36"/>
  <c r="U262" i="36"/>
  <c r="V262" i="36"/>
  <c r="W262" i="36"/>
  <c r="X262" i="36"/>
  <c r="Y262" i="36"/>
  <c r="Z262" i="36"/>
  <c r="AA262" i="36"/>
  <c r="AB262" i="36"/>
  <c r="AC262" i="36"/>
  <c r="AD262" i="36"/>
  <c r="AE262" i="36"/>
  <c r="AF262" i="36"/>
  <c r="AG262" i="36"/>
  <c r="AH262" i="36"/>
  <c r="AI262" i="36"/>
  <c r="AJ262" i="36"/>
  <c r="H263" i="36"/>
  <c r="I263" i="36"/>
  <c r="J263" i="36"/>
  <c r="K263" i="36"/>
  <c r="L263" i="36"/>
  <c r="O263" i="36"/>
  <c r="S263" i="36"/>
  <c r="T263" i="36"/>
  <c r="U263" i="36"/>
  <c r="V263" i="36"/>
  <c r="W263" i="36"/>
  <c r="X263" i="36"/>
  <c r="Y263" i="36"/>
  <c r="Z263" i="36"/>
  <c r="AA263" i="36"/>
  <c r="AB263" i="36"/>
  <c r="AC263" i="36"/>
  <c r="AD263" i="36"/>
  <c r="AE263" i="36"/>
  <c r="AF263" i="36"/>
  <c r="AG263" i="36"/>
  <c r="AH263" i="36"/>
  <c r="AI263" i="36"/>
  <c r="AJ263" i="36"/>
  <c r="H264" i="36"/>
  <c r="I264" i="36"/>
  <c r="J264" i="36"/>
  <c r="K264" i="36"/>
  <c r="L264" i="36"/>
  <c r="O264" i="36"/>
  <c r="S264" i="36"/>
  <c r="T264" i="36"/>
  <c r="U264" i="36"/>
  <c r="V264" i="36"/>
  <c r="W264" i="36"/>
  <c r="X264" i="36"/>
  <c r="Y264" i="36"/>
  <c r="Z264" i="36"/>
  <c r="AA264" i="36"/>
  <c r="AB264" i="36"/>
  <c r="AC264" i="36"/>
  <c r="AD264" i="36"/>
  <c r="AE264" i="36"/>
  <c r="AF264" i="36"/>
  <c r="AG264" i="36"/>
  <c r="AH264" i="36"/>
  <c r="AI264" i="36"/>
  <c r="AJ264" i="36"/>
  <c r="H265" i="36"/>
  <c r="I265" i="36"/>
  <c r="J265" i="36"/>
  <c r="K265" i="36"/>
  <c r="L265" i="36"/>
  <c r="O265" i="36"/>
  <c r="S265" i="36"/>
  <c r="T265" i="36"/>
  <c r="U265" i="36"/>
  <c r="V265" i="36"/>
  <c r="W265" i="36"/>
  <c r="X265" i="36"/>
  <c r="Y265" i="36"/>
  <c r="Z265" i="36"/>
  <c r="AA265" i="36"/>
  <c r="AB265" i="36"/>
  <c r="AC265" i="36"/>
  <c r="AD265" i="36"/>
  <c r="AE265" i="36"/>
  <c r="AF265" i="36"/>
  <c r="AG265" i="36"/>
  <c r="AH265" i="36"/>
  <c r="AI265" i="36"/>
  <c r="AJ265" i="36"/>
  <c r="H266" i="36"/>
  <c r="I266" i="36"/>
  <c r="J266" i="36"/>
  <c r="K266" i="36"/>
  <c r="L266" i="36"/>
  <c r="O266" i="36"/>
  <c r="S266" i="36"/>
  <c r="T266" i="36"/>
  <c r="U266" i="36"/>
  <c r="V266" i="36"/>
  <c r="W266" i="36"/>
  <c r="X266" i="36"/>
  <c r="Y266" i="36"/>
  <c r="Z266" i="36"/>
  <c r="AA266" i="36"/>
  <c r="AB266" i="36"/>
  <c r="AC266" i="36"/>
  <c r="AD266" i="36"/>
  <c r="AE266" i="36"/>
  <c r="AF266" i="36"/>
  <c r="AG266" i="36"/>
  <c r="AH266" i="36"/>
  <c r="AI266" i="36"/>
  <c r="AJ266" i="36"/>
  <c r="H267" i="36"/>
  <c r="I267" i="36"/>
  <c r="J267" i="36"/>
  <c r="K267" i="36"/>
  <c r="L267" i="36"/>
  <c r="O267" i="36"/>
  <c r="S267" i="36"/>
  <c r="T267" i="36"/>
  <c r="U267" i="36"/>
  <c r="V267" i="36"/>
  <c r="W267" i="36"/>
  <c r="X267" i="36"/>
  <c r="Y267" i="36"/>
  <c r="Z267" i="36"/>
  <c r="AA267" i="36"/>
  <c r="AB267" i="36"/>
  <c r="AC267" i="36"/>
  <c r="AD267" i="36"/>
  <c r="AE267" i="36"/>
  <c r="AF267" i="36"/>
  <c r="AG267" i="36"/>
  <c r="AH267" i="36"/>
  <c r="AI267" i="36"/>
  <c r="AJ267" i="36"/>
  <c r="H268" i="36"/>
  <c r="I268" i="36"/>
  <c r="J268" i="36"/>
  <c r="K268" i="36"/>
  <c r="L268" i="36"/>
  <c r="O268" i="36"/>
  <c r="S268" i="36"/>
  <c r="T268" i="36"/>
  <c r="U268" i="36"/>
  <c r="V268" i="36"/>
  <c r="W268" i="36"/>
  <c r="X268" i="36"/>
  <c r="Y268" i="36"/>
  <c r="Z268" i="36"/>
  <c r="AA268" i="36"/>
  <c r="AB268" i="36"/>
  <c r="AC268" i="36"/>
  <c r="AD268" i="36"/>
  <c r="AE268" i="36"/>
  <c r="AF268" i="36"/>
  <c r="AG268" i="36"/>
  <c r="AH268" i="36"/>
  <c r="AI268" i="36"/>
  <c r="AJ268" i="36"/>
  <c r="H269" i="36"/>
  <c r="I269" i="36"/>
  <c r="J269" i="36"/>
  <c r="K269" i="36"/>
  <c r="L269" i="36"/>
  <c r="O269" i="36"/>
  <c r="S269" i="36"/>
  <c r="T269" i="36"/>
  <c r="U269" i="36"/>
  <c r="V269" i="36"/>
  <c r="W269" i="36"/>
  <c r="X269" i="36"/>
  <c r="Y269" i="36"/>
  <c r="Z269" i="36"/>
  <c r="AA269" i="36"/>
  <c r="AB269" i="36"/>
  <c r="AC269" i="36"/>
  <c r="AD269" i="36"/>
  <c r="AE269" i="36"/>
  <c r="AF269" i="36"/>
  <c r="AG269" i="36"/>
  <c r="AH269" i="36"/>
  <c r="AI269" i="36"/>
  <c r="AJ269" i="36"/>
  <c r="H270" i="36"/>
  <c r="I270" i="36"/>
  <c r="J270" i="36"/>
  <c r="K270" i="36"/>
  <c r="L270" i="36"/>
  <c r="O270" i="36"/>
  <c r="S270" i="36"/>
  <c r="T270" i="36"/>
  <c r="U270" i="36"/>
  <c r="V270" i="36"/>
  <c r="W270" i="36"/>
  <c r="X270" i="36"/>
  <c r="Y270" i="36"/>
  <c r="Z270" i="36"/>
  <c r="AA270" i="36"/>
  <c r="AB270" i="36"/>
  <c r="AC270" i="36"/>
  <c r="AD270" i="36"/>
  <c r="AE270" i="36"/>
  <c r="AF270" i="36"/>
  <c r="AG270" i="36"/>
  <c r="AH270" i="36"/>
  <c r="AI270" i="36"/>
  <c r="AJ270" i="36"/>
  <c r="H271" i="36"/>
  <c r="I271" i="36"/>
  <c r="J271" i="36"/>
  <c r="K271" i="36"/>
  <c r="L271" i="36"/>
  <c r="O271" i="36"/>
  <c r="S271" i="36"/>
  <c r="T271" i="36"/>
  <c r="U271" i="36"/>
  <c r="V271" i="36"/>
  <c r="W271" i="36"/>
  <c r="X271" i="36"/>
  <c r="Y271" i="36"/>
  <c r="Z271" i="36"/>
  <c r="AA271" i="36"/>
  <c r="AB271" i="36"/>
  <c r="AC271" i="36"/>
  <c r="AD271" i="36"/>
  <c r="AE271" i="36"/>
  <c r="AF271" i="36"/>
  <c r="AG271" i="36"/>
  <c r="AH271" i="36"/>
  <c r="AI271" i="36"/>
  <c r="AJ271" i="36"/>
  <c r="H272" i="36"/>
  <c r="I272" i="36"/>
  <c r="J272" i="36"/>
  <c r="K272" i="36"/>
  <c r="L272" i="36"/>
  <c r="O272" i="36"/>
  <c r="S272" i="36"/>
  <c r="T272" i="36"/>
  <c r="U272" i="36"/>
  <c r="V272" i="36"/>
  <c r="W272" i="36"/>
  <c r="X272" i="36"/>
  <c r="Y272" i="36"/>
  <c r="Z272" i="36"/>
  <c r="AA272" i="36"/>
  <c r="AB272" i="36"/>
  <c r="AC272" i="36"/>
  <c r="AD272" i="36"/>
  <c r="AE272" i="36"/>
  <c r="AF272" i="36"/>
  <c r="AG272" i="36"/>
  <c r="AH272" i="36"/>
  <c r="AI272" i="36"/>
  <c r="AJ272" i="36"/>
  <c r="H273" i="36"/>
  <c r="I273" i="36"/>
  <c r="J273" i="36"/>
  <c r="K273" i="36"/>
  <c r="L273" i="36"/>
  <c r="O273" i="36"/>
  <c r="S273" i="36"/>
  <c r="T273" i="36"/>
  <c r="U273" i="36"/>
  <c r="V273" i="36"/>
  <c r="W273" i="36"/>
  <c r="X273" i="36"/>
  <c r="Y273" i="36"/>
  <c r="Z273" i="36"/>
  <c r="AA273" i="36"/>
  <c r="AB273" i="36"/>
  <c r="AC273" i="36"/>
  <c r="AD273" i="36"/>
  <c r="AE273" i="36"/>
  <c r="AF273" i="36"/>
  <c r="AG273" i="36"/>
  <c r="AH273" i="36"/>
  <c r="AI273" i="36"/>
  <c r="AJ273" i="36"/>
  <c r="H274" i="36"/>
  <c r="I274" i="36"/>
  <c r="J274" i="36"/>
  <c r="K274" i="36"/>
  <c r="L274" i="36"/>
  <c r="O274" i="36"/>
  <c r="S274" i="36"/>
  <c r="T274" i="36"/>
  <c r="U274" i="36"/>
  <c r="V274" i="36"/>
  <c r="W274" i="36"/>
  <c r="X274" i="36"/>
  <c r="Y274" i="36"/>
  <c r="Z274" i="36"/>
  <c r="AA274" i="36"/>
  <c r="AB274" i="36"/>
  <c r="AC274" i="36"/>
  <c r="AD274" i="36"/>
  <c r="AE274" i="36"/>
  <c r="AF274" i="36"/>
  <c r="AG274" i="36"/>
  <c r="AH274" i="36"/>
  <c r="AI274" i="36"/>
  <c r="AJ274" i="36"/>
  <c r="H275" i="36"/>
  <c r="I275" i="36"/>
  <c r="J275" i="36"/>
  <c r="K275" i="36"/>
  <c r="L275" i="36"/>
  <c r="O275" i="36"/>
  <c r="S275" i="36"/>
  <c r="T275" i="36"/>
  <c r="U275" i="36"/>
  <c r="V275" i="36"/>
  <c r="W275" i="36"/>
  <c r="X275" i="36"/>
  <c r="Y275" i="36"/>
  <c r="Z275" i="36"/>
  <c r="AA275" i="36"/>
  <c r="AB275" i="36"/>
  <c r="AC275" i="36"/>
  <c r="AD275" i="36"/>
  <c r="AE275" i="36"/>
  <c r="AF275" i="36"/>
  <c r="AG275" i="36"/>
  <c r="AH275" i="36"/>
  <c r="AI275" i="36"/>
  <c r="AJ275" i="36"/>
  <c r="H276" i="36"/>
  <c r="I276" i="36"/>
  <c r="J276" i="36"/>
  <c r="K276" i="36"/>
  <c r="L276" i="36"/>
  <c r="O276" i="36"/>
  <c r="S276" i="36"/>
  <c r="T276" i="36"/>
  <c r="U276" i="36"/>
  <c r="V276" i="36"/>
  <c r="W276" i="36"/>
  <c r="X276" i="36"/>
  <c r="Y276" i="36"/>
  <c r="Z276" i="36"/>
  <c r="AA276" i="36"/>
  <c r="AB276" i="36"/>
  <c r="AC276" i="36"/>
  <c r="AD276" i="36"/>
  <c r="AE276" i="36"/>
  <c r="AF276" i="36"/>
  <c r="AG276" i="36"/>
  <c r="AH276" i="36"/>
  <c r="AI276" i="36"/>
  <c r="AJ276" i="36"/>
  <c r="H277" i="36"/>
  <c r="I277" i="36"/>
  <c r="J277" i="36"/>
  <c r="K277" i="36"/>
  <c r="L277" i="36"/>
  <c r="O277" i="36"/>
  <c r="S277" i="36"/>
  <c r="T277" i="36"/>
  <c r="U277" i="36"/>
  <c r="V277" i="36"/>
  <c r="W277" i="36"/>
  <c r="X277" i="36"/>
  <c r="Y277" i="36"/>
  <c r="Z277" i="36"/>
  <c r="AA277" i="36"/>
  <c r="AB277" i="36"/>
  <c r="AC277" i="36"/>
  <c r="AD277" i="36"/>
  <c r="AE277" i="36"/>
  <c r="AF277" i="36"/>
  <c r="AG277" i="36"/>
  <c r="AH277" i="36"/>
  <c r="AI277" i="36"/>
  <c r="AJ277" i="36"/>
  <c r="H278" i="36"/>
  <c r="I278" i="36"/>
  <c r="J278" i="36"/>
  <c r="K278" i="36"/>
  <c r="L278" i="36"/>
  <c r="O278" i="36"/>
  <c r="S278" i="36"/>
  <c r="T278" i="36"/>
  <c r="U278" i="36"/>
  <c r="V278" i="36"/>
  <c r="W278" i="36"/>
  <c r="X278" i="36"/>
  <c r="Y278" i="36"/>
  <c r="Z278" i="36"/>
  <c r="AA278" i="36"/>
  <c r="AB278" i="36"/>
  <c r="AC278" i="36"/>
  <c r="AD278" i="36"/>
  <c r="AE278" i="36"/>
  <c r="AF278" i="36"/>
  <c r="AG278" i="36"/>
  <c r="AH278" i="36"/>
  <c r="AI278" i="36"/>
  <c r="AJ278" i="36"/>
  <c r="H279" i="36"/>
  <c r="I279" i="36"/>
  <c r="J279" i="36"/>
  <c r="K279" i="36"/>
  <c r="L279" i="36"/>
  <c r="O279" i="36"/>
  <c r="S279" i="36"/>
  <c r="T279" i="36"/>
  <c r="U279" i="36"/>
  <c r="V279" i="36"/>
  <c r="W279" i="36"/>
  <c r="X279" i="36"/>
  <c r="Y279" i="36"/>
  <c r="Z279" i="36"/>
  <c r="AA279" i="36"/>
  <c r="AB279" i="36"/>
  <c r="AC279" i="36"/>
  <c r="AD279" i="36"/>
  <c r="AE279" i="36"/>
  <c r="AF279" i="36"/>
  <c r="AG279" i="36"/>
  <c r="AH279" i="36"/>
  <c r="AI279" i="36"/>
  <c r="AJ279" i="36"/>
  <c r="H280" i="36"/>
  <c r="I280" i="36"/>
  <c r="J280" i="36"/>
  <c r="K280" i="36"/>
  <c r="L280" i="36"/>
  <c r="O280" i="36"/>
  <c r="S280" i="36"/>
  <c r="T280" i="36"/>
  <c r="U280" i="36"/>
  <c r="V280" i="36"/>
  <c r="W280" i="36"/>
  <c r="X280" i="36"/>
  <c r="Y280" i="36"/>
  <c r="Z280" i="36"/>
  <c r="AA280" i="36"/>
  <c r="AB280" i="36"/>
  <c r="AC280" i="36"/>
  <c r="AD280" i="36"/>
  <c r="AE280" i="36"/>
  <c r="AF280" i="36"/>
  <c r="AG280" i="36"/>
  <c r="AH280" i="36"/>
  <c r="AI280" i="36"/>
  <c r="AJ280" i="36"/>
  <c r="H281" i="36"/>
  <c r="I281" i="36"/>
  <c r="J281" i="36"/>
  <c r="K281" i="36"/>
  <c r="L281" i="36"/>
  <c r="O281" i="36"/>
  <c r="S281" i="36"/>
  <c r="T281" i="36"/>
  <c r="U281" i="36"/>
  <c r="V281" i="36"/>
  <c r="W281" i="36"/>
  <c r="X281" i="36"/>
  <c r="Y281" i="36"/>
  <c r="Z281" i="36"/>
  <c r="AA281" i="36"/>
  <c r="AB281" i="36"/>
  <c r="AC281" i="36"/>
  <c r="AD281" i="36"/>
  <c r="AE281" i="36"/>
  <c r="AF281" i="36"/>
  <c r="AG281" i="36"/>
  <c r="AH281" i="36"/>
  <c r="AI281" i="36"/>
  <c r="AJ281" i="36"/>
  <c r="H282" i="36"/>
  <c r="I282" i="36"/>
  <c r="J282" i="36"/>
  <c r="K282" i="36"/>
  <c r="L282" i="36"/>
  <c r="O282" i="36"/>
  <c r="S282" i="36"/>
  <c r="T282" i="36"/>
  <c r="U282" i="36"/>
  <c r="V282" i="36"/>
  <c r="W282" i="36"/>
  <c r="X282" i="36"/>
  <c r="Y282" i="36"/>
  <c r="Z282" i="36"/>
  <c r="AA282" i="36"/>
  <c r="AB282" i="36"/>
  <c r="AC282" i="36"/>
  <c r="AD282" i="36"/>
  <c r="AE282" i="36"/>
  <c r="AF282" i="36"/>
  <c r="AG282" i="36"/>
  <c r="AH282" i="36"/>
  <c r="AI282" i="36"/>
  <c r="AJ282" i="36"/>
  <c r="H283" i="36"/>
  <c r="I283" i="36"/>
  <c r="J283" i="36"/>
  <c r="K283" i="36"/>
  <c r="L283" i="36"/>
  <c r="O283" i="36"/>
  <c r="S283" i="36"/>
  <c r="T283" i="36"/>
  <c r="U283" i="36"/>
  <c r="V283" i="36"/>
  <c r="W283" i="36"/>
  <c r="X283" i="36"/>
  <c r="Y283" i="36"/>
  <c r="Z283" i="36"/>
  <c r="AA283" i="36"/>
  <c r="AB283" i="36"/>
  <c r="AC283" i="36"/>
  <c r="AD283" i="36"/>
  <c r="AE283" i="36"/>
  <c r="AF283" i="36"/>
  <c r="AG283" i="36"/>
  <c r="AH283" i="36"/>
  <c r="AI283" i="36"/>
  <c r="AJ283" i="36"/>
  <c r="H284" i="36"/>
  <c r="I284" i="36"/>
  <c r="J284" i="36"/>
  <c r="K284" i="36"/>
  <c r="L284" i="36"/>
  <c r="O284" i="36"/>
  <c r="S284" i="36"/>
  <c r="T284" i="36"/>
  <c r="U284" i="36"/>
  <c r="V284" i="36"/>
  <c r="W284" i="36"/>
  <c r="X284" i="36"/>
  <c r="Y284" i="36"/>
  <c r="Z284" i="36"/>
  <c r="AA284" i="36"/>
  <c r="AB284" i="36"/>
  <c r="AC284" i="36"/>
  <c r="AD284" i="36"/>
  <c r="AE284" i="36"/>
  <c r="AF284" i="36"/>
  <c r="AG284" i="36"/>
  <c r="AH284" i="36"/>
  <c r="AI284" i="36"/>
  <c r="AJ284" i="36"/>
  <c r="H285" i="36"/>
  <c r="I285" i="36"/>
  <c r="J285" i="36"/>
  <c r="K285" i="36"/>
  <c r="L285" i="36"/>
  <c r="O285" i="36"/>
  <c r="S285" i="36"/>
  <c r="T285" i="36"/>
  <c r="U285" i="36"/>
  <c r="V285" i="36"/>
  <c r="W285" i="36"/>
  <c r="X285" i="36"/>
  <c r="Y285" i="36"/>
  <c r="Z285" i="36"/>
  <c r="AA285" i="36"/>
  <c r="AB285" i="36"/>
  <c r="AC285" i="36"/>
  <c r="AD285" i="36"/>
  <c r="AE285" i="36"/>
  <c r="AF285" i="36"/>
  <c r="AG285" i="36"/>
  <c r="AH285" i="36"/>
  <c r="AI285" i="36"/>
  <c r="AJ285" i="36"/>
  <c r="H286" i="36"/>
  <c r="I286" i="36"/>
  <c r="J286" i="36"/>
  <c r="K286" i="36"/>
  <c r="L286" i="36"/>
  <c r="O286" i="36"/>
  <c r="S286" i="36"/>
  <c r="T286" i="36"/>
  <c r="U286" i="36"/>
  <c r="V286" i="36"/>
  <c r="W286" i="36"/>
  <c r="X286" i="36"/>
  <c r="Y286" i="36"/>
  <c r="Z286" i="36"/>
  <c r="AA286" i="36"/>
  <c r="AB286" i="36"/>
  <c r="AC286" i="36"/>
  <c r="AD286" i="36"/>
  <c r="AE286" i="36"/>
  <c r="AF286" i="36"/>
  <c r="AG286" i="36"/>
  <c r="AH286" i="36"/>
  <c r="AI286" i="36"/>
  <c r="AJ286" i="36"/>
  <c r="H287" i="36"/>
  <c r="I287" i="36"/>
  <c r="J287" i="36"/>
  <c r="K287" i="36"/>
  <c r="L287" i="36"/>
  <c r="O287" i="36"/>
  <c r="S287" i="36"/>
  <c r="T287" i="36"/>
  <c r="U287" i="36"/>
  <c r="V287" i="36"/>
  <c r="W287" i="36"/>
  <c r="X287" i="36"/>
  <c r="Y287" i="36"/>
  <c r="Z287" i="36"/>
  <c r="AA287" i="36"/>
  <c r="AB287" i="36"/>
  <c r="AC287" i="36"/>
  <c r="AD287" i="36"/>
  <c r="AE287" i="36"/>
  <c r="AF287" i="36"/>
  <c r="AG287" i="36"/>
  <c r="AH287" i="36"/>
  <c r="AI287" i="36"/>
  <c r="AJ287" i="36"/>
  <c r="H288" i="36"/>
  <c r="I288" i="36"/>
  <c r="J288" i="36"/>
  <c r="K288" i="36"/>
  <c r="L288" i="36"/>
  <c r="O288" i="36"/>
  <c r="S288" i="36"/>
  <c r="T288" i="36"/>
  <c r="U288" i="36"/>
  <c r="V288" i="36"/>
  <c r="W288" i="36"/>
  <c r="X288" i="36"/>
  <c r="Y288" i="36"/>
  <c r="Z288" i="36"/>
  <c r="AA288" i="36"/>
  <c r="AB288" i="36"/>
  <c r="AC288" i="36"/>
  <c r="AD288" i="36"/>
  <c r="AE288" i="36"/>
  <c r="AF288" i="36"/>
  <c r="AG288" i="36"/>
  <c r="AH288" i="36"/>
  <c r="AI288" i="36"/>
  <c r="AJ288" i="36"/>
  <c r="H289" i="36"/>
  <c r="I289" i="36"/>
  <c r="J289" i="36"/>
  <c r="K289" i="36"/>
  <c r="L289" i="36"/>
  <c r="O289" i="36"/>
  <c r="S289" i="36"/>
  <c r="T289" i="36"/>
  <c r="U289" i="36"/>
  <c r="V289" i="36"/>
  <c r="W289" i="36"/>
  <c r="X289" i="36"/>
  <c r="Y289" i="36"/>
  <c r="Z289" i="36"/>
  <c r="AA289" i="36"/>
  <c r="AB289" i="36"/>
  <c r="AC289" i="36"/>
  <c r="AD289" i="36"/>
  <c r="AE289" i="36"/>
  <c r="AF289" i="36"/>
  <c r="AG289" i="36"/>
  <c r="AH289" i="36"/>
  <c r="AI289" i="36"/>
  <c r="AJ289" i="36"/>
  <c r="H290" i="36"/>
  <c r="I290" i="36"/>
  <c r="J290" i="36"/>
  <c r="K290" i="36"/>
  <c r="L290" i="36"/>
  <c r="O290" i="36"/>
  <c r="S290" i="36"/>
  <c r="T290" i="36"/>
  <c r="U290" i="36"/>
  <c r="V290" i="36"/>
  <c r="W290" i="36"/>
  <c r="X290" i="36"/>
  <c r="Y290" i="36"/>
  <c r="Z290" i="36"/>
  <c r="AA290" i="36"/>
  <c r="AB290" i="36"/>
  <c r="AC290" i="36"/>
  <c r="AD290" i="36"/>
  <c r="AE290" i="36"/>
  <c r="AF290" i="36"/>
  <c r="AG290" i="36"/>
  <c r="AH290" i="36"/>
  <c r="AI290" i="36"/>
  <c r="AJ290" i="36"/>
  <c r="H291" i="36"/>
  <c r="I291" i="36"/>
  <c r="J291" i="36"/>
  <c r="K291" i="36"/>
  <c r="L291" i="36"/>
  <c r="O291" i="36"/>
  <c r="S291" i="36"/>
  <c r="T291" i="36"/>
  <c r="U291" i="36"/>
  <c r="V291" i="36"/>
  <c r="W291" i="36"/>
  <c r="X291" i="36"/>
  <c r="Y291" i="36"/>
  <c r="Z291" i="36"/>
  <c r="AA291" i="36"/>
  <c r="AB291" i="36"/>
  <c r="AC291" i="36"/>
  <c r="AD291" i="36"/>
  <c r="AE291" i="36"/>
  <c r="AF291" i="36"/>
  <c r="AG291" i="36"/>
  <c r="AH291" i="36"/>
  <c r="AI291" i="36"/>
  <c r="AJ291" i="36"/>
  <c r="H292" i="36"/>
  <c r="I292" i="36"/>
  <c r="J292" i="36"/>
  <c r="K292" i="36"/>
  <c r="L292" i="36"/>
  <c r="O292" i="36"/>
  <c r="S292" i="36"/>
  <c r="T292" i="36"/>
  <c r="U292" i="36"/>
  <c r="V292" i="36"/>
  <c r="W292" i="36"/>
  <c r="X292" i="36"/>
  <c r="Y292" i="36"/>
  <c r="Z292" i="36"/>
  <c r="AA292" i="36"/>
  <c r="AB292" i="36"/>
  <c r="AC292" i="36"/>
  <c r="AD292" i="36"/>
  <c r="AE292" i="36"/>
  <c r="AF292" i="36"/>
  <c r="AG292" i="36"/>
  <c r="AH292" i="36"/>
  <c r="AI292" i="36"/>
  <c r="AJ292" i="36"/>
  <c r="H293" i="36"/>
  <c r="I293" i="36"/>
  <c r="J293" i="36"/>
  <c r="K293" i="36"/>
  <c r="L293" i="36"/>
  <c r="O293" i="36"/>
  <c r="S293" i="36"/>
  <c r="T293" i="36"/>
  <c r="U293" i="36"/>
  <c r="V293" i="36"/>
  <c r="W293" i="36"/>
  <c r="X293" i="36"/>
  <c r="Y293" i="36"/>
  <c r="Z293" i="36"/>
  <c r="AA293" i="36"/>
  <c r="AB293" i="36"/>
  <c r="AC293" i="36"/>
  <c r="AD293" i="36"/>
  <c r="AE293" i="36"/>
  <c r="AF293" i="36"/>
  <c r="AG293" i="36"/>
  <c r="AH293" i="36"/>
  <c r="AI293" i="36"/>
  <c r="AJ293" i="36"/>
  <c r="H294" i="36"/>
  <c r="I294" i="36"/>
  <c r="J294" i="36"/>
  <c r="K294" i="36"/>
  <c r="L294" i="36"/>
  <c r="O294" i="36"/>
  <c r="S294" i="36"/>
  <c r="T294" i="36"/>
  <c r="U294" i="36"/>
  <c r="V294" i="36"/>
  <c r="W294" i="36"/>
  <c r="X294" i="36"/>
  <c r="Y294" i="36"/>
  <c r="Z294" i="36"/>
  <c r="AA294" i="36"/>
  <c r="AB294" i="36"/>
  <c r="AC294" i="36"/>
  <c r="AD294" i="36"/>
  <c r="AE294" i="36"/>
  <c r="AF294" i="36"/>
  <c r="AG294" i="36"/>
  <c r="AH294" i="36"/>
  <c r="AI294" i="36"/>
  <c r="AJ294" i="36"/>
  <c r="H295" i="36"/>
  <c r="I295" i="36"/>
  <c r="J295" i="36"/>
  <c r="K295" i="36"/>
  <c r="L295" i="36"/>
  <c r="O295" i="36"/>
  <c r="S295" i="36"/>
  <c r="T295" i="36"/>
  <c r="U295" i="36"/>
  <c r="V295" i="36"/>
  <c r="W295" i="36"/>
  <c r="X295" i="36"/>
  <c r="Y295" i="36"/>
  <c r="Z295" i="36"/>
  <c r="AA295" i="36"/>
  <c r="AB295" i="36"/>
  <c r="AC295" i="36"/>
  <c r="AD295" i="36"/>
  <c r="AE295" i="36"/>
  <c r="AF295" i="36"/>
  <c r="AG295" i="36"/>
  <c r="AH295" i="36"/>
  <c r="AI295" i="36"/>
  <c r="AJ295" i="36"/>
  <c r="H296" i="36"/>
  <c r="I296" i="36"/>
  <c r="J296" i="36"/>
  <c r="K296" i="36"/>
  <c r="L296" i="36"/>
  <c r="O296" i="36"/>
  <c r="S296" i="36"/>
  <c r="T296" i="36"/>
  <c r="U296" i="36"/>
  <c r="V296" i="36"/>
  <c r="W296" i="36"/>
  <c r="X296" i="36"/>
  <c r="Y296" i="36"/>
  <c r="Z296" i="36"/>
  <c r="AA296" i="36"/>
  <c r="AB296" i="36"/>
  <c r="AC296" i="36"/>
  <c r="AD296" i="36"/>
  <c r="AE296" i="36"/>
  <c r="AF296" i="36"/>
  <c r="AG296" i="36"/>
  <c r="AH296" i="36"/>
  <c r="AI296" i="36"/>
  <c r="AJ296" i="36"/>
  <c r="H297" i="36"/>
  <c r="I297" i="36"/>
  <c r="J297" i="36"/>
  <c r="K297" i="36"/>
  <c r="L297" i="36"/>
  <c r="O297" i="36"/>
  <c r="S297" i="36"/>
  <c r="T297" i="36"/>
  <c r="U297" i="36"/>
  <c r="V297" i="36"/>
  <c r="W297" i="36"/>
  <c r="X297" i="36"/>
  <c r="Y297" i="36"/>
  <c r="Z297" i="36"/>
  <c r="AA297" i="36"/>
  <c r="AB297" i="36"/>
  <c r="AC297" i="36"/>
  <c r="AD297" i="36"/>
  <c r="AE297" i="36"/>
  <c r="AF297" i="36"/>
  <c r="AG297" i="36"/>
  <c r="AH297" i="36"/>
  <c r="AI297" i="36"/>
  <c r="AJ297" i="36"/>
  <c r="H298" i="36"/>
  <c r="I298" i="36"/>
  <c r="J298" i="36"/>
  <c r="K298" i="36"/>
  <c r="L298" i="36"/>
  <c r="O298" i="36"/>
  <c r="S298" i="36"/>
  <c r="T298" i="36"/>
  <c r="U298" i="36"/>
  <c r="V298" i="36"/>
  <c r="W298" i="36"/>
  <c r="X298" i="36"/>
  <c r="Y298" i="36"/>
  <c r="Z298" i="36"/>
  <c r="AA298" i="36"/>
  <c r="AB298" i="36"/>
  <c r="AC298" i="36"/>
  <c r="AD298" i="36"/>
  <c r="AE298" i="36"/>
  <c r="AF298" i="36"/>
  <c r="AG298" i="36"/>
  <c r="AH298" i="36"/>
  <c r="AI298" i="36"/>
  <c r="AJ298" i="36"/>
  <c r="H299" i="36"/>
  <c r="I299" i="36"/>
  <c r="J299" i="36"/>
  <c r="K299" i="36"/>
  <c r="L299" i="36"/>
  <c r="O299" i="36"/>
  <c r="S299" i="36"/>
  <c r="T299" i="36"/>
  <c r="U299" i="36"/>
  <c r="V299" i="36"/>
  <c r="W299" i="36"/>
  <c r="X299" i="36"/>
  <c r="Y299" i="36"/>
  <c r="Z299" i="36"/>
  <c r="AA299" i="36"/>
  <c r="AB299" i="36"/>
  <c r="AC299" i="36"/>
  <c r="AD299" i="36"/>
  <c r="AE299" i="36"/>
  <c r="AF299" i="36"/>
  <c r="AG299" i="36"/>
  <c r="AH299" i="36"/>
  <c r="AI299" i="36"/>
  <c r="AJ299" i="36"/>
  <c r="H300" i="36"/>
  <c r="I300" i="36"/>
  <c r="J300" i="36"/>
  <c r="K300" i="36"/>
  <c r="L300" i="36"/>
  <c r="O300" i="36"/>
  <c r="S300" i="36"/>
  <c r="T300" i="36"/>
  <c r="U300" i="36"/>
  <c r="V300" i="36"/>
  <c r="W300" i="36"/>
  <c r="X300" i="36"/>
  <c r="Y300" i="36"/>
  <c r="Z300" i="36"/>
  <c r="AA300" i="36"/>
  <c r="AB300" i="36"/>
  <c r="AC300" i="36"/>
  <c r="AD300" i="36"/>
  <c r="AE300" i="36"/>
  <c r="AF300" i="36"/>
  <c r="AG300" i="36"/>
  <c r="AH300" i="36"/>
  <c r="AI300" i="36"/>
  <c r="AJ300" i="36"/>
  <c r="H301" i="36"/>
  <c r="I301" i="36"/>
  <c r="J301" i="36"/>
  <c r="K301" i="36"/>
  <c r="L301" i="36"/>
  <c r="O301" i="36"/>
  <c r="S301" i="36"/>
  <c r="T301" i="36"/>
  <c r="U301" i="36"/>
  <c r="V301" i="36"/>
  <c r="W301" i="36"/>
  <c r="X301" i="36"/>
  <c r="Y301" i="36"/>
  <c r="Z301" i="36"/>
  <c r="AA301" i="36"/>
  <c r="AB301" i="36"/>
  <c r="AC301" i="36"/>
  <c r="AD301" i="36"/>
  <c r="AE301" i="36"/>
  <c r="AF301" i="36"/>
  <c r="AG301" i="36"/>
  <c r="AH301" i="36"/>
  <c r="AI301" i="36"/>
  <c r="AJ301" i="36"/>
  <c r="H302" i="36"/>
  <c r="I302" i="36"/>
  <c r="J302" i="36"/>
  <c r="K302" i="36"/>
  <c r="L302" i="36"/>
  <c r="O302" i="36"/>
  <c r="S302" i="36"/>
  <c r="T302" i="36"/>
  <c r="U302" i="36"/>
  <c r="V302" i="36"/>
  <c r="W302" i="36"/>
  <c r="X302" i="36"/>
  <c r="Y302" i="36"/>
  <c r="Z302" i="36"/>
  <c r="AA302" i="36"/>
  <c r="AB302" i="36"/>
  <c r="AC302" i="36"/>
  <c r="AD302" i="36"/>
  <c r="AE302" i="36"/>
  <c r="AF302" i="36"/>
  <c r="AG302" i="36"/>
  <c r="AH302" i="36"/>
  <c r="AI302" i="36"/>
  <c r="AJ302" i="36"/>
  <c r="H303" i="36"/>
  <c r="I303" i="36"/>
  <c r="J303" i="36"/>
  <c r="K303" i="36"/>
  <c r="L303" i="36"/>
  <c r="O303" i="36"/>
  <c r="S303" i="36"/>
  <c r="T303" i="36"/>
  <c r="U303" i="36"/>
  <c r="V303" i="36"/>
  <c r="W303" i="36"/>
  <c r="X303" i="36"/>
  <c r="Y303" i="36"/>
  <c r="Z303" i="36"/>
  <c r="AA303" i="36"/>
  <c r="AB303" i="36"/>
  <c r="AC303" i="36"/>
  <c r="AD303" i="36"/>
  <c r="AE303" i="36"/>
  <c r="AF303" i="36"/>
  <c r="AG303" i="36"/>
  <c r="AH303" i="36"/>
  <c r="AI303" i="36"/>
  <c r="AJ303" i="36"/>
  <c r="H304" i="36"/>
  <c r="I304" i="36"/>
  <c r="J304" i="36"/>
  <c r="K304" i="36"/>
  <c r="L304" i="36"/>
  <c r="O304" i="36"/>
  <c r="S304" i="36"/>
  <c r="T304" i="36"/>
  <c r="U304" i="36"/>
  <c r="V304" i="36"/>
  <c r="W304" i="36"/>
  <c r="X304" i="36"/>
  <c r="Y304" i="36"/>
  <c r="Z304" i="36"/>
  <c r="AA304" i="36"/>
  <c r="AB304" i="36"/>
  <c r="AC304" i="36"/>
  <c r="AD304" i="36"/>
  <c r="AE304" i="36"/>
  <c r="AF304" i="36"/>
  <c r="AG304" i="36"/>
  <c r="AH304" i="36"/>
  <c r="AI304" i="36"/>
  <c r="AJ304" i="36"/>
  <c r="H305" i="36"/>
  <c r="I305" i="36"/>
  <c r="J305" i="36"/>
  <c r="K305" i="36"/>
  <c r="L305" i="36"/>
  <c r="O305" i="36"/>
  <c r="S305" i="36"/>
  <c r="T305" i="36"/>
  <c r="U305" i="36"/>
  <c r="V305" i="36"/>
  <c r="W305" i="36"/>
  <c r="X305" i="36"/>
  <c r="Y305" i="36"/>
  <c r="Z305" i="36"/>
  <c r="AA305" i="36"/>
  <c r="AB305" i="36"/>
  <c r="AC305" i="36"/>
  <c r="AD305" i="36"/>
  <c r="AE305" i="36"/>
  <c r="AF305" i="36"/>
  <c r="AG305" i="36"/>
  <c r="AH305" i="36"/>
  <c r="AI305" i="36"/>
  <c r="AJ305" i="36"/>
  <c r="H306" i="36"/>
  <c r="I306" i="36"/>
  <c r="J306" i="36"/>
  <c r="K306" i="36"/>
  <c r="L306" i="36"/>
  <c r="O306" i="36"/>
  <c r="S306" i="36"/>
  <c r="T306" i="36"/>
  <c r="U306" i="36"/>
  <c r="V306" i="36"/>
  <c r="W306" i="36"/>
  <c r="X306" i="36"/>
  <c r="Y306" i="36"/>
  <c r="Z306" i="36"/>
  <c r="AA306" i="36"/>
  <c r="AB306" i="36"/>
  <c r="AC306" i="36"/>
  <c r="AD306" i="36"/>
  <c r="AE306" i="36"/>
  <c r="AF306" i="36"/>
  <c r="AG306" i="36"/>
  <c r="AH306" i="36"/>
  <c r="AI306" i="36"/>
  <c r="AJ306" i="36"/>
  <c r="H307" i="36"/>
  <c r="I307" i="36"/>
  <c r="J307" i="36"/>
  <c r="K307" i="36"/>
  <c r="L307" i="36"/>
  <c r="O307" i="36"/>
  <c r="S307" i="36"/>
  <c r="T307" i="36"/>
  <c r="U307" i="36"/>
  <c r="V307" i="36"/>
  <c r="W307" i="36"/>
  <c r="X307" i="36"/>
  <c r="Y307" i="36"/>
  <c r="Z307" i="36"/>
  <c r="AA307" i="36"/>
  <c r="AB307" i="36"/>
  <c r="AC307" i="36"/>
  <c r="AD307" i="36"/>
  <c r="AE307" i="36"/>
  <c r="AF307" i="36"/>
  <c r="AG307" i="36"/>
  <c r="AH307" i="36"/>
  <c r="AI307" i="36"/>
  <c r="AJ307" i="36"/>
  <c r="H308" i="36"/>
  <c r="I308" i="36"/>
  <c r="J308" i="36"/>
  <c r="K308" i="36"/>
  <c r="L308" i="36"/>
  <c r="O308" i="36"/>
  <c r="S308" i="36"/>
  <c r="T308" i="36"/>
  <c r="U308" i="36"/>
  <c r="V308" i="36"/>
  <c r="W308" i="36"/>
  <c r="X308" i="36"/>
  <c r="Y308" i="36"/>
  <c r="Z308" i="36"/>
  <c r="AA308" i="36"/>
  <c r="AB308" i="36"/>
  <c r="AC308" i="36"/>
  <c r="AD308" i="36"/>
  <c r="AE308" i="36"/>
  <c r="AF308" i="36"/>
  <c r="AG308" i="36"/>
  <c r="AH308" i="36"/>
  <c r="AI308" i="36"/>
  <c r="AJ308" i="36"/>
  <c r="H309" i="36"/>
  <c r="I309" i="36"/>
  <c r="J309" i="36"/>
  <c r="K309" i="36"/>
  <c r="L309" i="36"/>
  <c r="O309" i="36"/>
  <c r="S309" i="36"/>
  <c r="T309" i="36"/>
  <c r="U309" i="36"/>
  <c r="V309" i="36"/>
  <c r="W309" i="36"/>
  <c r="X309" i="36"/>
  <c r="Y309" i="36"/>
  <c r="Z309" i="36"/>
  <c r="AA309" i="36"/>
  <c r="AB309" i="36"/>
  <c r="AC309" i="36"/>
  <c r="AD309" i="36"/>
  <c r="AE309" i="36"/>
  <c r="AF309" i="36"/>
  <c r="AG309" i="36"/>
  <c r="AH309" i="36"/>
  <c r="AI309" i="36"/>
  <c r="AJ309" i="36"/>
  <c r="H310" i="36"/>
  <c r="I310" i="36"/>
  <c r="J310" i="36"/>
  <c r="K310" i="36"/>
  <c r="L310" i="36"/>
  <c r="O310" i="36"/>
  <c r="S310" i="36"/>
  <c r="T310" i="36"/>
  <c r="U310" i="36"/>
  <c r="V310" i="36"/>
  <c r="W310" i="36"/>
  <c r="X310" i="36"/>
  <c r="Y310" i="36"/>
  <c r="Z310" i="36"/>
  <c r="AA310" i="36"/>
  <c r="AB310" i="36"/>
  <c r="AC310" i="36"/>
  <c r="AD310" i="36"/>
  <c r="AE310" i="36"/>
  <c r="AF310" i="36"/>
  <c r="AG310" i="36"/>
  <c r="AH310" i="36"/>
  <c r="AI310" i="36"/>
  <c r="AJ310" i="36"/>
  <c r="H311" i="36"/>
  <c r="I311" i="36"/>
  <c r="J311" i="36"/>
  <c r="K311" i="36"/>
  <c r="L311" i="36"/>
  <c r="O311" i="36"/>
  <c r="S311" i="36"/>
  <c r="T311" i="36"/>
  <c r="U311" i="36"/>
  <c r="V311" i="36"/>
  <c r="W311" i="36"/>
  <c r="X311" i="36"/>
  <c r="Y311" i="36"/>
  <c r="Z311" i="36"/>
  <c r="AA311" i="36"/>
  <c r="AB311" i="36"/>
  <c r="AC311" i="36"/>
  <c r="AD311" i="36"/>
  <c r="AE311" i="36"/>
  <c r="AF311" i="36"/>
  <c r="AG311" i="36"/>
  <c r="AH311" i="36"/>
  <c r="AI311" i="36"/>
  <c r="AJ311" i="36"/>
  <c r="H312" i="36"/>
  <c r="I312" i="36"/>
  <c r="J312" i="36"/>
  <c r="K312" i="36"/>
  <c r="L312" i="36"/>
  <c r="O312" i="36"/>
  <c r="S312" i="36"/>
  <c r="T312" i="36"/>
  <c r="U312" i="36"/>
  <c r="V312" i="36"/>
  <c r="W312" i="36"/>
  <c r="X312" i="36"/>
  <c r="Y312" i="36"/>
  <c r="Z312" i="36"/>
  <c r="AA312" i="36"/>
  <c r="AB312" i="36"/>
  <c r="AC312" i="36"/>
  <c r="AD312" i="36"/>
  <c r="AE312" i="36"/>
  <c r="AF312" i="36"/>
  <c r="AG312" i="36"/>
  <c r="AH312" i="36"/>
  <c r="AI312" i="36"/>
  <c r="AJ312" i="36"/>
  <c r="H313" i="36"/>
  <c r="I313" i="36"/>
  <c r="J313" i="36"/>
  <c r="K313" i="36"/>
  <c r="L313" i="36"/>
  <c r="O313" i="36"/>
  <c r="S313" i="36"/>
  <c r="T313" i="36"/>
  <c r="U313" i="36"/>
  <c r="V313" i="36"/>
  <c r="W313" i="36"/>
  <c r="X313" i="36"/>
  <c r="Y313" i="36"/>
  <c r="Z313" i="36"/>
  <c r="AA313" i="36"/>
  <c r="AB313" i="36"/>
  <c r="AC313" i="36"/>
  <c r="AD313" i="36"/>
  <c r="AE313" i="36"/>
  <c r="AF313" i="36"/>
  <c r="AG313" i="36"/>
  <c r="AH313" i="36"/>
  <c r="AI313" i="36"/>
  <c r="AJ313" i="36"/>
  <c r="H314" i="36"/>
  <c r="I314" i="36"/>
  <c r="J314" i="36"/>
  <c r="K314" i="36"/>
  <c r="L314" i="36"/>
  <c r="O314" i="36"/>
  <c r="S314" i="36"/>
  <c r="T314" i="36"/>
  <c r="U314" i="36"/>
  <c r="V314" i="36"/>
  <c r="W314" i="36"/>
  <c r="X314" i="36"/>
  <c r="Y314" i="36"/>
  <c r="Z314" i="36"/>
  <c r="AA314" i="36"/>
  <c r="AB314" i="36"/>
  <c r="AC314" i="36"/>
  <c r="AD314" i="36"/>
  <c r="AE314" i="36"/>
  <c r="AF314" i="36"/>
  <c r="AG314" i="36"/>
  <c r="AH314" i="36"/>
  <c r="AI314" i="36"/>
  <c r="AJ314" i="36"/>
  <c r="H315" i="36"/>
  <c r="I315" i="36"/>
  <c r="J315" i="36"/>
  <c r="K315" i="36"/>
  <c r="L315" i="36"/>
  <c r="O315" i="36"/>
  <c r="S315" i="36"/>
  <c r="T315" i="36"/>
  <c r="U315" i="36"/>
  <c r="V315" i="36"/>
  <c r="W315" i="36"/>
  <c r="X315" i="36"/>
  <c r="Y315" i="36"/>
  <c r="Z315" i="36"/>
  <c r="AA315" i="36"/>
  <c r="AB315" i="36"/>
  <c r="AC315" i="36"/>
  <c r="AD315" i="36"/>
  <c r="AE315" i="36"/>
  <c r="AF315" i="36"/>
  <c r="AG315" i="36"/>
  <c r="AH315" i="36"/>
  <c r="AI315" i="36"/>
  <c r="AJ315" i="36"/>
  <c r="H316" i="36"/>
  <c r="I316" i="36"/>
  <c r="J316" i="36"/>
  <c r="K316" i="36"/>
  <c r="L316" i="36"/>
  <c r="O316" i="36"/>
  <c r="S316" i="36"/>
  <c r="T316" i="36"/>
  <c r="U316" i="36"/>
  <c r="V316" i="36"/>
  <c r="W316" i="36"/>
  <c r="X316" i="36"/>
  <c r="Y316" i="36"/>
  <c r="Z316" i="36"/>
  <c r="AA316" i="36"/>
  <c r="AB316" i="36"/>
  <c r="AC316" i="36"/>
  <c r="AD316" i="36"/>
  <c r="AE316" i="36"/>
  <c r="AF316" i="36"/>
  <c r="AG316" i="36"/>
  <c r="AH316" i="36"/>
  <c r="AI316" i="36"/>
  <c r="AJ316" i="36"/>
  <c r="H317" i="36"/>
  <c r="I317" i="36"/>
  <c r="J317" i="36"/>
  <c r="K317" i="36"/>
  <c r="L317" i="36"/>
  <c r="O317" i="36"/>
  <c r="S317" i="36"/>
  <c r="T317" i="36"/>
  <c r="U317" i="36"/>
  <c r="V317" i="36"/>
  <c r="W317" i="36"/>
  <c r="X317" i="36"/>
  <c r="Y317" i="36"/>
  <c r="Z317" i="36"/>
  <c r="AA317" i="36"/>
  <c r="AB317" i="36"/>
  <c r="AC317" i="36"/>
  <c r="AD317" i="36"/>
  <c r="AE317" i="36"/>
  <c r="AF317" i="36"/>
  <c r="AG317" i="36"/>
  <c r="AH317" i="36"/>
  <c r="AI317" i="36"/>
  <c r="AJ317" i="36"/>
  <c r="H318" i="36"/>
  <c r="I318" i="36"/>
  <c r="J318" i="36"/>
  <c r="K318" i="36"/>
  <c r="L318" i="36"/>
  <c r="O318" i="36"/>
  <c r="S318" i="36"/>
  <c r="T318" i="36"/>
  <c r="U318" i="36"/>
  <c r="V318" i="36"/>
  <c r="W318" i="36"/>
  <c r="X318" i="36"/>
  <c r="Y318" i="36"/>
  <c r="Z318" i="36"/>
  <c r="AA318" i="36"/>
  <c r="AB318" i="36"/>
  <c r="AC318" i="36"/>
  <c r="AD318" i="36"/>
  <c r="AE318" i="36"/>
  <c r="AF318" i="36"/>
  <c r="AG318" i="36"/>
  <c r="AH318" i="36"/>
  <c r="AI318" i="36"/>
  <c r="AJ318" i="36"/>
  <c r="H319" i="36"/>
  <c r="I319" i="36"/>
  <c r="J319" i="36"/>
  <c r="K319" i="36"/>
  <c r="L319" i="36"/>
  <c r="O319" i="36"/>
  <c r="S319" i="36"/>
  <c r="T319" i="36"/>
  <c r="U319" i="36"/>
  <c r="V319" i="36"/>
  <c r="W319" i="36"/>
  <c r="X319" i="36"/>
  <c r="Y319" i="36"/>
  <c r="Z319" i="36"/>
  <c r="AA319" i="36"/>
  <c r="AB319" i="36"/>
  <c r="AC319" i="36"/>
  <c r="AD319" i="36"/>
  <c r="AE319" i="36"/>
  <c r="AF319" i="36"/>
  <c r="AG319" i="36"/>
  <c r="AH319" i="36"/>
  <c r="AI319" i="36"/>
  <c r="AJ319" i="36"/>
  <c r="H320" i="36"/>
  <c r="I320" i="36"/>
  <c r="J320" i="36"/>
  <c r="K320" i="36"/>
  <c r="L320" i="36"/>
  <c r="O320" i="36"/>
  <c r="S320" i="36"/>
  <c r="T320" i="36"/>
  <c r="U320" i="36"/>
  <c r="V320" i="36"/>
  <c r="W320" i="36"/>
  <c r="X320" i="36"/>
  <c r="Y320" i="36"/>
  <c r="Z320" i="36"/>
  <c r="AA320" i="36"/>
  <c r="AB320" i="36"/>
  <c r="AC320" i="36"/>
  <c r="AD320" i="36"/>
  <c r="AE320" i="36"/>
  <c r="AF320" i="36"/>
  <c r="AG320" i="36"/>
  <c r="AH320" i="36"/>
  <c r="AI320" i="36"/>
  <c r="AJ320" i="36"/>
  <c r="H321" i="36"/>
  <c r="I321" i="36"/>
  <c r="J321" i="36"/>
  <c r="K321" i="36"/>
  <c r="L321" i="36"/>
  <c r="O321" i="36"/>
  <c r="S321" i="36"/>
  <c r="T321" i="36"/>
  <c r="U321" i="36"/>
  <c r="V321" i="36"/>
  <c r="W321" i="36"/>
  <c r="X321" i="36"/>
  <c r="Y321" i="36"/>
  <c r="Z321" i="36"/>
  <c r="AA321" i="36"/>
  <c r="AB321" i="36"/>
  <c r="AC321" i="36"/>
  <c r="AD321" i="36"/>
  <c r="AE321" i="36"/>
  <c r="AF321" i="36"/>
  <c r="AG321" i="36"/>
  <c r="AH321" i="36"/>
  <c r="AI321" i="36"/>
  <c r="AJ321" i="36"/>
  <c r="H322" i="36"/>
  <c r="I322" i="36"/>
  <c r="J322" i="36"/>
  <c r="K322" i="36"/>
  <c r="L322" i="36"/>
  <c r="O322" i="36"/>
  <c r="S322" i="36"/>
  <c r="T322" i="36"/>
  <c r="U322" i="36"/>
  <c r="V322" i="36"/>
  <c r="W322" i="36"/>
  <c r="X322" i="36"/>
  <c r="Y322" i="36"/>
  <c r="Z322" i="36"/>
  <c r="AA322" i="36"/>
  <c r="AB322" i="36"/>
  <c r="AC322" i="36"/>
  <c r="AD322" i="36"/>
  <c r="AE322" i="36"/>
  <c r="AF322" i="36"/>
  <c r="AG322" i="36"/>
  <c r="AH322" i="36"/>
  <c r="AI322" i="36"/>
  <c r="AJ322" i="36"/>
  <c r="H323" i="36"/>
  <c r="I323" i="36"/>
  <c r="J323" i="36"/>
  <c r="K323" i="36"/>
  <c r="L323" i="36"/>
  <c r="O323" i="36"/>
  <c r="S323" i="36"/>
  <c r="T323" i="36"/>
  <c r="U323" i="36"/>
  <c r="V323" i="36"/>
  <c r="W323" i="36"/>
  <c r="X323" i="36"/>
  <c r="Y323" i="36"/>
  <c r="Z323" i="36"/>
  <c r="AA323" i="36"/>
  <c r="AB323" i="36"/>
  <c r="AC323" i="36"/>
  <c r="AD323" i="36"/>
  <c r="AE323" i="36"/>
  <c r="AF323" i="36"/>
  <c r="AG323" i="36"/>
  <c r="AH323" i="36"/>
  <c r="AI323" i="36"/>
  <c r="AJ323" i="36"/>
  <c r="H324" i="36"/>
  <c r="I324" i="36"/>
  <c r="J324" i="36"/>
  <c r="K324" i="36"/>
  <c r="L324" i="36"/>
  <c r="O324" i="36"/>
  <c r="S324" i="36"/>
  <c r="T324" i="36"/>
  <c r="U324" i="36"/>
  <c r="V324" i="36"/>
  <c r="W324" i="36"/>
  <c r="X324" i="36"/>
  <c r="Y324" i="36"/>
  <c r="Z324" i="36"/>
  <c r="AA324" i="36"/>
  <c r="AB324" i="36"/>
  <c r="AC324" i="36"/>
  <c r="AD324" i="36"/>
  <c r="AE324" i="36"/>
  <c r="AF324" i="36"/>
  <c r="AG324" i="36"/>
  <c r="AH324" i="36"/>
  <c r="AI324" i="36"/>
  <c r="AJ324" i="36"/>
  <c r="H325" i="36"/>
  <c r="I325" i="36"/>
  <c r="J325" i="36"/>
  <c r="K325" i="36"/>
  <c r="L325" i="36"/>
  <c r="O325" i="36"/>
  <c r="S325" i="36"/>
  <c r="T325" i="36"/>
  <c r="U325" i="36"/>
  <c r="V325" i="36"/>
  <c r="W325" i="36"/>
  <c r="X325" i="36"/>
  <c r="Y325" i="36"/>
  <c r="Z325" i="36"/>
  <c r="AA325" i="36"/>
  <c r="AB325" i="36"/>
  <c r="AC325" i="36"/>
  <c r="AD325" i="36"/>
  <c r="AE325" i="36"/>
  <c r="AF325" i="36"/>
  <c r="AG325" i="36"/>
  <c r="AH325" i="36"/>
  <c r="AI325" i="36"/>
  <c r="AJ325" i="36"/>
  <c r="H326" i="36"/>
  <c r="I326" i="36"/>
  <c r="J326" i="36"/>
  <c r="K326" i="36"/>
  <c r="L326" i="36"/>
  <c r="O326" i="36"/>
  <c r="S326" i="36"/>
  <c r="T326" i="36"/>
  <c r="U326" i="36"/>
  <c r="V326" i="36"/>
  <c r="W326" i="36"/>
  <c r="X326" i="36"/>
  <c r="Y326" i="36"/>
  <c r="Z326" i="36"/>
  <c r="AA326" i="36"/>
  <c r="AB326" i="36"/>
  <c r="AC326" i="36"/>
  <c r="AD326" i="36"/>
  <c r="AE326" i="36"/>
  <c r="AF326" i="36"/>
  <c r="AG326" i="36"/>
  <c r="AH326" i="36"/>
  <c r="AI326" i="36"/>
  <c r="AJ326" i="36"/>
  <c r="H327" i="36"/>
  <c r="I327" i="36"/>
  <c r="J327" i="36"/>
  <c r="K327" i="36"/>
  <c r="L327" i="36"/>
  <c r="O327" i="36"/>
  <c r="S327" i="36"/>
  <c r="T327" i="36"/>
  <c r="U327" i="36"/>
  <c r="V327" i="36"/>
  <c r="W327" i="36"/>
  <c r="X327" i="36"/>
  <c r="Y327" i="36"/>
  <c r="Z327" i="36"/>
  <c r="AA327" i="36"/>
  <c r="AB327" i="36"/>
  <c r="AC327" i="36"/>
  <c r="AD327" i="36"/>
  <c r="AE327" i="36"/>
  <c r="AF327" i="36"/>
  <c r="AG327" i="36"/>
  <c r="AH327" i="36"/>
  <c r="AI327" i="36"/>
  <c r="AJ327" i="36"/>
  <c r="H328" i="36"/>
  <c r="I328" i="36"/>
  <c r="J328" i="36"/>
  <c r="K328" i="36"/>
  <c r="L328" i="36"/>
  <c r="O328" i="36"/>
  <c r="S328" i="36"/>
  <c r="T328" i="36"/>
  <c r="U328" i="36"/>
  <c r="V328" i="36"/>
  <c r="W328" i="36"/>
  <c r="X328" i="36"/>
  <c r="Y328" i="36"/>
  <c r="Z328" i="36"/>
  <c r="AA328" i="36"/>
  <c r="AB328" i="36"/>
  <c r="AC328" i="36"/>
  <c r="AD328" i="36"/>
  <c r="AE328" i="36"/>
  <c r="AF328" i="36"/>
  <c r="AG328" i="36"/>
  <c r="AH328" i="36"/>
  <c r="AI328" i="36"/>
  <c r="AJ328" i="36"/>
  <c r="H329" i="36"/>
  <c r="I329" i="36"/>
  <c r="J329" i="36"/>
  <c r="K329" i="36"/>
  <c r="L329" i="36"/>
  <c r="O329" i="36"/>
  <c r="S329" i="36"/>
  <c r="T329" i="36"/>
  <c r="U329" i="36"/>
  <c r="V329" i="36"/>
  <c r="W329" i="36"/>
  <c r="X329" i="36"/>
  <c r="Y329" i="36"/>
  <c r="Z329" i="36"/>
  <c r="AA329" i="36"/>
  <c r="AB329" i="36"/>
  <c r="AC329" i="36"/>
  <c r="AD329" i="36"/>
  <c r="AE329" i="36"/>
  <c r="AF329" i="36"/>
  <c r="AG329" i="36"/>
  <c r="AH329" i="36"/>
  <c r="AI329" i="36"/>
  <c r="AJ329" i="36"/>
  <c r="H330" i="36"/>
  <c r="I330" i="36"/>
  <c r="J330" i="36"/>
  <c r="K330" i="36"/>
  <c r="L330" i="36"/>
  <c r="O330" i="36"/>
  <c r="S330" i="36"/>
  <c r="T330" i="36"/>
  <c r="U330" i="36"/>
  <c r="V330" i="36"/>
  <c r="W330" i="36"/>
  <c r="X330" i="36"/>
  <c r="Y330" i="36"/>
  <c r="Z330" i="36"/>
  <c r="AA330" i="36"/>
  <c r="AB330" i="36"/>
  <c r="AC330" i="36"/>
  <c r="AD330" i="36"/>
  <c r="AE330" i="36"/>
  <c r="AF330" i="36"/>
  <c r="AG330" i="36"/>
  <c r="AH330" i="36"/>
  <c r="AI330" i="36"/>
  <c r="AJ330" i="36"/>
  <c r="H331" i="36"/>
  <c r="I331" i="36"/>
  <c r="J331" i="36"/>
  <c r="K331" i="36"/>
  <c r="L331" i="36"/>
  <c r="O331" i="36"/>
  <c r="S331" i="36"/>
  <c r="T331" i="36"/>
  <c r="U331" i="36"/>
  <c r="V331" i="36"/>
  <c r="W331" i="36"/>
  <c r="X331" i="36"/>
  <c r="Y331" i="36"/>
  <c r="Z331" i="36"/>
  <c r="AA331" i="36"/>
  <c r="AB331" i="36"/>
  <c r="AC331" i="36"/>
  <c r="AD331" i="36"/>
  <c r="AE331" i="36"/>
  <c r="AF331" i="36"/>
  <c r="AG331" i="36"/>
  <c r="AH331" i="36"/>
  <c r="AI331" i="36"/>
  <c r="AJ331" i="36"/>
  <c r="H332" i="36"/>
  <c r="I332" i="36"/>
  <c r="J332" i="36"/>
  <c r="K332" i="36"/>
  <c r="L332" i="36"/>
  <c r="O332" i="36"/>
  <c r="S332" i="36"/>
  <c r="T332" i="36"/>
  <c r="U332" i="36"/>
  <c r="V332" i="36"/>
  <c r="W332" i="36"/>
  <c r="X332" i="36"/>
  <c r="Y332" i="36"/>
  <c r="Z332" i="36"/>
  <c r="AA332" i="36"/>
  <c r="AB332" i="36"/>
  <c r="AC332" i="36"/>
  <c r="AD332" i="36"/>
  <c r="AE332" i="36"/>
  <c r="AF332" i="36"/>
  <c r="AG332" i="36"/>
  <c r="AH332" i="36"/>
  <c r="AI332" i="36"/>
  <c r="AJ332" i="36"/>
  <c r="H333" i="36"/>
  <c r="I333" i="36"/>
  <c r="J333" i="36"/>
  <c r="K333" i="36"/>
  <c r="L333" i="36"/>
  <c r="O333" i="36"/>
  <c r="S333" i="36"/>
  <c r="T333" i="36"/>
  <c r="U333" i="36"/>
  <c r="V333" i="36"/>
  <c r="W333" i="36"/>
  <c r="X333" i="36"/>
  <c r="Y333" i="36"/>
  <c r="Z333" i="36"/>
  <c r="AA333" i="36"/>
  <c r="AB333" i="36"/>
  <c r="AC333" i="36"/>
  <c r="AD333" i="36"/>
  <c r="AE333" i="36"/>
  <c r="AF333" i="36"/>
  <c r="AG333" i="36"/>
  <c r="AH333" i="36"/>
  <c r="AI333" i="36"/>
  <c r="AJ333" i="36"/>
  <c r="H334" i="36"/>
  <c r="I334" i="36"/>
  <c r="J334" i="36"/>
  <c r="K334" i="36"/>
  <c r="L334" i="36"/>
  <c r="O334" i="36"/>
  <c r="S334" i="36"/>
  <c r="T334" i="36"/>
  <c r="U334" i="36"/>
  <c r="V334" i="36"/>
  <c r="W334" i="36"/>
  <c r="X334" i="36"/>
  <c r="Y334" i="36"/>
  <c r="Z334" i="36"/>
  <c r="AA334" i="36"/>
  <c r="AB334" i="36"/>
  <c r="AC334" i="36"/>
  <c r="AD334" i="36"/>
  <c r="AE334" i="36"/>
  <c r="AF334" i="36"/>
  <c r="AG334" i="36"/>
  <c r="AH334" i="36"/>
  <c r="AI334" i="36"/>
  <c r="AJ334" i="36"/>
  <c r="H335" i="36"/>
  <c r="I335" i="36"/>
  <c r="J335" i="36"/>
  <c r="K335" i="36"/>
  <c r="L335" i="36"/>
  <c r="O335" i="36"/>
  <c r="S335" i="36"/>
  <c r="T335" i="36"/>
  <c r="U335" i="36"/>
  <c r="V335" i="36"/>
  <c r="W335" i="36"/>
  <c r="X335" i="36"/>
  <c r="Y335" i="36"/>
  <c r="Z335" i="36"/>
  <c r="AA335" i="36"/>
  <c r="AB335" i="36"/>
  <c r="AC335" i="36"/>
  <c r="AD335" i="36"/>
  <c r="AE335" i="36"/>
  <c r="AF335" i="36"/>
  <c r="AG335" i="36"/>
  <c r="AH335" i="36"/>
  <c r="AI335" i="36"/>
  <c r="AJ335" i="36"/>
  <c r="H336" i="36"/>
  <c r="I336" i="36"/>
  <c r="J336" i="36"/>
  <c r="K336" i="36"/>
  <c r="L336" i="36"/>
  <c r="O336" i="36"/>
  <c r="S336" i="36"/>
  <c r="T336" i="36"/>
  <c r="U336" i="36"/>
  <c r="V336" i="36"/>
  <c r="W336" i="36"/>
  <c r="X336" i="36"/>
  <c r="Y336" i="36"/>
  <c r="Z336" i="36"/>
  <c r="AA336" i="36"/>
  <c r="AB336" i="36"/>
  <c r="AC336" i="36"/>
  <c r="AD336" i="36"/>
  <c r="AE336" i="36"/>
  <c r="AF336" i="36"/>
  <c r="AG336" i="36"/>
  <c r="AH336" i="36"/>
  <c r="AI336" i="36"/>
  <c r="AJ336" i="36"/>
  <c r="H337" i="36"/>
  <c r="I337" i="36"/>
  <c r="J337" i="36"/>
  <c r="K337" i="36"/>
  <c r="L337" i="36"/>
  <c r="O337" i="36"/>
  <c r="S337" i="36"/>
  <c r="T337" i="36"/>
  <c r="U337" i="36"/>
  <c r="V337" i="36"/>
  <c r="W337" i="36"/>
  <c r="X337" i="36"/>
  <c r="Y337" i="36"/>
  <c r="Z337" i="36"/>
  <c r="AA337" i="36"/>
  <c r="AB337" i="36"/>
  <c r="AC337" i="36"/>
  <c r="AD337" i="36"/>
  <c r="AE337" i="36"/>
  <c r="AF337" i="36"/>
  <c r="AG337" i="36"/>
  <c r="AH337" i="36"/>
  <c r="AI337" i="36"/>
  <c r="AJ337" i="36"/>
  <c r="H338" i="36"/>
  <c r="I338" i="36"/>
  <c r="J338" i="36"/>
  <c r="K338" i="36"/>
  <c r="L338" i="36"/>
  <c r="O338" i="36"/>
  <c r="S338" i="36"/>
  <c r="T338" i="36"/>
  <c r="U338" i="36"/>
  <c r="V338" i="36"/>
  <c r="W338" i="36"/>
  <c r="X338" i="36"/>
  <c r="Y338" i="36"/>
  <c r="Z338" i="36"/>
  <c r="AA338" i="36"/>
  <c r="AB338" i="36"/>
  <c r="AC338" i="36"/>
  <c r="AD338" i="36"/>
  <c r="AE338" i="36"/>
  <c r="AF338" i="36"/>
  <c r="AG338" i="36"/>
  <c r="AH338" i="36"/>
  <c r="AI338" i="36"/>
  <c r="AJ338" i="36"/>
  <c r="H339" i="36"/>
  <c r="I339" i="36"/>
  <c r="J339" i="36"/>
  <c r="K339" i="36"/>
  <c r="L339" i="36"/>
  <c r="O339" i="36"/>
  <c r="S339" i="36"/>
  <c r="T339" i="36"/>
  <c r="U339" i="36"/>
  <c r="V339" i="36"/>
  <c r="W339" i="36"/>
  <c r="X339" i="36"/>
  <c r="Y339" i="36"/>
  <c r="Z339" i="36"/>
  <c r="AA339" i="36"/>
  <c r="AB339" i="36"/>
  <c r="AC339" i="36"/>
  <c r="AD339" i="36"/>
  <c r="AE339" i="36"/>
  <c r="AF339" i="36"/>
  <c r="AG339" i="36"/>
  <c r="AH339" i="36"/>
  <c r="AI339" i="36"/>
  <c r="AJ339" i="36"/>
  <c r="H340" i="36"/>
  <c r="I340" i="36"/>
  <c r="J340" i="36"/>
  <c r="K340" i="36"/>
  <c r="L340" i="36"/>
  <c r="O340" i="36"/>
  <c r="S340" i="36"/>
  <c r="T340" i="36"/>
  <c r="U340" i="36"/>
  <c r="V340" i="36"/>
  <c r="W340" i="36"/>
  <c r="X340" i="36"/>
  <c r="Y340" i="36"/>
  <c r="Z340" i="36"/>
  <c r="AA340" i="36"/>
  <c r="AB340" i="36"/>
  <c r="AC340" i="36"/>
  <c r="AD340" i="36"/>
  <c r="AE340" i="36"/>
  <c r="AF340" i="36"/>
  <c r="AG340" i="36"/>
  <c r="AH340" i="36"/>
  <c r="AI340" i="36"/>
  <c r="AJ340" i="36"/>
  <c r="H341" i="36"/>
  <c r="I341" i="36"/>
  <c r="J341" i="36"/>
  <c r="K341" i="36"/>
  <c r="L341" i="36"/>
  <c r="O341" i="36"/>
  <c r="S341" i="36"/>
  <c r="T341" i="36"/>
  <c r="U341" i="36"/>
  <c r="V341" i="36"/>
  <c r="W341" i="36"/>
  <c r="X341" i="36"/>
  <c r="Y341" i="36"/>
  <c r="Z341" i="36"/>
  <c r="AA341" i="36"/>
  <c r="AB341" i="36"/>
  <c r="AC341" i="36"/>
  <c r="AD341" i="36"/>
  <c r="AE341" i="36"/>
  <c r="AF341" i="36"/>
  <c r="AG341" i="36"/>
  <c r="AH341" i="36"/>
  <c r="AI341" i="36"/>
  <c r="AJ341" i="36"/>
  <c r="H342" i="36"/>
  <c r="I342" i="36"/>
  <c r="J342" i="36"/>
  <c r="K342" i="36"/>
  <c r="L342" i="36"/>
  <c r="O342" i="36"/>
  <c r="S342" i="36"/>
  <c r="T342" i="36"/>
  <c r="U342" i="36"/>
  <c r="V342" i="36"/>
  <c r="W342" i="36"/>
  <c r="X342" i="36"/>
  <c r="Y342" i="36"/>
  <c r="Z342" i="36"/>
  <c r="AA342" i="36"/>
  <c r="AB342" i="36"/>
  <c r="AC342" i="36"/>
  <c r="AD342" i="36"/>
  <c r="AE342" i="36"/>
  <c r="AF342" i="36"/>
  <c r="AG342" i="36"/>
  <c r="AH342" i="36"/>
  <c r="AI342" i="36"/>
  <c r="AJ342" i="36"/>
  <c r="H343" i="36"/>
  <c r="I343" i="36"/>
  <c r="J343" i="36"/>
  <c r="K343" i="36"/>
  <c r="L343" i="36"/>
  <c r="O343" i="36"/>
  <c r="S343" i="36"/>
  <c r="T343" i="36"/>
  <c r="U343" i="36"/>
  <c r="V343" i="36"/>
  <c r="W343" i="36"/>
  <c r="X343" i="36"/>
  <c r="Y343" i="36"/>
  <c r="Z343" i="36"/>
  <c r="AA343" i="36"/>
  <c r="AB343" i="36"/>
  <c r="AC343" i="36"/>
  <c r="AD343" i="36"/>
  <c r="AE343" i="36"/>
  <c r="AF343" i="36"/>
  <c r="AG343" i="36"/>
  <c r="AH343" i="36"/>
  <c r="AI343" i="36"/>
  <c r="AJ343" i="36"/>
  <c r="H344" i="36"/>
  <c r="I344" i="36"/>
  <c r="J344" i="36"/>
  <c r="K344" i="36"/>
  <c r="L344" i="36"/>
  <c r="O344" i="36"/>
  <c r="S344" i="36"/>
  <c r="T344" i="36"/>
  <c r="U344" i="36"/>
  <c r="V344" i="36"/>
  <c r="W344" i="36"/>
  <c r="X344" i="36"/>
  <c r="Y344" i="36"/>
  <c r="Z344" i="36"/>
  <c r="AA344" i="36"/>
  <c r="AB344" i="36"/>
  <c r="AC344" i="36"/>
  <c r="AD344" i="36"/>
  <c r="AE344" i="36"/>
  <c r="AF344" i="36"/>
  <c r="AG344" i="36"/>
  <c r="AH344" i="36"/>
  <c r="AI344" i="36"/>
  <c r="AJ344" i="36"/>
  <c r="H345" i="36"/>
  <c r="I345" i="36"/>
  <c r="J345" i="36"/>
  <c r="K345" i="36"/>
  <c r="L345" i="36"/>
  <c r="O345" i="36"/>
  <c r="S345" i="36"/>
  <c r="T345" i="36"/>
  <c r="U345" i="36"/>
  <c r="V345" i="36"/>
  <c r="W345" i="36"/>
  <c r="X345" i="36"/>
  <c r="Y345" i="36"/>
  <c r="Z345" i="36"/>
  <c r="AA345" i="36"/>
  <c r="AB345" i="36"/>
  <c r="AC345" i="36"/>
  <c r="AD345" i="36"/>
  <c r="AE345" i="36"/>
  <c r="AF345" i="36"/>
  <c r="AG345" i="36"/>
  <c r="AH345" i="36"/>
  <c r="AI345" i="36"/>
  <c r="AJ345" i="36"/>
  <c r="H346" i="36"/>
  <c r="I346" i="36"/>
  <c r="J346" i="36"/>
  <c r="K346" i="36"/>
  <c r="L346" i="36"/>
  <c r="O346" i="36"/>
  <c r="S346" i="36"/>
  <c r="T346" i="36"/>
  <c r="U346" i="36"/>
  <c r="V346" i="36"/>
  <c r="W346" i="36"/>
  <c r="X346" i="36"/>
  <c r="Y346" i="36"/>
  <c r="Z346" i="36"/>
  <c r="AA346" i="36"/>
  <c r="AB346" i="36"/>
  <c r="AC346" i="36"/>
  <c r="AD346" i="36"/>
  <c r="AE346" i="36"/>
  <c r="AF346" i="36"/>
  <c r="AG346" i="36"/>
  <c r="AH346" i="36"/>
  <c r="AI346" i="36"/>
  <c r="AJ346" i="36"/>
  <c r="H347" i="36"/>
  <c r="I347" i="36"/>
  <c r="J347" i="36"/>
  <c r="K347" i="36"/>
  <c r="L347" i="36"/>
  <c r="O347" i="36"/>
  <c r="S347" i="36"/>
  <c r="T347" i="36"/>
  <c r="U347" i="36"/>
  <c r="V347" i="36"/>
  <c r="W347" i="36"/>
  <c r="X347" i="36"/>
  <c r="Y347" i="36"/>
  <c r="Z347" i="36"/>
  <c r="AA347" i="36"/>
  <c r="AB347" i="36"/>
  <c r="AC347" i="36"/>
  <c r="AD347" i="36"/>
  <c r="AE347" i="36"/>
  <c r="AF347" i="36"/>
  <c r="AG347" i="36"/>
  <c r="AH347" i="36"/>
  <c r="AI347" i="36"/>
  <c r="AJ347" i="36"/>
  <c r="H348" i="36"/>
  <c r="I348" i="36"/>
  <c r="J348" i="36"/>
  <c r="K348" i="36"/>
  <c r="L348" i="36"/>
  <c r="O348" i="36"/>
  <c r="S348" i="36"/>
  <c r="T348" i="36"/>
  <c r="U348" i="36"/>
  <c r="V348" i="36"/>
  <c r="W348" i="36"/>
  <c r="X348" i="36"/>
  <c r="Y348" i="36"/>
  <c r="Z348" i="36"/>
  <c r="AA348" i="36"/>
  <c r="AB348" i="36"/>
  <c r="AC348" i="36"/>
  <c r="AD348" i="36"/>
  <c r="AE348" i="36"/>
  <c r="AF348" i="36"/>
  <c r="AG348" i="36"/>
  <c r="AH348" i="36"/>
  <c r="AI348" i="36"/>
  <c r="AJ348" i="36"/>
  <c r="H349" i="36"/>
  <c r="I349" i="36"/>
  <c r="J349" i="36"/>
  <c r="K349" i="36"/>
  <c r="L349" i="36"/>
  <c r="O349" i="36"/>
  <c r="S349" i="36"/>
  <c r="T349" i="36"/>
  <c r="U349" i="36"/>
  <c r="V349" i="36"/>
  <c r="W349" i="36"/>
  <c r="X349" i="36"/>
  <c r="Y349" i="36"/>
  <c r="Z349" i="36"/>
  <c r="AA349" i="36"/>
  <c r="AB349" i="36"/>
  <c r="AC349" i="36"/>
  <c r="AD349" i="36"/>
  <c r="AE349" i="36"/>
  <c r="AF349" i="36"/>
  <c r="AG349" i="36"/>
  <c r="AH349" i="36"/>
  <c r="AI349" i="36"/>
  <c r="AJ349" i="36"/>
  <c r="H350" i="36"/>
  <c r="I350" i="36"/>
  <c r="J350" i="36"/>
  <c r="K350" i="36"/>
  <c r="L350" i="36"/>
  <c r="O350" i="36"/>
  <c r="S350" i="36"/>
  <c r="T350" i="36"/>
  <c r="U350" i="36"/>
  <c r="V350" i="36"/>
  <c r="W350" i="36"/>
  <c r="X350" i="36"/>
  <c r="Y350" i="36"/>
  <c r="Z350" i="36"/>
  <c r="AA350" i="36"/>
  <c r="AB350" i="36"/>
  <c r="AC350" i="36"/>
  <c r="AD350" i="36"/>
  <c r="AE350" i="36"/>
  <c r="AF350" i="36"/>
  <c r="AG350" i="36"/>
  <c r="AH350" i="36"/>
  <c r="AI350" i="36"/>
  <c r="AJ350" i="36"/>
  <c r="H351" i="36"/>
  <c r="I351" i="36"/>
  <c r="J351" i="36"/>
  <c r="K351" i="36"/>
  <c r="L351" i="36"/>
  <c r="O351" i="36"/>
  <c r="S351" i="36"/>
  <c r="T351" i="36"/>
  <c r="U351" i="36"/>
  <c r="V351" i="36"/>
  <c r="W351" i="36"/>
  <c r="X351" i="36"/>
  <c r="Y351" i="36"/>
  <c r="Z351" i="36"/>
  <c r="AA351" i="36"/>
  <c r="AB351" i="36"/>
  <c r="AC351" i="36"/>
  <c r="AD351" i="36"/>
  <c r="AE351" i="36"/>
  <c r="AF351" i="36"/>
  <c r="AG351" i="36"/>
  <c r="AH351" i="36"/>
  <c r="AI351" i="36"/>
  <c r="AJ351" i="36"/>
  <c r="H352" i="36"/>
  <c r="I352" i="36"/>
  <c r="J352" i="36"/>
  <c r="K352" i="36"/>
  <c r="L352" i="36"/>
  <c r="O352" i="36"/>
  <c r="S352" i="36"/>
  <c r="T352" i="36"/>
  <c r="U352" i="36"/>
  <c r="V352" i="36"/>
  <c r="W352" i="36"/>
  <c r="X352" i="36"/>
  <c r="Y352" i="36"/>
  <c r="Z352" i="36"/>
  <c r="AA352" i="36"/>
  <c r="AB352" i="36"/>
  <c r="AC352" i="36"/>
  <c r="AD352" i="36"/>
  <c r="AE352" i="36"/>
  <c r="AF352" i="36"/>
  <c r="AG352" i="36"/>
  <c r="AH352" i="36"/>
  <c r="AI352" i="36"/>
  <c r="AJ352" i="36"/>
  <c r="H353" i="36"/>
  <c r="I353" i="36"/>
  <c r="J353" i="36"/>
  <c r="K353" i="36"/>
  <c r="L353" i="36"/>
  <c r="O353" i="36"/>
  <c r="S353" i="36"/>
  <c r="T353" i="36"/>
  <c r="U353" i="36"/>
  <c r="V353" i="36"/>
  <c r="W353" i="36"/>
  <c r="X353" i="36"/>
  <c r="Y353" i="36"/>
  <c r="Z353" i="36"/>
  <c r="AA353" i="36"/>
  <c r="AB353" i="36"/>
  <c r="AC353" i="36"/>
  <c r="AD353" i="36"/>
  <c r="AE353" i="36"/>
  <c r="AF353" i="36"/>
  <c r="AG353" i="36"/>
  <c r="AH353" i="36"/>
  <c r="AI353" i="36"/>
  <c r="AJ353" i="36"/>
  <c r="H354" i="36"/>
  <c r="I354" i="36"/>
  <c r="J354" i="36"/>
  <c r="K354" i="36"/>
  <c r="L354" i="36"/>
  <c r="O354" i="36"/>
  <c r="S354" i="36"/>
  <c r="T354" i="36"/>
  <c r="U354" i="36"/>
  <c r="V354" i="36"/>
  <c r="W354" i="36"/>
  <c r="X354" i="36"/>
  <c r="Y354" i="36"/>
  <c r="Z354" i="36"/>
  <c r="AA354" i="36"/>
  <c r="AB354" i="36"/>
  <c r="AC354" i="36"/>
  <c r="AD354" i="36"/>
  <c r="AE354" i="36"/>
  <c r="AF354" i="36"/>
  <c r="AG354" i="36"/>
  <c r="AH354" i="36"/>
  <c r="AI354" i="36"/>
  <c r="AJ354" i="36"/>
  <c r="H355" i="36"/>
  <c r="I355" i="36"/>
  <c r="J355" i="36"/>
  <c r="K355" i="36"/>
  <c r="L355" i="36"/>
  <c r="O355" i="36"/>
  <c r="S355" i="36"/>
  <c r="T355" i="36"/>
  <c r="U355" i="36"/>
  <c r="V355" i="36"/>
  <c r="W355" i="36"/>
  <c r="X355" i="36"/>
  <c r="Y355" i="36"/>
  <c r="Z355" i="36"/>
  <c r="AA355" i="36"/>
  <c r="AB355" i="36"/>
  <c r="AC355" i="36"/>
  <c r="AD355" i="36"/>
  <c r="AE355" i="36"/>
  <c r="AF355" i="36"/>
  <c r="AG355" i="36"/>
  <c r="AH355" i="36"/>
  <c r="AI355" i="36"/>
  <c r="AJ355" i="36"/>
  <c r="H356" i="36"/>
  <c r="I356" i="36"/>
  <c r="J356" i="36"/>
  <c r="K356" i="36"/>
  <c r="L356" i="36"/>
  <c r="O356" i="36"/>
  <c r="S356" i="36"/>
  <c r="T356" i="36"/>
  <c r="U356" i="36"/>
  <c r="V356" i="36"/>
  <c r="W356" i="36"/>
  <c r="X356" i="36"/>
  <c r="Y356" i="36"/>
  <c r="Z356" i="36"/>
  <c r="AA356" i="36"/>
  <c r="AB356" i="36"/>
  <c r="AC356" i="36"/>
  <c r="AD356" i="36"/>
  <c r="AE356" i="36"/>
  <c r="AF356" i="36"/>
  <c r="AG356" i="36"/>
  <c r="AH356" i="36"/>
  <c r="AI356" i="36"/>
  <c r="AJ356" i="36"/>
  <c r="H357" i="36"/>
  <c r="I357" i="36"/>
  <c r="J357" i="36"/>
  <c r="K357" i="36"/>
  <c r="L357" i="36"/>
  <c r="O357" i="36"/>
  <c r="S357" i="36"/>
  <c r="T357" i="36"/>
  <c r="U357" i="36"/>
  <c r="V357" i="36"/>
  <c r="W357" i="36"/>
  <c r="X357" i="36"/>
  <c r="Y357" i="36"/>
  <c r="Z357" i="36"/>
  <c r="AA357" i="36"/>
  <c r="AB357" i="36"/>
  <c r="AC357" i="36"/>
  <c r="AD357" i="36"/>
  <c r="AE357" i="36"/>
  <c r="AF357" i="36"/>
  <c r="AG357" i="36"/>
  <c r="AH357" i="36"/>
  <c r="AI357" i="36"/>
  <c r="AJ357" i="36"/>
  <c r="H358" i="36"/>
  <c r="I358" i="36"/>
  <c r="J358" i="36"/>
  <c r="K358" i="36"/>
  <c r="L358" i="36"/>
  <c r="O358" i="36"/>
  <c r="S358" i="36"/>
  <c r="T358" i="36"/>
  <c r="U358" i="36"/>
  <c r="V358" i="36"/>
  <c r="W358" i="36"/>
  <c r="X358" i="36"/>
  <c r="Y358" i="36"/>
  <c r="Z358" i="36"/>
  <c r="AA358" i="36"/>
  <c r="AB358" i="36"/>
  <c r="AC358" i="36"/>
  <c r="AD358" i="36"/>
  <c r="AE358" i="36"/>
  <c r="AF358" i="36"/>
  <c r="AG358" i="36"/>
  <c r="AH358" i="36"/>
  <c r="AI358" i="36"/>
  <c r="AJ358" i="36"/>
  <c r="H359" i="36"/>
  <c r="I359" i="36"/>
  <c r="J359" i="36"/>
  <c r="K359" i="36"/>
  <c r="L359" i="36"/>
  <c r="O359" i="36"/>
  <c r="S359" i="36"/>
  <c r="T359" i="36"/>
  <c r="U359" i="36"/>
  <c r="V359" i="36"/>
  <c r="W359" i="36"/>
  <c r="X359" i="36"/>
  <c r="Y359" i="36"/>
  <c r="Z359" i="36"/>
  <c r="AA359" i="36"/>
  <c r="AB359" i="36"/>
  <c r="AC359" i="36"/>
  <c r="AD359" i="36"/>
  <c r="AE359" i="36"/>
  <c r="AF359" i="36"/>
  <c r="AG359" i="36"/>
  <c r="AH359" i="36"/>
  <c r="AI359" i="36"/>
  <c r="AJ359" i="36"/>
  <c r="H360" i="36"/>
  <c r="I360" i="36"/>
  <c r="J360" i="36"/>
  <c r="K360" i="36"/>
  <c r="L360" i="36"/>
  <c r="O360" i="36"/>
  <c r="S360" i="36"/>
  <c r="T360" i="36"/>
  <c r="U360" i="36"/>
  <c r="V360" i="36"/>
  <c r="W360" i="36"/>
  <c r="X360" i="36"/>
  <c r="Y360" i="36"/>
  <c r="Z360" i="36"/>
  <c r="AA360" i="36"/>
  <c r="AB360" i="36"/>
  <c r="AC360" i="36"/>
  <c r="AD360" i="36"/>
  <c r="AE360" i="36"/>
  <c r="AF360" i="36"/>
  <c r="AG360" i="36"/>
  <c r="AH360" i="36"/>
  <c r="AI360" i="36"/>
  <c r="AJ360" i="36"/>
  <c r="H361" i="36"/>
  <c r="I361" i="36"/>
  <c r="J361" i="36"/>
  <c r="K361" i="36"/>
  <c r="L361" i="36"/>
  <c r="O361" i="36"/>
  <c r="S361" i="36"/>
  <c r="T361" i="36"/>
  <c r="U361" i="36"/>
  <c r="V361" i="36"/>
  <c r="W361" i="36"/>
  <c r="X361" i="36"/>
  <c r="Y361" i="36"/>
  <c r="Z361" i="36"/>
  <c r="AA361" i="36"/>
  <c r="AB361" i="36"/>
  <c r="AC361" i="36"/>
  <c r="AD361" i="36"/>
  <c r="AE361" i="36"/>
  <c r="AF361" i="36"/>
  <c r="AG361" i="36"/>
  <c r="AH361" i="36"/>
  <c r="AI361" i="36"/>
  <c r="AJ361" i="36"/>
  <c r="H362" i="36"/>
  <c r="I362" i="36"/>
  <c r="J362" i="36"/>
  <c r="K362" i="36"/>
  <c r="L362" i="36"/>
  <c r="O362" i="36"/>
  <c r="S362" i="36"/>
  <c r="T362" i="36"/>
  <c r="U362" i="36"/>
  <c r="V362" i="36"/>
  <c r="W362" i="36"/>
  <c r="X362" i="36"/>
  <c r="Y362" i="36"/>
  <c r="Z362" i="36"/>
  <c r="AA362" i="36"/>
  <c r="AB362" i="36"/>
  <c r="AC362" i="36"/>
  <c r="AD362" i="36"/>
  <c r="AE362" i="36"/>
  <c r="AF362" i="36"/>
  <c r="AG362" i="36"/>
  <c r="AH362" i="36"/>
  <c r="AI362" i="36"/>
  <c r="AJ362" i="36"/>
  <c r="H363" i="36"/>
  <c r="I363" i="36"/>
  <c r="J363" i="36"/>
  <c r="K363" i="36"/>
  <c r="L363" i="36"/>
  <c r="O363" i="36"/>
  <c r="S363" i="36"/>
  <c r="T363" i="36"/>
  <c r="U363" i="36"/>
  <c r="V363" i="36"/>
  <c r="W363" i="36"/>
  <c r="X363" i="36"/>
  <c r="Y363" i="36"/>
  <c r="Z363" i="36"/>
  <c r="AA363" i="36"/>
  <c r="AB363" i="36"/>
  <c r="AC363" i="36"/>
  <c r="AD363" i="36"/>
  <c r="AE363" i="36"/>
  <c r="AF363" i="36"/>
  <c r="AG363" i="36"/>
  <c r="AH363" i="36"/>
  <c r="AI363" i="36"/>
  <c r="AJ363" i="36"/>
  <c r="H364" i="36"/>
  <c r="I364" i="36"/>
  <c r="J364" i="36"/>
  <c r="K364" i="36"/>
  <c r="L364" i="36"/>
  <c r="O364" i="36"/>
  <c r="S364" i="36"/>
  <c r="T364" i="36"/>
  <c r="U364" i="36"/>
  <c r="V364" i="36"/>
  <c r="W364" i="36"/>
  <c r="X364" i="36"/>
  <c r="Y364" i="36"/>
  <c r="Z364" i="36"/>
  <c r="AA364" i="36"/>
  <c r="AB364" i="36"/>
  <c r="AC364" i="36"/>
  <c r="AD364" i="36"/>
  <c r="AE364" i="36"/>
  <c r="AF364" i="36"/>
  <c r="AG364" i="36"/>
  <c r="AH364" i="36"/>
  <c r="AI364" i="36"/>
  <c r="AJ364" i="36"/>
  <c r="H365" i="36"/>
  <c r="I365" i="36"/>
  <c r="J365" i="36"/>
  <c r="K365" i="36"/>
  <c r="L365" i="36"/>
  <c r="O365" i="36"/>
  <c r="S365" i="36"/>
  <c r="T365" i="36"/>
  <c r="U365" i="36"/>
  <c r="V365" i="36"/>
  <c r="W365" i="36"/>
  <c r="X365" i="36"/>
  <c r="Y365" i="36"/>
  <c r="Z365" i="36"/>
  <c r="AA365" i="36"/>
  <c r="AB365" i="36"/>
  <c r="AC365" i="36"/>
  <c r="AD365" i="36"/>
  <c r="AE365" i="36"/>
  <c r="AF365" i="36"/>
  <c r="AG365" i="36"/>
  <c r="AH365" i="36"/>
  <c r="AI365" i="36"/>
  <c r="AJ365" i="36"/>
  <c r="H366" i="36"/>
  <c r="I366" i="36"/>
  <c r="J366" i="36"/>
  <c r="K366" i="36"/>
  <c r="L366" i="36"/>
  <c r="O366" i="36"/>
  <c r="S366" i="36"/>
  <c r="T366" i="36"/>
  <c r="U366" i="36"/>
  <c r="V366" i="36"/>
  <c r="W366" i="36"/>
  <c r="X366" i="36"/>
  <c r="Y366" i="36"/>
  <c r="Z366" i="36"/>
  <c r="AA366" i="36"/>
  <c r="AB366" i="36"/>
  <c r="AC366" i="36"/>
  <c r="AD366" i="36"/>
  <c r="AE366" i="36"/>
  <c r="AF366" i="36"/>
  <c r="AG366" i="36"/>
  <c r="AH366" i="36"/>
  <c r="AI366" i="36"/>
  <c r="AJ366" i="36"/>
  <c r="H367" i="36"/>
  <c r="I367" i="36"/>
  <c r="J367" i="36"/>
  <c r="K367" i="36"/>
  <c r="L367" i="36"/>
  <c r="O367" i="36"/>
  <c r="S367" i="36"/>
  <c r="T367" i="36"/>
  <c r="U367" i="36"/>
  <c r="V367" i="36"/>
  <c r="W367" i="36"/>
  <c r="X367" i="36"/>
  <c r="Y367" i="36"/>
  <c r="Z367" i="36"/>
  <c r="AA367" i="36"/>
  <c r="AB367" i="36"/>
  <c r="AC367" i="36"/>
  <c r="AD367" i="36"/>
  <c r="AE367" i="36"/>
  <c r="AF367" i="36"/>
  <c r="AG367" i="36"/>
  <c r="AH367" i="36"/>
  <c r="AI367" i="36"/>
  <c r="AJ367" i="36"/>
  <c r="H368" i="36"/>
  <c r="I368" i="36"/>
  <c r="J368" i="36"/>
  <c r="K368" i="36"/>
  <c r="L368" i="36"/>
  <c r="O368" i="36"/>
  <c r="S368" i="36"/>
  <c r="T368" i="36"/>
  <c r="U368" i="36"/>
  <c r="V368" i="36"/>
  <c r="W368" i="36"/>
  <c r="X368" i="36"/>
  <c r="Y368" i="36"/>
  <c r="Z368" i="36"/>
  <c r="AA368" i="36"/>
  <c r="AB368" i="36"/>
  <c r="AC368" i="36"/>
  <c r="AD368" i="36"/>
  <c r="AE368" i="36"/>
  <c r="AF368" i="36"/>
  <c r="AG368" i="36"/>
  <c r="AH368" i="36"/>
  <c r="AI368" i="36"/>
  <c r="AJ368" i="36"/>
  <c r="H369" i="36"/>
  <c r="I369" i="36"/>
  <c r="J369" i="36"/>
  <c r="K369" i="36"/>
  <c r="L369" i="36"/>
  <c r="O369" i="36"/>
  <c r="S369" i="36"/>
  <c r="T369" i="36"/>
  <c r="U369" i="36"/>
  <c r="V369" i="36"/>
  <c r="W369" i="36"/>
  <c r="X369" i="36"/>
  <c r="Y369" i="36"/>
  <c r="Z369" i="36"/>
  <c r="AA369" i="36"/>
  <c r="AB369" i="36"/>
  <c r="AC369" i="36"/>
  <c r="AD369" i="36"/>
  <c r="AE369" i="36"/>
  <c r="AF369" i="36"/>
  <c r="AG369" i="36"/>
  <c r="AH369" i="36"/>
  <c r="AI369" i="36"/>
  <c r="AJ369" i="36"/>
  <c r="H370" i="36"/>
  <c r="I370" i="36"/>
  <c r="J370" i="36"/>
  <c r="K370" i="36"/>
  <c r="L370" i="36"/>
  <c r="O370" i="36"/>
  <c r="S370" i="36"/>
  <c r="T370" i="36"/>
  <c r="U370" i="36"/>
  <c r="V370" i="36"/>
  <c r="W370" i="36"/>
  <c r="X370" i="36"/>
  <c r="Y370" i="36"/>
  <c r="Z370" i="36"/>
  <c r="AA370" i="36"/>
  <c r="AB370" i="36"/>
  <c r="AC370" i="36"/>
  <c r="AD370" i="36"/>
  <c r="AE370" i="36"/>
  <c r="AF370" i="36"/>
  <c r="AG370" i="36"/>
  <c r="AH370" i="36"/>
  <c r="AI370" i="36"/>
  <c r="AJ370" i="36"/>
  <c r="H371" i="36"/>
  <c r="I371" i="36"/>
  <c r="J371" i="36"/>
  <c r="K371" i="36"/>
  <c r="L371" i="36"/>
  <c r="O371" i="36"/>
  <c r="S371" i="36"/>
  <c r="T371" i="36"/>
  <c r="U371" i="36"/>
  <c r="V371" i="36"/>
  <c r="W371" i="36"/>
  <c r="X371" i="36"/>
  <c r="Y371" i="36"/>
  <c r="Z371" i="36"/>
  <c r="AA371" i="36"/>
  <c r="AB371" i="36"/>
  <c r="AC371" i="36"/>
  <c r="AD371" i="36"/>
  <c r="AE371" i="36"/>
  <c r="AF371" i="36"/>
  <c r="AG371" i="36"/>
  <c r="AH371" i="36"/>
  <c r="AI371" i="36"/>
  <c r="AJ371" i="36"/>
  <c r="H372" i="36"/>
  <c r="I372" i="36"/>
  <c r="J372" i="36"/>
  <c r="K372" i="36"/>
  <c r="L372" i="36"/>
  <c r="O372" i="36"/>
  <c r="S372" i="36"/>
  <c r="T372" i="36"/>
  <c r="U372" i="36"/>
  <c r="V372" i="36"/>
  <c r="W372" i="36"/>
  <c r="X372" i="36"/>
  <c r="Y372" i="36"/>
  <c r="Z372" i="36"/>
  <c r="AA372" i="36"/>
  <c r="AB372" i="36"/>
  <c r="AC372" i="36"/>
  <c r="AD372" i="36"/>
  <c r="AE372" i="36"/>
  <c r="AF372" i="36"/>
  <c r="AG372" i="36"/>
  <c r="AH372" i="36"/>
  <c r="AI372" i="36"/>
  <c r="AJ372" i="36"/>
  <c r="H373" i="36"/>
  <c r="I373" i="36"/>
  <c r="J373" i="36"/>
  <c r="K373" i="36"/>
  <c r="L373" i="36"/>
  <c r="O373" i="36"/>
  <c r="S373" i="36"/>
  <c r="T373" i="36"/>
  <c r="U373" i="36"/>
  <c r="V373" i="36"/>
  <c r="W373" i="36"/>
  <c r="X373" i="36"/>
  <c r="Y373" i="36"/>
  <c r="Z373" i="36"/>
  <c r="AA373" i="36"/>
  <c r="AB373" i="36"/>
  <c r="AC373" i="36"/>
  <c r="AD373" i="36"/>
  <c r="AE373" i="36"/>
  <c r="AF373" i="36"/>
  <c r="AG373" i="36"/>
  <c r="AH373" i="36"/>
  <c r="AI373" i="36"/>
  <c r="AJ373" i="36"/>
  <c r="H374" i="36"/>
  <c r="I374" i="36"/>
  <c r="J374" i="36"/>
  <c r="K374" i="36"/>
  <c r="L374" i="36"/>
  <c r="O374" i="36"/>
  <c r="S374" i="36"/>
  <c r="T374" i="36"/>
  <c r="U374" i="36"/>
  <c r="V374" i="36"/>
  <c r="W374" i="36"/>
  <c r="X374" i="36"/>
  <c r="Y374" i="36"/>
  <c r="Z374" i="36"/>
  <c r="AA374" i="36"/>
  <c r="AB374" i="36"/>
  <c r="AC374" i="36"/>
  <c r="AD374" i="36"/>
  <c r="AE374" i="36"/>
  <c r="AF374" i="36"/>
  <c r="AG374" i="36"/>
  <c r="AH374" i="36"/>
  <c r="AI374" i="36"/>
  <c r="AJ374" i="36"/>
  <c r="H375" i="36"/>
  <c r="I375" i="36"/>
  <c r="J375" i="36"/>
  <c r="K375" i="36"/>
  <c r="L375" i="36"/>
  <c r="O375" i="36"/>
  <c r="S375" i="36"/>
  <c r="T375" i="36"/>
  <c r="U375" i="36"/>
  <c r="V375" i="36"/>
  <c r="W375" i="36"/>
  <c r="X375" i="36"/>
  <c r="Y375" i="36"/>
  <c r="Z375" i="36"/>
  <c r="AA375" i="36"/>
  <c r="AB375" i="36"/>
  <c r="AC375" i="36"/>
  <c r="AD375" i="36"/>
  <c r="AE375" i="36"/>
  <c r="AF375" i="36"/>
  <c r="AG375" i="36"/>
  <c r="AH375" i="36"/>
  <c r="AI375" i="36"/>
  <c r="AJ375" i="36"/>
  <c r="H376" i="36"/>
  <c r="I376" i="36"/>
  <c r="J376" i="36"/>
  <c r="K376" i="36"/>
  <c r="L376" i="36"/>
  <c r="O376" i="36"/>
  <c r="S376" i="36"/>
  <c r="T376" i="36"/>
  <c r="U376" i="36"/>
  <c r="V376" i="36"/>
  <c r="W376" i="36"/>
  <c r="X376" i="36"/>
  <c r="Y376" i="36"/>
  <c r="Z376" i="36"/>
  <c r="AA376" i="36"/>
  <c r="AB376" i="36"/>
  <c r="AC376" i="36"/>
  <c r="AD376" i="36"/>
  <c r="AE376" i="36"/>
  <c r="AF376" i="36"/>
  <c r="AG376" i="36"/>
  <c r="AH376" i="36"/>
  <c r="AI376" i="36"/>
  <c r="AJ376" i="36"/>
  <c r="H377" i="36"/>
  <c r="I377" i="36"/>
  <c r="J377" i="36"/>
  <c r="K377" i="36"/>
  <c r="L377" i="36"/>
  <c r="O377" i="36"/>
  <c r="S377" i="36"/>
  <c r="T377" i="36"/>
  <c r="U377" i="36"/>
  <c r="V377" i="36"/>
  <c r="W377" i="36"/>
  <c r="X377" i="36"/>
  <c r="Y377" i="36"/>
  <c r="Z377" i="36"/>
  <c r="AA377" i="36"/>
  <c r="AB377" i="36"/>
  <c r="AC377" i="36"/>
  <c r="AD377" i="36"/>
  <c r="AE377" i="36"/>
  <c r="AF377" i="36"/>
  <c r="AG377" i="36"/>
  <c r="AH377" i="36"/>
  <c r="AI377" i="36"/>
  <c r="AJ377" i="36"/>
  <c r="H378" i="36"/>
  <c r="I378" i="36"/>
  <c r="J378" i="36"/>
  <c r="K378" i="36"/>
  <c r="L378" i="36"/>
  <c r="O378" i="36"/>
  <c r="S378" i="36"/>
  <c r="T378" i="36"/>
  <c r="U378" i="36"/>
  <c r="V378" i="36"/>
  <c r="W378" i="36"/>
  <c r="X378" i="36"/>
  <c r="Y378" i="36"/>
  <c r="Z378" i="36"/>
  <c r="AA378" i="36"/>
  <c r="AB378" i="36"/>
  <c r="AC378" i="36"/>
  <c r="AD378" i="36"/>
  <c r="AE378" i="36"/>
  <c r="AF378" i="36"/>
  <c r="AG378" i="36"/>
  <c r="AH378" i="36"/>
  <c r="AI378" i="36"/>
  <c r="AJ378" i="36"/>
  <c r="H379" i="36"/>
  <c r="I379" i="36"/>
  <c r="J379" i="36"/>
  <c r="K379" i="36"/>
  <c r="L379" i="36"/>
  <c r="O379" i="36"/>
  <c r="S379" i="36"/>
  <c r="T379" i="36"/>
  <c r="U379" i="36"/>
  <c r="V379" i="36"/>
  <c r="W379" i="36"/>
  <c r="X379" i="36"/>
  <c r="Y379" i="36"/>
  <c r="Z379" i="36"/>
  <c r="AA379" i="36"/>
  <c r="AB379" i="36"/>
  <c r="AC379" i="36"/>
  <c r="AD379" i="36"/>
  <c r="AE379" i="36"/>
  <c r="AF379" i="36"/>
  <c r="AG379" i="36"/>
  <c r="AH379" i="36"/>
  <c r="AI379" i="36"/>
  <c r="AJ379" i="36"/>
  <c r="H380" i="36"/>
  <c r="I380" i="36"/>
  <c r="J380" i="36"/>
  <c r="K380" i="36"/>
  <c r="L380" i="36"/>
  <c r="O380" i="36"/>
  <c r="S380" i="36"/>
  <c r="T380" i="36"/>
  <c r="U380" i="36"/>
  <c r="V380" i="36"/>
  <c r="W380" i="36"/>
  <c r="X380" i="36"/>
  <c r="Y380" i="36"/>
  <c r="Z380" i="36"/>
  <c r="AA380" i="36"/>
  <c r="AB380" i="36"/>
  <c r="AC380" i="36"/>
  <c r="AD380" i="36"/>
  <c r="AE380" i="36"/>
  <c r="AF380" i="36"/>
  <c r="AG380" i="36"/>
  <c r="AH380" i="36"/>
  <c r="AI380" i="36"/>
  <c r="AJ380" i="36"/>
  <c r="H381" i="36"/>
  <c r="I381" i="36"/>
  <c r="J381" i="36"/>
  <c r="K381" i="36"/>
  <c r="L381" i="36"/>
  <c r="O381" i="36"/>
  <c r="S381" i="36"/>
  <c r="T381" i="36"/>
  <c r="U381" i="36"/>
  <c r="V381" i="36"/>
  <c r="W381" i="36"/>
  <c r="X381" i="36"/>
  <c r="Y381" i="36"/>
  <c r="Z381" i="36"/>
  <c r="AA381" i="36"/>
  <c r="AB381" i="36"/>
  <c r="AC381" i="36"/>
  <c r="AD381" i="36"/>
  <c r="AE381" i="36"/>
  <c r="AF381" i="36"/>
  <c r="AG381" i="36"/>
  <c r="AH381" i="36"/>
  <c r="AI381" i="36"/>
  <c r="AJ381" i="36"/>
  <c r="H382" i="36"/>
  <c r="I382" i="36"/>
  <c r="J382" i="36"/>
  <c r="K382" i="36"/>
  <c r="L382" i="36"/>
  <c r="O382" i="36"/>
  <c r="S382" i="36"/>
  <c r="T382" i="36"/>
  <c r="U382" i="36"/>
  <c r="V382" i="36"/>
  <c r="W382" i="36"/>
  <c r="X382" i="36"/>
  <c r="Y382" i="36"/>
  <c r="Z382" i="36"/>
  <c r="AA382" i="36"/>
  <c r="AB382" i="36"/>
  <c r="AC382" i="36"/>
  <c r="AD382" i="36"/>
  <c r="AE382" i="36"/>
  <c r="AF382" i="36"/>
  <c r="AG382" i="36"/>
  <c r="AH382" i="36"/>
  <c r="AI382" i="36"/>
  <c r="AJ382" i="36"/>
  <c r="H383" i="36"/>
  <c r="I383" i="36"/>
  <c r="J383" i="36"/>
  <c r="K383" i="36"/>
  <c r="L383" i="36"/>
  <c r="O383" i="36"/>
  <c r="S383" i="36"/>
  <c r="T383" i="36"/>
  <c r="U383" i="36"/>
  <c r="V383" i="36"/>
  <c r="W383" i="36"/>
  <c r="X383" i="36"/>
  <c r="Y383" i="36"/>
  <c r="Z383" i="36"/>
  <c r="AA383" i="36"/>
  <c r="AB383" i="36"/>
  <c r="AC383" i="36"/>
  <c r="AD383" i="36"/>
  <c r="AE383" i="36"/>
  <c r="AF383" i="36"/>
  <c r="AG383" i="36"/>
  <c r="AH383" i="36"/>
  <c r="AI383" i="36"/>
  <c r="AJ383" i="36"/>
  <c r="H384" i="36"/>
  <c r="I384" i="36"/>
  <c r="J384" i="36"/>
  <c r="K384" i="36"/>
  <c r="L384" i="36"/>
  <c r="O384" i="36"/>
  <c r="S384" i="36"/>
  <c r="T384" i="36"/>
  <c r="U384" i="36"/>
  <c r="V384" i="36"/>
  <c r="W384" i="36"/>
  <c r="X384" i="36"/>
  <c r="Y384" i="36"/>
  <c r="Z384" i="36"/>
  <c r="AA384" i="36"/>
  <c r="AB384" i="36"/>
  <c r="AC384" i="36"/>
  <c r="AD384" i="36"/>
  <c r="AE384" i="36"/>
  <c r="AF384" i="36"/>
  <c r="AG384" i="36"/>
  <c r="AH384" i="36"/>
  <c r="AI384" i="36"/>
  <c r="AJ384" i="36"/>
  <c r="H385" i="36"/>
  <c r="I385" i="36"/>
  <c r="J385" i="36"/>
  <c r="K385" i="36"/>
  <c r="L385" i="36"/>
  <c r="O385" i="36"/>
  <c r="S385" i="36"/>
  <c r="T385" i="36"/>
  <c r="U385" i="36"/>
  <c r="V385" i="36"/>
  <c r="W385" i="36"/>
  <c r="X385" i="36"/>
  <c r="Y385" i="36"/>
  <c r="Z385" i="36"/>
  <c r="AA385" i="36"/>
  <c r="AB385" i="36"/>
  <c r="AC385" i="36"/>
  <c r="AD385" i="36"/>
  <c r="AE385" i="36"/>
  <c r="AF385" i="36"/>
  <c r="AG385" i="36"/>
  <c r="AH385" i="36"/>
  <c r="AI385" i="36"/>
  <c r="AJ385" i="36"/>
  <c r="H386" i="36"/>
  <c r="I386" i="36"/>
  <c r="J386" i="36"/>
  <c r="K386" i="36"/>
  <c r="L386" i="36"/>
  <c r="O386" i="36"/>
  <c r="S386" i="36"/>
  <c r="T386" i="36"/>
  <c r="U386" i="36"/>
  <c r="V386" i="36"/>
  <c r="W386" i="36"/>
  <c r="X386" i="36"/>
  <c r="Y386" i="36"/>
  <c r="Z386" i="36"/>
  <c r="AA386" i="36"/>
  <c r="AB386" i="36"/>
  <c r="AC386" i="36"/>
  <c r="AD386" i="36"/>
  <c r="AE386" i="36"/>
  <c r="AF386" i="36"/>
  <c r="AG386" i="36"/>
  <c r="AH386" i="36"/>
  <c r="AI386" i="36"/>
  <c r="AJ386" i="36"/>
  <c r="H387" i="36"/>
  <c r="I387" i="36"/>
  <c r="J387" i="36"/>
  <c r="K387" i="36"/>
  <c r="L387" i="36"/>
  <c r="O387" i="36"/>
  <c r="S387" i="36"/>
  <c r="T387" i="36"/>
  <c r="U387" i="36"/>
  <c r="V387" i="36"/>
  <c r="W387" i="36"/>
  <c r="X387" i="36"/>
  <c r="Y387" i="36"/>
  <c r="Z387" i="36"/>
  <c r="AA387" i="36"/>
  <c r="AB387" i="36"/>
  <c r="AC387" i="36"/>
  <c r="AD387" i="36"/>
  <c r="AE387" i="36"/>
  <c r="AF387" i="36"/>
  <c r="AG387" i="36"/>
  <c r="AH387" i="36"/>
  <c r="AI387" i="36"/>
  <c r="AJ387" i="36"/>
  <c r="H388" i="36"/>
  <c r="I388" i="36"/>
  <c r="J388" i="36"/>
  <c r="K388" i="36"/>
  <c r="L388" i="36"/>
  <c r="O388" i="36"/>
  <c r="S388" i="36"/>
  <c r="T388" i="36"/>
  <c r="U388" i="36"/>
  <c r="V388" i="36"/>
  <c r="W388" i="36"/>
  <c r="X388" i="36"/>
  <c r="Y388" i="36"/>
  <c r="Z388" i="36"/>
  <c r="AA388" i="36"/>
  <c r="AB388" i="36"/>
  <c r="AC388" i="36"/>
  <c r="AD388" i="36"/>
  <c r="AE388" i="36"/>
  <c r="AF388" i="36"/>
  <c r="AG388" i="36"/>
  <c r="AH388" i="36"/>
  <c r="AI388" i="36"/>
  <c r="AJ388" i="36"/>
  <c r="H389" i="36"/>
  <c r="I389" i="36"/>
  <c r="J389" i="36"/>
  <c r="K389" i="36"/>
  <c r="L389" i="36"/>
  <c r="O389" i="36"/>
  <c r="S389" i="36"/>
  <c r="T389" i="36"/>
  <c r="U389" i="36"/>
  <c r="V389" i="36"/>
  <c r="W389" i="36"/>
  <c r="X389" i="36"/>
  <c r="Y389" i="36"/>
  <c r="Z389" i="36"/>
  <c r="AA389" i="36"/>
  <c r="AB389" i="36"/>
  <c r="AC389" i="36"/>
  <c r="AD389" i="36"/>
  <c r="AE389" i="36"/>
  <c r="AF389" i="36"/>
  <c r="AG389" i="36"/>
  <c r="AH389" i="36"/>
  <c r="AI389" i="36"/>
  <c r="AJ389" i="36"/>
  <c r="H390" i="36"/>
  <c r="I390" i="36"/>
  <c r="J390" i="36"/>
  <c r="K390" i="36"/>
  <c r="L390" i="36"/>
  <c r="O390" i="36"/>
  <c r="S390" i="36"/>
  <c r="T390" i="36"/>
  <c r="U390" i="36"/>
  <c r="V390" i="36"/>
  <c r="W390" i="36"/>
  <c r="X390" i="36"/>
  <c r="Y390" i="36"/>
  <c r="Z390" i="36"/>
  <c r="AA390" i="36"/>
  <c r="AB390" i="36"/>
  <c r="AC390" i="36"/>
  <c r="AD390" i="36"/>
  <c r="AE390" i="36"/>
  <c r="AF390" i="36"/>
  <c r="AG390" i="36"/>
  <c r="AH390" i="36"/>
  <c r="AI390" i="36"/>
  <c r="AJ390" i="36"/>
  <c r="H391" i="36"/>
  <c r="I391" i="36"/>
  <c r="J391" i="36"/>
  <c r="K391" i="36"/>
  <c r="L391" i="36"/>
  <c r="O391" i="36"/>
  <c r="S391" i="36"/>
  <c r="T391" i="36"/>
  <c r="U391" i="36"/>
  <c r="V391" i="36"/>
  <c r="W391" i="36"/>
  <c r="X391" i="36"/>
  <c r="Y391" i="36"/>
  <c r="Z391" i="36"/>
  <c r="AA391" i="36"/>
  <c r="AB391" i="36"/>
  <c r="AC391" i="36"/>
  <c r="AD391" i="36"/>
  <c r="AE391" i="36"/>
  <c r="AF391" i="36"/>
  <c r="AG391" i="36"/>
  <c r="AH391" i="36"/>
  <c r="AI391" i="36"/>
  <c r="AJ391" i="36"/>
  <c r="H392" i="36"/>
  <c r="I392" i="36"/>
  <c r="J392" i="36"/>
  <c r="K392" i="36"/>
  <c r="L392" i="36"/>
  <c r="O392" i="36"/>
  <c r="S392" i="36"/>
  <c r="T392" i="36"/>
  <c r="U392" i="36"/>
  <c r="V392" i="36"/>
  <c r="W392" i="36"/>
  <c r="X392" i="36"/>
  <c r="Y392" i="36"/>
  <c r="Z392" i="36"/>
  <c r="AA392" i="36"/>
  <c r="AB392" i="36"/>
  <c r="AC392" i="36"/>
  <c r="AD392" i="36"/>
  <c r="AE392" i="36"/>
  <c r="AF392" i="36"/>
  <c r="AG392" i="36"/>
  <c r="AH392" i="36"/>
  <c r="AI392" i="36"/>
  <c r="AJ392" i="36"/>
  <c r="H393" i="36"/>
  <c r="I393" i="36"/>
  <c r="J393" i="36"/>
  <c r="K393" i="36"/>
  <c r="L393" i="36"/>
  <c r="O393" i="36"/>
  <c r="S393" i="36"/>
  <c r="T393" i="36"/>
  <c r="U393" i="36"/>
  <c r="V393" i="36"/>
  <c r="W393" i="36"/>
  <c r="X393" i="36"/>
  <c r="Y393" i="36"/>
  <c r="Z393" i="36"/>
  <c r="AA393" i="36"/>
  <c r="AB393" i="36"/>
  <c r="AC393" i="36"/>
  <c r="AD393" i="36"/>
  <c r="AE393" i="36"/>
  <c r="AF393" i="36"/>
  <c r="AG393" i="36"/>
  <c r="AH393" i="36"/>
  <c r="AI393" i="36"/>
  <c r="AJ393" i="36"/>
  <c r="H394" i="36"/>
  <c r="I394" i="36"/>
  <c r="J394" i="36"/>
  <c r="K394" i="36"/>
  <c r="L394" i="36"/>
  <c r="O394" i="36"/>
  <c r="S394" i="36"/>
  <c r="T394" i="36"/>
  <c r="U394" i="36"/>
  <c r="V394" i="36"/>
  <c r="W394" i="36"/>
  <c r="X394" i="36"/>
  <c r="Y394" i="36"/>
  <c r="Z394" i="36"/>
  <c r="AA394" i="36"/>
  <c r="AB394" i="36"/>
  <c r="AC394" i="36"/>
  <c r="AD394" i="36"/>
  <c r="AE394" i="36"/>
  <c r="AF394" i="36"/>
  <c r="AG394" i="36"/>
  <c r="AH394" i="36"/>
  <c r="AI394" i="36"/>
  <c r="AJ394" i="36"/>
  <c r="H29" i="36"/>
  <c r="I29" i="36"/>
  <c r="J29" i="36"/>
  <c r="K29" i="36"/>
  <c r="L29" i="36"/>
  <c r="M29" i="36"/>
  <c r="N29" i="36"/>
  <c r="O29" i="36"/>
  <c r="S29" i="36"/>
  <c r="T29" i="36"/>
  <c r="U29" i="36"/>
  <c r="W29" i="36"/>
  <c r="X29" i="36"/>
  <c r="Y29" i="36"/>
  <c r="Z29" i="36"/>
  <c r="AA29" i="36"/>
  <c r="AB29" i="36"/>
  <c r="AC29" i="36"/>
  <c r="AD29" i="36"/>
  <c r="AE29" i="36"/>
  <c r="AF29" i="36"/>
  <c r="AG29" i="36"/>
  <c r="D30" i="36"/>
  <c r="D31" i="36" s="1"/>
  <c r="D32" i="36" s="1"/>
  <c r="E30" i="36"/>
  <c r="E31" i="36" s="1"/>
  <c r="E32" i="36" s="1"/>
  <c r="E33" i="36" s="1"/>
  <c r="E34" i="36" s="1"/>
  <c r="F30" i="36"/>
  <c r="F31" i="36" s="1"/>
  <c r="F32" i="36" s="1"/>
  <c r="F33" i="36" s="1"/>
  <c r="F34" i="36" s="1"/>
  <c r="G30" i="36"/>
  <c r="G31" i="36" s="1"/>
  <c r="G32" i="36" s="1"/>
  <c r="H30" i="36"/>
  <c r="J30" i="36"/>
  <c r="K30" i="36"/>
  <c r="L30" i="36"/>
  <c r="M30" i="36"/>
  <c r="N30" i="36"/>
  <c r="O30" i="36"/>
  <c r="Q30" i="36"/>
  <c r="R30" i="36"/>
  <c r="S30" i="36"/>
  <c r="T30" i="36"/>
  <c r="U30" i="36"/>
  <c r="W30" i="36"/>
  <c r="AA30" i="36"/>
  <c r="AB30" i="36"/>
  <c r="AC30" i="36"/>
  <c r="AD30" i="36"/>
  <c r="AE30" i="36"/>
  <c r="AF30" i="36"/>
  <c r="AG30" i="36"/>
  <c r="H31" i="36"/>
  <c r="I31" i="36"/>
  <c r="J31" i="36"/>
  <c r="K31" i="36"/>
  <c r="L31" i="36"/>
  <c r="M31" i="36"/>
  <c r="N31" i="36"/>
  <c r="O31" i="36"/>
  <c r="Q31" i="36"/>
  <c r="R31" i="36"/>
  <c r="S31" i="36"/>
  <c r="T31" i="36"/>
  <c r="U31" i="36"/>
  <c r="W31" i="36"/>
  <c r="X31" i="36"/>
  <c r="Z31" i="36"/>
  <c r="AA31" i="36"/>
  <c r="AB31" i="36"/>
  <c r="AC31" i="36"/>
  <c r="AD31" i="36"/>
  <c r="AE31" i="36"/>
  <c r="AF31" i="36"/>
  <c r="AG31" i="36"/>
  <c r="H32" i="36"/>
  <c r="I32" i="36"/>
  <c r="J32" i="36"/>
  <c r="K32" i="36"/>
  <c r="L32" i="36"/>
  <c r="M32" i="36"/>
  <c r="N32" i="36"/>
  <c r="O32" i="36"/>
  <c r="Q32" i="36"/>
  <c r="R32" i="36"/>
  <c r="S32" i="36"/>
  <c r="T32" i="36"/>
  <c r="U32" i="36"/>
  <c r="W32" i="36"/>
  <c r="X32" i="36"/>
  <c r="Z32" i="36"/>
  <c r="AA32" i="36"/>
  <c r="AB32" i="36"/>
  <c r="AC32" i="36"/>
  <c r="AD32" i="36"/>
  <c r="AE32" i="36"/>
  <c r="AF32" i="36"/>
  <c r="AG32" i="36"/>
  <c r="D33" i="36"/>
  <c r="D34" i="36" s="1"/>
  <c r="G33" i="36"/>
  <c r="G34" i="36" s="1"/>
  <c r="H33" i="36"/>
  <c r="I33" i="36"/>
  <c r="J33" i="36"/>
  <c r="K33" i="36"/>
  <c r="L33" i="36"/>
  <c r="M33" i="36"/>
  <c r="N33" i="36"/>
  <c r="O33" i="36"/>
  <c r="Q33" i="36"/>
  <c r="R33" i="36"/>
  <c r="S33" i="36"/>
  <c r="T33" i="36"/>
  <c r="U33" i="36"/>
  <c r="W33" i="36"/>
  <c r="AA33" i="36"/>
  <c r="AB33" i="36"/>
  <c r="AC33" i="36"/>
  <c r="AD33" i="36"/>
  <c r="AE33" i="36"/>
  <c r="AF33" i="36"/>
  <c r="AG33" i="36"/>
  <c r="H34" i="36"/>
  <c r="I34" i="36"/>
  <c r="J34" i="36"/>
  <c r="K34" i="36"/>
  <c r="L34" i="36"/>
  <c r="M34" i="36"/>
  <c r="N34" i="36"/>
  <c r="O34" i="36"/>
  <c r="Q34" i="36"/>
  <c r="R34" i="36"/>
  <c r="S34" i="36"/>
  <c r="T34" i="36"/>
  <c r="U34" i="36"/>
  <c r="W34" i="36"/>
  <c r="X34" i="36"/>
  <c r="Y34" i="36"/>
  <c r="Z34" i="36"/>
  <c r="AA34" i="36"/>
  <c r="AB34" i="36"/>
  <c r="AC34" i="36"/>
  <c r="AD34" i="36"/>
  <c r="AE34" i="36"/>
  <c r="AF34" i="36"/>
  <c r="AG34" i="36"/>
  <c r="D35" i="36"/>
  <c r="D36" i="36" s="1"/>
  <c r="D37" i="36" s="1"/>
  <c r="D38" i="36" s="1"/>
  <c r="E35" i="36"/>
  <c r="E36" i="36" s="1"/>
  <c r="E37" i="36" s="1"/>
  <c r="E38" i="36" s="1"/>
  <c r="F35" i="36"/>
  <c r="F36" i="36" s="1"/>
  <c r="F37" i="36" s="1"/>
  <c r="F38" i="36" s="1"/>
  <c r="G35" i="36"/>
  <c r="G36" i="36" s="1"/>
  <c r="G37" i="36" s="1"/>
  <c r="G38" i="36" s="1"/>
  <c r="H35" i="36"/>
  <c r="I35" i="36"/>
  <c r="J35" i="36"/>
  <c r="K35" i="36"/>
  <c r="M35" i="36"/>
  <c r="M36" i="36" s="1"/>
  <c r="N35" i="36"/>
  <c r="N36" i="36" s="1"/>
  <c r="O35" i="36"/>
  <c r="Q35" i="36"/>
  <c r="Q36" i="36" s="1"/>
  <c r="R35" i="36"/>
  <c r="R36" i="36" s="1"/>
  <c r="S35" i="36"/>
  <c r="T35" i="36"/>
  <c r="W35" i="36"/>
  <c r="AA35" i="36"/>
  <c r="AB35" i="36"/>
  <c r="AC35" i="36"/>
  <c r="AD35" i="36"/>
  <c r="AE35" i="36"/>
  <c r="AF35" i="36"/>
  <c r="AG35" i="36"/>
  <c r="H36" i="36"/>
  <c r="I36" i="36"/>
  <c r="J36" i="36"/>
  <c r="K36" i="36"/>
  <c r="L36" i="36"/>
  <c r="O36" i="36"/>
  <c r="S36" i="36"/>
  <c r="T36" i="36"/>
  <c r="U36" i="36"/>
  <c r="V36" i="36"/>
  <c r="W36" i="36"/>
  <c r="X36" i="36"/>
  <c r="Y36" i="36"/>
  <c r="Z36" i="36"/>
  <c r="AA36" i="36"/>
  <c r="AB36" i="36"/>
  <c r="AC36" i="36"/>
  <c r="AD36" i="36"/>
  <c r="AE36" i="36"/>
  <c r="AF36" i="36"/>
  <c r="AG36" i="36"/>
  <c r="AI36" i="36"/>
  <c r="AJ36" i="36"/>
  <c r="H37" i="36"/>
  <c r="I37" i="36"/>
  <c r="J37" i="36"/>
  <c r="K37" i="36"/>
  <c r="L37" i="36"/>
  <c r="M37" i="36"/>
  <c r="N37" i="36"/>
  <c r="O37" i="36"/>
  <c r="Q37" i="36"/>
  <c r="R37" i="36"/>
  <c r="S37" i="36"/>
  <c r="T37" i="36"/>
  <c r="U37" i="36"/>
  <c r="V37" i="36"/>
  <c r="W37" i="36"/>
  <c r="X37" i="36"/>
  <c r="Y37" i="36"/>
  <c r="Z37" i="36"/>
  <c r="AA37" i="36"/>
  <c r="AB37" i="36"/>
  <c r="AC37" i="36"/>
  <c r="AD37" i="36"/>
  <c r="AE37" i="36"/>
  <c r="AF37" i="36"/>
  <c r="AG37" i="36"/>
  <c r="AI37" i="36"/>
  <c r="AJ37" i="36"/>
  <c r="H38" i="36"/>
  <c r="I38" i="36"/>
  <c r="J38" i="36"/>
  <c r="K38" i="36"/>
  <c r="L38" i="36"/>
  <c r="M38" i="36"/>
  <c r="N38" i="36"/>
  <c r="O38" i="36"/>
  <c r="Q38" i="36"/>
  <c r="R38" i="36"/>
  <c r="S38" i="36"/>
  <c r="T38" i="36"/>
  <c r="U38" i="36"/>
  <c r="V38" i="36"/>
  <c r="W38" i="36"/>
  <c r="X38" i="36"/>
  <c r="Y38" i="36"/>
  <c r="Z38" i="36"/>
  <c r="AA38" i="36"/>
  <c r="AB38" i="36"/>
  <c r="AC38" i="36"/>
  <c r="AD38" i="36"/>
  <c r="AE38" i="36"/>
  <c r="AF38" i="36"/>
  <c r="AG38" i="36"/>
  <c r="AI38" i="36"/>
  <c r="AJ38" i="36"/>
  <c r="D39" i="36"/>
  <c r="D40" i="36" s="1"/>
  <c r="E39" i="36"/>
  <c r="E40" i="36" s="1"/>
  <c r="F39" i="36"/>
  <c r="F40" i="36" s="1"/>
  <c r="G39" i="36"/>
  <c r="G40" i="36" s="1"/>
  <c r="H39" i="36"/>
  <c r="I39" i="36"/>
  <c r="J39" i="36"/>
  <c r="K39" i="36"/>
  <c r="L39" i="36"/>
  <c r="M39" i="36"/>
  <c r="N39" i="36"/>
  <c r="O39" i="36"/>
  <c r="Q39" i="36"/>
  <c r="R39" i="36"/>
  <c r="S39" i="36"/>
  <c r="T39" i="36"/>
  <c r="U39" i="36"/>
  <c r="W39" i="36"/>
  <c r="AA39" i="36"/>
  <c r="AB39" i="36"/>
  <c r="AC39" i="36"/>
  <c r="AD39" i="36"/>
  <c r="AE39" i="36"/>
  <c r="AF39" i="36"/>
  <c r="AG39" i="36"/>
  <c r="H40" i="36"/>
  <c r="I40" i="36"/>
  <c r="J40" i="36"/>
  <c r="K40" i="36"/>
  <c r="L40" i="36"/>
  <c r="M40" i="36"/>
  <c r="N40" i="36"/>
  <c r="N41" i="36" s="1"/>
  <c r="N42" i="36" s="1"/>
  <c r="O40" i="36"/>
  <c r="Q40" i="36"/>
  <c r="Q41" i="36" s="1"/>
  <c r="R40" i="36"/>
  <c r="R41" i="36" s="1"/>
  <c r="R42" i="36" s="1"/>
  <c r="R43" i="36" s="1"/>
  <c r="R44" i="36" s="1"/>
  <c r="R45" i="36" s="1"/>
  <c r="R46" i="36" s="1"/>
  <c r="R47" i="36" s="1"/>
  <c r="R48" i="36" s="1"/>
  <c r="S40" i="36"/>
  <c r="T40" i="36"/>
  <c r="U40" i="36"/>
  <c r="W40" i="36"/>
  <c r="X40" i="36"/>
  <c r="Y40" i="36"/>
  <c r="Z40" i="36"/>
  <c r="AA40" i="36"/>
  <c r="AB40" i="36"/>
  <c r="AC40" i="36"/>
  <c r="AD40" i="36"/>
  <c r="AE40" i="36"/>
  <c r="AF40" i="36"/>
  <c r="AG40" i="36"/>
  <c r="D41" i="36"/>
  <c r="E41" i="36"/>
  <c r="F41" i="36"/>
  <c r="G41" i="36"/>
  <c r="H41" i="36"/>
  <c r="I41" i="36"/>
  <c r="J41" i="36"/>
  <c r="K41" i="36"/>
  <c r="L41" i="36"/>
  <c r="M41" i="36"/>
  <c r="O41" i="36"/>
  <c r="S41" i="36"/>
  <c r="T41" i="36"/>
  <c r="W41" i="36"/>
  <c r="AA41" i="36"/>
  <c r="AB41" i="36"/>
  <c r="AC41" i="36"/>
  <c r="AD41" i="36"/>
  <c r="AE41" i="36"/>
  <c r="AF41" i="36"/>
  <c r="AG41" i="36"/>
  <c r="B42" i="36"/>
  <c r="B43" i="36" s="1"/>
  <c r="B44" i="36" s="1"/>
  <c r="B45" i="36" s="1"/>
  <c r="B46" i="36" s="1"/>
  <c r="B47" i="36" s="1"/>
  <c r="B48" i="36" s="1"/>
  <c r="C42" i="36"/>
  <c r="C43" i="36" s="1"/>
  <c r="C44" i="36" s="1"/>
  <c r="C45" i="36" s="1"/>
  <c r="C46" i="36" s="1"/>
  <c r="C47" i="36" s="1"/>
  <c r="C48" i="36" s="1"/>
  <c r="C49" i="36" s="1"/>
  <c r="C50" i="36" s="1"/>
  <c r="C51" i="36" s="1"/>
  <c r="C52" i="36" s="1"/>
  <c r="D42" i="36"/>
  <c r="D43" i="36" s="1"/>
  <c r="E42" i="36"/>
  <c r="E43" i="36" s="1"/>
  <c r="E44" i="36" s="1"/>
  <c r="E45" i="36" s="1"/>
  <c r="E46" i="36" s="1"/>
  <c r="E47" i="36" s="1"/>
  <c r="E48" i="36" s="1"/>
  <c r="F42" i="36"/>
  <c r="F43" i="36" s="1"/>
  <c r="F44" i="36" s="1"/>
  <c r="F45" i="36" s="1"/>
  <c r="F46" i="36" s="1"/>
  <c r="F47" i="36" s="1"/>
  <c r="F48" i="36" s="1"/>
  <c r="G42" i="36"/>
  <c r="G43" i="36" s="1"/>
  <c r="H42" i="36"/>
  <c r="I42" i="36"/>
  <c r="J42" i="36"/>
  <c r="K42" i="36"/>
  <c r="L42" i="36"/>
  <c r="M42" i="36"/>
  <c r="O42" i="36"/>
  <c r="Q42" i="36"/>
  <c r="Q43" i="36" s="1"/>
  <c r="S42" i="36"/>
  <c r="T42" i="36"/>
  <c r="U42" i="36"/>
  <c r="W42" i="36"/>
  <c r="AA42" i="36"/>
  <c r="AB42" i="36"/>
  <c r="AC42" i="36"/>
  <c r="AD42" i="36"/>
  <c r="AE42" i="36"/>
  <c r="AF42" i="36"/>
  <c r="AG42" i="36"/>
  <c r="H43" i="36"/>
  <c r="I43" i="36"/>
  <c r="J43" i="36"/>
  <c r="K43" i="36"/>
  <c r="L43" i="36"/>
  <c r="M43" i="36"/>
  <c r="N43" i="36"/>
  <c r="N44" i="36" s="1"/>
  <c r="N45" i="36" s="1"/>
  <c r="N46" i="36" s="1"/>
  <c r="N47" i="36" s="1"/>
  <c r="N48" i="36" s="1"/>
  <c r="N49" i="36" s="1"/>
  <c r="N50" i="36" s="1"/>
  <c r="N51" i="36" s="1"/>
  <c r="O43" i="36"/>
  <c r="S43" i="36"/>
  <c r="T43" i="36"/>
  <c r="U43" i="36"/>
  <c r="W43" i="36"/>
  <c r="X43" i="36"/>
  <c r="Y43" i="36"/>
  <c r="Z43" i="36"/>
  <c r="AA43" i="36"/>
  <c r="AB43" i="36"/>
  <c r="AC43" i="36"/>
  <c r="AD43" i="36"/>
  <c r="AE43" i="36"/>
  <c r="AF43" i="36"/>
  <c r="AG43" i="36"/>
  <c r="AH43" i="36"/>
  <c r="AI43" i="36"/>
  <c r="AJ43" i="36"/>
  <c r="D44" i="36"/>
  <c r="D45" i="36" s="1"/>
  <c r="D46" i="36" s="1"/>
  <c r="D47" i="36" s="1"/>
  <c r="D48" i="36" s="1"/>
  <c r="G44" i="36"/>
  <c r="G45" i="36" s="1"/>
  <c r="G46" i="36" s="1"/>
  <c r="G47" i="36" s="1"/>
  <c r="G48" i="36" s="1"/>
  <c r="H44" i="36"/>
  <c r="I44" i="36"/>
  <c r="J44" i="36"/>
  <c r="K44" i="36"/>
  <c r="M44" i="36"/>
  <c r="O44" i="36"/>
  <c r="Q44" i="36"/>
  <c r="S44" i="36"/>
  <c r="T44" i="36"/>
  <c r="U44" i="36"/>
  <c r="W44" i="36"/>
  <c r="X44" i="36"/>
  <c r="Y44" i="36"/>
  <c r="Z44" i="36"/>
  <c r="AA44" i="36"/>
  <c r="AB44" i="36"/>
  <c r="AC44" i="36"/>
  <c r="AD44" i="36"/>
  <c r="AE44" i="36"/>
  <c r="AF44" i="36"/>
  <c r="AG44" i="36"/>
  <c r="H45" i="36"/>
  <c r="I45" i="36"/>
  <c r="J45" i="36"/>
  <c r="K45" i="36"/>
  <c r="L45" i="36"/>
  <c r="M45" i="36"/>
  <c r="O45" i="36"/>
  <c r="Q45" i="36"/>
  <c r="S45" i="36"/>
  <c r="T45" i="36"/>
  <c r="U45" i="36"/>
  <c r="V45" i="36"/>
  <c r="W45" i="36"/>
  <c r="X45" i="36"/>
  <c r="Y45" i="36"/>
  <c r="Z45" i="36"/>
  <c r="AA45" i="36"/>
  <c r="AB45" i="36"/>
  <c r="AC45" i="36"/>
  <c r="AD45" i="36"/>
  <c r="AE45" i="36"/>
  <c r="AF45" i="36"/>
  <c r="AG45" i="36"/>
  <c r="H46" i="36"/>
  <c r="I46" i="36"/>
  <c r="J46" i="36"/>
  <c r="K46" i="36"/>
  <c r="L46" i="36"/>
  <c r="M46" i="36"/>
  <c r="O46" i="36"/>
  <c r="Q46" i="36"/>
  <c r="S46" i="36"/>
  <c r="T46" i="36"/>
  <c r="U46" i="36"/>
  <c r="V46" i="36"/>
  <c r="W46" i="36"/>
  <c r="X46" i="36"/>
  <c r="Y46" i="36"/>
  <c r="Z46" i="36"/>
  <c r="AA46" i="36"/>
  <c r="AB46" i="36"/>
  <c r="AC46" i="36"/>
  <c r="AD46" i="36"/>
  <c r="AE46" i="36"/>
  <c r="AF46" i="36"/>
  <c r="AG46" i="36"/>
  <c r="H47" i="36"/>
  <c r="I47" i="36"/>
  <c r="J47" i="36"/>
  <c r="K47" i="36"/>
  <c r="L47" i="36"/>
  <c r="M47" i="36"/>
  <c r="O47" i="36"/>
  <c r="Q47" i="36"/>
  <c r="Q48" i="36" s="1"/>
  <c r="S47" i="36"/>
  <c r="T47" i="36"/>
  <c r="U47" i="36"/>
  <c r="V47" i="36"/>
  <c r="W47" i="36"/>
  <c r="X47" i="36"/>
  <c r="Y47" i="36"/>
  <c r="Z47" i="36"/>
  <c r="AA47" i="36"/>
  <c r="AB47" i="36"/>
  <c r="AC47" i="36"/>
  <c r="AD47" i="36"/>
  <c r="AE47" i="36"/>
  <c r="AF47" i="36"/>
  <c r="AG47" i="36"/>
  <c r="H48" i="36"/>
  <c r="I48" i="36"/>
  <c r="J48" i="36"/>
  <c r="K48" i="36"/>
  <c r="L48" i="36"/>
  <c r="M48" i="36"/>
  <c r="O48" i="36"/>
  <c r="S48" i="36"/>
  <c r="T48" i="36"/>
  <c r="U48" i="36"/>
  <c r="V48" i="36"/>
  <c r="W48" i="36"/>
  <c r="X48" i="36"/>
  <c r="Y48" i="36"/>
  <c r="Z48" i="36"/>
  <c r="AA48" i="36"/>
  <c r="AB48" i="36"/>
  <c r="AC48" i="36"/>
  <c r="AD48" i="36"/>
  <c r="AE48" i="36"/>
  <c r="AF48" i="36"/>
  <c r="AG48" i="36"/>
  <c r="AH48" i="36"/>
  <c r="AI48" i="36"/>
  <c r="AJ48" i="36"/>
  <c r="B49" i="36"/>
  <c r="B50" i="36" s="1"/>
  <c r="B51" i="36" s="1"/>
  <c r="B52" i="36" s="1"/>
  <c r="D49" i="36"/>
  <c r="E49" i="36"/>
  <c r="F49" i="36"/>
  <c r="G49" i="36"/>
  <c r="H49" i="36"/>
  <c r="I49" i="36"/>
  <c r="J49" i="36"/>
  <c r="K49" i="36"/>
  <c r="L49" i="36"/>
  <c r="M49" i="36"/>
  <c r="O49" i="36"/>
  <c r="Q49" i="36"/>
  <c r="R49" i="36"/>
  <c r="S49" i="36"/>
  <c r="T49" i="36"/>
  <c r="U49" i="36"/>
  <c r="W49" i="36"/>
  <c r="AA49" i="36"/>
  <c r="AB49" i="36"/>
  <c r="AC49" i="36"/>
  <c r="AD49" i="36"/>
  <c r="AE49" i="36"/>
  <c r="AF49" i="36"/>
  <c r="AG49" i="36"/>
  <c r="D50" i="36"/>
  <c r="D51" i="36" s="1"/>
  <c r="E50" i="36"/>
  <c r="E51" i="36" s="1"/>
  <c r="F50" i="36"/>
  <c r="F51" i="36" s="1"/>
  <c r="G50" i="36"/>
  <c r="G51" i="36" s="1"/>
  <c r="H50" i="36"/>
  <c r="I50" i="36"/>
  <c r="J50" i="36"/>
  <c r="K50" i="36"/>
  <c r="L50" i="36"/>
  <c r="M50" i="36"/>
  <c r="O50" i="36"/>
  <c r="Q50" i="36"/>
  <c r="Q51" i="36" s="1"/>
  <c r="Q52" i="36" s="1"/>
  <c r="R50" i="36"/>
  <c r="R51" i="36" s="1"/>
  <c r="S50" i="36"/>
  <c r="T50" i="36"/>
  <c r="U50" i="36"/>
  <c r="W50" i="36"/>
  <c r="X50" i="36"/>
  <c r="Y50" i="36"/>
  <c r="Z50" i="36"/>
  <c r="AA50" i="36"/>
  <c r="AB50" i="36"/>
  <c r="AC50" i="36"/>
  <c r="AD50" i="36"/>
  <c r="AE50" i="36"/>
  <c r="AF50" i="36"/>
  <c r="AG50" i="36"/>
  <c r="H51" i="36"/>
  <c r="I51" i="36"/>
  <c r="J51" i="36"/>
  <c r="K51" i="36"/>
  <c r="L51" i="36"/>
  <c r="M51" i="36"/>
  <c r="O51" i="36"/>
  <c r="S51" i="36"/>
  <c r="T51" i="36"/>
  <c r="U51" i="36"/>
  <c r="W51" i="36"/>
  <c r="X51" i="36"/>
  <c r="Y51" i="36"/>
  <c r="Z51" i="36"/>
  <c r="AA51" i="36"/>
  <c r="AB51" i="36"/>
  <c r="AC51" i="36"/>
  <c r="AD51" i="36"/>
  <c r="AE51" i="36"/>
  <c r="AF51" i="36"/>
  <c r="AG51" i="36"/>
  <c r="D52" i="36"/>
  <c r="E52" i="36"/>
  <c r="F52" i="36"/>
  <c r="G52" i="36"/>
  <c r="H52" i="36"/>
  <c r="I52" i="36"/>
  <c r="J52" i="36"/>
  <c r="K52" i="36"/>
  <c r="L52" i="36"/>
  <c r="M52" i="36"/>
  <c r="N52" i="36"/>
  <c r="N53" i="36" s="1"/>
  <c r="O52" i="36"/>
  <c r="R52" i="36"/>
  <c r="R53" i="36" s="1"/>
  <c r="R54" i="36" s="1"/>
  <c r="R55" i="36" s="1"/>
  <c r="R56" i="36" s="1"/>
  <c r="R57" i="36" s="1"/>
  <c r="R58" i="36" s="1"/>
  <c r="R59" i="36" s="1"/>
  <c r="R60" i="36" s="1"/>
  <c r="S52" i="36"/>
  <c r="T52" i="36"/>
  <c r="W52" i="36"/>
  <c r="X52" i="36"/>
  <c r="Y52" i="36"/>
  <c r="Z52" i="36"/>
  <c r="AA52" i="36"/>
  <c r="AB52" i="36"/>
  <c r="AC52" i="36"/>
  <c r="AD52" i="36"/>
  <c r="AE52" i="36"/>
  <c r="AF52" i="36"/>
  <c r="AG52" i="36"/>
  <c r="B53" i="36"/>
  <c r="B54" i="36" s="1"/>
  <c r="B55" i="36" s="1"/>
  <c r="B56" i="36" s="1"/>
  <c r="B57" i="36" s="1"/>
  <c r="B58" i="36" s="1"/>
  <c r="B59" i="36" s="1"/>
  <c r="B60" i="36" s="1"/>
  <c r="C53" i="36"/>
  <c r="C54" i="36" s="1"/>
  <c r="C55" i="36" s="1"/>
  <c r="C56" i="36" s="1"/>
  <c r="C57" i="36" s="1"/>
  <c r="C58" i="36" s="1"/>
  <c r="C59" i="36" s="1"/>
  <c r="C60" i="36" s="1"/>
  <c r="C61" i="36" s="1"/>
  <c r="C62" i="36" s="1"/>
  <c r="C63" i="36" s="1"/>
  <c r="C64" i="36" s="1"/>
  <c r="D53" i="36"/>
  <c r="E53" i="36"/>
  <c r="F53" i="36"/>
  <c r="G53" i="36"/>
  <c r="H53" i="36"/>
  <c r="I53" i="36"/>
  <c r="J53" i="36"/>
  <c r="K53" i="36"/>
  <c r="L53" i="36"/>
  <c r="M53" i="36"/>
  <c r="O53" i="36"/>
  <c r="Q53" i="36"/>
  <c r="Q54" i="36" s="1"/>
  <c r="Q55" i="36" s="1"/>
  <c r="Q56" i="36" s="1"/>
  <c r="Q57" i="36" s="1"/>
  <c r="Q58" i="36" s="1"/>
  <c r="Q59" i="36" s="1"/>
  <c r="Q60" i="36" s="1"/>
  <c r="S53" i="36"/>
  <c r="T53" i="36"/>
  <c r="U53" i="36"/>
  <c r="W53" i="36"/>
  <c r="AA53" i="36"/>
  <c r="AB53" i="36"/>
  <c r="AC53" i="36"/>
  <c r="AD53" i="36"/>
  <c r="AE53" i="36"/>
  <c r="AF53" i="36"/>
  <c r="AG53" i="36"/>
  <c r="D54" i="36"/>
  <c r="D55" i="36" s="1"/>
  <c r="D56" i="36" s="1"/>
  <c r="D57" i="36" s="1"/>
  <c r="D58" i="36" s="1"/>
  <c r="D59" i="36" s="1"/>
  <c r="D60" i="36" s="1"/>
  <c r="E54" i="36"/>
  <c r="E55" i="36" s="1"/>
  <c r="E56" i="36" s="1"/>
  <c r="E57" i="36" s="1"/>
  <c r="E58" i="36" s="1"/>
  <c r="E59" i="36" s="1"/>
  <c r="E60" i="36" s="1"/>
  <c r="F54" i="36"/>
  <c r="F55" i="36" s="1"/>
  <c r="F56" i="36" s="1"/>
  <c r="F57" i="36" s="1"/>
  <c r="F58" i="36" s="1"/>
  <c r="F59" i="36" s="1"/>
  <c r="F60" i="36" s="1"/>
  <c r="G54" i="36"/>
  <c r="G55" i="36" s="1"/>
  <c r="G56" i="36" s="1"/>
  <c r="G57" i="36" s="1"/>
  <c r="G58" i="36" s="1"/>
  <c r="G59" i="36" s="1"/>
  <c r="G60" i="36" s="1"/>
  <c r="H54" i="36"/>
  <c r="I54" i="36"/>
  <c r="J54" i="36"/>
  <c r="K54" i="36"/>
  <c r="L54" i="36"/>
  <c r="M54" i="36"/>
  <c r="M55" i="36" s="1"/>
  <c r="M56" i="36" s="1"/>
  <c r="M57" i="36" s="1"/>
  <c r="M58" i="36" s="1"/>
  <c r="M59" i="36" s="1"/>
  <c r="M60" i="36" s="1"/>
  <c r="N54" i="36"/>
  <c r="O54" i="36"/>
  <c r="S54" i="36"/>
  <c r="T54" i="36"/>
  <c r="U54" i="36"/>
  <c r="W54" i="36"/>
  <c r="X54" i="36"/>
  <c r="Y54" i="36"/>
  <c r="Z54" i="36"/>
  <c r="AA54" i="36"/>
  <c r="AB54" i="36"/>
  <c r="AC54" i="36"/>
  <c r="AD54" i="36"/>
  <c r="AE54" i="36"/>
  <c r="AF54" i="36"/>
  <c r="AG54" i="36"/>
  <c r="H55" i="36"/>
  <c r="I55" i="36"/>
  <c r="J55" i="36"/>
  <c r="K55" i="36"/>
  <c r="L55" i="36"/>
  <c r="N55" i="36"/>
  <c r="O55" i="36"/>
  <c r="S55" i="36"/>
  <c r="T55" i="36"/>
  <c r="U55" i="36"/>
  <c r="V55" i="36"/>
  <c r="W55" i="36"/>
  <c r="X55" i="36"/>
  <c r="Y55" i="36"/>
  <c r="Z55" i="36"/>
  <c r="AA55" i="36"/>
  <c r="AB55" i="36"/>
  <c r="AC55" i="36"/>
  <c r="AD55" i="36"/>
  <c r="AE55" i="36"/>
  <c r="AF55" i="36"/>
  <c r="AG55" i="36"/>
  <c r="AH55" i="36"/>
  <c r="AI55" i="36"/>
  <c r="AJ55" i="36"/>
  <c r="H56" i="36"/>
  <c r="I56" i="36"/>
  <c r="J56" i="36"/>
  <c r="K56" i="36"/>
  <c r="L56" i="36"/>
  <c r="N56" i="36"/>
  <c r="O56" i="36"/>
  <c r="S56" i="36"/>
  <c r="T56" i="36"/>
  <c r="U56" i="36"/>
  <c r="V56" i="36"/>
  <c r="W56" i="36"/>
  <c r="X56" i="36"/>
  <c r="Y56" i="36"/>
  <c r="Z56" i="36"/>
  <c r="AA56" i="36"/>
  <c r="AB56" i="36"/>
  <c r="AC56" i="36"/>
  <c r="AD56" i="36"/>
  <c r="AE56" i="36"/>
  <c r="AF56" i="36"/>
  <c r="AG56" i="36"/>
  <c r="AH56" i="36"/>
  <c r="AI56" i="36"/>
  <c r="AJ56" i="36"/>
  <c r="H57" i="36"/>
  <c r="I57" i="36"/>
  <c r="J57" i="36"/>
  <c r="K57" i="36"/>
  <c r="L57" i="36"/>
  <c r="N57" i="36"/>
  <c r="O57" i="36"/>
  <c r="S57" i="36"/>
  <c r="T57" i="36"/>
  <c r="U57" i="36"/>
  <c r="V57" i="36"/>
  <c r="W57" i="36"/>
  <c r="X57" i="36"/>
  <c r="Y57" i="36"/>
  <c r="Z57" i="36"/>
  <c r="AA57" i="36"/>
  <c r="AB57" i="36"/>
  <c r="AC57" i="36"/>
  <c r="AD57" i="36"/>
  <c r="AE57" i="36"/>
  <c r="AF57" i="36"/>
  <c r="AG57" i="36"/>
  <c r="AH57" i="36"/>
  <c r="AI57" i="36"/>
  <c r="AJ57" i="36"/>
  <c r="H58" i="36"/>
  <c r="I58" i="36"/>
  <c r="J58" i="36"/>
  <c r="K58" i="36"/>
  <c r="L58" i="36"/>
  <c r="N58" i="36"/>
  <c r="O58" i="36"/>
  <c r="S58" i="36"/>
  <c r="T58" i="36"/>
  <c r="U58" i="36"/>
  <c r="V58" i="36"/>
  <c r="W58" i="36"/>
  <c r="X58" i="36"/>
  <c r="Y58" i="36"/>
  <c r="Z58" i="36"/>
  <c r="AA58" i="36"/>
  <c r="AB58" i="36"/>
  <c r="AC58" i="36"/>
  <c r="AD58" i="36"/>
  <c r="AE58" i="36"/>
  <c r="AF58" i="36"/>
  <c r="AG58" i="36"/>
  <c r="AH58" i="36"/>
  <c r="AI58" i="36"/>
  <c r="AJ58" i="36"/>
  <c r="H59" i="36"/>
  <c r="I59" i="36"/>
  <c r="J59" i="36"/>
  <c r="K59" i="36"/>
  <c r="L59" i="36"/>
  <c r="N59" i="36"/>
  <c r="O59" i="36"/>
  <c r="S59" i="36"/>
  <c r="T59" i="36"/>
  <c r="U59" i="36"/>
  <c r="V59" i="36"/>
  <c r="W59" i="36"/>
  <c r="X59" i="36"/>
  <c r="Y59" i="36"/>
  <c r="Z59" i="36"/>
  <c r="AA59" i="36"/>
  <c r="AB59" i="36"/>
  <c r="AC59" i="36"/>
  <c r="AD59" i="36"/>
  <c r="AE59" i="36"/>
  <c r="AF59" i="36"/>
  <c r="AG59" i="36"/>
  <c r="AH59" i="36"/>
  <c r="AI59" i="36"/>
  <c r="AJ59" i="36"/>
  <c r="H60" i="36"/>
  <c r="I60" i="36"/>
  <c r="J60" i="36"/>
  <c r="K60" i="36"/>
  <c r="L60" i="36"/>
  <c r="N60" i="36"/>
  <c r="O60" i="36"/>
  <c r="S60" i="36"/>
  <c r="T60" i="36"/>
  <c r="U60" i="36"/>
  <c r="V60" i="36"/>
  <c r="W60" i="36"/>
  <c r="X60" i="36"/>
  <c r="Y60" i="36"/>
  <c r="Z60" i="36"/>
  <c r="AA60" i="36"/>
  <c r="AB60" i="36"/>
  <c r="AC60" i="36"/>
  <c r="AD60" i="36"/>
  <c r="AE60" i="36"/>
  <c r="AF60" i="36"/>
  <c r="AG60" i="36"/>
  <c r="AH60" i="36"/>
  <c r="AI60" i="36"/>
  <c r="AJ60" i="36"/>
  <c r="B61" i="36"/>
  <c r="B62" i="36" s="1"/>
  <c r="B63" i="36" s="1"/>
  <c r="B64" i="36" s="1"/>
  <c r="B65" i="36" s="1"/>
  <c r="B66" i="36" s="1"/>
  <c r="B67" i="36" s="1"/>
  <c r="B68" i="36" s="1"/>
  <c r="B69" i="36" s="1"/>
  <c r="B70" i="36" s="1"/>
  <c r="D61" i="36"/>
  <c r="D62" i="36" s="1"/>
  <c r="D63" i="36" s="1"/>
  <c r="D64" i="36" s="1"/>
  <c r="E61" i="36"/>
  <c r="E62" i="36" s="1"/>
  <c r="E63" i="36" s="1"/>
  <c r="E64" i="36" s="1"/>
  <c r="F61" i="36"/>
  <c r="F62" i="36" s="1"/>
  <c r="F63" i="36" s="1"/>
  <c r="F64" i="36" s="1"/>
  <c r="G61" i="36"/>
  <c r="G62" i="36" s="1"/>
  <c r="G63" i="36" s="1"/>
  <c r="G64" i="36" s="1"/>
  <c r="H61" i="36"/>
  <c r="I61" i="36"/>
  <c r="J61" i="36"/>
  <c r="K61" i="36"/>
  <c r="L61" i="36"/>
  <c r="M61" i="36"/>
  <c r="N61" i="36"/>
  <c r="O61" i="36"/>
  <c r="Q61" i="36"/>
  <c r="R61" i="36"/>
  <c r="R62" i="36" s="1"/>
  <c r="R63" i="36" s="1"/>
  <c r="R64" i="36" s="1"/>
  <c r="S61" i="36"/>
  <c r="T61" i="36"/>
  <c r="U61" i="36"/>
  <c r="V61" i="36"/>
  <c r="W61" i="36"/>
  <c r="AA61" i="36"/>
  <c r="AB61" i="36"/>
  <c r="AC61" i="36"/>
  <c r="AD61" i="36"/>
  <c r="AE61" i="36"/>
  <c r="AF61" i="36"/>
  <c r="AG61" i="36"/>
  <c r="H62" i="36"/>
  <c r="I62" i="36"/>
  <c r="J62" i="36"/>
  <c r="K62" i="36"/>
  <c r="L62" i="36"/>
  <c r="M62" i="36"/>
  <c r="N62" i="36"/>
  <c r="O62" i="36"/>
  <c r="Q62" i="36"/>
  <c r="Q63" i="36" s="1"/>
  <c r="Q64" i="36" s="1"/>
  <c r="S62" i="36"/>
  <c r="T62" i="36"/>
  <c r="U62" i="36"/>
  <c r="V62" i="36"/>
  <c r="W62" i="36"/>
  <c r="X62" i="36"/>
  <c r="Y62" i="36"/>
  <c r="Z62" i="36"/>
  <c r="AA62" i="36"/>
  <c r="AB62" i="36"/>
  <c r="AC62" i="36"/>
  <c r="AD62" i="36"/>
  <c r="AE62" i="36"/>
  <c r="AF62" i="36"/>
  <c r="AG62" i="36"/>
  <c r="H63" i="36"/>
  <c r="I63" i="36"/>
  <c r="J63" i="36"/>
  <c r="K63" i="36"/>
  <c r="L63" i="36"/>
  <c r="M63" i="36"/>
  <c r="N63" i="36"/>
  <c r="O63" i="36"/>
  <c r="S63" i="36"/>
  <c r="T63" i="36"/>
  <c r="U63" i="36"/>
  <c r="W63" i="36"/>
  <c r="X63" i="36"/>
  <c r="Y63" i="36"/>
  <c r="Z63" i="36"/>
  <c r="AA63" i="36"/>
  <c r="AB63" i="36"/>
  <c r="AC63" i="36"/>
  <c r="AD63" i="36"/>
  <c r="AE63" i="36"/>
  <c r="AF63" i="36"/>
  <c r="AG63" i="36"/>
  <c r="H64" i="36"/>
  <c r="I64" i="36"/>
  <c r="J64" i="36"/>
  <c r="K64" i="36"/>
  <c r="L64" i="36"/>
  <c r="M64" i="36"/>
  <c r="N64" i="36"/>
  <c r="O64" i="36"/>
  <c r="S64" i="36"/>
  <c r="T64" i="36"/>
  <c r="U64" i="36"/>
  <c r="W64" i="36"/>
  <c r="X64" i="36"/>
  <c r="Y64" i="36"/>
  <c r="Z64" i="36"/>
  <c r="AA64" i="36"/>
  <c r="AB64" i="36"/>
  <c r="AC64" i="36"/>
  <c r="AD64" i="36"/>
  <c r="AE64" i="36"/>
  <c r="AF64" i="36"/>
  <c r="AG64" i="36"/>
  <c r="C65" i="36"/>
  <c r="C66" i="36" s="1"/>
  <c r="C67" i="36" s="1"/>
  <c r="C68" i="36" s="1"/>
  <c r="C69" i="36" s="1"/>
  <c r="C70" i="36" s="1"/>
  <c r="D65" i="36"/>
  <c r="E65" i="36"/>
  <c r="F65" i="36"/>
  <c r="G65" i="36"/>
  <c r="H65" i="36"/>
  <c r="I65" i="36"/>
  <c r="J65" i="36"/>
  <c r="K65" i="36"/>
  <c r="L65" i="36"/>
  <c r="M65" i="36"/>
  <c r="N65" i="36"/>
  <c r="N66" i="36" s="1"/>
  <c r="N67" i="36" s="1"/>
  <c r="N68" i="36" s="1"/>
  <c r="N69" i="36" s="1"/>
  <c r="N70" i="36" s="1"/>
  <c r="O65" i="36"/>
  <c r="Q65" i="36"/>
  <c r="R65" i="36"/>
  <c r="S65" i="36"/>
  <c r="T65" i="36"/>
  <c r="U65" i="36"/>
  <c r="W65" i="36"/>
  <c r="AA65" i="36"/>
  <c r="AB65" i="36"/>
  <c r="AC65" i="36"/>
  <c r="AD65" i="36"/>
  <c r="AE65" i="36"/>
  <c r="AF65" i="36"/>
  <c r="AG65" i="36"/>
  <c r="D66" i="36"/>
  <c r="D67" i="36" s="1"/>
  <c r="D68" i="36" s="1"/>
  <c r="D69" i="36" s="1"/>
  <c r="D70" i="36" s="1"/>
  <c r="E66" i="36"/>
  <c r="E67" i="36" s="1"/>
  <c r="E68" i="36" s="1"/>
  <c r="E69" i="36" s="1"/>
  <c r="E70" i="36" s="1"/>
  <c r="F66" i="36"/>
  <c r="F67" i="36" s="1"/>
  <c r="F68" i="36" s="1"/>
  <c r="F69" i="36" s="1"/>
  <c r="F70" i="36" s="1"/>
  <c r="G66" i="36"/>
  <c r="G67" i="36" s="1"/>
  <c r="G68" i="36" s="1"/>
  <c r="G69" i="36" s="1"/>
  <c r="G70" i="36" s="1"/>
  <c r="H66" i="36"/>
  <c r="I66" i="36"/>
  <c r="J66" i="36"/>
  <c r="K66" i="36"/>
  <c r="L66" i="36"/>
  <c r="M66" i="36"/>
  <c r="O66" i="36"/>
  <c r="Q66" i="36"/>
  <c r="R66" i="36"/>
  <c r="S66" i="36"/>
  <c r="T66" i="36"/>
  <c r="U66" i="36"/>
  <c r="V66" i="36"/>
  <c r="W66" i="36"/>
  <c r="AA66" i="36"/>
  <c r="AB66" i="36"/>
  <c r="AC66" i="36"/>
  <c r="AD66" i="36"/>
  <c r="AE66" i="36"/>
  <c r="AF66" i="36"/>
  <c r="AG66" i="36"/>
  <c r="H67" i="36"/>
  <c r="I67" i="36"/>
  <c r="J67" i="36"/>
  <c r="K67" i="36"/>
  <c r="L67" i="36"/>
  <c r="M67" i="36"/>
  <c r="O67" i="36"/>
  <c r="Q67" i="36"/>
  <c r="R67" i="36"/>
  <c r="S67" i="36"/>
  <c r="T67" i="36"/>
  <c r="U67" i="36"/>
  <c r="V67" i="36"/>
  <c r="W67" i="36"/>
  <c r="X67" i="36"/>
  <c r="Y67" i="36"/>
  <c r="Z67" i="36"/>
  <c r="AA67" i="36"/>
  <c r="AB67" i="36"/>
  <c r="AC67" i="36"/>
  <c r="AD67" i="36"/>
  <c r="AE67" i="36"/>
  <c r="AF67" i="36"/>
  <c r="AG67" i="36"/>
  <c r="H68" i="36"/>
  <c r="I68" i="36"/>
  <c r="J68" i="36"/>
  <c r="K68" i="36"/>
  <c r="L68" i="36"/>
  <c r="M68" i="36"/>
  <c r="O68" i="36"/>
  <c r="Q68" i="36"/>
  <c r="R68" i="36"/>
  <c r="S68" i="36"/>
  <c r="T68" i="36"/>
  <c r="U68" i="36"/>
  <c r="V68" i="36"/>
  <c r="W68" i="36"/>
  <c r="X68" i="36"/>
  <c r="Y68" i="36"/>
  <c r="Z68" i="36"/>
  <c r="AA68" i="36"/>
  <c r="AB68" i="36"/>
  <c r="AC68" i="36"/>
  <c r="AD68" i="36"/>
  <c r="AE68" i="36"/>
  <c r="AF68" i="36"/>
  <c r="AG68" i="36"/>
  <c r="H69" i="36"/>
  <c r="I69" i="36"/>
  <c r="J69" i="36"/>
  <c r="K69" i="36"/>
  <c r="L69" i="36"/>
  <c r="M69" i="36"/>
  <c r="O69" i="36"/>
  <c r="Q69" i="36"/>
  <c r="R69" i="36"/>
  <c r="S69" i="36"/>
  <c r="T69" i="36"/>
  <c r="U69" i="36"/>
  <c r="V69" i="36"/>
  <c r="W69" i="36"/>
  <c r="X69" i="36"/>
  <c r="Y69" i="36"/>
  <c r="Z69" i="36"/>
  <c r="AA69" i="36"/>
  <c r="AB69" i="36"/>
  <c r="AC69" i="36"/>
  <c r="AD69" i="36"/>
  <c r="AE69" i="36"/>
  <c r="AF69" i="36"/>
  <c r="AG69" i="36"/>
  <c r="H70" i="36"/>
  <c r="I70" i="36"/>
  <c r="J70" i="36"/>
  <c r="K70" i="36"/>
  <c r="L70" i="36"/>
  <c r="M70" i="36"/>
  <c r="O70" i="36"/>
  <c r="Q70" i="36"/>
  <c r="R70" i="36"/>
  <c r="R71" i="36" s="1"/>
  <c r="R72" i="36" s="1"/>
  <c r="R73" i="36" s="1"/>
  <c r="R74" i="36" s="1"/>
  <c r="R75" i="36" s="1"/>
  <c r="R76" i="36" s="1"/>
  <c r="R77" i="36" s="1"/>
  <c r="R78" i="36" s="1"/>
  <c r="R79" i="36" s="1"/>
  <c r="R80" i="36" s="1"/>
  <c r="R81" i="36" s="1"/>
  <c r="R82" i="36" s="1"/>
  <c r="R83" i="36" s="1"/>
  <c r="R84" i="36" s="1"/>
  <c r="R85" i="36" s="1"/>
  <c r="R86" i="36" s="1"/>
  <c r="R87" i="36" s="1"/>
  <c r="R88" i="36" s="1"/>
  <c r="R89" i="36" s="1"/>
  <c r="R90" i="36" s="1"/>
  <c r="R91" i="36" s="1"/>
  <c r="R92" i="36" s="1"/>
  <c r="R93" i="36" s="1"/>
  <c r="R94" i="36" s="1"/>
  <c r="R95" i="36" s="1"/>
  <c r="R96" i="36" s="1"/>
  <c r="R97" i="36" s="1"/>
  <c r="R98" i="36" s="1"/>
  <c r="R99" i="36" s="1"/>
  <c r="S70" i="36"/>
  <c r="T70" i="36"/>
  <c r="U70" i="36"/>
  <c r="V70" i="36"/>
  <c r="W70" i="36"/>
  <c r="X70" i="36"/>
  <c r="Y70" i="36"/>
  <c r="Z70" i="36"/>
  <c r="AA70" i="36"/>
  <c r="AB70" i="36"/>
  <c r="AC70" i="36"/>
  <c r="AD70" i="36"/>
  <c r="AE70" i="36"/>
  <c r="AF70" i="36"/>
  <c r="AG70" i="36"/>
  <c r="B71" i="36"/>
  <c r="B72" i="36" s="1"/>
  <c r="B73" i="36" s="1"/>
  <c r="B74" i="36" s="1"/>
  <c r="B75" i="36" s="1"/>
  <c r="B76" i="36" s="1"/>
  <c r="B77" i="36" s="1"/>
  <c r="B78" i="36" s="1"/>
  <c r="B79" i="36" s="1"/>
  <c r="B80" i="36" s="1"/>
  <c r="B81" i="36" s="1"/>
  <c r="B82" i="36" s="1"/>
  <c r="B83" i="36" s="1"/>
  <c r="B84" i="36" s="1"/>
  <c r="B85" i="36" s="1"/>
  <c r="B86" i="36" s="1"/>
  <c r="B87" i="36" s="1"/>
  <c r="B88" i="36" s="1"/>
  <c r="B89" i="36" s="1"/>
  <c r="B90" i="36" s="1"/>
  <c r="B91" i="36" s="1"/>
  <c r="B92" i="36" s="1"/>
  <c r="B93" i="36" s="1"/>
  <c r="B94" i="36" s="1"/>
  <c r="B95" i="36" s="1"/>
  <c r="B96" i="36" s="1"/>
  <c r="B97" i="36" s="1"/>
  <c r="B98" i="36" s="1"/>
  <c r="B99" i="36" s="1"/>
  <c r="C71" i="36"/>
  <c r="C72" i="36" s="1"/>
  <c r="C73" i="36" s="1"/>
  <c r="C74" i="36" s="1"/>
  <c r="C75" i="36" s="1"/>
  <c r="C76" i="36" s="1"/>
  <c r="C77" i="36" s="1"/>
  <c r="C78" i="36" s="1"/>
  <c r="C79" i="36" s="1"/>
  <c r="C80" i="36" s="1"/>
  <c r="C81" i="36" s="1"/>
  <c r="C82" i="36" s="1"/>
  <c r="C83" i="36" s="1"/>
  <c r="C84" i="36" s="1"/>
  <c r="C85" i="36" s="1"/>
  <c r="C86" i="36" s="1"/>
  <c r="C87" i="36" s="1"/>
  <c r="C88" i="36" s="1"/>
  <c r="C89" i="36" s="1"/>
  <c r="C90" i="36" s="1"/>
  <c r="C91" i="36" s="1"/>
  <c r="C92" i="36" s="1"/>
  <c r="C93" i="36" s="1"/>
  <c r="C94" i="36" s="1"/>
  <c r="C95" i="36" s="1"/>
  <c r="C96" i="36" s="1"/>
  <c r="C97" i="36" s="1"/>
  <c r="C98" i="36" s="1"/>
  <c r="C99" i="36" s="1"/>
  <c r="C100" i="36" s="1"/>
  <c r="C101" i="36" s="1"/>
  <c r="C102" i="36" s="1"/>
  <c r="C103" i="36" s="1"/>
  <c r="C104" i="36" s="1"/>
  <c r="C105" i="36" s="1"/>
  <c r="C106" i="36" s="1"/>
  <c r="C107" i="36" s="1"/>
  <c r="C108" i="36" s="1"/>
  <c r="C109" i="36" s="1"/>
  <c r="C110" i="36" s="1"/>
  <c r="C111" i="36" s="1"/>
  <c r="C112" i="36" s="1"/>
  <c r="C113" i="36" s="1"/>
  <c r="C114" i="36" s="1"/>
  <c r="C115" i="36" s="1"/>
  <c r="C116" i="36" s="1"/>
  <c r="C117" i="36" s="1"/>
  <c r="C118" i="36" s="1"/>
  <c r="C119" i="36" s="1"/>
  <c r="C120" i="36" s="1"/>
  <c r="C121" i="36" s="1"/>
  <c r="C122" i="36" s="1"/>
  <c r="C123" i="36" s="1"/>
  <c r="C124" i="36" s="1"/>
  <c r="C125" i="36" s="1"/>
  <c r="C126" i="36" s="1"/>
  <c r="C127" i="36" s="1"/>
  <c r="C128" i="36" s="1"/>
  <c r="C129" i="36" s="1"/>
  <c r="C130" i="36" s="1"/>
  <c r="C131" i="36" s="1"/>
  <c r="C132" i="36" s="1"/>
  <c r="C133" i="36" s="1"/>
  <c r="D71" i="36"/>
  <c r="D72" i="36" s="1"/>
  <c r="D73" i="36" s="1"/>
  <c r="D74" i="36" s="1"/>
  <c r="D75" i="36" s="1"/>
  <c r="D76" i="36" s="1"/>
  <c r="D77" i="36" s="1"/>
  <c r="D78" i="36" s="1"/>
  <c r="D79" i="36" s="1"/>
  <c r="D80" i="36" s="1"/>
  <c r="D81" i="36" s="1"/>
  <c r="D82" i="36" s="1"/>
  <c r="D83" i="36" s="1"/>
  <c r="D84" i="36" s="1"/>
  <c r="D85" i="36" s="1"/>
  <c r="D86" i="36" s="1"/>
  <c r="D87" i="36" s="1"/>
  <c r="D88" i="36" s="1"/>
  <c r="D89" i="36" s="1"/>
  <c r="D90" i="36" s="1"/>
  <c r="D91" i="36" s="1"/>
  <c r="D92" i="36" s="1"/>
  <c r="D93" i="36" s="1"/>
  <c r="D94" i="36" s="1"/>
  <c r="D95" i="36" s="1"/>
  <c r="D96" i="36" s="1"/>
  <c r="D97" i="36" s="1"/>
  <c r="D98" i="36" s="1"/>
  <c r="D99" i="36" s="1"/>
  <c r="E71" i="36"/>
  <c r="E72" i="36" s="1"/>
  <c r="F71" i="36"/>
  <c r="F72" i="36" s="1"/>
  <c r="G71" i="36"/>
  <c r="G72" i="36" s="1"/>
  <c r="H71" i="36"/>
  <c r="I71" i="36"/>
  <c r="J71" i="36"/>
  <c r="K71" i="36"/>
  <c r="L71" i="36"/>
  <c r="M71" i="36"/>
  <c r="N71" i="36"/>
  <c r="N72" i="36" s="1"/>
  <c r="O71" i="36"/>
  <c r="Q71" i="36"/>
  <c r="Q72" i="36" s="1"/>
  <c r="Q73" i="36" s="1"/>
  <c r="Q74" i="36" s="1"/>
  <c r="Q75" i="36" s="1"/>
  <c r="Q76" i="36" s="1"/>
  <c r="Q77" i="36" s="1"/>
  <c r="Q78" i="36" s="1"/>
  <c r="Q79" i="36" s="1"/>
  <c r="Q80" i="36" s="1"/>
  <c r="Q81" i="36" s="1"/>
  <c r="Q82" i="36" s="1"/>
  <c r="Q83" i="36" s="1"/>
  <c r="Q84" i="36" s="1"/>
  <c r="Q85" i="36" s="1"/>
  <c r="Q86" i="36" s="1"/>
  <c r="Q87" i="36" s="1"/>
  <c r="Q88" i="36" s="1"/>
  <c r="Q89" i="36" s="1"/>
  <c r="Q90" i="36" s="1"/>
  <c r="Q91" i="36" s="1"/>
  <c r="Q92" i="36" s="1"/>
  <c r="Q93" i="36" s="1"/>
  <c r="Q94" i="36" s="1"/>
  <c r="Q95" i="36" s="1"/>
  <c r="Q96" i="36" s="1"/>
  <c r="Q97" i="36" s="1"/>
  <c r="Q98" i="36" s="1"/>
  <c r="Q99" i="36" s="1"/>
  <c r="S71" i="36"/>
  <c r="T71" i="36"/>
  <c r="U71" i="36"/>
  <c r="W71" i="36"/>
  <c r="Y71" i="36"/>
  <c r="AA71" i="36"/>
  <c r="AB71" i="36"/>
  <c r="AC71" i="36"/>
  <c r="AD71" i="36"/>
  <c r="AE71" i="36"/>
  <c r="AF71" i="36"/>
  <c r="AG71" i="36"/>
  <c r="H72" i="36"/>
  <c r="I72" i="36"/>
  <c r="J72" i="36"/>
  <c r="K72" i="36"/>
  <c r="L72" i="36"/>
  <c r="M72" i="36"/>
  <c r="O72" i="36"/>
  <c r="S72" i="36"/>
  <c r="T72" i="36"/>
  <c r="U72" i="36"/>
  <c r="W72" i="36"/>
  <c r="X72" i="36"/>
  <c r="Y72" i="36"/>
  <c r="Z72" i="36"/>
  <c r="AA72" i="36"/>
  <c r="AB72" i="36"/>
  <c r="AC72" i="36"/>
  <c r="AD72" i="36"/>
  <c r="AE72" i="36"/>
  <c r="AF72" i="36"/>
  <c r="AG72" i="36"/>
  <c r="AI72" i="36"/>
  <c r="AJ72" i="36"/>
  <c r="E73" i="36"/>
  <c r="E74" i="36" s="1"/>
  <c r="E75" i="36" s="1"/>
  <c r="E76" i="36" s="1"/>
  <c r="E77" i="36" s="1"/>
  <c r="E78" i="36" s="1"/>
  <c r="E79" i="36" s="1"/>
  <c r="E80" i="36" s="1"/>
  <c r="E81" i="36" s="1"/>
  <c r="E82" i="36" s="1"/>
  <c r="E83" i="36" s="1"/>
  <c r="E84" i="36" s="1"/>
  <c r="E85" i="36" s="1"/>
  <c r="E86" i="36" s="1"/>
  <c r="E87" i="36" s="1"/>
  <c r="E88" i="36" s="1"/>
  <c r="E89" i="36" s="1"/>
  <c r="E90" i="36" s="1"/>
  <c r="E91" i="36" s="1"/>
  <c r="E92" i="36" s="1"/>
  <c r="E93" i="36" s="1"/>
  <c r="E94" i="36" s="1"/>
  <c r="E95" i="36" s="1"/>
  <c r="E96" i="36" s="1"/>
  <c r="E97" i="36" s="1"/>
  <c r="E98" i="36" s="1"/>
  <c r="E99" i="36" s="1"/>
  <c r="F73" i="36"/>
  <c r="F74" i="36" s="1"/>
  <c r="F75" i="36" s="1"/>
  <c r="F76" i="36" s="1"/>
  <c r="F77" i="36" s="1"/>
  <c r="F78" i="36" s="1"/>
  <c r="F79" i="36" s="1"/>
  <c r="F80" i="36" s="1"/>
  <c r="F81" i="36" s="1"/>
  <c r="F82" i="36" s="1"/>
  <c r="F83" i="36" s="1"/>
  <c r="F84" i="36" s="1"/>
  <c r="F85" i="36" s="1"/>
  <c r="F86" i="36" s="1"/>
  <c r="F87" i="36" s="1"/>
  <c r="F88" i="36" s="1"/>
  <c r="F89" i="36" s="1"/>
  <c r="F90" i="36" s="1"/>
  <c r="F91" i="36" s="1"/>
  <c r="F92" i="36" s="1"/>
  <c r="F93" i="36" s="1"/>
  <c r="F94" i="36" s="1"/>
  <c r="F95" i="36" s="1"/>
  <c r="F96" i="36" s="1"/>
  <c r="F97" i="36" s="1"/>
  <c r="F98" i="36" s="1"/>
  <c r="F99" i="36" s="1"/>
  <c r="G73" i="36"/>
  <c r="G74" i="36" s="1"/>
  <c r="G75" i="36" s="1"/>
  <c r="G76" i="36" s="1"/>
  <c r="G77" i="36" s="1"/>
  <c r="G78" i="36" s="1"/>
  <c r="G79" i="36" s="1"/>
  <c r="G80" i="36" s="1"/>
  <c r="G81" i="36" s="1"/>
  <c r="G82" i="36" s="1"/>
  <c r="G83" i="36" s="1"/>
  <c r="G84" i="36" s="1"/>
  <c r="G85" i="36" s="1"/>
  <c r="G86" i="36" s="1"/>
  <c r="G87" i="36" s="1"/>
  <c r="G88" i="36" s="1"/>
  <c r="G89" i="36" s="1"/>
  <c r="G90" i="36" s="1"/>
  <c r="G91" i="36" s="1"/>
  <c r="G92" i="36" s="1"/>
  <c r="G93" i="36" s="1"/>
  <c r="G94" i="36" s="1"/>
  <c r="G95" i="36" s="1"/>
  <c r="G96" i="36" s="1"/>
  <c r="G97" i="36" s="1"/>
  <c r="G98" i="36" s="1"/>
  <c r="G99" i="36" s="1"/>
  <c r="H73" i="36"/>
  <c r="I73" i="36"/>
  <c r="J73" i="36"/>
  <c r="K73" i="36"/>
  <c r="L73" i="36"/>
  <c r="M73" i="36"/>
  <c r="N73" i="36"/>
  <c r="N74" i="36" s="1"/>
  <c r="N75" i="36" s="1"/>
  <c r="N76" i="36" s="1"/>
  <c r="N77" i="36" s="1"/>
  <c r="N78" i="36" s="1"/>
  <c r="N79" i="36" s="1"/>
  <c r="N80" i="36" s="1"/>
  <c r="N81" i="36" s="1"/>
  <c r="N82" i="36" s="1"/>
  <c r="N83" i="36" s="1"/>
  <c r="N84" i="36" s="1"/>
  <c r="N85" i="36" s="1"/>
  <c r="O73" i="36"/>
  <c r="S73" i="36"/>
  <c r="T73" i="36"/>
  <c r="U73" i="36"/>
  <c r="W73" i="36"/>
  <c r="X73" i="36"/>
  <c r="Y73" i="36"/>
  <c r="Z73" i="36"/>
  <c r="AA73" i="36"/>
  <c r="AB73" i="36"/>
  <c r="AC73" i="36"/>
  <c r="AD73" i="36"/>
  <c r="AE73" i="36"/>
  <c r="AF73" i="36"/>
  <c r="AG73" i="36"/>
  <c r="H74" i="36"/>
  <c r="I74" i="36"/>
  <c r="J74" i="36"/>
  <c r="K74" i="36"/>
  <c r="L74" i="36"/>
  <c r="M74" i="36"/>
  <c r="O74" i="36"/>
  <c r="S74" i="36"/>
  <c r="T74" i="36"/>
  <c r="U74" i="36"/>
  <c r="W74" i="36"/>
  <c r="X74" i="36"/>
  <c r="Y74" i="36"/>
  <c r="Z74" i="36"/>
  <c r="AA74" i="36"/>
  <c r="AB74" i="36"/>
  <c r="AC74" i="36"/>
  <c r="AD74" i="36"/>
  <c r="AE74" i="36"/>
  <c r="AF74" i="36"/>
  <c r="AG74" i="36"/>
  <c r="H75" i="36"/>
  <c r="I75" i="36"/>
  <c r="J75" i="36"/>
  <c r="K75" i="36"/>
  <c r="L75" i="36"/>
  <c r="M75" i="36"/>
  <c r="O75" i="36"/>
  <c r="S75" i="36"/>
  <c r="T75" i="36"/>
  <c r="U75" i="36"/>
  <c r="W75" i="36"/>
  <c r="X75" i="36"/>
  <c r="Y75" i="36"/>
  <c r="Z75" i="36"/>
  <c r="AA75" i="36"/>
  <c r="AB75" i="36"/>
  <c r="AC75" i="36"/>
  <c r="AD75" i="36"/>
  <c r="AE75" i="36"/>
  <c r="AF75" i="36"/>
  <c r="AG75" i="36"/>
  <c r="H76" i="36"/>
  <c r="I76" i="36"/>
  <c r="J76" i="36"/>
  <c r="K76" i="36"/>
  <c r="L76" i="36"/>
  <c r="M76" i="36"/>
  <c r="O76" i="36"/>
  <c r="S76" i="36"/>
  <c r="T76" i="36"/>
  <c r="U76" i="36"/>
  <c r="W76" i="36"/>
  <c r="X76" i="36"/>
  <c r="Y76" i="36"/>
  <c r="Z76" i="36"/>
  <c r="AA76" i="36"/>
  <c r="AB76" i="36"/>
  <c r="AC76" i="36"/>
  <c r="AD76" i="36"/>
  <c r="AE76" i="36"/>
  <c r="AF76" i="36"/>
  <c r="AG76" i="36"/>
  <c r="H77" i="36"/>
  <c r="I77" i="36"/>
  <c r="J77" i="36"/>
  <c r="K77" i="36"/>
  <c r="L77" i="36"/>
  <c r="M77" i="36"/>
  <c r="O77" i="36"/>
  <c r="S77" i="36"/>
  <c r="T77" i="36"/>
  <c r="U77" i="36"/>
  <c r="W77" i="36"/>
  <c r="X77" i="36"/>
  <c r="Y77" i="36"/>
  <c r="Z77" i="36"/>
  <c r="AA77" i="36"/>
  <c r="AB77" i="36"/>
  <c r="AC77" i="36"/>
  <c r="AD77" i="36"/>
  <c r="AE77" i="36"/>
  <c r="AF77" i="36"/>
  <c r="AG77" i="36"/>
  <c r="H78" i="36"/>
  <c r="I78" i="36"/>
  <c r="J78" i="36"/>
  <c r="K78" i="36"/>
  <c r="L78" i="36"/>
  <c r="M78" i="36"/>
  <c r="O78" i="36"/>
  <c r="S78" i="36"/>
  <c r="T78" i="36"/>
  <c r="U78" i="36"/>
  <c r="W78" i="36"/>
  <c r="X78" i="36"/>
  <c r="Y78" i="36"/>
  <c r="Z78" i="36"/>
  <c r="AA78" i="36"/>
  <c r="AB78" i="36"/>
  <c r="AC78" i="36"/>
  <c r="AD78" i="36"/>
  <c r="AE78" i="36"/>
  <c r="AF78" i="36"/>
  <c r="AG78" i="36"/>
  <c r="H79" i="36"/>
  <c r="I79" i="36"/>
  <c r="J79" i="36"/>
  <c r="K79" i="36"/>
  <c r="L79" i="36"/>
  <c r="M79" i="36"/>
  <c r="O79" i="36"/>
  <c r="S79" i="36"/>
  <c r="T79" i="36"/>
  <c r="U79" i="36"/>
  <c r="W79" i="36"/>
  <c r="X79" i="36"/>
  <c r="Y79" i="36"/>
  <c r="Z79" i="36"/>
  <c r="AA79" i="36"/>
  <c r="AB79" i="36"/>
  <c r="AC79" i="36"/>
  <c r="AD79" i="36"/>
  <c r="AE79" i="36"/>
  <c r="AF79" i="36"/>
  <c r="AG79" i="36"/>
  <c r="H80" i="36"/>
  <c r="I80" i="36"/>
  <c r="J80" i="36"/>
  <c r="K80" i="36"/>
  <c r="L80" i="36"/>
  <c r="M80" i="36"/>
  <c r="O80" i="36"/>
  <c r="S80" i="36"/>
  <c r="T80" i="36"/>
  <c r="U80" i="36"/>
  <c r="W80" i="36"/>
  <c r="X80" i="36"/>
  <c r="Y80" i="36"/>
  <c r="Z80" i="36"/>
  <c r="AA80" i="36"/>
  <c r="AB80" i="36"/>
  <c r="AC80" i="36"/>
  <c r="AD80" i="36"/>
  <c r="AE80" i="36"/>
  <c r="AF80" i="36"/>
  <c r="AG80" i="36"/>
  <c r="H81" i="36"/>
  <c r="I81" i="36"/>
  <c r="J81" i="36"/>
  <c r="K81" i="36"/>
  <c r="L81" i="36"/>
  <c r="M81" i="36"/>
  <c r="O81" i="36"/>
  <c r="S81" i="36"/>
  <c r="T81" i="36"/>
  <c r="U81" i="36"/>
  <c r="W81" i="36"/>
  <c r="X81" i="36"/>
  <c r="Y81" i="36"/>
  <c r="Z81" i="36"/>
  <c r="AA81" i="36"/>
  <c r="AB81" i="36"/>
  <c r="AC81" i="36"/>
  <c r="AD81" i="36"/>
  <c r="AE81" i="36"/>
  <c r="AF81" i="36"/>
  <c r="AG81" i="36"/>
  <c r="H82" i="36"/>
  <c r="I82" i="36"/>
  <c r="J82" i="36"/>
  <c r="K82" i="36"/>
  <c r="L82" i="36"/>
  <c r="M82" i="36"/>
  <c r="O82" i="36"/>
  <c r="S82" i="36"/>
  <c r="T82" i="36"/>
  <c r="U82" i="36"/>
  <c r="W82" i="36"/>
  <c r="X82" i="36"/>
  <c r="Y82" i="36"/>
  <c r="Z82" i="36"/>
  <c r="AA82" i="36"/>
  <c r="AB82" i="36"/>
  <c r="AC82" i="36"/>
  <c r="AD82" i="36"/>
  <c r="AE82" i="36"/>
  <c r="AF82" i="36"/>
  <c r="AG82" i="36"/>
  <c r="H83" i="36"/>
  <c r="I83" i="36"/>
  <c r="J83" i="36"/>
  <c r="K83" i="36"/>
  <c r="L83" i="36"/>
  <c r="M83" i="36"/>
  <c r="O83" i="36"/>
  <c r="S83" i="36"/>
  <c r="T83" i="36"/>
  <c r="U83" i="36"/>
  <c r="W83" i="36"/>
  <c r="X83" i="36"/>
  <c r="Y83" i="36"/>
  <c r="Z83" i="36"/>
  <c r="AA83" i="36"/>
  <c r="AB83" i="36"/>
  <c r="AC83" i="36"/>
  <c r="AD83" i="36"/>
  <c r="AE83" i="36"/>
  <c r="AF83" i="36"/>
  <c r="AG83" i="36"/>
  <c r="H84" i="36"/>
  <c r="I84" i="36"/>
  <c r="J84" i="36"/>
  <c r="K84" i="36"/>
  <c r="L84" i="36"/>
  <c r="M84" i="36"/>
  <c r="O84" i="36"/>
  <c r="S84" i="36"/>
  <c r="T84" i="36"/>
  <c r="U84" i="36"/>
  <c r="W84" i="36"/>
  <c r="X84" i="36"/>
  <c r="Y84" i="36"/>
  <c r="Z84" i="36"/>
  <c r="AA84" i="36"/>
  <c r="AB84" i="36"/>
  <c r="AC84" i="36"/>
  <c r="AD84" i="36"/>
  <c r="AE84" i="36"/>
  <c r="AF84" i="36"/>
  <c r="AG84" i="36"/>
  <c r="H85" i="36"/>
  <c r="I85" i="36"/>
  <c r="J85" i="36"/>
  <c r="K85" i="36"/>
  <c r="L85" i="36"/>
  <c r="M85" i="36"/>
  <c r="O85" i="36"/>
  <c r="S85" i="36"/>
  <c r="T85" i="36"/>
  <c r="U85" i="36"/>
  <c r="W85" i="36"/>
  <c r="X85" i="36"/>
  <c r="Y85" i="36"/>
  <c r="Z85" i="36"/>
  <c r="AA85" i="36"/>
  <c r="AB85" i="36"/>
  <c r="AC85" i="36"/>
  <c r="AD85" i="36"/>
  <c r="AE85" i="36"/>
  <c r="AF85" i="36"/>
  <c r="AG85" i="36"/>
  <c r="H86" i="36"/>
  <c r="I86" i="36"/>
  <c r="J86" i="36"/>
  <c r="K86" i="36"/>
  <c r="L86" i="36"/>
  <c r="M86" i="36"/>
  <c r="N86" i="36"/>
  <c r="O86" i="36"/>
  <c r="S86" i="36"/>
  <c r="T86" i="36"/>
  <c r="U86" i="36"/>
  <c r="W86" i="36"/>
  <c r="X86" i="36"/>
  <c r="Y86" i="36"/>
  <c r="Z86" i="36"/>
  <c r="AA86" i="36"/>
  <c r="AB86" i="36"/>
  <c r="AC86" i="36"/>
  <c r="AD86" i="36"/>
  <c r="AE86" i="36"/>
  <c r="AF86" i="36"/>
  <c r="AG86" i="36"/>
  <c r="H87" i="36"/>
  <c r="I87" i="36"/>
  <c r="J87" i="36"/>
  <c r="K87" i="36"/>
  <c r="L87" i="36"/>
  <c r="M87" i="36"/>
  <c r="N87" i="36"/>
  <c r="O87" i="36"/>
  <c r="S87" i="36"/>
  <c r="T87" i="36"/>
  <c r="U87" i="36"/>
  <c r="W87" i="36"/>
  <c r="X87" i="36"/>
  <c r="Y87" i="36"/>
  <c r="Z87" i="36"/>
  <c r="AA87" i="36"/>
  <c r="AB87" i="36"/>
  <c r="AC87" i="36"/>
  <c r="AD87" i="36"/>
  <c r="AE87" i="36"/>
  <c r="AF87" i="36"/>
  <c r="AG87" i="36"/>
  <c r="H88" i="36"/>
  <c r="I88" i="36"/>
  <c r="J88" i="36"/>
  <c r="K88" i="36"/>
  <c r="L88" i="36"/>
  <c r="M88" i="36"/>
  <c r="N88" i="36"/>
  <c r="O88" i="36"/>
  <c r="S88" i="36"/>
  <c r="T88" i="36"/>
  <c r="U88" i="36"/>
  <c r="W88" i="36"/>
  <c r="X88" i="36"/>
  <c r="Y88" i="36"/>
  <c r="Z88" i="36"/>
  <c r="AA88" i="36"/>
  <c r="AB88" i="36"/>
  <c r="AC88" i="36"/>
  <c r="AD88" i="36"/>
  <c r="AE88" i="36"/>
  <c r="AF88" i="36"/>
  <c r="AG88" i="36"/>
  <c r="H89" i="36"/>
  <c r="I89" i="36"/>
  <c r="J89" i="36"/>
  <c r="K89" i="36"/>
  <c r="L89" i="36"/>
  <c r="M89" i="36"/>
  <c r="N89" i="36"/>
  <c r="O89" i="36"/>
  <c r="S89" i="36"/>
  <c r="T89" i="36"/>
  <c r="U89" i="36"/>
  <c r="W89" i="36"/>
  <c r="X89" i="36"/>
  <c r="Y89" i="36"/>
  <c r="Z89" i="36"/>
  <c r="AA89" i="36"/>
  <c r="AB89" i="36"/>
  <c r="AC89" i="36"/>
  <c r="AD89" i="36"/>
  <c r="AE89" i="36"/>
  <c r="AF89" i="36"/>
  <c r="AG89" i="36"/>
  <c r="H90" i="36"/>
  <c r="I90" i="36"/>
  <c r="J90" i="36"/>
  <c r="K90" i="36"/>
  <c r="L90" i="36"/>
  <c r="M90" i="36"/>
  <c r="N90" i="36"/>
  <c r="O90" i="36"/>
  <c r="S90" i="36"/>
  <c r="T90" i="36"/>
  <c r="U90" i="36"/>
  <c r="W90" i="36"/>
  <c r="X90" i="36"/>
  <c r="Y90" i="36"/>
  <c r="Z90" i="36"/>
  <c r="AA90" i="36"/>
  <c r="AB90" i="36"/>
  <c r="AC90" i="36"/>
  <c r="AD90" i="36"/>
  <c r="AE90" i="36"/>
  <c r="AF90" i="36"/>
  <c r="AG90" i="36"/>
  <c r="H91" i="36"/>
  <c r="I91" i="36"/>
  <c r="J91" i="36"/>
  <c r="K91" i="36"/>
  <c r="L91" i="36"/>
  <c r="M91" i="36"/>
  <c r="N91" i="36"/>
  <c r="O91" i="36"/>
  <c r="S91" i="36"/>
  <c r="T91" i="36"/>
  <c r="U91" i="36"/>
  <c r="W91" i="36"/>
  <c r="X91" i="36"/>
  <c r="Y91" i="36"/>
  <c r="Z91" i="36"/>
  <c r="AA91" i="36"/>
  <c r="AB91" i="36"/>
  <c r="AC91" i="36"/>
  <c r="AD91" i="36"/>
  <c r="AE91" i="36"/>
  <c r="AF91" i="36"/>
  <c r="AG91" i="36"/>
  <c r="H92" i="36"/>
  <c r="I92" i="36"/>
  <c r="J92" i="36"/>
  <c r="K92" i="36"/>
  <c r="L92" i="36"/>
  <c r="M92" i="36"/>
  <c r="N92" i="36"/>
  <c r="O92" i="36"/>
  <c r="S92" i="36"/>
  <c r="T92" i="36"/>
  <c r="U92" i="36"/>
  <c r="W92" i="36"/>
  <c r="X92" i="36"/>
  <c r="Y92" i="36"/>
  <c r="Z92" i="36"/>
  <c r="AA92" i="36"/>
  <c r="AB92" i="36"/>
  <c r="AC92" i="36"/>
  <c r="AD92" i="36"/>
  <c r="AE92" i="36"/>
  <c r="AF92" i="36"/>
  <c r="AG92" i="36"/>
  <c r="H93" i="36"/>
  <c r="I93" i="36"/>
  <c r="J93" i="36"/>
  <c r="K93" i="36"/>
  <c r="L93" i="36"/>
  <c r="M93" i="36"/>
  <c r="N93" i="36"/>
  <c r="O93" i="36"/>
  <c r="S93" i="36"/>
  <c r="T93" i="36"/>
  <c r="U93" i="36"/>
  <c r="W93" i="36"/>
  <c r="X93" i="36"/>
  <c r="Y93" i="36"/>
  <c r="Z93" i="36"/>
  <c r="AA93" i="36"/>
  <c r="AB93" i="36"/>
  <c r="AC93" i="36"/>
  <c r="AD93" i="36"/>
  <c r="AE93" i="36"/>
  <c r="AF93" i="36"/>
  <c r="AG93" i="36"/>
  <c r="H94" i="36"/>
  <c r="I94" i="36"/>
  <c r="J94" i="36"/>
  <c r="K94" i="36"/>
  <c r="L94" i="36"/>
  <c r="M94" i="36"/>
  <c r="N94" i="36"/>
  <c r="O94" i="36"/>
  <c r="S94" i="36"/>
  <c r="T94" i="36"/>
  <c r="U94" i="36"/>
  <c r="W94" i="36"/>
  <c r="X94" i="36"/>
  <c r="Y94" i="36"/>
  <c r="Z94" i="36"/>
  <c r="AA94" i="36"/>
  <c r="AB94" i="36"/>
  <c r="AC94" i="36"/>
  <c r="AD94" i="36"/>
  <c r="AE94" i="36"/>
  <c r="AF94" i="36"/>
  <c r="AG94" i="36"/>
  <c r="H95" i="36"/>
  <c r="I95" i="36"/>
  <c r="J95" i="36"/>
  <c r="K95" i="36"/>
  <c r="L95" i="36"/>
  <c r="M95" i="36"/>
  <c r="N95" i="36"/>
  <c r="O95" i="36"/>
  <c r="S95" i="36"/>
  <c r="T95" i="36"/>
  <c r="U95" i="36"/>
  <c r="W95" i="36"/>
  <c r="X95" i="36"/>
  <c r="Y95" i="36"/>
  <c r="Z95" i="36"/>
  <c r="AA95" i="36"/>
  <c r="AB95" i="36"/>
  <c r="AC95" i="36"/>
  <c r="AD95" i="36"/>
  <c r="AE95" i="36"/>
  <c r="AF95" i="36"/>
  <c r="AG95" i="36"/>
  <c r="H96" i="36"/>
  <c r="I96" i="36"/>
  <c r="J96" i="36"/>
  <c r="K96" i="36"/>
  <c r="L96" i="36"/>
  <c r="M96" i="36"/>
  <c r="N96" i="36"/>
  <c r="O96" i="36"/>
  <c r="S96" i="36"/>
  <c r="T96" i="36"/>
  <c r="U96" i="36"/>
  <c r="W96" i="36"/>
  <c r="X96" i="36"/>
  <c r="Y96" i="36"/>
  <c r="Z96" i="36"/>
  <c r="AA96" i="36"/>
  <c r="AB96" i="36"/>
  <c r="AC96" i="36"/>
  <c r="AD96" i="36"/>
  <c r="AE96" i="36"/>
  <c r="AF96" i="36"/>
  <c r="AG96" i="36"/>
  <c r="H97" i="36"/>
  <c r="I97" i="36"/>
  <c r="J97" i="36"/>
  <c r="K97" i="36"/>
  <c r="L97" i="36"/>
  <c r="M97" i="36"/>
  <c r="N97" i="36"/>
  <c r="O97" i="36"/>
  <c r="S97" i="36"/>
  <c r="T97" i="36"/>
  <c r="U97" i="36"/>
  <c r="V97" i="36"/>
  <c r="W97" i="36"/>
  <c r="X97" i="36"/>
  <c r="Y97" i="36"/>
  <c r="Z97" i="36"/>
  <c r="AA97" i="36"/>
  <c r="AB97" i="36"/>
  <c r="AC97" i="36"/>
  <c r="AD97" i="36"/>
  <c r="AE97" i="36"/>
  <c r="AF97" i="36"/>
  <c r="AG97" i="36"/>
  <c r="AH97" i="36"/>
  <c r="AI97" i="36"/>
  <c r="AJ97" i="36"/>
  <c r="H98" i="36"/>
  <c r="I98" i="36"/>
  <c r="J98" i="36"/>
  <c r="K98" i="36"/>
  <c r="L98" i="36"/>
  <c r="M98" i="36"/>
  <c r="N98" i="36"/>
  <c r="O98" i="36"/>
  <c r="S98" i="36"/>
  <c r="T98" i="36"/>
  <c r="U98" i="36"/>
  <c r="V98" i="36"/>
  <c r="W98" i="36"/>
  <c r="X98" i="36"/>
  <c r="Y98" i="36"/>
  <c r="Z98" i="36"/>
  <c r="AA98" i="36"/>
  <c r="AB98" i="36"/>
  <c r="AC98" i="36"/>
  <c r="AD98" i="36"/>
  <c r="AE98" i="36"/>
  <c r="AF98" i="36"/>
  <c r="AG98" i="36"/>
  <c r="AH98" i="36"/>
  <c r="AI98" i="36"/>
  <c r="AJ98" i="36"/>
  <c r="H99" i="36"/>
  <c r="I99" i="36"/>
  <c r="J99" i="36"/>
  <c r="K99" i="36"/>
  <c r="L99" i="36"/>
  <c r="M99" i="36"/>
  <c r="N99" i="36"/>
  <c r="N100" i="36" s="1"/>
  <c r="N101" i="36" s="1"/>
  <c r="N102" i="36" s="1"/>
  <c r="N103" i="36" s="1"/>
  <c r="O99" i="36"/>
  <c r="S99" i="36"/>
  <c r="T99" i="36"/>
  <c r="U99" i="36"/>
  <c r="W99" i="36"/>
  <c r="X99" i="36"/>
  <c r="Y99" i="36"/>
  <c r="Z99" i="36"/>
  <c r="AA99" i="36"/>
  <c r="AB99" i="36"/>
  <c r="AC99" i="36"/>
  <c r="AD99" i="36"/>
  <c r="AE99" i="36"/>
  <c r="AF99" i="36"/>
  <c r="AG99" i="36"/>
  <c r="B100" i="36"/>
  <c r="B101" i="36" s="1"/>
  <c r="B102" i="36" s="1"/>
  <c r="B103" i="36" s="1"/>
  <c r="B104" i="36" s="1"/>
  <c r="B105" i="36" s="1"/>
  <c r="B106" i="36" s="1"/>
  <c r="B107" i="36" s="1"/>
  <c r="B108" i="36" s="1"/>
  <c r="B109" i="36" s="1"/>
  <c r="B110" i="36" s="1"/>
  <c r="B111" i="36" s="1"/>
  <c r="B112" i="36" s="1"/>
  <c r="B113" i="36" s="1"/>
  <c r="D100" i="36"/>
  <c r="E100" i="36"/>
  <c r="F100" i="36"/>
  <c r="G100" i="36"/>
  <c r="H100" i="36"/>
  <c r="I100" i="36"/>
  <c r="J100" i="36"/>
  <c r="K100" i="36"/>
  <c r="L100" i="36"/>
  <c r="M100" i="36"/>
  <c r="O100" i="36"/>
  <c r="Q100" i="36"/>
  <c r="R100" i="36"/>
  <c r="R101" i="36" s="1"/>
  <c r="R102" i="36" s="1"/>
  <c r="R103" i="36" s="1"/>
  <c r="S100" i="36"/>
  <c r="T100" i="36"/>
  <c r="U100" i="36"/>
  <c r="W100" i="36"/>
  <c r="AA100" i="36"/>
  <c r="AB100" i="36"/>
  <c r="AC100" i="36"/>
  <c r="AD100" i="36"/>
  <c r="AE100" i="36"/>
  <c r="AF100" i="36"/>
  <c r="AG100" i="36"/>
  <c r="D101" i="36"/>
  <c r="E101" i="36"/>
  <c r="F101" i="36"/>
  <c r="G101" i="36"/>
  <c r="H101" i="36"/>
  <c r="I101" i="36"/>
  <c r="J101" i="36"/>
  <c r="K101" i="36"/>
  <c r="L101" i="36"/>
  <c r="M101" i="36"/>
  <c r="M102" i="36" s="1"/>
  <c r="O101" i="36"/>
  <c r="Q101" i="36"/>
  <c r="Q102" i="36" s="1"/>
  <c r="S101" i="36"/>
  <c r="T101" i="36"/>
  <c r="U101" i="36"/>
  <c r="V101" i="36"/>
  <c r="W101" i="36"/>
  <c r="X101" i="36"/>
  <c r="Y101" i="36"/>
  <c r="Z101" i="36"/>
  <c r="AA101" i="36"/>
  <c r="AB101" i="36"/>
  <c r="AC101" i="36"/>
  <c r="AD101" i="36"/>
  <c r="AE101" i="36"/>
  <c r="AF101" i="36"/>
  <c r="AG101" i="36"/>
  <c r="AH101" i="36"/>
  <c r="AI101" i="36"/>
  <c r="AJ101" i="36"/>
  <c r="D102" i="36"/>
  <c r="E102" i="36"/>
  <c r="F102" i="36"/>
  <c r="G102" i="36"/>
  <c r="H102" i="36"/>
  <c r="I102" i="36"/>
  <c r="J102" i="36"/>
  <c r="K102" i="36"/>
  <c r="L102" i="36"/>
  <c r="O102" i="36"/>
  <c r="S102" i="36"/>
  <c r="T102" i="36"/>
  <c r="U102" i="36"/>
  <c r="V102" i="36"/>
  <c r="W102" i="36"/>
  <c r="X102" i="36"/>
  <c r="Y102" i="36"/>
  <c r="Z102" i="36"/>
  <c r="AA102" i="36"/>
  <c r="AB102" i="36"/>
  <c r="AC102" i="36"/>
  <c r="AD102" i="36"/>
  <c r="AE102" i="36"/>
  <c r="AF102" i="36"/>
  <c r="AG102" i="36"/>
  <c r="AH102" i="36"/>
  <c r="AI102" i="36"/>
  <c r="AJ102" i="36"/>
  <c r="D103" i="36"/>
  <c r="E103" i="36"/>
  <c r="F103" i="36"/>
  <c r="G103" i="36"/>
  <c r="H103" i="36"/>
  <c r="I103" i="36"/>
  <c r="J103" i="36"/>
  <c r="K103" i="36"/>
  <c r="L103" i="36"/>
  <c r="M103" i="36"/>
  <c r="O103" i="36"/>
  <c r="Q103" i="36"/>
  <c r="S103" i="36"/>
  <c r="T103" i="36"/>
  <c r="U103" i="36"/>
  <c r="V103" i="36"/>
  <c r="W103" i="36"/>
  <c r="X103" i="36"/>
  <c r="Y103" i="36"/>
  <c r="Z103" i="36"/>
  <c r="AA103" i="36"/>
  <c r="AB103" i="36"/>
  <c r="AC103" i="36"/>
  <c r="AD103" i="36"/>
  <c r="AE103" i="36"/>
  <c r="AF103" i="36"/>
  <c r="AG103" i="36"/>
  <c r="D104" i="36"/>
  <c r="E104" i="36"/>
  <c r="F104" i="36"/>
  <c r="G104" i="36"/>
  <c r="H104" i="36"/>
  <c r="I104" i="36"/>
  <c r="J104" i="36"/>
  <c r="K104" i="36"/>
  <c r="L104" i="36"/>
  <c r="M104" i="36"/>
  <c r="N104" i="36"/>
  <c r="N105" i="36" s="1"/>
  <c r="N106" i="36" s="1"/>
  <c r="N107" i="36" s="1"/>
  <c r="N108" i="36" s="1"/>
  <c r="N109" i="36" s="1"/>
  <c r="N110" i="36" s="1"/>
  <c r="N111" i="36" s="1"/>
  <c r="N112" i="36" s="1"/>
  <c r="N113" i="36" s="1"/>
  <c r="O104" i="36"/>
  <c r="Q104" i="36"/>
  <c r="R104" i="36"/>
  <c r="R105" i="36" s="1"/>
  <c r="R106" i="36" s="1"/>
  <c r="R107" i="36" s="1"/>
  <c r="R108" i="36" s="1"/>
  <c r="R109" i="36" s="1"/>
  <c r="R110" i="36" s="1"/>
  <c r="R111" i="36" s="1"/>
  <c r="R112" i="36" s="1"/>
  <c r="R113" i="36" s="1"/>
  <c r="S104" i="36"/>
  <c r="T104" i="36"/>
  <c r="U104" i="36"/>
  <c r="W104" i="36"/>
  <c r="X104" i="36"/>
  <c r="Y104" i="36"/>
  <c r="Z104" i="36"/>
  <c r="AA104" i="36"/>
  <c r="AB104" i="36"/>
  <c r="AC104" i="36"/>
  <c r="AD104" i="36"/>
  <c r="AE104" i="36"/>
  <c r="AF104" i="36"/>
  <c r="AG104" i="36"/>
  <c r="D105" i="36"/>
  <c r="E105" i="36"/>
  <c r="F105" i="36"/>
  <c r="G105" i="36"/>
  <c r="H105" i="36"/>
  <c r="I105" i="36"/>
  <c r="J105" i="36"/>
  <c r="K105" i="36"/>
  <c r="L105" i="36"/>
  <c r="M105" i="36"/>
  <c r="O105" i="36"/>
  <c r="Q105" i="36"/>
  <c r="S105" i="36"/>
  <c r="T105" i="36"/>
  <c r="U105" i="36"/>
  <c r="W105" i="36"/>
  <c r="X105" i="36"/>
  <c r="Y105" i="36"/>
  <c r="Z105" i="36"/>
  <c r="AA105" i="36"/>
  <c r="AB105" i="36"/>
  <c r="AC105" i="36"/>
  <c r="AD105" i="36"/>
  <c r="AE105" i="36"/>
  <c r="AF105" i="36"/>
  <c r="AG105" i="36"/>
  <c r="D106" i="36"/>
  <c r="E106" i="36"/>
  <c r="F106" i="36"/>
  <c r="G106" i="36"/>
  <c r="H106" i="36"/>
  <c r="I106" i="36"/>
  <c r="J106" i="36"/>
  <c r="K106" i="36"/>
  <c r="L106" i="36"/>
  <c r="M106" i="36"/>
  <c r="O106" i="36"/>
  <c r="Q106" i="36"/>
  <c r="S106" i="36"/>
  <c r="T106" i="36"/>
  <c r="W106" i="36"/>
  <c r="X106" i="36"/>
  <c r="Y106" i="36"/>
  <c r="Z106" i="36"/>
  <c r="AA106" i="36"/>
  <c r="AB106" i="36"/>
  <c r="AC106" i="36"/>
  <c r="AD106" i="36"/>
  <c r="AE106" i="36"/>
  <c r="AF106" i="36"/>
  <c r="AG106" i="36"/>
  <c r="D107" i="36"/>
  <c r="E107" i="36"/>
  <c r="F107" i="36"/>
  <c r="G107" i="36"/>
  <c r="H107" i="36"/>
  <c r="I107" i="36"/>
  <c r="J107" i="36"/>
  <c r="K107" i="36"/>
  <c r="L107" i="36"/>
  <c r="M107" i="36"/>
  <c r="O107" i="36"/>
  <c r="Q107" i="36"/>
  <c r="S107" i="36"/>
  <c r="T107" i="36"/>
  <c r="U107" i="36"/>
  <c r="W107" i="36"/>
  <c r="X107" i="36"/>
  <c r="Y107" i="36"/>
  <c r="Z107" i="36"/>
  <c r="AA107" i="36"/>
  <c r="AB107" i="36"/>
  <c r="AC107" i="36"/>
  <c r="AD107" i="36"/>
  <c r="AE107" i="36"/>
  <c r="AF107" i="36"/>
  <c r="AG107" i="36"/>
  <c r="D108" i="36"/>
  <c r="D109" i="36" s="1"/>
  <c r="D110" i="36" s="1"/>
  <c r="D111" i="36" s="1"/>
  <c r="D112" i="36" s="1"/>
  <c r="E108" i="36"/>
  <c r="E109" i="36" s="1"/>
  <c r="E110" i="36" s="1"/>
  <c r="E111" i="36" s="1"/>
  <c r="E112" i="36" s="1"/>
  <c r="F108" i="36"/>
  <c r="F109" i="36" s="1"/>
  <c r="F110" i="36" s="1"/>
  <c r="F111" i="36" s="1"/>
  <c r="F112" i="36" s="1"/>
  <c r="F113" i="36" s="1"/>
  <c r="G108" i="36"/>
  <c r="G109" i="36" s="1"/>
  <c r="G110" i="36" s="1"/>
  <c r="G111" i="36" s="1"/>
  <c r="G112" i="36" s="1"/>
  <c r="H108" i="36"/>
  <c r="I108" i="36"/>
  <c r="J108" i="36"/>
  <c r="K108" i="36"/>
  <c r="L108" i="36"/>
  <c r="M108" i="36"/>
  <c r="M109" i="36" s="1"/>
  <c r="M110" i="36" s="1"/>
  <c r="M111" i="36" s="1"/>
  <c r="M112" i="36" s="1"/>
  <c r="M113" i="36" s="1"/>
  <c r="O108" i="36"/>
  <c r="Q108" i="36"/>
  <c r="Q109" i="36" s="1"/>
  <c r="Q110" i="36" s="1"/>
  <c r="Q111" i="36" s="1"/>
  <c r="Q112" i="36" s="1"/>
  <c r="Q113" i="36" s="1"/>
  <c r="S108" i="36"/>
  <c r="T108" i="36"/>
  <c r="U108" i="36"/>
  <c r="W108" i="36"/>
  <c r="X108" i="36"/>
  <c r="Y108" i="36"/>
  <c r="Z108" i="36"/>
  <c r="AA108" i="36"/>
  <c r="AB108" i="36"/>
  <c r="AC108" i="36"/>
  <c r="AD108" i="36"/>
  <c r="AE108" i="36"/>
  <c r="AF108" i="36"/>
  <c r="AG108" i="36"/>
  <c r="H109" i="36"/>
  <c r="I109" i="36"/>
  <c r="J109" i="36"/>
  <c r="K109" i="36"/>
  <c r="L109" i="36"/>
  <c r="O109" i="36"/>
  <c r="S109" i="36"/>
  <c r="T109" i="36"/>
  <c r="U109" i="36"/>
  <c r="V109" i="36"/>
  <c r="W109" i="36"/>
  <c r="X109" i="36"/>
  <c r="Y109" i="36"/>
  <c r="Z109" i="36"/>
  <c r="AA109" i="36"/>
  <c r="AB109" i="36"/>
  <c r="AC109" i="36"/>
  <c r="AD109" i="36"/>
  <c r="AE109" i="36"/>
  <c r="AF109" i="36"/>
  <c r="AG109" i="36"/>
  <c r="H110" i="36"/>
  <c r="I110" i="36"/>
  <c r="J110" i="36"/>
  <c r="K110" i="36"/>
  <c r="L110" i="36"/>
  <c r="O110" i="36"/>
  <c r="S110" i="36"/>
  <c r="T110" i="36"/>
  <c r="U110" i="36"/>
  <c r="V110" i="36"/>
  <c r="W110" i="36"/>
  <c r="X110" i="36"/>
  <c r="Y110" i="36"/>
  <c r="Z110" i="36"/>
  <c r="AA110" i="36"/>
  <c r="AB110" i="36"/>
  <c r="AC110" i="36"/>
  <c r="AD110" i="36"/>
  <c r="AE110" i="36"/>
  <c r="AF110" i="36"/>
  <c r="AG110" i="36"/>
  <c r="H111" i="36"/>
  <c r="I111" i="36"/>
  <c r="J111" i="36"/>
  <c r="K111" i="36"/>
  <c r="L111" i="36"/>
  <c r="O111" i="36"/>
  <c r="S111" i="36"/>
  <c r="T111" i="36"/>
  <c r="U111" i="36"/>
  <c r="V111" i="36"/>
  <c r="W111" i="36"/>
  <c r="X111" i="36"/>
  <c r="Y111" i="36"/>
  <c r="Z111" i="36"/>
  <c r="AA111" i="36"/>
  <c r="AB111" i="36"/>
  <c r="AC111" i="36"/>
  <c r="AD111" i="36"/>
  <c r="AE111" i="36"/>
  <c r="AF111" i="36"/>
  <c r="AG111" i="36"/>
  <c r="H112" i="36"/>
  <c r="I112" i="36"/>
  <c r="J112" i="36"/>
  <c r="K112" i="36"/>
  <c r="L112" i="36"/>
  <c r="O112" i="36"/>
  <c r="S112" i="36"/>
  <c r="T112" i="36"/>
  <c r="U112" i="36"/>
  <c r="V112" i="36"/>
  <c r="W112" i="36"/>
  <c r="X112" i="36"/>
  <c r="Y112" i="36"/>
  <c r="Z112" i="36"/>
  <c r="AA112" i="36"/>
  <c r="AB112" i="36"/>
  <c r="AC112" i="36"/>
  <c r="AD112" i="36"/>
  <c r="AE112" i="36"/>
  <c r="AF112" i="36"/>
  <c r="AG112" i="36"/>
  <c r="D113" i="36"/>
  <c r="E113" i="36"/>
  <c r="G113" i="36"/>
  <c r="H113" i="36"/>
  <c r="I113" i="36"/>
  <c r="J113" i="36"/>
  <c r="K113" i="36"/>
  <c r="L113" i="36"/>
  <c r="O113" i="36"/>
  <c r="S113" i="36"/>
  <c r="T113" i="36"/>
  <c r="U113" i="36"/>
  <c r="V113" i="36"/>
  <c r="W113" i="36"/>
  <c r="X113" i="36"/>
  <c r="Y113" i="36"/>
  <c r="Z113" i="36"/>
  <c r="AA113" i="36"/>
  <c r="AB113" i="36"/>
  <c r="AC113" i="36"/>
  <c r="AD113" i="36"/>
  <c r="AE113" i="36"/>
  <c r="AF113" i="36"/>
  <c r="AG113" i="36"/>
  <c r="AH113" i="36"/>
  <c r="AI113" i="36"/>
  <c r="AJ113" i="36"/>
  <c r="B114" i="36"/>
  <c r="B115" i="36" s="1"/>
  <c r="B116" i="36" s="1"/>
  <c r="B117" i="36" s="1"/>
  <c r="B118" i="36" s="1"/>
  <c r="B119" i="36" s="1"/>
  <c r="B120" i="36" s="1"/>
  <c r="B121" i="36" s="1"/>
  <c r="B122" i="36" s="1"/>
  <c r="B123" i="36" s="1"/>
  <c r="B124" i="36" s="1"/>
  <c r="B125" i="36" s="1"/>
  <c r="D114" i="36"/>
  <c r="E114" i="36"/>
  <c r="E115" i="36" s="1"/>
  <c r="E116" i="36" s="1"/>
  <c r="F114" i="36"/>
  <c r="G114" i="36"/>
  <c r="H114" i="36"/>
  <c r="I114" i="36"/>
  <c r="J114" i="36"/>
  <c r="K114" i="36"/>
  <c r="L114" i="36"/>
  <c r="M114" i="36"/>
  <c r="N114" i="36"/>
  <c r="O114" i="36"/>
  <c r="Q114" i="36"/>
  <c r="R114" i="36"/>
  <c r="S114" i="36"/>
  <c r="T114" i="36"/>
  <c r="U114" i="36"/>
  <c r="W114" i="36"/>
  <c r="AA114" i="36"/>
  <c r="AB114" i="36"/>
  <c r="AC114" i="36"/>
  <c r="AD114" i="36"/>
  <c r="AE114" i="36"/>
  <c r="AF114" i="36"/>
  <c r="AG114" i="36"/>
  <c r="D115" i="36"/>
  <c r="F115" i="36"/>
  <c r="G115" i="36"/>
  <c r="H115" i="36"/>
  <c r="I115" i="36"/>
  <c r="J115" i="36"/>
  <c r="K115" i="36"/>
  <c r="L115" i="36"/>
  <c r="M115" i="36"/>
  <c r="N115" i="36"/>
  <c r="O115" i="36"/>
  <c r="Q115" i="36"/>
  <c r="R115" i="36"/>
  <c r="S115" i="36"/>
  <c r="T115" i="36"/>
  <c r="U115" i="36"/>
  <c r="W115" i="36"/>
  <c r="X115" i="36"/>
  <c r="Y115" i="36"/>
  <c r="Z115" i="36"/>
  <c r="AA115" i="36"/>
  <c r="AB115" i="36"/>
  <c r="AC115" i="36"/>
  <c r="AD115" i="36"/>
  <c r="AE115" i="36"/>
  <c r="AF115" i="36"/>
  <c r="AG115" i="36"/>
  <c r="D116" i="36"/>
  <c r="F116" i="36"/>
  <c r="G116" i="36"/>
  <c r="H116" i="36"/>
  <c r="I116" i="36"/>
  <c r="J116" i="36"/>
  <c r="K116" i="36"/>
  <c r="L116" i="36"/>
  <c r="M116" i="36"/>
  <c r="N116" i="36"/>
  <c r="O116" i="36"/>
  <c r="Q116" i="36"/>
  <c r="R116" i="36"/>
  <c r="S116" i="36"/>
  <c r="T116" i="36"/>
  <c r="U116" i="36"/>
  <c r="W116" i="36"/>
  <c r="X116" i="36"/>
  <c r="Y116" i="36"/>
  <c r="Z116" i="36"/>
  <c r="AA116" i="36"/>
  <c r="AB116" i="36"/>
  <c r="AC116" i="36"/>
  <c r="AD116" i="36"/>
  <c r="AE116" i="36"/>
  <c r="AF116" i="36"/>
  <c r="AG116" i="36"/>
  <c r="D117" i="36"/>
  <c r="E117" i="36"/>
  <c r="E118" i="36" s="1"/>
  <c r="F117" i="36"/>
  <c r="G117" i="36"/>
  <c r="H117" i="36"/>
  <c r="I117" i="36"/>
  <c r="J117" i="36"/>
  <c r="K117" i="36"/>
  <c r="L117" i="36"/>
  <c r="M117" i="36"/>
  <c r="N117" i="36"/>
  <c r="O117" i="36"/>
  <c r="Q117" i="36"/>
  <c r="R117" i="36"/>
  <c r="S117" i="36"/>
  <c r="T117" i="36"/>
  <c r="U117" i="36"/>
  <c r="W117" i="36"/>
  <c r="X117" i="36"/>
  <c r="Y117" i="36"/>
  <c r="Z117" i="36"/>
  <c r="AA117" i="36"/>
  <c r="AB117" i="36"/>
  <c r="AC117" i="36"/>
  <c r="AD117" i="36"/>
  <c r="AE117" i="36"/>
  <c r="AF117" i="36"/>
  <c r="AG117" i="36"/>
  <c r="D118" i="36"/>
  <c r="F118" i="36"/>
  <c r="G118" i="36"/>
  <c r="H118" i="36"/>
  <c r="I118" i="36"/>
  <c r="J118" i="36"/>
  <c r="K118" i="36"/>
  <c r="L118" i="36"/>
  <c r="M118" i="36"/>
  <c r="N118" i="36"/>
  <c r="O118" i="36"/>
  <c r="Q118" i="36"/>
  <c r="R118" i="36"/>
  <c r="S118" i="36"/>
  <c r="T118" i="36"/>
  <c r="U118" i="36"/>
  <c r="W118" i="36"/>
  <c r="X118" i="36"/>
  <c r="Y118" i="36"/>
  <c r="Z118" i="36"/>
  <c r="AA118" i="36"/>
  <c r="AB118" i="36"/>
  <c r="AC118" i="36"/>
  <c r="AD118" i="36"/>
  <c r="AE118" i="36"/>
  <c r="AF118" i="36"/>
  <c r="AG118" i="36"/>
  <c r="D119" i="36"/>
  <c r="D120" i="36" s="1"/>
  <c r="D121" i="36" s="1"/>
  <c r="D122" i="36" s="1"/>
  <c r="D123" i="36" s="1"/>
  <c r="D124" i="36" s="1"/>
  <c r="D125" i="36" s="1"/>
  <c r="E119" i="36"/>
  <c r="E120" i="36" s="1"/>
  <c r="E121" i="36" s="1"/>
  <c r="E122" i="36" s="1"/>
  <c r="E123" i="36" s="1"/>
  <c r="E124" i="36" s="1"/>
  <c r="E125" i="36" s="1"/>
  <c r="F119" i="36"/>
  <c r="F120" i="36" s="1"/>
  <c r="F121" i="36" s="1"/>
  <c r="F122" i="36" s="1"/>
  <c r="F123" i="36" s="1"/>
  <c r="F124" i="36" s="1"/>
  <c r="F125" i="36" s="1"/>
  <c r="G119" i="36"/>
  <c r="G120" i="36" s="1"/>
  <c r="G121" i="36" s="1"/>
  <c r="G122" i="36" s="1"/>
  <c r="G123" i="36" s="1"/>
  <c r="G124" i="36" s="1"/>
  <c r="G125" i="36" s="1"/>
  <c r="H119" i="36"/>
  <c r="I119" i="36"/>
  <c r="J119" i="36"/>
  <c r="K119" i="36"/>
  <c r="L119" i="36"/>
  <c r="M119" i="36"/>
  <c r="N119" i="36"/>
  <c r="O119" i="36"/>
  <c r="Q119" i="36"/>
  <c r="R119" i="36"/>
  <c r="S119" i="36"/>
  <c r="T119" i="36"/>
  <c r="U119" i="36"/>
  <c r="W119" i="36"/>
  <c r="X119" i="36"/>
  <c r="Y119" i="36"/>
  <c r="Z119" i="36"/>
  <c r="AA119" i="36"/>
  <c r="AB119" i="36"/>
  <c r="AC119" i="36"/>
  <c r="AD119" i="36"/>
  <c r="AE119" i="36"/>
  <c r="AF119" i="36"/>
  <c r="AG119" i="36"/>
  <c r="H120" i="36"/>
  <c r="I120" i="36"/>
  <c r="J120" i="36"/>
  <c r="K120" i="36"/>
  <c r="L120" i="36"/>
  <c r="M120" i="36"/>
  <c r="N120" i="36"/>
  <c r="O120" i="36"/>
  <c r="Q120" i="36"/>
  <c r="R120" i="36"/>
  <c r="S120" i="36"/>
  <c r="T120" i="36"/>
  <c r="U120" i="36"/>
  <c r="W120" i="36"/>
  <c r="X120" i="36"/>
  <c r="Y120" i="36"/>
  <c r="Z120" i="36"/>
  <c r="AA120" i="36"/>
  <c r="AB120" i="36"/>
  <c r="AC120" i="36"/>
  <c r="AD120" i="36"/>
  <c r="AE120" i="36"/>
  <c r="AF120" i="36"/>
  <c r="AG120" i="36"/>
  <c r="H121" i="36"/>
  <c r="I121" i="36"/>
  <c r="J121" i="36"/>
  <c r="K121" i="36"/>
  <c r="L121" i="36"/>
  <c r="M121" i="36"/>
  <c r="N121" i="36"/>
  <c r="O121" i="36"/>
  <c r="Q121" i="36"/>
  <c r="R121" i="36"/>
  <c r="R122" i="36" s="1"/>
  <c r="S121" i="36"/>
  <c r="T121" i="36"/>
  <c r="U121" i="36"/>
  <c r="W121" i="36"/>
  <c r="X121" i="36"/>
  <c r="Y121" i="36"/>
  <c r="Z121" i="36"/>
  <c r="AA121" i="36"/>
  <c r="AB121" i="36"/>
  <c r="AC121" i="36"/>
  <c r="AD121" i="36"/>
  <c r="AE121" i="36"/>
  <c r="AF121" i="36"/>
  <c r="AG121" i="36"/>
  <c r="H122" i="36"/>
  <c r="I122" i="36"/>
  <c r="J122" i="36"/>
  <c r="K122" i="36"/>
  <c r="L122" i="36"/>
  <c r="M122" i="36"/>
  <c r="N122" i="36"/>
  <c r="O122" i="36"/>
  <c r="Q122" i="36"/>
  <c r="S122" i="36"/>
  <c r="T122" i="36"/>
  <c r="U122" i="36"/>
  <c r="W122" i="36"/>
  <c r="X122" i="36"/>
  <c r="Y122" i="36"/>
  <c r="Z122" i="36"/>
  <c r="AA122" i="36"/>
  <c r="AB122" i="36"/>
  <c r="AC122" i="36"/>
  <c r="AD122" i="36"/>
  <c r="AE122" i="36"/>
  <c r="AF122" i="36"/>
  <c r="AG122" i="36"/>
  <c r="H123" i="36"/>
  <c r="I123" i="36"/>
  <c r="J123" i="36"/>
  <c r="K123" i="36"/>
  <c r="L123" i="36"/>
  <c r="M123" i="36"/>
  <c r="N123" i="36"/>
  <c r="O123" i="36"/>
  <c r="Q123" i="36"/>
  <c r="R123" i="36"/>
  <c r="S123" i="36"/>
  <c r="T123" i="36"/>
  <c r="U123" i="36"/>
  <c r="W123" i="36"/>
  <c r="X123" i="36"/>
  <c r="Y123" i="36"/>
  <c r="Z123" i="36"/>
  <c r="AA123" i="36"/>
  <c r="AB123" i="36"/>
  <c r="AC123" i="36"/>
  <c r="AD123" i="36"/>
  <c r="AE123" i="36"/>
  <c r="AF123" i="36"/>
  <c r="AG123" i="36"/>
  <c r="H124" i="36"/>
  <c r="I124" i="36"/>
  <c r="J124" i="36"/>
  <c r="K124" i="36"/>
  <c r="L124" i="36"/>
  <c r="M124" i="36"/>
  <c r="N124" i="36"/>
  <c r="O124" i="36"/>
  <c r="Q124" i="36"/>
  <c r="R124" i="36"/>
  <c r="S124" i="36"/>
  <c r="T124" i="36"/>
  <c r="U124" i="36"/>
  <c r="W124" i="36"/>
  <c r="X124" i="36"/>
  <c r="Y124" i="36"/>
  <c r="Z124" i="36"/>
  <c r="AA124" i="36"/>
  <c r="AB124" i="36"/>
  <c r="AC124" i="36"/>
  <c r="AD124" i="36"/>
  <c r="AE124" i="36"/>
  <c r="AF124" i="36"/>
  <c r="AG124" i="36"/>
  <c r="H125" i="36"/>
  <c r="I125" i="36"/>
  <c r="J125" i="36"/>
  <c r="K125" i="36"/>
  <c r="L125" i="36"/>
  <c r="M125" i="36"/>
  <c r="N125" i="36"/>
  <c r="N126" i="36" s="1"/>
  <c r="N127" i="36" s="1"/>
  <c r="N128" i="36" s="1"/>
  <c r="O125" i="36"/>
  <c r="Q125" i="36"/>
  <c r="Q126" i="36" s="1"/>
  <c r="Q127" i="36" s="1"/>
  <c r="Q128" i="36" s="1"/>
  <c r="Q129" i="36" s="1"/>
  <c r="R125" i="36"/>
  <c r="R126" i="36" s="1"/>
  <c r="R127" i="36" s="1"/>
  <c r="R128" i="36" s="1"/>
  <c r="R129" i="36" s="1"/>
  <c r="S125" i="36"/>
  <c r="T125" i="36"/>
  <c r="U125" i="36"/>
  <c r="W125" i="36"/>
  <c r="X125" i="36"/>
  <c r="Y125" i="36"/>
  <c r="Z125" i="36"/>
  <c r="AA125" i="36"/>
  <c r="AB125" i="36"/>
  <c r="AC125" i="36"/>
  <c r="AD125" i="36"/>
  <c r="AE125" i="36"/>
  <c r="AF125" i="36"/>
  <c r="AG125" i="36"/>
  <c r="B126" i="36"/>
  <c r="B127" i="36" s="1"/>
  <c r="B128" i="36" s="1"/>
  <c r="B129" i="36" s="1"/>
  <c r="B130" i="36" s="1"/>
  <c r="D126" i="36"/>
  <c r="D127" i="36" s="1"/>
  <c r="D128" i="36" s="1"/>
  <c r="E126" i="36"/>
  <c r="E127" i="36" s="1"/>
  <c r="E128" i="36" s="1"/>
  <c r="F126" i="36"/>
  <c r="F127" i="36" s="1"/>
  <c r="F128" i="36" s="1"/>
  <c r="G126" i="36"/>
  <c r="G127" i="36" s="1"/>
  <c r="G128" i="36" s="1"/>
  <c r="H126" i="36"/>
  <c r="I126" i="36"/>
  <c r="J126" i="36"/>
  <c r="K126" i="36"/>
  <c r="L126" i="36"/>
  <c r="M126" i="36"/>
  <c r="O126" i="36"/>
  <c r="S126" i="36"/>
  <c r="T126" i="36"/>
  <c r="U126" i="36"/>
  <c r="W126" i="36"/>
  <c r="AA126" i="36"/>
  <c r="AB126" i="36"/>
  <c r="AC126" i="36"/>
  <c r="AD126" i="36"/>
  <c r="AE126" i="36"/>
  <c r="AF126" i="36"/>
  <c r="AG126" i="36"/>
  <c r="H127" i="36"/>
  <c r="I127" i="36"/>
  <c r="J127" i="36"/>
  <c r="K127" i="36"/>
  <c r="L127" i="36"/>
  <c r="M127" i="36"/>
  <c r="O127" i="36"/>
  <c r="S127" i="36"/>
  <c r="T127" i="36"/>
  <c r="U127" i="36"/>
  <c r="W127" i="36"/>
  <c r="X127" i="36"/>
  <c r="Y127" i="36"/>
  <c r="Z127" i="36"/>
  <c r="AA127" i="36"/>
  <c r="AB127" i="36"/>
  <c r="AC127" i="36"/>
  <c r="AD127" i="36"/>
  <c r="AE127" i="36"/>
  <c r="AF127" i="36"/>
  <c r="AG127" i="36"/>
  <c r="H128" i="36"/>
  <c r="I128" i="36"/>
  <c r="J128" i="36"/>
  <c r="K128" i="36"/>
  <c r="L128" i="36"/>
  <c r="M128" i="36"/>
  <c r="O128" i="36"/>
  <c r="S128" i="36"/>
  <c r="T128" i="36"/>
  <c r="U128" i="36"/>
  <c r="W128" i="36"/>
  <c r="X128" i="36"/>
  <c r="Y128" i="36"/>
  <c r="Z128" i="36"/>
  <c r="AA128" i="36"/>
  <c r="AB128" i="36"/>
  <c r="AC128" i="36"/>
  <c r="AD128" i="36"/>
  <c r="AE128" i="36"/>
  <c r="AF128" i="36"/>
  <c r="AG128" i="36"/>
  <c r="D129" i="36"/>
  <c r="E129" i="36"/>
  <c r="F129" i="36"/>
  <c r="G129" i="36"/>
  <c r="H129" i="36"/>
  <c r="I129" i="36"/>
  <c r="J129" i="36"/>
  <c r="K129" i="36"/>
  <c r="L129" i="36"/>
  <c r="M129" i="36"/>
  <c r="N129" i="36"/>
  <c r="O129" i="36"/>
  <c r="S129" i="36"/>
  <c r="T129" i="36"/>
  <c r="U129" i="36"/>
  <c r="V129" i="36"/>
  <c r="W129" i="36"/>
  <c r="X129" i="36"/>
  <c r="Y129" i="36"/>
  <c r="Z129" i="36"/>
  <c r="AA129" i="36"/>
  <c r="AB129" i="36"/>
  <c r="AC129" i="36"/>
  <c r="AD129" i="36"/>
  <c r="AE129" i="36"/>
  <c r="AF129" i="36"/>
  <c r="AG129" i="36"/>
  <c r="AH129" i="36"/>
  <c r="AI129" i="36"/>
  <c r="AJ129" i="36"/>
  <c r="D130" i="36"/>
  <c r="E130" i="36"/>
  <c r="F130" i="36"/>
  <c r="G130" i="36"/>
  <c r="H130" i="36"/>
  <c r="I130" i="36"/>
  <c r="J130" i="36"/>
  <c r="K130" i="36"/>
  <c r="L130" i="36"/>
  <c r="M130" i="36"/>
  <c r="N130" i="36"/>
  <c r="N131" i="36" s="1"/>
  <c r="N132" i="36" s="1"/>
  <c r="N133" i="36" s="1"/>
  <c r="N134" i="36" s="1"/>
  <c r="N135" i="36" s="1"/>
  <c r="N136" i="36" s="1"/>
  <c r="N137" i="36" s="1"/>
  <c r="N138" i="36" s="1"/>
  <c r="N139" i="36" s="1"/>
  <c r="O130" i="36"/>
  <c r="Q130" i="36"/>
  <c r="R130" i="36"/>
  <c r="S130" i="36"/>
  <c r="T130" i="36"/>
  <c r="U130" i="36"/>
  <c r="V130" i="36"/>
  <c r="W130" i="36"/>
  <c r="X130" i="36"/>
  <c r="Y130" i="36"/>
  <c r="Z130" i="36"/>
  <c r="AA130" i="36"/>
  <c r="AB130" i="36"/>
  <c r="AC130" i="36"/>
  <c r="AD130" i="36"/>
  <c r="AE130" i="36"/>
  <c r="AF130" i="36"/>
  <c r="AG130" i="36"/>
  <c r="AH130" i="36"/>
  <c r="AI130" i="36"/>
  <c r="AJ130" i="36"/>
  <c r="B131" i="36"/>
  <c r="B132" i="36" s="1"/>
  <c r="B133" i="36" s="1"/>
  <c r="D131" i="36"/>
  <c r="E131" i="36"/>
  <c r="E132" i="36" s="1"/>
  <c r="E133" i="36" s="1"/>
  <c r="F131" i="36"/>
  <c r="F132" i="36" s="1"/>
  <c r="F133" i="36" s="1"/>
  <c r="G131" i="36"/>
  <c r="H131" i="36"/>
  <c r="I131" i="36"/>
  <c r="J131" i="36"/>
  <c r="K131" i="36"/>
  <c r="L131" i="36"/>
  <c r="M131" i="36"/>
  <c r="O131" i="36"/>
  <c r="Q131" i="36"/>
  <c r="R131" i="36"/>
  <c r="S131" i="36"/>
  <c r="T131" i="36"/>
  <c r="U131" i="36"/>
  <c r="W131" i="36"/>
  <c r="AA131" i="36"/>
  <c r="AB131" i="36"/>
  <c r="AC131" i="36"/>
  <c r="AD131" i="36"/>
  <c r="AE131" i="36"/>
  <c r="AF131" i="36"/>
  <c r="AG131" i="36"/>
  <c r="D132" i="36"/>
  <c r="G132" i="36"/>
  <c r="H132" i="36"/>
  <c r="I132" i="36"/>
  <c r="J132" i="36"/>
  <c r="K132" i="36"/>
  <c r="L132" i="36"/>
  <c r="M132" i="36"/>
  <c r="O132" i="36"/>
  <c r="Q132" i="36"/>
  <c r="R132" i="36"/>
  <c r="S132" i="36"/>
  <c r="T132" i="36"/>
  <c r="U132" i="36"/>
  <c r="W132" i="36"/>
  <c r="X132" i="36"/>
  <c r="Y132" i="36"/>
  <c r="Z132" i="36"/>
  <c r="AA132" i="36"/>
  <c r="AB132" i="36"/>
  <c r="AC132" i="36"/>
  <c r="AD132" i="36"/>
  <c r="AE132" i="36"/>
  <c r="AF132" i="36"/>
  <c r="AG132" i="36"/>
  <c r="D133" i="36"/>
  <c r="G133" i="36"/>
  <c r="H133" i="36"/>
  <c r="I133" i="36"/>
  <c r="J133" i="36"/>
  <c r="K133" i="36"/>
  <c r="L133" i="36"/>
  <c r="M133" i="36"/>
  <c r="O133" i="36"/>
  <c r="Q133" i="36"/>
  <c r="R133" i="36"/>
  <c r="R134" i="36" s="1"/>
  <c r="S133" i="36"/>
  <c r="T133" i="36"/>
  <c r="U133" i="36"/>
  <c r="W133" i="36"/>
  <c r="X133" i="36"/>
  <c r="Y133" i="36"/>
  <c r="Z133" i="36"/>
  <c r="AA133" i="36"/>
  <c r="AB133" i="36"/>
  <c r="AC133" i="36"/>
  <c r="AD133" i="36"/>
  <c r="AE133" i="36"/>
  <c r="AF133" i="36"/>
  <c r="AG133" i="36"/>
  <c r="B134" i="36"/>
  <c r="B135" i="36" s="1"/>
  <c r="B136" i="36" s="1"/>
  <c r="B137" i="36" s="1"/>
  <c r="B138" i="36" s="1"/>
  <c r="B139" i="36" s="1"/>
  <c r="B140" i="36" s="1"/>
  <c r="B141" i="36" s="1"/>
  <c r="B142" i="36" s="1"/>
  <c r="B143" i="36" s="1"/>
  <c r="B144" i="36" s="1"/>
  <c r="B145" i="36" s="1"/>
  <c r="B146" i="36" s="1"/>
  <c r="C134" i="36"/>
  <c r="C135" i="36" s="1"/>
  <c r="C136" i="36" s="1"/>
  <c r="C137" i="36" s="1"/>
  <c r="C138" i="36" s="1"/>
  <c r="C139" i="36" s="1"/>
  <c r="C140" i="36" s="1"/>
  <c r="C141" i="36" s="1"/>
  <c r="C142" i="36" s="1"/>
  <c r="C143" i="36" s="1"/>
  <c r="C144" i="36" s="1"/>
  <c r="C145" i="36" s="1"/>
  <c r="C146" i="36" s="1"/>
  <c r="C147" i="36" s="1"/>
  <c r="C148" i="36" s="1"/>
  <c r="C149" i="36" s="1"/>
  <c r="C150" i="36" s="1"/>
  <c r="C151" i="36" s="1"/>
  <c r="C152" i="36" s="1"/>
  <c r="C153" i="36" s="1"/>
  <c r="C154" i="36" s="1"/>
  <c r="C155" i="36" s="1"/>
  <c r="C156" i="36" s="1"/>
  <c r="C157" i="36" s="1"/>
  <c r="C158" i="36" s="1"/>
  <c r="C159" i="36" s="1"/>
  <c r="C160" i="36" s="1"/>
  <c r="C161" i="36" s="1"/>
  <c r="C162" i="36" s="1"/>
  <c r="C163" i="36" s="1"/>
  <c r="C164" i="36" s="1"/>
  <c r="C165" i="36" s="1"/>
  <c r="C166" i="36" s="1"/>
  <c r="C167" i="36" s="1"/>
  <c r="C168" i="36" s="1"/>
  <c r="C169" i="36" s="1"/>
  <c r="C170" i="36" s="1"/>
  <c r="C171" i="36" s="1"/>
  <c r="C172" i="36" s="1"/>
  <c r="C173" i="36" s="1"/>
  <c r="C174" i="36" s="1"/>
  <c r="C175" i="36" s="1"/>
  <c r="C176" i="36" s="1"/>
  <c r="C177" i="36" s="1"/>
  <c r="C178" i="36" s="1"/>
  <c r="C179" i="36" s="1"/>
  <c r="C180" i="36" s="1"/>
  <c r="C181" i="36" s="1"/>
  <c r="C182" i="36" s="1"/>
  <c r="C183" i="36" s="1"/>
  <c r="C184" i="36" s="1"/>
  <c r="C185" i="36" s="1"/>
  <c r="C186" i="36" s="1"/>
  <c r="C187" i="36" s="1"/>
  <c r="C188" i="36" s="1"/>
  <c r="C189" i="36" s="1"/>
  <c r="C190" i="36" s="1"/>
  <c r="C191" i="36" s="1"/>
  <c r="C192" i="36" s="1"/>
  <c r="C193" i="36" s="1"/>
  <c r="C194" i="36" s="1"/>
  <c r="C195" i="36" s="1"/>
  <c r="C196" i="36" s="1"/>
  <c r="C197" i="36" s="1"/>
  <c r="C198" i="36" s="1"/>
  <c r="C199" i="36" s="1"/>
  <c r="C200" i="36" s="1"/>
  <c r="C201" i="36" s="1"/>
  <c r="C202" i="36" s="1"/>
  <c r="C203" i="36" s="1"/>
  <c r="C204" i="36" s="1"/>
  <c r="C205" i="36" s="1"/>
  <c r="C206" i="36" s="1"/>
  <c r="C207" i="36" s="1"/>
  <c r="C208" i="36" s="1"/>
  <c r="C209" i="36" s="1"/>
  <c r="C210" i="36" s="1"/>
  <c r="C211" i="36" s="1"/>
  <c r="C212" i="36" s="1"/>
  <c r="C213" i="36" s="1"/>
  <c r="C214" i="36" s="1"/>
  <c r="C215" i="36" s="1"/>
  <c r="C216" i="36" s="1"/>
  <c r="C217" i="36" s="1"/>
  <c r="C218" i="36" s="1"/>
  <c r="C219" i="36" s="1"/>
  <c r="C220" i="36" s="1"/>
  <c r="C221" i="36" s="1"/>
  <c r="C222" i="36" s="1"/>
  <c r="C223" i="36" s="1"/>
  <c r="C224" i="36" s="1"/>
  <c r="C225" i="36" s="1"/>
  <c r="C226" i="36" s="1"/>
  <c r="C227" i="36" s="1"/>
  <c r="C228" i="36" s="1"/>
  <c r="C229" i="36" s="1"/>
  <c r="C230" i="36" s="1"/>
  <c r="C231" i="36" s="1"/>
  <c r="C232" i="36" s="1"/>
  <c r="C233" i="36" s="1"/>
  <c r="C234" i="36" s="1"/>
  <c r="C235" i="36" s="1"/>
  <c r="C236" i="36" s="1"/>
  <c r="C237" i="36" s="1"/>
  <c r="C238" i="36" s="1"/>
  <c r="C239" i="36" s="1"/>
  <c r="C240" i="36" s="1"/>
  <c r="C241" i="36" s="1"/>
  <c r="C242" i="36" s="1"/>
  <c r="C243" i="36" s="1"/>
  <c r="C244" i="36" s="1"/>
  <c r="C245" i="36" s="1"/>
  <c r="C246" i="36" s="1"/>
  <c r="C247" i="36" s="1"/>
  <c r="C248" i="36" s="1"/>
  <c r="C249" i="36" s="1"/>
  <c r="C250" i="36" s="1"/>
  <c r="C251" i="36" s="1"/>
  <c r="C252" i="36" s="1"/>
  <c r="C253" i="36" s="1"/>
  <c r="C254" i="36" s="1"/>
  <c r="C255" i="36" s="1"/>
  <c r="C256" i="36" s="1"/>
  <c r="C257" i="36" s="1"/>
  <c r="C258" i="36" s="1"/>
  <c r="C259" i="36" s="1"/>
  <c r="C260" i="36" s="1"/>
  <c r="C261" i="36" s="1"/>
  <c r="C262" i="36" s="1"/>
  <c r="C263" i="36" s="1"/>
  <c r="C264" i="36" s="1"/>
  <c r="C265" i="36" s="1"/>
  <c r="C266" i="36" s="1"/>
  <c r="C267" i="36" s="1"/>
  <c r="C268" i="36" s="1"/>
  <c r="C269" i="36" s="1"/>
  <c r="C270" i="36" s="1"/>
  <c r="C271" i="36" s="1"/>
  <c r="C272" i="36" s="1"/>
  <c r="C273" i="36" s="1"/>
  <c r="C274" i="36" s="1"/>
  <c r="C275" i="36" s="1"/>
  <c r="C276" i="36" s="1"/>
  <c r="C277" i="36" s="1"/>
  <c r="C278" i="36" s="1"/>
  <c r="C279" i="36" s="1"/>
  <c r="C280" i="36" s="1"/>
  <c r="C281" i="36" s="1"/>
  <c r="C282" i="36" s="1"/>
  <c r="C283" i="36" s="1"/>
  <c r="C284" i="36" s="1"/>
  <c r="C285" i="36" s="1"/>
  <c r="C286" i="36" s="1"/>
  <c r="C287" i="36" s="1"/>
  <c r="C288" i="36" s="1"/>
  <c r="C289" i="36" s="1"/>
  <c r="C290" i="36" s="1"/>
  <c r="C291" i="36" s="1"/>
  <c r="C292" i="36" s="1"/>
  <c r="C293" i="36" s="1"/>
  <c r="C294" i="36" s="1"/>
  <c r="C295" i="36" s="1"/>
  <c r="C296" i="36" s="1"/>
  <c r="C297" i="36" s="1"/>
  <c r="C298" i="36" s="1"/>
  <c r="C299" i="36" s="1"/>
  <c r="C300" i="36" s="1"/>
  <c r="C301" i="36" s="1"/>
  <c r="C302" i="36" s="1"/>
  <c r="C303" i="36" s="1"/>
  <c r="C304" i="36" s="1"/>
  <c r="C305" i="36" s="1"/>
  <c r="C306" i="36" s="1"/>
  <c r="C307" i="36" s="1"/>
  <c r="C308" i="36" s="1"/>
  <c r="C309" i="36" s="1"/>
  <c r="C310" i="36" s="1"/>
  <c r="C311" i="36" s="1"/>
  <c r="C312" i="36" s="1"/>
  <c r="C313" i="36" s="1"/>
  <c r="C314" i="36" s="1"/>
  <c r="C315" i="36" s="1"/>
  <c r="C316" i="36" s="1"/>
  <c r="C317" i="36" s="1"/>
  <c r="C318" i="36" s="1"/>
  <c r="C319" i="36" s="1"/>
  <c r="C320" i="36" s="1"/>
  <c r="C321" i="36" s="1"/>
  <c r="C322" i="36" s="1"/>
  <c r="C323" i="36" s="1"/>
  <c r="C324" i="36" s="1"/>
  <c r="C325" i="36" s="1"/>
  <c r="C326" i="36" s="1"/>
  <c r="C327" i="36" s="1"/>
  <c r="C328" i="36" s="1"/>
  <c r="C329" i="36" s="1"/>
  <c r="C330" i="36" s="1"/>
  <c r="C331" i="36" s="1"/>
  <c r="C332" i="36" s="1"/>
  <c r="C333" i="36" s="1"/>
  <c r="C334" i="36" s="1"/>
  <c r="C335" i="36" s="1"/>
  <c r="C336" i="36" s="1"/>
  <c r="C337" i="36" s="1"/>
  <c r="C338" i="36" s="1"/>
  <c r="C339" i="36" s="1"/>
  <c r="C340" i="36" s="1"/>
  <c r="C341" i="36" s="1"/>
  <c r="C342" i="36" s="1"/>
  <c r="C343" i="36" s="1"/>
  <c r="C344" i="36" s="1"/>
  <c r="C345" i="36" s="1"/>
  <c r="C346" i="36" s="1"/>
  <c r="C347" i="36" s="1"/>
  <c r="C348" i="36" s="1"/>
  <c r="C349" i="36" s="1"/>
  <c r="C350" i="36" s="1"/>
  <c r="C351" i="36" s="1"/>
  <c r="C352" i="36" s="1"/>
  <c r="C353" i="36" s="1"/>
  <c r="C354" i="36" s="1"/>
  <c r="C355" i="36" s="1"/>
  <c r="C356" i="36" s="1"/>
  <c r="C357" i="36" s="1"/>
  <c r="C358" i="36" s="1"/>
  <c r="C359" i="36" s="1"/>
  <c r="C360" i="36" s="1"/>
  <c r="C361" i="36" s="1"/>
  <c r="C362" i="36" s="1"/>
  <c r="C363" i="36" s="1"/>
  <c r="C364" i="36" s="1"/>
  <c r="C365" i="36" s="1"/>
  <c r="C366" i="36" s="1"/>
  <c r="C367" i="36" s="1"/>
  <c r="C368" i="36" s="1"/>
  <c r="C369" i="36" s="1"/>
  <c r="C370" i="36" s="1"/>
  <c r="C371" i="36" s="1"/>
  <c r="C372" i="36" s="1"/>
  <c r="C373" i="36" s="1"/>
  <c r="C374" i="36" s="1"/>
  <c r="C375" i="36" s="1"/>
  <c r="C376" i="36" s="1"/>
  <c r="C377" i="36" s="1"/>
  <c r="C378" i="36" s="1"/>
  <c r="C379" i="36" s="1"/>
  <c r="C380" i="36" s="1"/>
  <c r="C381" i="36" s="1"/>
  <c r="C382" i="36" s="1"/>
  <c r="C383" i="36" s="1"/>
  <c r="C384" i="36" s="1"/>
  <c r="C385" i="36" s="1"/>
  <c r="C386" i="36" s="1"/>
  <c r="C387" i="36" s="1"/>
  <c r="C388" i="36" s="1"/>
  <c r="C389" i="36" s="1"/>
  <c r="C390" i="36" s="1"/>
  <c r="C391" i="36" s="1"/>
  <c r="C392" i="36" s="1"/>
  <c r="C393" i="36" s="1"/>
  <c r="C394" i="36" s="1"/>
  <c r="D134" i="36"/>
  <c r="D135" i="36" s="1"/>
  <c r="D136" i="36" s="1"/>
  <c r="E134" i="36"/>
  <c r="E135" i="36" s="1"/>
  <c r="E136" i="36" s="1"/>
  <c r="E137" i="36" s="1"/>
  <c r="F134" i="36"/>
  <c r="F135" i="36" s="1"/>
  <c r="F136" i="36" s="1"/>
  <c r="F137" i="36" s="1"/>
  <c r="G134" i="36"/>
  <c r="G135" i="36" s="1"/>
  <c r="G136" i="36" s="1"/>
  <c r="H134" i="36"/>
  <c r="I134" i="36"/>
  <c r="J134" i="36"/>
  <c r="K134" i="36"/>
  <c r="L134" i="36"/>
  <c r="M134" i="36"/>
  <c r="O134" i="36"/>
  <c r="Q134" i="36"/>
  <c r="S134" i="36"/>
  <c r="T134" i="36"/>
  <c r="U134" i="36"/>
  <c r="W134" i="36"/>
  <c r="AA134" i="36"/>
  <c r="AB134" i="36"/>
  <c r="AC134" i="36"/>
  <c r="AD134" i="36"/>
  <c r="AE134" i="36"/>
  <c r="AF134" i="36"/>
  <c r="AG134" i="36"/>
  <c r="H135" i="36"/>
  <c r="I135" i="36"/>
  <c r="J135" i="36"/>
  <c r="K135" i="36"/>
  <c r="L135" i="36"/>
  <c r="M135" i="36"/>
  <c r="O135" i="36"/>
  <c r="Q135" i="36"/>
  <c r="R135" i="36"/>
  <c r="R136" i="36" s="1"/>
  <c r="R137" i="36" s="1"/>
  <c r="R138" i="36" s="1"/>
  <c r="R139" i="36" s="1"/>
  <c r="S135" i="36"/>
  <c r="T135" i="36"/>
  <c r="U135" i="36"/>
  <c r="W135" i="36"/>
  <c r="X135" i="36"/>
  <c r="Y135" i="36"/>
  <c r="Z135" i="36"/>
  <c r="AA135" i="36"/>
  <c r="AB135" i="36"/>
  <c r="AC135" i="36"/>
  <c r="AD135" i="36"/>
  <c r="AE135" i="36"/>
  <c r="AF135" i="36"/>
  <c r="AG135" i="36"/>
  <c r="H136" i="36"/>
  <c r="I136" i="36"/>
  <c r="J136" i="36"/>
  <c r="K136" i="36"/>
  <c r="L136" i="36"/>
  <c r="M136" i="36"/>
  <c r="O136" i="36"/>
  <c r="Q136" i="36"/>
  <c r="S136" i="36"/>
  <c r="T136" i="36"/>
  <c r="U136" i="36"/>
  <c r="W136" i="36"/>
  <c r="X136" i="36"/>
  <c r="Y136" i="36"/>
  <c r="Z136" i="36"/>
  <c r="AA136" i="36"/>
  <c r="AB136" i="36"/>
  <c r="AC136" i="36"/>
  <c r="AD136" i="36"/>
  <c r="AE136" i="36"/>
  <c r="AF136" i="36"/>
  <c r="AG136" i="36"/>
  <c r="D137" i="36"/>
  <c r="G137" i="36"/>
  <c r="H137" i="36"/>
  <c r="I137" i="36"/>
  <c r="J137" i="36"/>
  <c r="K137" i="36"/>
  <c r="L137" i="36"/>
  <c r="M137" i="36"/>
  <c r="O137" i="36"/>
  <c r="Q137" i="36"/>
  <c r="S137" i="36"/>
  <c r="T137" i="36"/>
  <c r="W137" i="36"/>
  <c r="AA137" i="36"/>
  <c r="AB137" i="36"/>
  <c r="AC137" i="36"/>
  <c r="AD137" i="36"/>
  <c r="AE137" i="36"/>
  <c r="AF137" i="36"/>
  <c r="AG137" i="36"/>
  <c r="D138" i="36"/>
  <c r="E138" i="36"/>
  <c r="F138" i="36"/>
  <c r="G138" i="36"/>
  <c r="H138" i="36"/>
  <c r="I138" i="36"/>
  <c r="J138" i="36"/>
  <c r="K138" i="36"/>
  <c r="L138" i="36"/>
  <c r="M138" i="36"/>
  <c r="O138" i="36"/>
  <c r="Q138" i="36"/>
  <c r="S138" i="36"/>
  <c r="T138" i="36"/>
  <c r="U138" i="36"/>
  <c r="W138" i="36"/>
  <c r="AA138" i="36"/>
  <c r="AB138" i="36"/>
  <c r="AC138" i="36"/>
  <c r="AD138" i="36"/>
  <c r="AE138" i="36"/>
  <c r="AF138" i="36"/>
  <c r="AG138" i="36"/>
  <c r="D139" i="36"/>
  <c r="E139" i="36"/>
  <c r="F139" i="36"/>
  <c r="G139" i="36"/>
  <c r="H139" i="36"/>
  <c r="I139" i="36"/>
  <c r="J139" i="36"/>
  <c r="K139" i="36"/>
  <c r="L139" i="36"/>
  <c r="M139" i="36"/>
  <c r="O139" i="36"/>
  <c r="Q139" i="36"/>
  <c r="S139" i="36"/>
  <c r="T139" i="36"/>
  <c r="W139" i="36"/>
  <c r="AA139" i="36"/>
  <c r="AB139" i="36"/>
  <c r="AC139" i="36"/>
  <c r="AD139" i="36"/>
  <c r="AE139" i="36"/>
  <c r="AF139" i="36"/>
  <c r="AG139" i="36"/>
  <c r="D140" i="36"/>
  <c r="E140" i="36"/>
  <c r="F140" i="36"/>
  <c r="G140" i="36"/>
  <c r="H140" i="36"/>
  <c r="I140" i="36"/>
  <c r="J140" i="36"/>
  <c r="K140" i="36"/>
  <c r="L140" i="36"/>
  <c r="M140" i="36"/>
  <c r="N140" i="36"/>
  <c r="O140" i="36"/>
  <c r="Q140" i="36"/>
  <c r="R140" i="36"/>
  <c r="S140" i="36"/>
  <c r="T140" i="36"/>
  <c r="U140" i="36"/>
  <c r="W140" i="36"/>
  <c r="AA140" i="36"/>
  <c r="AB140" i="36"/>
  <c r="AC140" i="36"/>
  <c r="AD140" i="36"/>
  <c r="AE140" i="36"/>
  <c r="AF140" i="36"/>
  <c r="AG140" i="36"/>
  <c r="D141" i="36"/>
  <c r="E141" i="36"/>
  <c r="F141" i="36"/>
  <c r="G141" i="36"/>
  <c r="H141" i="36"/>
  <c r="I141" i="36"/>
  <c r="J141" i="36"/>
  <c r="K141" i="36"/>
  <c r="L141" i="36"/>
  <c r="M141" i="36"/>
  <c r="N141" i="36"/>
  <c r="N142" i="36" s="1"/>
  <c r="N143" i="36" s="1"/>
  <c r="O141" i="36"/>
  <c r="Q141" i="36"/>
  <c r="R141" i="36"/>
  <c r="R142" i="36" s="1"/>
  <c r="R143" i="36" s="1"/>
  <c r="R144" i="36" s="1"/>
  <c r="R145" i="36" s="1"/>
  <c r="R146" i="36" s="1"/>
  <c r="S141" i="36"/>
  <c r="T141" i="36"/>
  <c r="U141" i="36"/>
  <c r="W141" i="36"/>
  <c r="AA141" i="36"/>
  <c r="AB141" i="36"/>
  <c r="AC141" i="36"/>
  <c r="AD141" i="36"/>
  <c r="AE141" i="36"/>
  <c r="AF141" i="36"/>
  <c r="AG141" i="36"/>
  <c r="D142" i="36"/>
  <c r="E142" i="36"/>
  <c r="F142" i="36"/>
  <c r="G142" i="36"/>
  <c r="H142" i="36"/>
  <c r="I142" i="36"/>
  <c r="J142" i="36"/>
  <c r="K142" i="36"/>
  <c r="L142" i="36"/>
  <c r="M142" i="36"/>
  <c r="O142" i="36"/>
  <c r="Q142" i="36"/>
  <c r="Q143" i="36" s="1"/>
  <c r="S142" i="36"/>
  <c r="T142" i="36"/>
  <c r="W142" i="36"/>
  <c r="AA142" i="36"/>
  <c r="AB142" i="36"/>
  <c r="AC142" i="36"/>
  <c r="AD142" i="36"/>
  <c r="AE142" i="36"/>
  <c r="AF142" i="36"/>
  <c r="AG142" i="36"/>
  <c r="D143" i="36"/>
  <c r="E143" i="36"/>
  <c r="F143" i="36"/>
  <c r="F144" i="36" s="1"/>
  <c r="F145" i="36" s="1"/>
  <c r="G143" i="36"/>
  <c r="H143" i="36"/>
  <c r="I143" i="36"/>
  <c r="J143" i="36"/>
  <c r="K143" i="36"/>
  <c r="L143" i="36"/>
  <c r="M143" i="36"/>
  <c r="O143" i="36"/>
  <c r="S143" i="36"/>
  <c r="T143" i="36"/>
  <c r="U143" i="36"/>
  <c r="W143" i="36"/>
  <c r="AB143" i="36"/>
  <c r="AC143" i="36"/>
  <c r="AD143" i="36"/>
  <c r="AE143" i="36"/>
  <c r="AF143" i="36"/>
  <c r="AG143" i="36"/>
  <c r="D144" i="36"/>
  <c r="D145" i="36" s="1"/>
  <c r="E144" i="36"/>
  <c r="E145" i="36" s="1"/>
  <c r="G144" i="36"/>
  <c r="G145" i="36" s="1"/>
  <c r="H144" i="36"/>
  <c r="I144" i="36"/>
  <c r="J144" i="36"/>
  <c r="K144" i="36"/>
  <c r="L144" i="36"/>
  <c r="M144" i="36"/>
  <c r="N144" i="36"/>
  <c r="O144" i="36"/>
  <c r="Q144" i="36"/>
  <c r="Q145" i="36" s="1"/>
  <c r="S144" i="36"/>
  <c r="T144" i="36"/>
  <c r="U144" i="36"/>
  <c r="W144" i="36"/>
  <c r="AA144" i="36"/>
  <c r="AB144" i="36"/>
  <c r="AC144" i="36"/>
  <c r="AD144" i="36"/>
  <c r="AE144" i="36"/>
  <c r="AF144" i="36"/>
  <c r="AG144" i="36"/>
  <c r="H145" i="36"/>
  <c r="I145" i="36"/>
  <c r="J145" i="36"/>
  <c r="K145" i="36"/>
  <c r="L145" i="36"/>
  <c r="M145" i="36"/>
  <c r="N145" i="36"/>
  <c r="N146" i="36" s="1"/>
  <c r="O145" i="36"/>
  <c r="S145" i="36"/>
  <c r="T145" i="36"/>
  <c r="U145" i="36"/>
  <c r="W145" i="36"/>
  <c r="X145" i="36"/>
  <c r="Y145" i="36"/>
  <c r="Z145" i="36"/>
  <c r="AA145" i="36"/>
  <c r="AB145" i="36"/>
  <c r="AC145" i="36"/>
  <c r="AD145" i="36"/>
  <c r="AE145" i="36"/>
  <c r="AF145" i="36"/>
  <c r="AG145" i="36"/>
  <c r="D146" i="36"/>
  <c r="E146" i="36"/>
  <c r="F146" i="36"/>
  <c r="G146" i="36"/>
  <c r="H146" i="36"/>
  <c r="I146" i="36"/>
  <c r="J146" i="36"/>
  <c r="K146" i="36"/>
  <c r="L146" i="36"/>
  <c r="M146" i="36"/>
  <c r="O146" i="36"/>
  <c r="Q146" i="36"/>
  <c r="S146" i="36"/>
  <c r="T146" i="36"/>
  <c r="W146" i="36"/>
  <c r="AA146" i="36"/>
  <c r="AB146" i="36"/>
  <c r="AC146" i="36"/>
  <c r="AD146" i="36"/>
  <c r="AE146" i="36"/>
  <c r="AF146" i="36"/>
  <c r="AG146" i="36"/>
  <c r="B147" i="36"/>
  <c r="B148" i="36" s="1"/>
  <c r="B149" i="36" s="1"/>
  <c r="B150" i="36" s="1"/>
  <c r="B151" i="36" s="1"/>
  <c r="D147" i="36"/>
  <c r="E147" i="36"/>
  <c r="F147" i="36"/>
  <c r="G147" i="36"/>
  <c r="H147" i="36"/>
  <c r="I147" i="36"/>
  <c r="J147" i="36"/>
  <c r="K147" i="36"/>
  <c r="L147" i="36"/>
  <c r="M147" i="36"/>
  <c r="N147" i="36"/>
  <c r="O147" i="36"/>
  <c r="Q147" i="36"/>
  <c r="R147" i="36"/>
  <c r="S147" i="36"/>
  <c r="T147" i="36"/>
  <c r="U147" i="36"/>
  <c r="W147" i="36"/>
  <c r="AA147" i="36"/>
  <c r="AB147" i="36"/>
  <c r="AC147" i="36"/>
  <c r="AD147" i="36"/>
  <c r="AE147" i="36"/>
  <c r="AF147" i="36"/>
  <c r="AG147" i="36"/>
  <c r="AL147" i="36"/>
  <c r="D148" i="36"/>
  <c r="E148" i="36"/>
  <c r="F148" i="36"/>
  <c r="G148" i="36"/>
  <c r="H148" i="36"/>
  <c r="I148" i="36"/>
  <c r="J148" i="36"/>
  <c r="K148" i="36"/>
  <c r="L148" i="36"/>
  <c r="M148" i="36"/>
  <c r="N148" i="36"/>
  <c r="N149" i="36" s="1"/>
  <c r="N150" i="36" s="1"/>
  <c r="N151" i="36" s="1"/>
  <c r="N152" i="36" s="1"/>
  <c r="N153" i="36" s="1"/>
  <c r="N154" i="36" s="1"/>
  <c r="N155" i="36" s="1"/>
  <c r="N156" i="36" s="1"/>
  <c r="N157" i="36" s="1"/>
  <c r="N158" i="36" s="1"/>
  <c r="N159" i="36" s="1"/>
  <c r="N160" i="36" s="1"/>
  <c r="N161" i="36" s="1"/>
  <c r="N162" i="36" s="1"/>
  <c r="O148" i="36"/>
  <c r="Q148" i="36"/>
  <c r="R148" i="36"/>
  <c r="R149" i="36" s="1"/>
  <c r="S148" i="36"/>
  <c r="T148" i="36"/>
  <c r="U148" i="36"/>
  <c r="W148" i="36"/>
  <c r="AA148" i="36"/>
  <c r="AB148" i="36"/>
  <c r="AC148" i="36"/>
  <c r="AD148" i="36"/>
  <c r="AE148" i="36"/>
  <c r="AF148" i="36"/>
  <c r="AG148" i="36"/>
  <c r="D149" i="36"/>
  <c r="E149" i="36"/>
  <c r="F149" i="36"/>
  <c r="G149" i="36"/>
  <c r="H149" i="36"/>
  <c r="I149" i="36"/>
  <c r="J149" i="36"/>
  <c r="K149" i="36"/>
  <c r="L149" i="36"/>
  <c r="M149" i="36"/>
  <c r="O149" i="36"/>
  <c r="Q149" i="36"/>
  <c r="S149" i="36"/>
  <c r="T149" i="36"/>
  <c r="U149" i="36"/>
  <c r="W149" i="36"/>
  <c r="AA149" i="36"/>
  <c r="AB149" i="36"/>
  <c r="AC149" i="36"/>
  <c r="AD149" i="36"/>
  <c r="AE149" i="36"/>
  <c r="AF149" i="36"/>
  <c r="AG149" i="36"/>
  <c r="D150" i="36"/>
  <c r="E150" i="36"/>
  <c r="F150" i="36"/>
  <c r="G150" i="36"/>
  <c r="H150" i="36"/>
  <c r="I150" i="36"/>
  <c r="J150" i="36"/>
  <c r="K150" i="36"/>
  <c r="L150" i="36"/>
  <c r="M150" i="36"/>
  <c r="O150" i="36"/>
  <c r="Q150" i="36"/>
  <c r="R150" i="36"/>
  <c r="R151" i="36" s="1"/>
  <c r="S150" i="36"/>
  <c r="T150" i="36"/>
  <c r="U150" i="36"/>
  <c r="W150" i="36"/>
  <c r="X150" i="36"/>
  <c r="AA150" i="36"/>
  <c r="AB150" i="36"/>
  <c r="AC150" i="36"/>
  <c r="AD150" i="36"/>
  <c r="AE150" i="36"/>
  <c r="AF150" i="36"/>
  <c r="AG150" i="36"/>
  <c r="AH150" i="36"/>
  <c r="AI150" i="36"/>
  <c r="AJ150" i="36"/>
  <c r="D151" i="36"/>
  <c r="E151" i="36"/>
  <c r="F151" i="36"/>
  <c r="G151" i="36"/>
  <c r="H151" i="36"/>
  <c r="I151" i="36"/>
  <c r="J151" i="36"/>
  <c r="K151" i="36"/>
  <c r="L151" i="36"/>
  <c r="M151" i="36"/>
  <c r="O151" i="36"/>
  <c r="Q151" i="36"/>
  <c r="S151" i="36"/>
  <c r="T151" i="36"/>
  <c r="U151" i="36"/>
  <c r="W151" i="36"/>
  <c r="AA151" i="36"/>
  <c r="AB151" i="36"/>
  <c r="AC151" i="36"/>
  <c r="AD151" i="36"/>
  <c r="AE151" i="36"/>
  <c r="AF151" i="36"/>
  <c r="AG151" i="36"/>
  <c r="B152" i="36"/>
  <c r="D152" i="36"/>
  <c r="E152" i="36"/>
  <c r="F152" i="36"/>
  <c r="G152" i="36"/>
  <c r="H152" i="36"/>
  <c r="I152" i="36"/>
  <c r="J152" i="36"/>
  <c r="K152" i="36"/>
  <c r="L152" i="36"/>
  <c r="M152" i="36"/>
  <c r="O152" i="36"/>
  <c r="Q152" i="36"/>
  <c r="R152" i="36"/>
  <c r="R153" i="36" s="1"/>
  <c r="R154" i="36" s="1"/>
  <c r="R155" i="36" s="1"/>
  <c r="R156" i="36" s="1"/>
  <c r="R157" i="36" s="1"/>
  <c r="R158" i="36" s="1"/>
  <c r="S152" i="36"/>
  <c r="T152" i="36"/>
  <c r="U152" i="36"/>
  <c r="W152" i="36"/>
  <c r="AA152" i="36"/>
  <c r="AB152" i="36"/>
  <c r="AC152" i="36"/>
  <c r="AD152" i="36"/>
  <c r="AE152" i="36"/>
  <c r="AF152" i="36"/>
  <c r="AG152" i="36"/>
  <c r="B153" i="36"/>
  <c r="B154" i="36" s="1"/>
  <c r="B155" i="36" s="1"/>
  <c r="D153" i="36"/>
  <c r="E153" i="36"/>
  <c r="F153" i="36"/>
  <c r="G153" i="36"/>
  <c r="H153" i="36"/>
  <c r="I153" i="36"/>
  <c r="J153" i="36"/>
  <c r="K153" i="36"/>
  <c r="L153" i="36"/>
  <c r="M153" i="36"/>
  <c r="O153" i="36"/>
  <c r="Q153" i="36"/>
  <c r="S153" i="36"/>
  <c r="T153" i="36"/>
  <c r="U153" i="36"/>
  <c r="W153" i="36"/>
  <c r="AA153" i="36"/>
  <c r="AB153" i="36"/>
  <c r="AC153" i="36"/>
  <c r="AD153" i="36"/>
  <c r="AE153" i="36"/>
  <c r="AF153" i="36"/>
  <c r="AG153" i="36"/>
  <c r="AH153" i="36"/>
  <c r="AN153" i="36"/>
  <c r="AN154" i="36" s="1"/>
  <c r="AN155" i="36" s="1"/>
  <c r="D154" i="36"/>
  <c r="E154" i="36"/>
  <c r="F154" i="36"/>
  <c r="G154" i="36"/>
  <c r="H154" i="36"/>
  <c r="I154" i="36"/>
  <c r="J154" i="36"/>
  <c r="K154" i="36"/>
  <c r="L154" i="36"/>
  <c r="M154" i="36"/>
  <c r="O154" i="36"/>
  <c r="Q154" i="36"/>
  <c r="S154" i="36"/>
  <c r="T154" i="36"/>
  <c r="U154" i="36"/>
  <c r="W154" i="36"/>
  <c r="X154" i="36"/>
  <c r="Y154" i="36"/>
  <c r="Z154" i="36"/>
  <c r="AA154" i="36"/>
  <c r="AB154" i="36"/>
  <c r="AC154" i="36"/>
  <c r="AD154" i="36"/>
  <c r="AE154" i="36"/>
  <c r="AF154" i="36"/>
  <c r="AG154" i="36"/>
  <c r="AH154" i="36"/>
  <c r="D155" i="36"/>
  <c r="E155" i="36"/>
  <c r="F155" i="36"/>
  <c r="G155" i="36"/>
  <c r="H155" i="36"/>
  <c r="I155" i="36"/>
  <c r="J155" i="36"/>
  <c r="K155" i="36"/>
  <c r="L155" i="36"/>
  <c r="M155" i="36"/>
  <c r="O155" i="36"/>
  <c r="Q155" i="36"/>
  <c r="S155" i="36"/>
  <c r="T155" i="36"/>
  <c r="U155" i="36"/>
  <c r="W155" i="36"/>
  <c r="X155" i="36"/>
  <c r="Y155" i="36"/>
  <c r="Z155" i="36"/>
  <c r="AA155" i="36"/>
  <c r="AB155" i="36"/>
  <c r="AC155" i="36"/>
  <c r="AD155" i="36"/>
  <c r="AE155" i="36"/>
  <c r="AF155" i="36"/>
  <c r="AG155" i="36"/>
  <c r="AH155" i="36"/>
  <c r="B156" i="36"/>
  <c r="B157" i="36" s="1"/>
  <c r="B158" i="36" s="1"/>
  <c r="D156" i="36"/>
  <c r="E156" i="36"/>
  <c r="E157" i="36" s="1"/>
  <c r="F156" i="36"/>
  <c r="F157" i="36" s="1"/>
  <c r="G156" i="36"/>
  <c r="H156" i="36"/>
  <c r="I156" i="36"/>
  <c r="J156" i="36"/>
  <c r="K156" i="36"/>
  <c r="L156" i="36"/>
  <c r="M156" i="36"/>
  <c r="M157" i="36" s="1"/>
  <c r="O156" i="36"/>
  <c r="Q156" i="36"/>
  <c r="S156" i="36"/>
  <c r="T156" i="36"/>
  <c r="U156" i="36"/>
  <c r="W156" i="36"/>
  <c r="AA156" i="36"/>
  <c r="AB156" i="36"/>
  <c r="AC156" i="36"/>
  <c r="AD156" i="36"/>
  <c r="AE156" i="36"/>
  <c r="AF156" i="36"/>
  <c r="AG156" i="36"/>
  <c r="D157" i="36"/>
  <c r="G157" i="36"/>
  <c r="H157" i="36"/>
  <c r="I157" i="36"/>
  <c r="J157" i="36"/>
  <c r="K157" i="36"/>
  <c r="L157" i="36"/>
  <c r="O157" i="36"/>
  <c r="Q157" i="36"/>
  <c r="S157" i="36"/>
  <c r="T157" i="36"/>
  <c r="U157" i="36"/>
  <c r="W157" i="36"/>
  <c r="AA157" i="36"/>
  <c r="AB157" i="36"/>
  <c r="AC157" i="36"/>
  <c r="AD157" i="36"/>
  <c r="AE157" i="36"/>
  <c r="AF157" i="36"/>
  <c r="AG157" i="36"/>
  <c r="D158" i="36"/>
  <c r="E158" i="36"/>
  <c r="F158" i="36"/>
  <c r="G158" i="36"/>
  <c r="H158" i="36"/>
  <c r="I158" i="36"/>
  <c r="J158" i="36"/>
  <c r="K158" i="36"/>
  <c r="L158" i="36"/>
  <c r="M158" i="36"/>
  <c r="O158" i="36"/>
  <c r="Q158" i="36"/>
  <c r="S158" i="36"/>
  <c r="T158" i="36"/>
  <c r="U158" i="36"/>
  <c r="W158" i="36"/>
  <c r="AA158" i="36"/>
  <c r="AB158" i="36"/>
  <c r="AC158" i="36"/>
  <c r="AD158" i="36"/>
  <c r="AE158" i="36"/>
  <c r="AF158" i="36"/>
  <c r="AG158" i="36"/>
  <c r="B159" i="36"/>
  <c r="B160" i="36" s="1"/>
  <c r="B161" i="36" s="1"/>
  <c r="D159" i="36"/>
  <c r="E159" i="36"/>
  <c r="E160" i="36" s="1"/>
  <c r="E161" i="36" s="1"/>
  <c r="F159" i="36"/>
  <c r="F160" i="36" s="1"/>
  <c r="F161" i="36" s="1"/>
  <c r="G159" i="36"/>
  <c r="H159" i="36"/>
  <c r="I159" i="36"/>
  <c r="J159" i="36"/>
  <c r="K159" i="36"/>
  <c r="L159" i="36"/>
  <c r="M159" i="36"/>
  <c r="O159" i="36"/>
  <c r="Q159" i="36"/>
  <c r="R159" i="36"/>
  <c r="R160" i="36" s="1"/>
  <c r="R161" i="36" s="1"/>
  <c r="S159" i="36"/>
  <c r="T159" i="36"/>
  <c r="U159" i="36"/>
  <c r="W159" i="36"/>
  <c r="AA159" i="36"/>
  <c r="AB159" i="36"/>
  <c r="AC159" i="36"/>
  <c r="AD159" i="36"/>
  <c r="AE159" i="36"/>
  <c r="AF159" i="36"/>
  <c r="AG159" i="36"/>
  <c r="D160" i="36"/>
  <c r="G160" i="36"/>
  <c r="H160" i="36"/>
  <c r="I160" i="36"/>
  <c r="J160" i="36"/>
  <c r="K160" i="36"/>
  <c r="L160" i="36"/>
  <c r="M160" i="36"/>
  <c r="O160" i="36"/>
  <c r="Q160" i="36"/>
  <c r="S160" i="36"/>
  <c r="T160" i="36"/>
  <c r="U160" i="36"/>
  <c r="W160" i="36"/>
  <c r="AA160" i="36"/>
  <c r="AB160" i="36"/>
  <c r="AC160" i="36"/>
  <c r="AD160" i="36"/>
  <c r="AE160" i="36"/>
  <c r="AF160" i="36"/>
  <c r="AG160" i="36"/>
  <c r="D161" i="36"/>
  <c r="G161" i="36"/>
  <c r="H161" i="36"/>
  <c r="I161" i="36"/>
  <c r="J161" i="36"/>
  <c r="K161" i="36"/>
  <c r="L161" i="36"/>
  <c r="M161" i="36"/>
  <c r="O161" i="36"/>
  <c r="Q161" i="36"/>
  <c r="S161" i="36"/>
  <c r="T161" i="36"/>
  <c r="U161" i="36"/>
  <c r="W161" i="36"/>
  <c r="AA161" i="36"/>
  <c r="AB161" i="36"/>
  <c r="AC161" i="36"/>
  <c r="AD161" i="36"/>
  <c r="AE161" i="36"/>
  <c r="AF161" i="36"/>
  <c r="AG161" i="36"/>
  <c r="B162" i="36"/>
  <c r="B163" i="36" s="1"/>
  <c r="B164" i="36" s="1"/>
  <c r="B165" i="36" s="1"/>
  <c r="B166" i="36" s="1"/>
  <c r="B167" i="36" s="1"/>
  <c r="B168" i="36" s="1"/>
  <c r="B169" i="36" s="1"/>
  <c r="B170" i="36" s="1"/>
  <c r="B171" i="36" s="1"/>
  <c r="B172" i="36" s="1"/>
  <c r="B173" i="36" s="1"/>
  <c r="B174" i="36" s="1"/>
  <c r="B175" i="36" s="1"/>
  <c r="B176" i="36" s="1"/>
  <c r="B177" i="36" s="1"/>
  <c r="B178" i="36" s="1"/>
  <c r="B179" i="36" s="1"/>
  <c r="B180" i="36" s="1"/>
  <c r="B181" i="36" s="1"/>
  <c r="B182" i="36" s="1"/>
  <c r="B183" i="36" s="1"/>
  <c r="B184" i="36" s="1"/>
  <c r="B185" i="36" s="1"/>
  <c r="B186" i="36" s="1"/>
  <c r="B187" i="36" s="1"/>
  <c r="B188" i="36" s="1"/>
  <c r="B189" i="36" s="1"/>
  <c r="B190" i="36" s="1"/>
  <c r="B191" i="36" s="1"/>
  <c r="B192" i="36" s="1"/>
  <c r="B193" i="36" s="1"/>
  <c r="B194" i="36" s="1"/>
  <c r="B195" i="36" s="1"/>
  <c r="B196" i="36" s="1"/>
  <c r="B197" i="36" s="1"/>
  <c r="B198" i="36" s="1"/>
  <c r="B199" i="36" s="1"/>
  <c r="B200" i="36" s="1"/>
  <c r="B201" i="36" s="1"/>
  <c r="B202" i="36" s="1"/>
  <c r="B203" i="36" s="1"/>
  <c r="B204" i="36" s="1"/>
  <c r="B205" i="36" s="1"/>
  <c r="B206" i="36" s="1"/>
  <c r="B207" i="36" s="1"/>
  <c r="D162" i="36"/>
  <c r="E162" i="36"/>
  <c r="F162" i="36"/>
  <c r="G162" i="36"/>
  <c r="H162" i="36"/>
  <c r="I162" i="36"/>
  <c r="J162" i="36"/>
  <c r="K162" i="36"/>
  <c r="L162" i="36"/>
  <c r="M162" i="36"/>
  <c r="O162" i="36"/>
  <c r="Q162" i="36"/>
  <c r="Q163" i="36" s="1"/>
  <c r="Q164" i="36" s="1"/>
  <c r="Q165" i="36" s="1"/>
  <c r="Q166" i="36" s="1"/>
  <c r="Q167" i="36" s="1"/>
  <c r="Q168" i="36" s="1"/>
  <c r="Q169" i="36" s="1"/>
  <c r="Q170" i="36" s="1"/>
  <c r="Q171" i="36" s="1"/>
  <c r="Q172" i="36" s="1"/>
  <c r="Q173" i="36" s="1"/>
  <c r="Q174" i="36" s="1"/>
  <c r="Q175" i="36" s="1"/>
  <c r="Q176" i="36" s="1"/>
  <c r="Q177" i="36" s="1"/>
  <c r="Q178" i="36" s="1"/>
  <c r="Q179" i="36" s="1"/>
  <c r="Q180" i="36" s="1"/>
  <c r="Q181" i="36" s="1"/>
  <c r="Q182" i="36" s="1"/>
  <c r="Q183" i="36" s="1"/>
  <c r="Q184" i="36" s="1"/>
  <c r="Q185" i="36" s="1"/>
  <c r="Q186" i="36" s="1"/>
  <c r="Q187" i="36" s="1"/>
  <c r="Q188" i="36" s="1"/>
  <c r="Q189" i="36" s="1"/>
  <c r="Q190" i="36" s="1"/>
  <c r="Q191" i="36" s="1"/>
  <c r="Q192" i="36" s="1"/>
  <c r="Q193" i="36" s="1"/>
  <c r="Q194" i="36" s="1"/>
  <c r="Q195" i="36" s="1"/>
  <c r="Q196" i="36" s="1"/>
  <c r="Q197" i="36" s="1"/>
  <c r="Q198" i="36" s="1"/>
  <c r="Q199" i="36" s="1"/>
  <c r="Q200" i="36" s="1"/>
  <c r="Q201" i="36" s="1"/>
  <c r="Q202" i="36" s="1"/>
  <c r="Q203" i="36" s="1"/>
  <c r="Q204" i="36" s="1"/>
  <c r="Q205" i="36" s="1"/>
  <c r="Q206" i="36" s="1"/>
  <c r="Q207" i="36" s="1"/>
  <c r="R162" i="36"/>
  <c r="S162" i="36"/>
  <c r="T162" i="36"/>
  <c r="U162" i="36"/>
  <c r="W162" i="36"/>
  <c r="AA162" i="36"/>
  <c r="AB162" i="36"/>
  <c r="AC162" i="36"/>
  <c r="AD162" i="36"/>
  <c r="AE162" i="36"/>
  <c r="AF162" i="36"/>
  <c r="AG162" i="36"/>
  <c r="D163" i="36"/>
  <c r="D164" i="36" s="1"/>
  <c r="D165" i="36" s="1"/>
  <c r="D166" i="36" s="1"/>
  <c r="D167" i="36" s="1"/>
  <c r="D168" i="36" s="1"/>
  <c r="D169" i="36" s="1"/>
  <c r="D170" i="36" s="1"/>
  <c r="D171" i="36" s="1"/>
  <c r="D172" i="36" s="1"/>
  <c r="D173" i="36" s="1"/>
  <c r="E163" i="36"/>
  <c r="E164" i="36" s="1"/>
  <c r="E165" i="36" s="1"/>
  <c r="E166" i="36" s="1"/>
  <c r="E167" i="36" s="1"/>
  <c r="E168" i="36" s="1"/>
  <c r="E169" i="36" s="1"/>
  <c r="E170" i="36" s="1"/>
  <c r="E171" i="36" s="1"/>
  <c r="E172" i="36" s="1"/>
  <c r="E173" i="36" s="1"/>
  <c r="F163" i="36"/>
  <c r="F164" i="36" s="1"/>
  <c r="F165" i="36" s="1"/>
  <c r="F166" i="36" s="1"/>
  <c r="F167" i="36" s="1"/>
  <c r="F168" i="36" s="1"/>
  <c r="F169" i="36" s="1"/>
  <c r="F170" i="36" s="1"/>
  <c r="F171" i="36" s="1"/>
  <c r="F172" i="36" s="1"/>
  <c r="F173" i="36" s="1"/>
  <c r="G163" i="36"/>
  <c r="G164" i="36" s="1"/>
  <c r="G165" i="36" s="1"/>
  <c r="G166" i="36" s="1"/>
  <c r="G167" i="36" s="1"/>
  <c r="G168" i="36" s="1"/>
  <c r="G169" i="36" s="1"/>
  <c r="G170" i="36" s="1"/>
  <c r="G171" i="36" s="1"/>
  <c r="G172" i="36" s="1"/>
  <c r="G173" i="36" s="1"/>
  <c r="H163" i="36"/>
  <c r="I163" i="36"/>
  <c r="J163" i="36"/>
  <c r="K163" i="36"/>
  <c r="L163" i="36"/>
  <c r="M163" i="36"/>
  <c r="N163" i="36"/>
  <c r="O163" i="36"/>
  <c r="R163" i="36"/>
  <c r="S163" i="36"/>
  <c r="T163" i="36"/>
  <c r="U163" i="36"/>
  <c r="V163" i="36"/>
  <c r="W163" i="36"/>
  <c r="X163" i="36"/>
  <c r="Y163" i="36"/>
  <c r="AA163" i="36"/>
  <c r="AB163" i="36"/>
  <c r="AC163" i="36"/>
  <c r="AD163" i="36"/>
  <c r="AE163" i="36"/>
  <c r="AF163" i="36"/>
  <c r="AG163" i="36"/>
  <c r="AH163" i="36"/>
  <c r="AI163" i="36"/>
  <c r="AJ163" i="36"/>
  <c r="H164" i="36"/>
  <c r="I164" i="36"/>
  <c r="J164" i="36"/>
  <c r="K164" i="36"/>
  <c r="L164" i="36"/>
  <c r="M164" i="36"/>
  <c r="N164" i="36"/>
  <c r="O164" i="36"/>
  <c r="R164" i="36"/>
  <c r="S164" i="36"/>
  <c r="T164" i="36"/>
  <c r="U164" i="36"/>
  <c r="V164" i="36"/>
  <c r="W164" i="36"/>
  <c r="X164" i="36"/>
  <c r="Y164" i="36"/>
  <c r="Z164" i="36"/>
  <c r="AA164" i="36"/>
  <c r="AB164" i="36"/>
  <c r="AC164" i="36"/>
  <c r="AD164" i="36"/>
  <c r="AE164" i="36"/>
  <c r="AF164" i="36"/>
  <c r="AG164" i="36"/>
  <c r="AH164" i="36"/>
  <c r="AI164" i="36"/>
  <c r="AJ164" i="36"/>
  <c r="H165" i="36"/>
  <c r="I165" i="36"/>
  <c r="J165" i="36"/>
  <c r="K165" i="36"/>
  <c r="L165" i="36"/>
  <c r="M165" i="36"/>
  <c r="N165" i="36"/>
  <c r="O165" i="36"/>
  <c r="R165" i="36"/>
  <c r="S165" i="36"/>
  <c r="T165" i="36"/>
  <c r="U165" i="36"/>
  <c r="V165" i="36"/>
  <c r="W165" i="36"/>
  <c r="X165" i="36"/>
  <c r="Y165" i="36"/>
  <c r="Z165" i="36"/>
  <c r="AA165" i="36"/>
  <c r="AB165" i="36"/>
  <c r="AC165" i="36"/>
  <c r="AD165" i="36"/>
  <c r="AE165" i="36"/>
  <c r="AF165" i="36"/>
  <c r="AG165" i="36"/>
  <c r="AH165" i="36"/>
  <c r="AI165" i="36"/>
  <c r="AJ165" i="36"/>
  <c r="H166" i="36"/>
  <c r="I166" i="36"/>
  <c r="J166" i="36"/>
  <c r="K166" i="36"/>
  <c r="L166" i="36"/>
  <c r="M166" i="36"/>
  <c r="N166" i="36"/>
  <c r="O166" i="36"/>
  <c r="R166" i="36"/>
  <c r="S166" i="36"/>
  <c r="T166" i="36"/>
  <c r="U166" i="36"/>
  <c r="V166" i="36"/>
  <c r="W166" i="36"/>
  <c r="X166" i="36"/>
  <c r="Y166" i="36"/>
  <c r="Z166" i="36"/>
  <c r="AA166" i="36"/>
  <c r="AB166" i="36"/>
  <c r="AC166" i="36"/>
  <c r="AD166" i="36"/>
  <c r="AE166" i="36"/>
  <c r="AF166" i="36"/>
  <c r="AG166" i="36"/>
  <c r="AH166" i="36"/>
  <c r="AI166" i="36"/>
  <c r="AJ166" i="36"/>
  <c r="H167" i="36"/>
  <c r="I167" i="36"/>
  <c r="J167" i="36"/>
  <c r="K167" i="36"/>
  <c r="L167" i="36"/>
  <c r="M167" i="36"/>
  <c r="N167" i="36"/>
  <c r="O167" i="36"/>
  <c r="R167" i="36"/>
  <c r="S167" i="36"/>
  <c r="T167" i="36"/>
  <c r="U167" i="36"/>
  <c r="V167" i="36"/>
  <c r="W167" i="36"/>
  <c r="X167" i="36"/>
  <c r="Y167" i="36"/>
  <c r="Z167" i="36"/>
  <c r="AA167" i="36"/>
  <c r="AB167" i="36"/>
  <c r="AC167" i="36"/>
  <c r="AD167" i="36"/>
  <c r="AE167" i="36"/>
  <c r="AF167" i="36"/>
  <c r="AG167" i="36"/>
  <c r="AH167" i="36"/>
  <c r="AI167" i="36"/>
  <c r="AJ167" i="36"/>
  <c r="H168" i="36"/>
  <c r="I168" i="36"/>
  <c r="J168" i="36"/>
  <c r="K168" i="36"/>
  <c r="L168" i="36"/>
  <c r="M168" i="36"/>
  <c r="N168" i="36"/>
  <c r="O168" i="36"/>
  <c r="R168" i="36"/>
  <c r="S168" i="36"/>
  <c r="T168" i="36"/>
  <c r="U168" i="36"/>
  <c r="V168" i="36"/>
  <c r="W168" i="36"/>
  <c r="X168" i="36"/>
  <c r="Y168" i="36"/>
  <c r="Z168" i="36"/>
  <c r="AA168" i="36"/>
  <c r="AB168" i="36"/>
  <c r="AC168" i="36"/>
  <c r="AD168" i="36"/>
  <c r="AE168" i="36"/>
  <c r="AF168" i="36"/>
  <c r="AG168" i="36"/>
  <c r="AH168" i="36"/>
  <c r="AI168" i="36"/>
  <c r="AJ168" i="36"/>
  <c r="H169" i="36"/>
  <c r="I169" i="36"/>
  <c r="J169" i="36"/>
  <c r="K169" i="36"/>
  <c r="L169" i="36"/>
  <c r="M169" i="36"/>
  <c r="N169" i="36"/>
  <c r="O169" i="36"/>
  <c r="R169" i="36"/>
  <c r="S169" i="36"/>
  <c r="T169" i="36"/>
  <c r="U169" i="36"/>
  <c r="V169" i="36"/>
  <c r="W169" i="36"/>
  <c r="X169" i="36"/>
  <c r="Y169" i="36"/>
  <c r="Z169" i="36"/>
  <c r="AA169" i="36"/>
  <c r="AB169" i="36"/>
  <c r="AC169" i="36"/>
  <c r="AD169" i="36"/>
  <c r="AE169" i="36"/>
  <c r="AF169" i="36"/>
  <c r="AG169" i="36"/>
  <c r="AH169" i="36"/>
  <c r="AI169" i="36"/>
  <c r="AJ169" i="36"/>
  <c r="H170" i="36"/>
  <c r="I170" i="36"/>
  <c r="J170" i="36"/>
  <c r="K170" i="36"/>
  <c r="L170" i="36"/>
  <c r="M170" i="36"/>
  <c r="N170" i="36"/>
  <c r="O170" i="36"/>
  <c r="R170" i="36"/>
  <c r="S170" i="36"/>
  <c r="T170" i="36"/>
  <c r="U170" i="36"/>
  <c r="V170" i="36"/>
  <c r="W170" i="36"/>
  <c r="X170" i="36"/>
  <c r="Y170" i="36"/>
  <c r="Z170" i="36"/>
  <c r="AA170" i="36"/>
  <c r="AB170" i="36"/>
  <c r="AC170" i="36"/>
  <c r="AD170" i="36"/>
  <c r="AE170" i="36"/>
  <c r="AF170" i="36"/>
  <c r="AG170" i="36"/>
  <c r="AH170" i="36"/>
  <c r="AI170" i="36"/>
  <c r="AJ170" i="36"/>
  <c r="H171" i="36"/>
  <c r="I171" i="36"/>
  <c r="J171" i="36"/>
  <c r="K171" i="36"/>
  <c r="L171" i="36"/>
  <c r="M171" i="36"/>
  <c r="N171" i="36"/>
  <c r="O171" i="36"/>
  <c r="R171" i="36"/>
  <c r="S171" i="36"/>
  <c r="T171" i="36"/>
  <c r="U171" i="36"/>
  <c r="V171" i="36"/>
  <c r="W171" i="36"/>
  <c r="X171" i="36"/>
  <c r="Y171" i="36"/>
  <c r="Z171" i="36"/>
  <c r="AA171" i="36"/>
  <c r="AB171" i="36"/>
  <c r="AC171" i="36"/>
  <c r="AD171" i="36"/>
  <c r="AE171" i="36"/>
  <c r="AF171" i="36"/>
  <c r="AG171" i="36"/>
  <c r="AH171" i="36"/>
  <c r="AI171" i="36"/>
  <c r="AJ171" i="36"/>
  <c r="H172" i="36"/>
  <c r="I172" i="36"/>
  <c r="J172" i="36"/>
  <c r="K172" i="36"/>
  <c r="L172" i="36"/>
  <c r="M172" i="36"/>
  <c r="N172" i="36"/>
  <c r="O172" i="36"/>
  <c r="R172" i="36"/>
  <c r="S172" i="36"/>
  <c r="T172" i="36"/>
  <c r="U172" i="36"/>
  <c r="V172" i="36"/>
  <c r="W172" i="36"/>
  <c r="X172" i="36"/>
  <c r="Y172" i="36"/>
  <c r="Z172" i="36"/>
  <c r="AA172" i="36"/>
  <c r="AB172" i="36"/>
  <c r="AC172" i="36"/>
  <c r="AD172" i="36"/>
  <c r="AE172" i="36"/>
  <c r="AF172" i="36"/>
  <c r="AG172" i="36"/>
  <c r="AH172" i="36"/>
  <c r="AI172" i="36"/>
  <c r="AJ172" i="36"/>
  <c r="H173" i="36"/>
  <c r="I173" i="36"/>
  <c r="J173" i="36"/>
  <c r="K173" i="36"/>
  <c r="L173" i="36"/>
  <c r="M173" i="36"/>
  <c r="N173" i="36"/>
  <c r="O173" i="36"/>
  <c r="R173" i="36"/>
  <c r="S173" i="36"/>
  <c r="T173" i="36"/>
  <c r="U173" i="36"/>
  <c r="V173" i="36"/>
  <c r="W173" i="36"/>
  <c r="X173" i="36"/>
  <c r="Y173" i="36"/>
  <c r="Z173" i="36"/>
  <c r="AA173" i="36"/>
  <c r="AB173" i="36"/>
  <c r="AC173" i="36"/>
  <c r="AD173" i="36"/>
  <c r="AE173" i="36"/>
  <c r="AF173" i="36"/>
  <c r="AG173" i="36"/>
  <c r="AH173" i="36"/>
  <c r="AI173" i="36"/>
  <c r="AJ173" i="36"/>
  <c r="D174" i="36"/>
  <c r="D175" i="36" s="1"/>
  <c r="D176" i="36" s="1"/>
  <c r="D177" i="36" s="1"/>
  <c r="D178" i="36" s="1"/>
  <c r="D179" i="36" s="1"/>
  <c r="D180" i="36" s="1"/>
  <c r="D181" i="36" s="1"/>
  <c r="D182" i="36" s="1"/>
  <c r="D183" i="36" s="1"/>
  <c r="D184" i="36" s="1"/>
  <c r="E174" i="36"/>
  <c r="E175" i="36" s="1"/>
  <c r="E176" i="36" s="1"/>
  <c r="E177" i="36" s="1"/>
  <c r="E178" i="36" s="1"/>
  <c r="E179" i="36" s="1"/>
  <c r="E180" i="36" s="1"/>
  <c r="E181" i="36" s="1"/>
  <c r="E182" i="36" s="1"/>
  <c r="E183" i="36" s="1"/>
  <c r="E184" i="36" s="1"/>
  <c r="F174" i="36"/>
  <c r="F175" i="36" s="1"/>
  <c r="F176" i="36" s="1"/>
  <c r="F177" i="36" s="1"/>
  <c r="F178" i="36" s="1"/>
  <c r="F179" i="36" s="1"/>
  <c r="F180" i="36" s="1"/>
  <c r="F181" i="36" s="1"/>
  <c r="F182" i="36" s="1"/>
  <c r="F183" i="36" s="1"/>
  <c r="F184" i="36" s="1"/>
  <c r="G174" i="36"/>
  <c r="G175" i="36" s="1"/>
  <c r="G176" i="36" s="1"/>
  <c r="G177" i="36" s="1"/>
  <c r="G178" i="36" s="1"/>
  <c r="G179" i="36" s="1"/>
  <c r="G180" i="36" s="1"/>
  <c r="G181" i="36" s="1"/>
  <c r="G182" i="36" s="1"/>
  <c r="G183" i="36" s="1"/>
  <c r="G184" i="36" s="1"/>
  <c r="H174" i="36"/>
  <c r="I174" i="36"/>
  <c r="J174" i="36"/>
  <c r="K174" i="36"/>
  <c r="L174" i="36"/>
  <c r="M174" i="36"/>
  <c r="N174" i="36"/>
  <c r="O174" i="36"/>
  <c r="R174" i="36"/>
  <c r="S174" i="36"/>
  <c r="T174" i="36"/>
  <c r="U174" i="36"/>
  <c r="V174" i="36"/>
  <c r="W174" i="36"/>
  <c r="X174" i="36"/>
  <c r="Y174" i="36"/>
  <c r="Z174" i="36"/>
  <c r="AA174" i="36"/>
  <c r="AB174" i="36"/>
  <c r="AC174" i="36"/>
  <c r="AD174" i="36"/>
  <c r="AE174" i="36"/>
  <c r="AF174" i="36"/>
  <c r="AG174" i="36"/>
  <c r="AH174" i="36"/>
  <c r="AI174" i="36"/>
  <c r="AJ174" i="36"/>
  <c r="H175" i="36"/>
  <c r="I175" i="36"/>
  <c r="J175" i="36"/>
  <c r="K175" i="36"/>
  <c r="L175" i="36"/>
  <c r="M175" i="36"/>
  <c r="N175" i="36"/>
  <c r="O175" i="36"/>
  <c r="R175" i="36"/>
  <c r="S175" i="36"/>
  <c r="T175" i="36"/>
  <c r="U175" i="36"/>
  <c r="V175" i="36"/>
  <c r="W175" i="36"/>
  <c r="X175" i="36"/>
  <c r="Y175" i="36"/>
  <c r="Z175" i="36"/>
  <c r="AA175" i="36"/>
  <c r="AB175" i="36"/>
  <c r="AC175" i="36"/>
  <c r="AD175" i="36"/>
  <c r="AE175" i="36"/>
  <c r="AF175" i="36"/>
  <c r="AG175" i="36"/>
  <c r="AH175" i="36"/>
  <c r="AI175" i="36"/>
  <c r="AJ175" i="36"/>
  <c r="H176" i="36"/>
  <c r="I176" i="36"/>
  <c r="J176" i="36"/>
  <c r="K176" i="36"/>
  <c r="L176" i="36"/>
  <c r="M176" i="36"/>
  <c r="N176" i="36"/>
  <c r="O176" i="36"/>
  <c r="R176" i="36"/>
  <c r="S176" i="36"/>
  <c r="T176" i="36"/>
  <c r="U176" i="36"/>
  <c r="V176" i="36"/>
  <c r="W176" i="36"/>
  <c r="X176" i="36"/>
  <c r="Y176" i="36"/>
  <c r="Z176" i="36"/>
  <c r="AA176" i="36"/>
  <c r="AB176" i="36"/>
  <c r="AC176" i="36"/>
  <c r="AD176" i="36"/>
  <c r="AE176" i="36"/>
  <c r="AF176" i="36"/>
  <c r="AG176" i="36"/>
  <c r="AH176" i="36"/>
  <c r="AI176" i="36"/>
  <c r="AJ176" i="36"/>
  <c r="H177" i="36"/>
  <c r="I177" i="36"/>
  <c r="J177" i="36"/>
  <c r="K177" i="36"/>
  <c r="L177" i="36"/>
  <c r="M177" i="36"/>
  <c r="N177" i="36"/>
  <c r="O177" i="36"/>
  <c r="R177" i="36"/>
  <c r="S177" i="36"/>
  <c r="T177" i="36"/>
  <c r="U177" i="36"/>
  <c r="V177" i="36"/>
  <c r="W177" i="36"/>
  <c r="X177" i="36"/>
  <c r="Y177" i="36"/>
  <c r="Z177" i="36"/>
  <c r="AA177" i="36"/>
  <c r="AB177" i="36"/>
  <c r="AC177" i="36"/>
  <c r="AD177" i="36"/>
  <c r="AE177" i="36"/>
  <c r="AF177" i="36"/>
  <c r="AG177" i="36"/>
  <c r="AH177" i="36"/>
  <c r="AI177" i="36"/>
  <c r="AJ177" i="36"/>
  <c r="H178" i="36"/>
  <c r="I178" i="36"/>
  <c r="J178" i="36"/>
  <c r="K178" i="36"/>
  <c r="L178" i="36"/>
  <c r="M178" i="36"/>
  <c r="N178" i="36"/>
  <c r="O178" i="36"/>
  <c r="R178" i="36"/>
  <c r="S178" i="36"/>
  <c r="T178" i="36"/>
  <c r="U178" i="36"/>
  <c r="V178" i="36"/>
  <c r="W178" i="36"/>
  <c r="X178" i="36"/>
  <c r="Y178" i="36"/>
  <c r="Z178" i="36"/>
  <c r="AA178" i="36"/>
  <c r="AB178" i="36"/>
  <c r="AC178" i="36"/>
  <c r="AD178" i="36"/>
  <c r="AE178" i="36"/>
  <c r="AF178" i="36"/>
  <c r="AG178" i="36"/>
  <c r="AH178" i="36"/>
  <c r="AI178" i="36"/>
  <c r="AJ178" i="36"/>
  <c r="H179" i="36"/>
  <c r="I179" i="36"/>
  <c r="J179" i="36"/>
  <c r="K179" i="36"/>
  <c r="L179" i="36"/>
  <c r="M179" i="36"/>
  <c r="N179" i="36"/>
  <c r="O179" i="36"/>
  <c r="R179" i="36"/>
  <c r="S179" i="36"/>
  <c r="T179" i="36"/>
  <c r="U179" i="36"/>
  <c r="V179" i="36"/>
  <c r="W179" i="36"/>
  <c r="X179" i="36"/>
  <c r="Y179" i="36"/>
  <c r="Z179" i="36"/>
  <c r="AA179" i="36"/>
  <c r="AB179" i="36"/>
  <c r="AC179" i="36"/>
  <c r="AD179" i="36"/>
  <c r="AE179" i="36"/>
  <c r="AF179" i="36"/>
  <c r="AG179" i="36"/>
  <c r="AH179" i="36"/>
  <c r="AI179" i="36"/>
  <c r="AJ179" i="36"/>
  <c r="H180" i="36"/>
  <c r="I180" i="36"/>
  <c r="J180" i="36"/>
  <c r="K180" i="36"/>
  <c r="L180" i="36"/>
  <c r="M180" i="36"/>
  <c r="N180" i="36"/>
  <c r="O180" i="36"/>
  <c r="R180" i="36"/>
  <c r="S180" i="36"/>
  <c r="T180" i="36"/>
  <c r="U180" i="36"/>
  <c r="V180" i="36"/>
  <c r="W180" i="36"/>
  <c r="X180" i="36"/>
  <c r="Y180" i="36"/>
  <c r="Z180" i="36"/>
  <c r="AA180" i="36"/>
  <c r="AB180" i="36"/>
  <c r="AC180" i="36"/>
  <c r="AD180" i="36"/>
  <c r="AE180" i="36"/>
  <c r="AF180" i="36"/>
  <c r="AG180" i="36"/>
  <c r="AH180" i="36"/>
  <c r="AI180" i="36"/>
  <c r="AJ180" i="36"/>
  <c r="H181" i="36"/>
  <c r="I181" i="36"/>
  <c r="J181" i="36"/>
  <c r="K181" i="36"/>
  <c r="L181" i="36"/>
  <c r="M181" i="36"/>
  <c r="N181" i="36"/>
  <c r="O181" i="36"/>
  <c r="R181" i="36"/>
  <c r="S181" i="36"/>
  <c r="T181" i="36"/>
  <c r="U181" i="36"/>
  <c r="V181" i="36"/>
  <c r="W181" i="36"/>
  <c r="X181" i="36"/>
  <c r="Y181" i="36"/>
  <c r="Z181" i="36"/>
  <c r="AA181" i="36"/>
  <c r="AB181" i="36"/>
  <c r="AC181" i="36"/>
  <c r="AD181" i="36"/>
  <c r="AE181" i="36"/>
  <c r="AF181" i="36"/>
  <c r="AG181" i="36"/>
  <c r="AH181" i="36"/>
  <c r="AI181" i="36"/>
  <c r="AJ181" i="36"/>
  <c r="H182" i="36"/>
  <c r="I182" i="36"/>
  <c r="J182" i="36"/>
  <c r="K182" i="36"/>
  <c r="L182" i="36"/>
  <c r="M182" i="36"/>
  <c r="N182" i="36"/>
  <c r="O182" i="36"/>
  <c r="R182" i="36"/>
  <c r="S182" i="36"/>
  <c r="T182" i="36"/>
  <c r="U182" i="36"/>
  <c r="V182" i="36"/>
  <c r="W182" i="36"/>
  <c r="X182" i="36"/>
  <c r="Y182" i="36"/>
  <c r="Z182" i="36"/>
  <c r="AA182" i="36"/>
  <c r="AB182" i="36"/>
  <c r="AC182" i="36"/>
  <c r="AD182" i="36"/>
  <c r="AE182" i="36"/>
  <c r="AF182" i="36"/>
  <c r="AG182" i="36"/>
  <c r="AH182" i="36"/>
  <c r="AI182" i="36"/>
  <c r="AJ182" i="36"/>
  <c r="H183" i="36"/>
  <c r="I183" i="36"/>
  <c r="J183" i="36"/>
  <c r="K183" i="36"/>
  <c r="L183" i="36"/>
  <c r="M183" i="36"/>
  <c r="N183" i="36"/>
  <c r="O183" i="36"/>
  <c r="R183" i="36"/>
  <c r="S183" i="36"/>
  <c r="T183" i="36"/>
  <c r="U183" i="36"/>
  <c r="V183" i="36"/>
  <c r="W183" i="36"/>
  <c r="X183" i="36"/>
  <c r="Y183" i="36"/>
  <c r="Z183" i="36"/>
  <c r="AA183" i="36"/>
  <c r="AB183" i="36"/>
  <c r="AC183" i="36"/>
  <c r="AD183" i="36"/>
  <c r="AE183" i="36"/>
  <c r="AF183" i="36"/>
  <c r="AG183" i="36"/>
  <c r="AH183" i="36"/>
  <c r="AI183" i="36"/>
  <c r="AJ183" i="36"/>
  <c r="H184" i="36"/>
  <c r="I184" i="36"/>
  <c r="J184" i="36"/>
  <c r="K184" i="36"/>
  <c r="L184" i="36"/>
  <c r="M184" i="36"/>
  <c r="N184" i="36"/>
  <c r="O184" i="36"/>
  <c r="R184" i="36"/>
  <c r="S184" i="36"/>
  <c r="T184" i="36"/>
  <c r="U184" i="36"/>
  <c r="V184" i="36"/>
  <c r="W184" i="36"/>
  <c r="X184" i="36"/>
  <c r="Y184" i="36"/>
  <c r="Z184" i="36"/>
  <c r="AA184" i="36"/>
  <c r="AB184" i="36"/>
  <c r="AC184" i="36"/>
  <c r="AD184" i="36"/>
  <c r="AE184" i="36"/>
  <c r="AF184" i="36"/>
  <c r="AG184" i="36"/>
  <c r="AH184" i="36"/>
  <c r="AI184" i="36"/>
  <c r="AJ184" i="36"/>
  <c r="D185" i="36"/>
  <c r="D186" i="36" s="1"/>
  <c r="E185" i="36"/>
  <c r="E186" i="36" s="1"/>
  <c r="F185" i="36"/>
  <c r="F186" i="36" s="1"/>
  <c r="G185" i="36"/>
  <c r="G186" i="36" s="1"/>
  <c r="H185" i="36"/>
  <c r="I185" i="36"/>
  <c r="J185" i="36"/>
  <c r="K185" i="36"/>
  <c r="L185" i="36"/>
  <c r="M185" i="36"/>
  <c r="N185" i="36"/>
  <c r="O185" i="36"/>
  <c r="R185" i="36"/>
  <c r="S185" i="36"/>
  <c r="T185" i="36"/>
  <c r="U185" i="36"/>
  <c r="V185" i="36"/>
  <c r="W185" i="36"/>
  <c r="X185" i="36"/>
  <c r="Y185" i="36"/>
  <c r="Z185" i="36"/>
  <c r="AA185" i="36"/>
  <c r="AB185" i="36"/>
  <c r="AC185" i="36"/>
  <c r="AD185" i="36"/>
  <c r="AE185" i="36"/>
  <c r="AF185" i="36"/>
  <c r="AG185" i="36"/>
  <c r="AH185" i="36"/>
  <c r="AI185" i="36"/>
  <c r="AJ185" i="36"/>
  <c r="H186" i="36"/>
  <c r="I186" i="36"/>
  <c r="J186" i="36"/>
  <c r="K186" i="36"/>
  <c r="L186" i="36"/>
  <c r="M186" i="36"/>
  <c r="N186" i="36"/>
  <c r="O186" i="36"/>
  <c r="R186" i="36"/>
  <c r="S186" i="36"/>
  <c r="T186" i="36"/>
  <c r="U186" i="36"/>
  <c r="V186" i="36"/>
  <c r="W186" i="36"/>
  <c r="X186" i="36"/>
  <c r="Y186" i="36"/>
  <c r="Z186" i="36"/>
  <c r="AA186" i="36"/>
  <c r="AB186" i="36"/>
  <c r="AC186" i="36"/>
  <c r="AD186" i="36"/>
  <c r="AE186" i="36"/>
  <c r="AF186" i="36"/>
  <c r="AG186" i="36"/>
  <c r="AH186" i="36"/>
  <c r="AI186" i="36"/>
  <c r="AJ186" i="36"/>
  <c r="D187" i="36"/>
  <c r="D188" i="36" s="1"/>
  <c r="D189" i="36" s="1"/>
  <c r="D190" i="36" s="1"/>
  <c r="D191" i="36" s="1"/>
  <c r="D192" i="36" s="1"/>
  <c r="D193" i="36" s="1"/>
  <c r="D194" i="36" s="1"/>
  <c r="D195" i="36" s="1"/>
  <c r="D196" i="36" s="1"/>
  <c r="D197" i="36" s="1"/>
  <c r="E187" i="36"/>
  <c r="E188" i="36" s="1"/>
  <c r="E189" i="36" s="1"/>
  <c r="E190" i="36" s="1"/>
  <c r="E191" i="36" s="1"/>
  <c r="E192" i="36" s="1"/>
  <c r="E193" i="36" s="1"/>
  <c r="E194" i="36" s="1"/>
  <c r="E195" i="36" s="1"/>
  <c r="E196" i="36" s="1"/>
  <c r="E197" i="36" s="1"/>
  <c r="F187" i="36"/>
  <c r="F188" i="36" s="1"/>
  <c r="F189" i="36" s="1"/>
  <c r="F190" i="36" s="1"/>
  <c r="F191" i="36" s="1"/>
  <c r="F192" i="36" s="1"/>
  <c r="F193" i="36" s="1"/>
  <c r="F194" i="36" s="1"/>
  <c r="F195" i="36" s="1"/>
  <c r="F196" i="36" s="1"/>
  <c r="F197" i="36" s="1"/>
  <c r="G187" i="36"/>
  <c r="G188" i="36" s="1"/>
  <c r="G189" i="36" s="1"/>
  <c r="G190" i="36" s="1"/>
  <c r="G191" i="36" s="1"/>
  <c r="G192" i="36" s="1"/>
  <c r="G193" i="36" s="1"/>
  <c r="G194" i="36" s="1"/>
  <c r="G195" i="36" s="1"/>
  <c r="G196" i="36" s="1"/>
  <c r="G197" i="36" s="1"/>
  <c r="H187" i="36"/>
  <c r="I187" i="36"/>
  <c r="J187" i="36"/>
  <c r="K187" i="36"/>
  <c r="L187" i="36"/>
  <c r="M187" i="36"/>
  <c r="N187" i="36"/>
  <c r="O187" i="36"/>
  <c r="R187" i="36"/>
  <c r="S187" i="36"/>
  <c r="T187" i="36"/>
  <c r="U187" i="36"/>
  <c r="V187" i="36"/>
  <c r="W187" i="36"/>
  <c r="X187" i="36"/>
  <c r="Y187" i="36"/>
  <c r="Z187" i="36"/>
  <c r="AA187" i="36"/>
  <c r="AB187" i="36"/>
  <c r="AC187" i="36"/>
  <c r="AD187" i="36"/>
  <c r="AE187" i="36"/>
  <c r="AF187" i="36"/>
  <c r="AG187" i="36"/>
  <c r="AH187" i="36"/>
  <c r="AI187" i="36"/>
  <c r="AJ187" i="36"/>
  <c r="H188" i="36"/>
  <c r="I188" i="36"/>
  <c r="J188" i="36"/>
  <c r="K188" i="36"/>
  <c r="L188" i="36"/>
  <c r="M188" i="36"/>
  <c r="N188" i="36"/>
  <c r="O188" i="36"/>
  <c r="R188" i="36"/>
  <c r="S188" i="36"/>
  <c r="T188" i="36"/>
  <c r="U188" i="36"/>
  <c r="V188" i="36"/>
  <c r="W188" i="36"/>
  <c r="X188" i="36"/>
  <c r="Y188" i="36"/>
  <c r="Z188" i="36"/>
  <c r="AA188" i="36"/>
  <c r="AB188" i="36"/>
  <c r="AC188" i="36"/>
  <c r="AD188" i="36"/>
  <c r="AE188" i="36"/>
  <c r="AF188" i="36"/>
  <c r="AG188" i="36"/>
  <c r="AH188" i="36"/>
  <c r="AI188" i="36"/>
  <c r="AJ188" i="36"/>
  <c r="H189" i="36"/>
  <c r="I189" i="36"/>
  <c r="J189" i="36"/>
  <c r="K189" i="36"/>
  <c r="L189" i="36"/>
  <c r="M189" i="36"/>
  <c r="N189" i="36"/>
  <c r="O189" i="36"/>
  <c r="R189" i="36"/>
  <c r="S189" i="36"/>
  <c r="T189" i="36"/>
  <c r="U189" i="36"/>
  <c r="V189" i="36"/>
  <c r="W189" i="36"/>
  <c r="X189" i="36"/>
  <c r="Y189" i="36"/>
  <c r="Z189" i="36"/>
  <c r="AA189" i="36"/>
  <c r="AB189" i="36"/>
  <c r="AC189" i="36"/>
  <c r="AD189" i="36"/>
  <c r="AE189" i="36"/>
  <c r="AF189" i="36"/>
  <c r="AG189" i="36"/>
  <c r="AH189" i="36"/>
  <c r="AI189" i="36"/>
  <c r="AJ189" i="36"/>
  <c r="H190" i="36"/>
  <c r="I190" i="36"/>
  <c r="J190" i="36"/>
  <c r="K190" i="36"/>
  <c r="L190" i="36"/>
  <c r="M190" i="36"/>
  <c r="N190" i="36"/>
  <c r="O190" i="36"/>
  <c r="R190" i="36"/>
  <c r="S190" i="36"/>
  <c r="T190" i="36"/>
  <c r="U190" i="36"/>
  <c r="V190" i="36"/>
  <c r="W190" i="36"/>
  <c r="X190" i="36"/>
  <c r="Y190" i="36"/>
  <c r="Z190" i="36"/>
  <c r="AA190" i="36"/>
  <c r="AB190" i="36"/>
  <c r="AC190" i="36"/>
  <c r="AD190" i="36"/>
  <c r="AE190" i="36"/>
  <c r="AF190" i="36"/>
  <c r="AG190" i="36"/>
  <c r="AH190" i="36"/>
  <c r="AI190" i="36"/>
  <c r="AJ190" i="36"/>
  <c r="H191" i="36"/>
  <c r="I191" i="36"/>
  <c r="J191" i="36"/>
  <c r="K191" i="36"/>
  <c r="L191" i="36"/>
  <c r="M191" i="36"/>
  <c r="N191" i="36"/>
  <c r="O191" i="36"/>
  <c r="R191" i="36"/>
  <c r="S191" i="36"/>
  <c r="T191" i="36"/>
  <c r="U191" i="36"/>
  <c r="V191" i="36"/>
  <c r="W191" i="36"/>
  <c r="X191" i="36"/>
  <c r="Y191" i="36"/>
  <c r="Z191" i="36"/>
  <c r="AA191" i="36"/>
  <c r="AB191" i="36"/>
  <c r="AC191" i="36"/>
  <c r="AD191" i="36"/>
  <c r="AE191" i="36"/>
  <c r="AF191" i="36"/>
  <c r="AG191" i="36"/>
  <c r="AH191" i="36"/>
  <c r="AI191" i="36"/>
  <c r="AJ191" i="36"/>
  <c r="H192" i="36"/>
  <c r="I192" i="36"/>
  <c r="J192" i="36"/>
  <c r="K192" i="36"/>
  <c r="L192" i="36"/>
  <c r="M192" i="36"/>
  <c r="N192" i="36"/>
  <c r="O192" i="36"/>
  <c r="R192" i="36"/>
  <c r="S192" i="36"/>
  <c r="T192" i="36"/>
  <c r="U192" i="36"/>
  <c r="V192" i="36"/>
  <c r="W192" i="36"/>
  <c r="X192" i="36"/>
  <c r="Y192" i="36"/>
  <c r="Z192" i="36"/>
  <c r="AA192" i="36"/>
  <c r="AB192" i="36"/>
  <c r="AC192" i="36"/>
  <c r="AD192" i="36"/>
  <c r="AE192" i="36"/>
  <c r="AF192" i="36"/>
  <c r="AG192" i="36"/>
  <c r="AH192" i="36"/>
  <c r="AI192" i="36"/>
  <c r="AJ192" i="36"/>
  <c r="H193" i="36"/>
  <c r="I193" i="36"/>
  <c r="J193" i="36"/>
  <c r="K193" i="36"/>
  <c r="L193" i="36"/>
  <c r="M193" i="36"/>
  <c r="N193" i="36"/>
  <c r="O193" i="36"/>
  <c r="R193" i="36"/>
  <c r="S193" i="36"/>
  <c r="T193" i="36"/>
  <c r="U193" i="36"/>
  <c r="V193" i="36"/>
  <c r="W193" i="36"/>
  <c r="X193" i="36"/>
  <c r="Y193" i="36"/>
  <c r="Z193" i="36"/>
  <c r="AA193" i="36"/>
  <c r="AB193" i="36"/>
  <c r="AC193" i="36"/>
  <c r="AD193" i="36"/>
  <c r="AE193" i="36"/>
  <c r="AF193" i="36"/>
  <c r="AG193" i="36"/>
  <c r="AH193" i="36"/>
  <c r="AI193" i="36"/>
  <c r="AJ193" i="36"/>
  <c r="H194" i="36"/>
  <c r="I194" i="36"/>
  <c r="J194" i="36"/>
  <c r="K194" i="36"/>
  <c r="L194" i="36"/>
  <c r="M194" i="36"/>
  <c r="N194" i="36"/>
  <c r="O194" i="36"/>
  <c r="R194" i="36"/>
  <c r="S194" i="36"/>
  <c r="T194" i="36"/>
  <c r="U194" i="36"/>
  <c r="V194" i="36"/>
  <c r="W194" i="36"/>
  <c r="X194" i="36"/>
  <c r="Y194" i="36"/>
  <c r="Z194" i="36"/>
  <c r="AA194" i="36"/>
  <c r="AB194" i="36"/>
  <c r="AC194" i="36"/>
  <c r="AD194" i="36"/>
  <c r="AE194" i="36"/>
  <c r="AF194" i="36"/>
  <c r="AG194" i="36"/>
  <c r="AH194" i="36"/>
  <c r="AI194" i="36"/>
  <c r="AJ194" i="36"/>
  <c r="H195" i="36"/>
  <c r="I195" i="36"/>
  <c r="J195" i="36"/>
  <c r="K195" i="36"/>
  <c r="L195" i="36"/>
  <c r="M195" i="36"/>
  <c r="N195" i="36"/>
  <c r="O195" i="36"/>
  <c r="R195" i="36"/>
  <c r="S195" i="36"/>
  <c r="T195" i="36"/>
  <c r="U195" i="36"/>
  <c r="V195" i="36"/>
  <c r="W195" i="36"/>
  <c r="X195" i="36"/>
  <c r="Y195" i="36"/>
  <c r="Z195" i="36"/>
  <c r="AA195" i="36"/>
  <c r="AB195" i="36"/>
  <c r="AC195" i="36"/>
  <c r="AD195" i="36"/>
  <c r="AE195" i="36"/>
  <c r="AF195" i="36"/>
  <c r="AG195" i="36"/>
  <c r="AH195" i="36"/>
  <c r="AI195" i="36"/>
  <c r="AJ195" i="36"/>
  <c r="H196" i="36"/>
  <c r="I196" i="36"/>
  <c r="J196" i="36"/>
  <c r="K196" i="36"/>
  <c r="L196" i="36"/>
  <c r="M196" i="36"/>
  <c r="N196" i="36"/>
  <c r="O196" i="36"/>
  <c r="R196" i="36"/>
  <c r="S196" i="36"/>
  <c r="T196" i="36"/>
  <c r="U196" i="36"/>
  <c r="V196" i="36"/>
  <c r="W196" i="36"/>
  <c r="X196" i="36"/>
  <c r="Y196" i="36"/>
  <c r="Z196" i="36"/>
  <c r="AA196" i="36"/>
  <c r="AB196" i="36"/>
  <c r="AC196" i="36"/>
  <c r="AD196" i="36"/>
  <c r="AE196" i="36"/>
  <c r="AF196" i="36"/>
  <c r="AG196" i="36"/>
  <c r="AH196" i="36"/>
  <c r="AI196" i="36"/>
  <c r="AJ196" i="36"/>
  <c r="H197" i="36"/>
  <c r="I197" i="36"/>
  <c r="J197" i="36"/>
  <c r="K197" i="36"/>
  <c r="L197" i="36"/>
  <c r="M197" i="36"/>
  <c r="N197" i="36"/>
  <c r="O197" i="36"/>
  <c r="R197" i="36"/>
  <c r="S197" i="36"/>
  <c r="T197" i="36"/>
  <c r="U197" i="36"/>
  <c r="V197" i="36"/>
  <c r="W197" i="36"/>
  <c r="X197" i="36"/>
  <c r="Y197" i="36"/>
  <c r="Z197" i="36"/>
  <c r="AA197" i="36"/>
  <c r="AB197" i="36"/>
  <c r="AC197" i="36"/>
  <c r="AD197" i="36"/>
  <c r="AE197" i="36"/>
  <c r="AF197" i="36"/>
  <c r="AG197" i="36"/>
  <c r="AH197" i="36"/>
  <c r="AI197" i="36"/>
  <c r="AJ197" i="36"/>
  <c r="D198" i="36"/>
  <c r="D199" i="36" s="1"/>
  <c r="D200" i="36" s="1"/>
  <c r="E198" i="36"/>
  <c r="E199" i="36" s="1"/>
  <c r="E200" i="36" s="1"/>
  <c r="F198" i="36"/>
  <c r="F199" i="36" s="1"/>
  <c r="F200" i="36" s="1"/>
  <c r="G198" i="36"/>
  <c r="G199" i="36" s="1"/>
  <c r="G200" i="36" s="1"/>
  <c r="H198" i="36"/>
  <c r="I198" i="36"/>
  <c r="J198" i="36"/>
  <c r="K198" i="36"/>
  <c r="L198" i="36"/>
  <c r="M198" i="36"/>
  <c r="N198" i="36"/>
  <c r="O198" i="36"/>
  <c r="R198" i="36"/>
  <c r="S198" i="36"/>
  <c r="T198" i="36"/>
  <c r="U198" i="36"/>
  <c r="V198" i="36"/>
  <c r="W198" i="36"/>
  <c r="X198" i="36"/>
  <c r="Y198" i="36"/>
  <c r="Z198" i="36"/>
  <c r="AA198" i="36"/>
  <c r="AB198" i="36"/>
  <c r="AC198" i="36"/>
  <c r="AD198" i="36"/>
  <c r="AE198" i="36"/>
  <c r="AF198" i="36"/>
  <c r="AG198" i="36"/>
  <c r="AH198" i="36"/>
  <c r="AI198" i="36"/>
  <c r="AJ198" i="36"/>
  <c r="H199" i="36"/>
  <c r="I199" i="36"/>
  <c r="J199" i="36"/>
  <c r="K199" i="36"/>
  <c r="L199" i="36"/>
  <c r="M199" i="36"/>
  <c r="N199" i="36"/>
  <c r="O199" i="36"/>
  <c r="R199" i="36"/>
  <c r="S199" i="36"/>
  <c r="T199" i="36"/>
  <c r="U199" i="36"/>
  <c r="V199" i="36"/>
  <c r="W199" i="36"/>
  <c r="X199" i="36"/>
  <c r="Y199" i="36"/>
  <c r="Z199" i="36"/>
  <c r="AA199" i="36"/>
  <c r="AB199" i="36"/>
  <c r="AC199" i="36"/>
  <c r="AD199" i="36"/>
  <c r="AE199" i="36"/>
  <c r="AF199" i="36"/>
  <c r="AG199" i="36"/>
  <c r="AH199" i="36"/>
  <c r="AI199" i="36"/>
  <c r="AJ199" i="36"/>
  <c r="H200" i="36"/>
  <c r="I200" i="36"/>
  <c r="J200" i="36"/>
  <c r="K200" i="36"/>
  <c r="L200" i="36"/>
  <c r="M200" i="36"/>
  <c r="N200" i="36"/>
  <c r="O200" i="36"/>
  <c r="R200" i="36"/>
  <c r="S200" i="36"/>
  <c r="T200" i="36"/>
  <c r="U200" i="36"/>
  <c r="V200" i="36"/>
  <c r="W200" i="36"/>
  <c r="X200" i="36"/>
  <c r="Y200" i="36"/>
  <c r="Z200" i="36"/>
  <c r="AA200" i="36"/>
  <c r="AB200" i="36"/>
  <c r="AC200" i="36"/>
  <c r="AD200" i="36"/>
  <c r="AE200" i="36"/>
  <c r="AF200" i="36"/>
  <c r="AG200" i="36"/>
  <c r="AH200" i="36"/>
  <c r="AI200" i="36"/>
  <c r="AJ200" i="36"/>
  <c r="D201" i="36"/>
  <c r="E201" i="36"/>
  <c r="F201" i="36"/>
  <c r="G201" i="36"/>
  <c r="H201" i="36"/>
  <c r="I201" i="36"/>
  <c r="J201" i="36"/>
  <c r="K201" i="36"/>
  <c r="L201" i="36"/>
  <c r="M201" i="36"/>
  <c r="N201" i="36"/>
  <c r="O201" i="36"/>
  <c r="R201" i="36"/>
  <c r="S201" i="36"/>
  <c r="T201" i="36"/>
  <c r="U201" i="36"/>
  <c r="V201" i="36"/>
  <c r="W201" i="36"/>
  <c r="X201" i="36"/>
  <c r="Y201" i="36"/>
  <c r="Z201" i="36"/>
  <c r="AA201" i="36"/>
  <c r="AB201" i="36"/>
  <c r="AC201" i="36"/>
  <c r="AD201" i="36"/>
  <c r="AE201" i="36"/>
  <c r="AF201" i="36"/>
  <c r="AG201" i="36"/>
  <c r="AH201" i="36"/>
  <c r="AI201" i="36"/>
  <c r="AJ201" i="36"/>
  <c r="D202" i="36"/>
  <c r="E202" i="36"/>
  <c r="F202" i="36"/>
  <c r="G202" i="36"/>
  <c r="H202" i="36"/>
  <c r="I202" i="36"/>
  <c r="J202" i="36"/>
  <c r="K202" i="36"/>
  <c r="L202" i="36"/>
  <c r="M202" i="36"/>
  <c r="N202" i="36"/>
  <c r="O202" i="36"/>
  <c r="R202" i="36"/>
  <c r="S202" i="36"/>
  <c r="T202" i="36"/>
  <c r="U202" i="36"/>
  <c r="V202" i="36"/>
  <c r="W202" i="36"/>
  <c r="X202" i="36"/>
  <c r="Y202" i="36"/>
  <c r="Z202" i="36"/>
  <c r="AA202" i="36"/>
  <c r="AB202" i="36"/>
  <c r="AC202" i="36"/>
  <c r="AD202" i="36"/>
  <c r="AE202" i="36"/>
  <c r="AF202" i="36"/>
  <c r="AG202" i="36"/>
  <c r="AH202" i="36"/>
  <c r="AI202" i="36"/>
  <c r="AJ202" i="36"/>
  <c r="D203" i="36"/>
  <c r="E203" i="36"/>
  <c r="F203" i="36"/>
  <c r="G203" i="36"/>
  <c r="H203" i="36"/>
  <c r="I203" i="36"/>
  <c r="J203" i="36"/>
  <c r="K203" i="36"/>
  <c r="L203" i="36"/>
  <c r="M203" i="36"/>
  <c r="N203" i="36"/>
  <c r="O203" i="36"/>
  <c r="R203" i="36"/>
  <c r="S203" i="36"/>
  <c r="T203" i="36"/>
  <c r="U203" i="36"/>
  <c r="V203" i="36"/>
  <c r="W203" i="36"/>
  <c r="X203" i="36"/>
  <c r="Y203" i="36"/>
  <c r="Z203" i="36"/>
  <c r="AA203" i="36"/>
  <c r="AB203" i="36"/>
  <c r="AC203" i="36"/>
  <c r="AD203" i="36"/>
  <c r="AE203" i="36"/>
  <c r="AF203" i="36"/>
  <c r="AG203" i="36"/>
  <c r="AH203" i="36"/>
  <c r="AI203" i="36"/>
  <c r="AJ203" i="36"/>
  <c r="D204" i="36"/>
  <c r="D205" i="36" s="1"/>
  <c r="D206" i="36" s="1"/>
  <c r="E204" i="36"/>
  <c r="E205" i="36" s="1"/>
  <c r="E206" i="36" s="1"/>
  <c r="F204" i="36"/>
  <c r="F205" i="36" s="1"/>
  <c r="F206" i="36" s="1"/>
  <c r="G204" i="36"/>
  <c r="G205" i="36" s="1"/>
  <c r="G206" i="36" s="1"/>
  <c r="H204" i="36"/>
  <c r="I204" i="36"/>
  <c r="J204" i="36"/>
  <c r="K204" i="36"/>
  <c r="L204" i="36"/>
  <c r="M204" i="36"/>
  <c r="N204" i="36"/>
  <c r="O204" i="36"/>
  <c r="R204" i="36"/>
  <c r="S204" i="36"/>
  <c r="T204" i="36"/>
  <c r="U204" i="36"/>
  <c r="V204" i="36"/>
  <c r="W204" i="36"/>
  <c r="X204" i="36"/>
  <c r="Y204" i="36"/>
  <c r="Z204" i="36"/>
  <c r="AA204" i="36"/>
  <c r="AB204" i="36"/>
  <c r="AC204" i="36"/>
  <c r="AD204" i="36"/>
  <c r="AE204" i="36"/>
  <c r="AF204" i="36"/>
  <c r="AG204" i="36"/>
  <c r="AH204" i="36"/>
  <c r="AI204" i="36"/>
  <c r="AJ204" i="36"/>
  <c r="H205" i="36"/>
  <c r="I205" i="36"/>
  <c r="J205" i="36"/>
  <c r="K205" i="36"/>
  <c r="L205" i="36"/>
  <c r="M205" i="36"/>
  <c r="N205" i="36"/>
  <c r="O205" i="36"/>
  <c r="R205" i="36"/>
  <c r="S205" i="36"/>
  <c r="T205" i="36"/>
  <c r="U205" i="36"/>
  <c r="V205" i="36"/>
  <c r="W205" i="36"/>
  <c r="X205" i="36"/>
  <c r="Y205" i="36"/>
  <c r="Z205" i="36"/>
  <c r="AA205" i="36"/>
  <c r="AB205" i="36"/>
  <c r="AC205" i="36"/>
  <c r="AD205" i="36"/>
  <c r="AE205" i="36"/>
  <c r="AF205" i="36"/>
  <c r="AG205" i="36"/>
  <c r="AH205" i="36"/>
  <c r="AI205" i="36"/>
  <c r="AJ205" i="36"/>
  <c r="H206" i="36"/>
  <c r="I206" i="36"/>
  <c r="J206" i="36"/>
  <c r="K206" i="36"/>
  <c r="L206" i="36"/>
  <c r="M206" i="36"/>
  <c r="N206" i="36"/>
  <c r="O206" i="36"/>
  <c r="R206" i="36"/>
  <c r="S206" i="36"/>
  <c r="T206" i="36"/>
  <c r="U206" i="36"/>
  <c r="V206" i="36"/>
  <c r="W206" i="36"/>
  <c r="X206" i="36"/>
  <c r="Y206" i="36"/>
  <c r="Z206" i="36"/>
  <c r="AA206" i="36"/>
  <c r="AB206" i="36"/>
  <c r="AC206" i="36"/>
  <c r="AD206" i="36"/>
  <c r="AE206" i="36"/>
  <c r="AF206" i="36"/>
  <c r="AG206" i="36"/>
  <c r="AH206" i="36"/>
  <c r="AI206" i="36"/>
  <c r="AJ206" i="36"/>
  <c r="D207" i="36"/>
  <c r="E207" i="36"/>
  <c r="F207" i="36"/>
  <c r="G207" i="36"/>
  <c r="H207" i="36"/>
  <c r="I207" i="36"/>
  <c r="J207" i="36"/>
  <c r="K207" i="36"/>
  <c r="L207" i="36"/>
  <c r="M207" i="36"/>
  <c r="N207" i="36"/>
  <c r="N208" i="36" s="1"/>
  <c r="N209" i="36" s="1"/>
  <c r="N210" i="36" s="1"/>
  <c r="N211" i="36" s="1"/>
  <c r="N212" i="36" s="1"/>
  <c r="N213" i="36" s="1"/>
  <c r="N214" i="36" s="1"/>
  <c r="N215" i="36" s="1"/>
  <c r="O207" i="36"/>
  <c r="R207" i="36"/>
  <c r="R208" i="36" s="1"/>
  <c r="S207" i="36"/>
  <c r="T207" i="36"/>
  <c r="U207" i="36"/>
  <c r="V207" i="36"/>
  <c r="W207" i="36"/>
  <c r="X207" i="36"/>
  <c r="Y207" i="36"/>
  <c r="Z207" i="36"/>
  <c r="AA207" i="36"/>
  <c r="AB207" i="36"/>
  <c r="AC207" i="36"/>
  <c r="AD207" i="36"/>
  <c r="AE207" i="36"/>
  <c r="AF207" i="36"/>
  <c r="AG207" i="36"/>
  <c r="AH207" i="36"/>
  <c r="AI207" i="36"/>
  <c r="AJ207" i="36"/>
  <c r="B208" i="36"/>
  <c r="B209" i="36" s="1"/>
  <c r="B210" i="36" s="1"/>
  <c r="B211" i="36" s="1"/>
  <c r="B212" i="36" s="1"/>
  <c r="D208" i="36"/>
  <c r="E208" i="36"/>
  <c r="F208" i="36"/>
  <c r="G208" i="36"/>
  <c r="H208" i="36"/>
  <c r="I208" i="36"/>
  <c r="J208" i="36"/>
  <c r="K208" i="36"/>
  <c r="L208" i="36"/>
  <c r="M208" i="36"/>
  <c r="O208" i="36"/>
  <c r="Q208" i="36"/>
  <c r="S208" i="36"/>
  <c r="T208" i="36"/>
  <c r="U208" i="36"/>
  <c r="W208" i="36"/>
  <c r="AA208" i="36"/>
  <c r="AB208" i="36"/>
  <c r="AC208" i="36"/>
  <c r="AD208" i="36"/>
  <c r="AE208" i="36"/>
  <c r="AF208" i="36"/>
  <c r="AG208" i="36"/>
  <c r="D209" i="36"/>
  <c r="E209" i="36"/>
  <c r="F209" i="36"/>
  <c r="G209" i="36"/>
  <c r="H209" i="36"/>
  <c r="I209" i="36"/>
  <c r="J209" i="36"/>
  <c r="K209" i="36"/>
  <c r="L209" i="36"/>
  <c r="M209" i="36"/>
  <c r="O209" i="36"/>
  <c r="Q209" i="36"/>
  <c r="R209" i="36"/>
  <c r="S209" i="36"/>
  <c r="T209" i="36"/>
  <c r="U209" i="36"/>
  <c r="W209" i="36"/>
  <c r="AA209" i="36"/>
  <c r="AB209" i="36"/>
  <c r="AC209" i="36"/>
  <c r="AD209" i="36"/>
  <c r="AE209" i="36"/>
  <c r="AF209" i="36"/>
  <c r="AG209" i="36"/>
  <c r="D210" i="36"/>
  <c r="E210" i="36"/>
  <c r="F210" i="36"/>
  <c r="G210" i="36"/>
  <c r="H210" i="36"/>
  <c r="I210" i="36"/>
  <c r="J210" i="36"/>
  <c r="K210" i="36"/>
  <c r="L210" i="36"/>
  <c r="M210" i="36"/>
  <c r="O210" i="36"/>
  <c r="Q210" i="36"/>
  <c r="Q211" i="36" s="1"/>
  <c r="Q212" i="36" s="1"/>
  <c r="Q213" i="36" s="1"/>
  <c r="R210" i="36"/>
  <c r="R211" i="36" s="1"/>
  <c r="S210" i="36"/>
  <c r="T210" i="36"/>
  <c r="U210" i="36"/>
  <c r="W210" i="36"/>
  <c r="AA210" i="36"/>
  <c r="AB210" i="36"/>
  <c r="AC210" i="36"/>
  <c r="AD210" i="36"/>
  <c r="AE210" i="36"/>
  <c r="AF210" i="36"/>
  <c r="AG210" i="36"/>
  <c r="D211" i="36"/>
  <c r="E211" i="36"/>
  <c r="F211" i="36"/>
  <c r="F212" i="36" s="1"/>
  <c r="G211" i="36"/>
  <c r="H211" i="36"/>
  <c r="I211" i="36"/>
  <c r="J211" i="36"/>
  <c r="K211" i="36"/>
  <c r="L211" i="36"/>
  <c r="M211" i="36"/>
  <c r="O211" i="36"/>
  <c r="S211" i="36"/>
  <c r="T211" i="36"/>
  <c r="U211" i="36"/>
  <c r="V211" i="36"/>
  <c r="W211" i="36"/>
  <c r="X211" i="36"/>
  <c r="Y211" i="36"/>
  <c r="Z211" i="36"/>
  <c r="AA211" i="36"/>
  <c r="AB211" i="36"/>
  <c r="AC211" i="36"/>
  <c r="AD211" i="36"/>
  <c r="AE211" i="36"/>
  <c r="AF211" i="36"/>
  <c r="AG211" i="36"/>
  <c r="AH211" i="36"/>
  <c r="AI211" i="36"/>
  <c r="AJ211" i="36"/>
  <c r="D212" i="36"/>
  <c r="E212" i="36"/>
  <c r="G212" i="36"/>
  <c r="H212" i="36"/>
  <c r="I212" i="36"/>
  <c r="J212" i="36"/>
  <c r="K212" i="36"/>
  <c r="L212" i="36"/>
  <c r="M212" i="36"/>
  <c r="O212" i="36"/>
  <c r="R212" i="36"/>
  <c r="S212" i="36"/>
  <c r="T212" i="36"/>
  <c r="U212" i="36"/>
  <c r="V212" i="36"/>
  <c r="W212" i="36"/>
  <c r="AA212" i="36"/>
  <c r="AB212" i="36"/>
  <c r="AC212" i="36"/>
  <c r="AD212" i="36"/>
  <c r="AE212" i="36"/>
  <c r="AF212" i="36"/>
  <c r="AG212" i="36"/>
  <c r="AH212" i="36"/>
  <c r="AI212" i="36"/>
  <c r="AJ212" i="36"/>
  <c r="B213" i="36"/>
  <c r="D213" i="36"/>
  <c r="E213" i="36"/>
  <c r="F213" i="36"/>
  <c r="G213" i="36"/>
  <c r="H213" i="36"/>
  <c r="I213" i="36"/>
  <c r="J213" i="36"/>
  <c r="K213" i="36"/>
  <c r="L213" i="36"/>
  <c r="M213" i="36"/>
  <c r="M214" i="36" s="1"/>
  <c r="M215" i="36" s="1"/>
  <c r="O213" i="36"/>
  <c r="R213" i="36"/>
  <c r="R214" i="36" s="1"/>
  <c r="S213" i="36"/>
  <c r="T213" i="36"/>
  <c r="U213" i="36"/>
  <c r="W213" i="36"/>
  <c r="AA213" i="36"/>
  <c r="AB213" i="36"/>
  <c r="AC213" i="36"/>
  <c r="AD213" i="36"/>
  <c r="AE213" i="36"/>
  <c r="AF213" i="36"/>
  <c r="AG213" i="36"/>
  <c r="B214" i="36"/>
  <c r="B215" i="36" s="1"/>
  <c r="B216" i="36" s="1"/>
  <c r="B217" i="36" s="1"/>
  <c r="B218" i="36" s="1"/>
  <c r="B219" i="36" s="1"/>
  <c r="B220" i="36" s="1"/>
  <c r="B221" i="36" s="1"/>
  <c r="B222" i="36" s="1"/>
  <c r="D214" i="36"/>
  <c r="E214" i="36"/>
  <c r="F214" i="36"/>
  <c r="G214" i="36"/>
  <c r="H214" i="36"/>
  <c r="I214" i="36"/>
  <c r="J214" i="36"/>
  <c r="K214" i="36"/>
  <c r="L214" i="36"/>
  <c r="O214" i="36"/>
  <c r="Q214" i="36"/>
  <c r="S214" i="36"/>
  <c r="T214" i="36"/>
  <c r="U214" i="36"/>
  <c r="W214" i="36"/>
  <c r="AA214" i="36"/>
  <c r="AB214" i="36"/>
  <c r="AC214" i="36"/>
  <c r="AD214" i="36"/>
  <c r="AE214" i="36"/>
  <c r="AF214" i="36"/>
  <c r="AG214" i="36"/>
  <c r="D215" i="36"/>
  <c r="E215" i="36"/>
  <c r="F215" i="36"/>
  <c r="G215" i="36"/>
  <c r="H215" i="36"/>
  <c r="I215" i="36"/>
  <c r="J215" i="36"/>
  <c r="K215" i="36"/>
  <c r="L215" i="36"/>
  <c r="O215" i="36"/>
  <c r="Q215" i="36"/>
  <c r="Q216" i="36" s="1"/>
  <c r="Q217" i="36" s="1"/>
  <c r="Q218" i="36" s="1"/>
  <c r="Q219" i="36" s="1"/>
  <c r="Q220" i="36" s="1"/>
  <c r="Q221" i="36" s="1"/>
  <c r="Q222" i="36" s="1"/>
  <c r="R215" i="36"/>
  <c r="R216" i="36" s="1"/>
  <c r="R217" i="36" s="1"/>
  <c r="R218" i="36" s="1"/>
  <c r="R219" i="36" s="1"/>
  <c r="R220" i="36" s="1"/>
  <c r="R221" i="36" s="1"/>
  <c r="R222" i="36" s="1"/>
  <c r="R223" i="36" s="1"/>
  <c r="S215" i="36"/>
  <c r="T215" i="36"/>
  <c r="U215" i="36"/>
  <c r="W215" i="36"/>
  <c r="Y215" i="36"/>
  <c r="AA215" i="36"/>
  <c r="AB215" i="36"/>
  <c r="AC215" i="36"/>
  <c r="AD215" i="36"/>
  <c r="AE215" i="36"/>
  <c r="AF215" i="36"/>
  <c r="AG215" i="36"/>
  <c r="D216" i="36"/>
  <c r="D217" i="36" s="1"/>
  <c r="D218" i="36" s="1"/>
  <c r="D219" i="36" s="1"/>
  <c r="D220" i="36" s="1"/>
  <c r="E216" i="36"/>
  <c r="E217" i="36" s="1"/>
  <c r="E218" i="36" s="1"/>
  <c r="E219" i="36" s="1"/>
  <c r="E220" i="36" s="1"/>
  <c r="F216" i="36"/>
  <c r="F217" i="36" s="1"/>
  <c r="F218" i="36" s="1"/>
  <c r="F219" i="36" s="1"/>
  <c r="F220" i="36" s="1"/>
  <c r="F221" i="36" s="1"/>
  <c r="F222" i="36" s="1"/>
  <c r="F223" i="36" s="1"/>
  <c r="F224" i="36" s="1"/>
  <c r="F225" i="36" s="1"/>
  <c r="F226" i="36" s="1"/>
  <c r="F227" i="36" s="1"/>
  <c r="G216" i="36"/>
  <c r="G217" i="36" s="1"/>
  <c r="G218" i="36" s="1"/>
  <c r="G219" i="36" s="1"/>
  <c r="G220" i="36" s="1"/>
  <c r="H216" i="36"/>
  <c r="I216" i="36"/>
  <c r="J216" i="36"/>
  <c r="K216" i="36"/>
  <c r="L216" i="36"/>
  <c r="M216" i="36"/>
  <c r="N216" i="36"/>
  <c r="O216" i="36"/>
  <c r="S216" i="36"/>
  <c r="T216" i="36"/>
  <c r="U216" i="36"/>
  <c r="V216" i="36"/>
  <c r="W216" i="36"/>
  <c r="X216" i="36"/>
  <c r="Y216" i="36"/>
  <c r="Z216" i="36"/>
  <c r="AA216" i="36"/>
  <c r="AB216" i="36"/>
  <c r="AC216" i="36"/>
  <c r="AD216" i="36"/>
  <c r="AE216" i="36"/>
  <c r="AF216" i="36"/>
  <c r="AG216" i="36"/>
  <c r="AH216" i="36"/>
  <c r="AI216" i="36"/>
  <c r="AJ216" i="36"/>
  <c r="H217" i="36"/>
  <c r="I217" i="36"/>
  <c r="J217" i="36"/>
  <c r="K217" i="36"/>
  <c r="L217" i="36"/>
  <c r="M217" i="36"/>
  <c r="N217" i="36"/>
  <c r="O217" i="36"/>
  <c r="S217" i="36"/>
  <c r="T217" i="36"/>
  <c r="U217" i="36"/>
  <c r="V217" i="36"/>
  <c r="W217" i="36"/>
  <c r="X217" i="36"/>
  <c r="Y217" i="36"/>
  <c r="Z217" i="36"/>
  <c r="AA217" i="36"/>
  <c r="AB217" i="36"/>
  <c r="AC217" i="36"/>
  <c r="AD217" i="36"/>
  <c r="AE217" i="36"/>
  <c r="AF217" i="36"/>
  <c r="AG217" i="36"/>
  <c r="AH217" i="36"/>
  <c r="AI217" i="36"/>
  <c r="AJ217" i="36"/>
  <c r="H218" i="36"/>
  <c r="I218" i="36"/>
  <c r="J218" i="36"/>
  <c r="K218" i="36"/>
  <c r="L218" i="36"/>
  <c r="M218" i="36"/>
  <c r="N218" i="36"/>
  <c r="O218" i="36"/>
  <c r="S218" i="36"/>
  <c r="T218" i="36"/>
  <c r="U218" i="36"/>
  <c r="V218" i="36"/>
  <c r="W218" i="36"/>
  <c r="X218" i="36"/>
  <c r="Y218" i="36"/>
  <c r="Z218" i="36"/>
  <c r="AA218" i="36"/>
  <c r="AB218" i="36"/>
  <c r="AC218" i="36"/>
  <c r="AD218" i="36"/>
  <c r="AE218" i="36"/>
  <c r="AF218" i="36"/>
  <c r="AG218" i="36"/>
  <c r="AH218" i="36"/>
  <c r="AI218" i="36"/>
  <c r="AJ218" i="36"/>
  <c r="H219" i="36"/>
  <c r="I219" i="36"/>
  <c r="J219" i="36"/>
  <c r="K219" i="36"/>
  <c r="L219" i="36"/>
  <c r="M219" i="36"/>
  <c r="N219" i="36"/>
  <c r="O219" i="36"/>
  <c r="S219" i="36"/>
  <c r="T219" i="36"/>
  <c r="U219" i="36"/>
  <c r="V219" i="36"/>
  <c r="W219" i="36"/>
  <c r="X219" i="36"/>
  <c r="Y219" i="36"/>
  <c r="Z219" i="36"/>
  <c r="AA219" i="36"/>
  <c r="AB219" i="36"/>
  <c r="AC219" i="36"/>
  <c r="AD219" i="36"/>
  <c r="AE219" i="36"/>
  <c r="AF219" i="36"/>
  <c r="AG219" i="36"/>
  <c r="AH219" i="36"/>
  <c r="AI219" i="36"/>
  <c r="AJ219" i="36"/>
  <c r="H220" i="36"/>
  <c r="I220" i="36"/>
  <c r="J220" i="36"/>
  <c r="K220" i="36"/>
  <c r="L220" i="36"/>
  <c r="M220" i="36"/>
  <c r="N220" i="36"/>
  <c r="N221" i="36" s="1"/>
  <c r="N222" i="36" s="1"/>
  <c r="N223" i="36" s="1"/>
  <c r="N224" i="36" s="1"/>
  <c r="N225" i="36" s="1"/>
  <c r="N226" i="36" s="1"/>
  <c r="N227" i="36" s="1"/>
  <c r="N228" i="36" s="1"/>
  <c r="N229" i="36" s="1"/>
  <c r="O220" i="36"/>
  <c r="S220" i="36"/>
  <c r="T220" i="36"/>
  <c r="U220" i="36"/>
  <c r="V220" i="36"/>
  <c r="W220" i="36"/>
  <c r="X220" i="36"/>
  <c r="Y220" i="36"/>
  <c r="Z220" i="36"/>
  <c r="AA220" i="36"/>
  <c r="AB220" i="36"/>
  <c r="AC220" i="36"/>
  <c r="AD220" i="36"/>
  <c r="AE220" i="36"/>
  <c r="AF220" i="36"/>
  <c r="AG220" i="36"/>
  <c r="AH220" i="36"/>
  <c r="AI220" i="36"/>
  <c r="AJ220" i="36"/>
  <c r="D221" i="36"/>
  <c r="D222" i="36" s="1"/>
  <c r="D223" i="36" s="1"/>
  <c r="D224" i="36" s="1"/>
  <c r="D225" i="36" s="1"/>
  <c r="D226" i="36" s="1"/>
  <c r="D227" i="36" s="1"/>
  <c r="E221" i="36"/>
  <c r="E222" i="36" s="1"/>
  <c r="E223" i="36" s="1"/>
  <c r="E224" i="36" s="1"/>
  <c r="E225" i="36" s="1"/>
  <c r="E226" i="36" s="1"/>
  <c r="E227" i="36" s="1"/>
  <c r="G221" i="36"/>
  <c r="G222" i="36" s="1"/>
  <c r="H221" i="36"/>
  <c r="I221" i="36"/>
  <c r="J221" i="36"/>
  <c r="K221" i="36"/>
  <c r="L221" i="36"/>
  <c r="M221" i="36"/>
  <c r="M222" i="36" s="1"/>
  <c r="M223" i="36" s="1"/>
  <c r="M224" i="36" s="1"/>
  <c r="M225" i="36" s="1"/>
  <c r="M226" i="36" s="1"/>
  <c r="M227" i="36" s="1"/>
  <c r="O221" i="36"/>
  <c r="S221" i="36"/>
  <c r="T221" i="36"/>
  <c r="U221" i="36"/>
  <c r="V221" i="36"/>
  <c r="W221" i="36"/>
  <c r="X221" i="36"/>
  <c r="Y221" i="36"/>
  <c r="Z221" i="36"/>
  <c r="AA221" i="36"/>
  <c r="AB221" i="36"/>
  <c r="AC221" i="36"/>
  <c r="AD221" i="36"/>
  <c r="AE221" i="36"/>
  <c r="AF221" i="36"/>
  <c r="AG221" i="36"/>
  <c r="AH221" i="36"/>
  <c r="AI221" i="36"/>
  <c r="AJ221" i="36"/>
  <c r="H222" i="36"/>
  <c r="I222" i="36"/>
  <c r="J222" i="36"/>
  <c r="K222" i="36"/>
  <c r="L222" i="36"/>
  <c r="O222" i="36"/>
  <c r="S222" i="36"/>
  <c r="T222" i="36"/>
  <c r="U222" i="36"/>
  <c r="V222" i="36"/>
  <c r="W222" i="36"/>
  <c r="X222" i="36"/>
  <c r="Y222" i="36"/>
  <c r="Z222" i="36"/>
  <c r="AA222" i="36"/>
  <c r="AB222" i="36"/>
  <c r="AC222" i="36"/>
  <c r="AD222" i="36"/>
  <c r="AE222" i="36"/>
  <c r="AF222" i="36"/>
  <c r="AG222" i="36"/>
  <c r="AH222" i="36"/>
  <c r="AI222" i="36"/>
  <c r="AJ222" i="36"/>
  <c r="B223" i="36"/>
  <c r="B224" i="36" s="1"/>
  <c r="G223" i="36"/>
  <c r="H223" i="36"/>
  <c r="I223" i="36"/>
  <c r="J223" i="36"/>
  <c r="K223" i="36"/>
  <c r="L223" i="36"/>
  <c r="O223" i="36"/>
  <c r="Q223" i="36"/>
  <c r="S223" i="36"/>
  <c r="T223" i="36"/>
  <c r="U223" i="36"/>
  <c r="W223" i="36"/>
  <c r="AA223" i="36"/>
  <c r="AB223" i="36"/>
  <c r="AC223" i="36"/>
  <c r="AD223" i="36"/>
  <c r="AE223" i="36"/>
  <c r="AF223" i="36"/>
  <c r="AG223" i="36"/>
  <c r="G224" i="36"/>
  <c r="H224" i="36"/>
  <c r="I224" i="36"/>
  <c r="J224" i="36"/>
  <c r="K224" i="36"/>
  <c r="L224" i="36"/>
  <c r="O224" i="36"/>
  <c r="Q224" i="36"/>
  <c r="R224" i="36"/>
  <c r="R225" i="36" s="1"/>
  <c r="S224" i="36"/>
  <c r="T224" i="36"/>
  <c r="U224" i="36"/>
  <c r="W224" i="36"/>
  <c r="AA224" i="36"/>
  <c r="AB224" i="36"/>
  <c r="AC224" i="36"/>
  <c r="AD224" i="36"/>
  <c r="AE224" i="36"/>
  <c r="AF224" i="36"/>
  <c r="AG224" i="36"/>
  <c r="B225" i="36"/>
  <c r="B226" i="36" s="1"/>
  <c r="B227" i="36" s="1"/>
  <c r="G225" i="36"/>
  <c r="H225" i="36"/>
  <c r="I225" i="36"/>
  <c r="J225" i="36"/>
  <c r="K225" i="36"/>
  <c r="L225" i="36"/>
  <c r="O225" i="36"/>
  <c r="Q225" i="36"/>
  <c r="S225" i="36"/>
  <c r="T225" i="36"/>
  <c r="U225" i="36"/>
  <c r="W225" i="36"/>
  <c r="AA225" i="36"/>
  <c r="AB225" i="36"/>
  <c r="AC225" i="36"/>
  <c r="AD225" i="36"/>
  <c r="AE225" i="36"/>
  <c r="AF225" i="36"/>
  <c r="AG225" i="36"/>
  <c r="G226" i="36"/>
  <c r="H226" i="36"/>
  <c r="I226" i="36"/>
  <c r="J226" i="36"/>
  <c r="K226" i="36"/>
  <c r="L226" i="36"/>
  <c r="O226" i="36"/>
  <c r="Q226" i="36"/>
  <c r="Q227" i="36" s="1"/>
  <c r="R226" i="36"/>
  <c r="R227" i="36" s="1"/>
  <c r="R228" i="36" s="1"/>
  <c r="S226" i="36"/>
  <c r="T226" i="36"/>
  <c r="U226" i="36"/>
  <c r="W226" i="36"/>
  <c r="AA226" i="36"/>
  <c r="AB226" i="36"/>
  <c r="AC226" i="36"/>
  <c r="AD226" i="36"/>
  <c r="AE226" i="36"/>
  <c r="AF226" i="36"/>
  <c r="AG226" i="36"/>
  <c r="G227" i="36"/>
  <c r="H227" i="36"/>
  <c r="I227" i="36"/>
  <c r="J227" i="36"/>
  <c r="K227" i="36"/>
  <c r="L227" i="36"/>
  <c r="O227" i="36"/>
  <c r="S227" i="36"/>
  <c r="T227" i="36"/>
  <c r="U227" i="36"/>
  <c r="V227" i="36"/>
  <c r="W227" i="36"/>
  <c r="X227" i="36"/>
  <c r="Y227" i="36"/>
  <c r="Z227" i="36"/>
  <c r="AA227" i="36"/>
  <c r="AB227" i="36"/>
  <c r="AC227" i="36"/>
  <c r="AD227" i="36"/>
  <c r="AE227" i="36"/>
  <c r="AF227" i="36"/>
  <c r="AG227" i="36"/>
  <c r="AH227" i="36"/>
  <c r="AI227" i="36"/>
  <c r="AJ227" i="36"/>
  <c r="B228" i="36"/>
  <c r="B229" i="36" s="1"/>
  <c r="D228" i="36"/>
  <c r="E228" i="36"/>
  <c r="F228" i="36"/>
  <c r="G228" i="36"/>
  <c r="H228" i="36"/>
  <c r="I228" i="36"/>
  <c r="J228" i="36"/>
  <c r="K228" i="36"/>
  <c r="L228" i="36"/>
  <c r="M228" i="36"/>
  <c r="O228" i="36"/>
  <c r="Q228" i="36"/>
  <c r="S228" i="36"/>
  <c r="T228" i="36"/>
  <c r="W228" i="36"/>
  <c r="AA228" i="36"/>
  <c r="AB228" i="36"/>
  <c r="AC228" i="36"/>
  <c r="AD228" i="36"/>
  <c r="AE228" i="36"/>
  <c r="AF228" i="36"/>
  <c r="AG228" i="36"/>
  <c r="D229" i="36"/>
  <c r="E229" i="36"/>
  <c r="F229" i="36"/>
  <c r="G229" i="36"/>
  <c r="H229" i="36"/>
  <c r="I229" i="36"/>
  <c r="J229" i="36"/>
  <c r="K229" i="36"/>
  <c r="L229" i="36"/>
  <c r="M229" i="36"/>
  <c r="O229" i="36"/>
  <c r="Q229" i="36"/>
  <c r="R229" i="36"/>
  <c r="R230" i="36" s="1"/>
  <c r="R231" i="36" s="1"/>
  <c r="R232" i="36" s="1"/>
  <c r="R233" i="36" s="1"/>
  <c r="R234" i="36" s="1"/>
  <c r="R235" i="36" s="1"/>
  <c r="R236" i="36" s="1"/>
  <c r="R237" i="36" s="1"/>
  <c r="R238" i="36" s="1"/>
  <c r="R239" i="36" s="1"/>
  <c r="R240" i="36" s="1"/>
  <c r="R241" i="36" s="1"/>
  <c r="R242" i="36" s="1"/>
  <c r="R243" i="36" s="1"/>
  <c r="R244" i="36" s="1"/>
  <c r="R245" i="36" s="1"/>
  <c r="R246" i="36" s="1"/>
  <c r="R247" i="36" s="1"/>
  <c r="R248" i="36" s="1"/>
  <c r="R249" i="36" s="1"/>
  <c r="R250" i="36" s="1"/>
  <c r="R251" i="36" s="1"/>
  <c r="R252" i="36" s="1"/>
  <c r="R253" i="36" s="1"/>
  <c r="R254" i="36" s="1"/>
  <c r="R255" i="36" s="1"/>
  <c r="R256" i="36" s="1"/>
  <c r="R257" i="36" s="1"/>
  <c r="R258" i="36" s="1"/>
  <c r="R259" i="36" s="1"/>
  <c r="R260" i="36" s="1"/>
  <c r="R261" i="36" s="1"/>
  <c r="R262" i="36" s="1"/>
  <c r="R263" i="36" s="1"/>
  <c r="R264" i="36" s="1"/>
  <c r="R265" i="36" s="1"/>
  <c r="R266" i="36" s="1"/>
  <c r="R267" i="36" s="1"/>
  <c r="R268" i="36" s="1"/>
  <c r="R269" i="36" s="1"/>
  <c r="R270" i="36" s="1"/>
  <c r="R271" i="36" s="1"/>
  <c r="R272" i="36" s="1"/>
  <c r="R273" i="36" s="1"/>
  <c r="R274" i="36" s="1"/>
  <c r="R275" i="36" s="1"/>
  <c r="R276" i="36" s="1"/>
  <c r="R277" i="36" s="1"/>
  <c r="R278" i="36" s="1"/>
  <c r="R279" i="36" s="1"/>
  <c r="R280" i="36" s="1"/>
  <c r="R281" i="36" s="1"/>
  <c r="R282" i="36" s="1"/>
  <c r="R283" i="36" s="1"/>
  <c r="R284" i="36" s="1"/>
  <c r="R285" i="36" s="1"/>
  <c r="R286" i="36" s="1"/>
  <c r="R287" i="36" s="1"/>
  <c r="R288" i="36" s="1"/>
  <c r="R289" i="36" s="1"/>
  <c r="R290" i="36" s="1"/>
  <c r="R291" i="36" s="1"/>
  <c r="R292" i="36" s="1"/>
  <c r="R293" i="36" s="1"/>
  <c r="R294" i="36" s="1"/>
  <c r="R295" i="36" s="1"/>
  <c r="R296" i="36" s="1"/>
  <c r="R297" i="36" s="1"/>
  <c r="R298" i="36" s="1"/>
  <c r="R299" i="36" s="1"/>
  <c r="R300" i="36" s="1"/>
  <c r="R301" i="36" s="1"/>
  <c r="R302" i="36" s="1"/>
  <c r="R303" i="36" s="1"/>
  <c r="R304" i="36" s="1"/>
  <c r="R305" i="36" s="1"/>
  <c r="R306" i="36" s="1"/>
  <c r="R307" i="36" s="1"/>
  <c r="R308" i="36" s="1"/>
  <c r="R309" i="36" s="1"/>
  <c r="R310" i="36" s="1"/>
  <c r="R311" i="36" s="1"/>
  <c r="R312" i="36" s="1"/>
  <c r="R313" i="36" s="1"/>
  <c r="R314" i="36" s="1"/>
  <c r="R315" i="36" s="1"/>
  <c r="R316" i="36" s="1"/>
  <c r="R317" i="36" s="1"/>
  <c r="R318" i="36" s="1"/>
  <c r="R319" i="36" s="1"/>
  <c r="R320" i="36" s="1"/>
  <c r="R321" i="36" s="1"/>
  <c r="R322" i="36" s="1"/>
  <c r="R323" i="36" s="1"/>
  <c r="R324" i="36" s="1"/>
  <c r="R325" i="36" s="1"/>
  <c r="R326" i="36" s="1"/>
  <c r="R327" i="36" s="1"/>
  <c r="R328" i="36" s="1"/>
  <c r="R329" i="36" s="1"/>
  <c r="R330" i="36" s="1"/>
  <c r="R331" i="36" s="1"/>
  <c r="R332" i="36" s="1"/>
  <c r="R333" i="36" s="1"/>
  <c r="R334" i="36" s="1"/>
  <c r="R335" i="36" s="1"/>
  <c r="R336" i="36" s="1"/>
  <c r="R337" i="36" s="1"/>
  <c r="R338" i="36" s="1"/>
  <c r="R339" i="36" s="1"/>
  <c r="R340" i="36" s="1"/>
  <c r="R341" i="36" s="1"/>
  <c r="R342" i="36" s="1"/>
  <c r="R343" i="36" s="1"/>
  <c r="R344" i="36" s="1"/>
  <c r="R345" i="36" s="1"/>
  <c r="R346" i="36" s="1"/>
  <c r="R347" i="36" s="1"/>
  <c r="R348" i="36" s="1"/>
  <c r="R349" i="36" s="1"/>
  <c r="R350" i="36" s="1"/>
  <c r="R351" i="36" s="1"/>
  <c r="R352" i="36" s="1"/>
  <c r="R353" i="36" s="1"/>
  <c r="R354" i="36" s="1"/>
  <c r="R355" i="36" s="1"/>
  <c r="R356" i="36" s="1"/>
  <c r="R357" i="36" s="1"/>
  <c r="R358" i="36" s="1"/>
  <c r="R359" i="36" s="1"/>
  <c r="R360" i="36" s="1"/>
  <c r="R361" i="36" s="1"/>
  <c r="R362" i="36" s="1"/>
  <c r="R363" i="36" s="1"/>
  <c r="R364" i="36" s="1"/>
  <c r="R365" i="36" s="1"/>
  <c r="R366" i="36" s="1"/>
  <c r="R367" i="36" s="1"/>
  <c r="R368" i="36" s="1"/>
  <c r="R369" i="36" s="1"/>
  <c r="R370" i="36" s="1"/>
  <c r="R371" i="36" s="1"/>
  <c r="R372" i="36" s="1"/>
  <c r="R373" i="36" s="1"/>
  <c r="R374" i="36" s="1"/>
  <c r="R375" i="36" s="1"/>
  <c r="R376" i="36" s="1"/>
  <c r="R377" i="36" s="1"/>
  <c r="R378" i="36" s="1"/>
  <c r="R379" i="36" s="1"/>
  <c r="R380" i="36" s="1"/>
  <c r="R381" i="36" s="1"/>
  <c r="R382" i="36" s="1"/>
  <c r="R383" i="36" s="1"/>
  <c r="R384" i="36" s="1"/>
  <c r="R385" i="36" s="1"/>
  <c r="R386" i="36" s="1"/>
  <c r="R387" i="36" s="1"/>
  <c r="R388" i="36" s="1"/>
  <c r="R389" i="36" s="1"/>
  <c r="R390" i="36" s="1"/>
  <c r="R391" i="36" s="1"/>
  <c r="R392" i="36" s="1"/>
  <c r="R393" i="36" s="1"/>
  <c r="R394" i="36" s="1"/>
  <c r="S229" i="36"/>
  <c r="T229" i="36"/>
  <c r="U229" i="36"/>
  <c r="W229" i="36"/>
  <c r="AA229" i="36"/>
  <c r="AB229" i="36"/>
  <c r="AC229" i="36"/>
  <c r="AD229" i="36"/>
  <c r="AE229" i="36"/>
  <c r="AF229" i="36"/>
  <c r="AG229" i="36"/>
  <c r="B230" i="36"/>
  <c r="B231" i="36" s="1"/>
  <c r="D230" i="36"/>
  <c r="D231" i="36" s="1"/>
  <c r="D232" i="36" s="1"/>
  <c r="D233" i="36" s="1"/>
  <c r="D234" i="36" s="1"/>
  <c r="D235" i="36" s="1"/>
  <c r="D236" i="36" s="1"/>
  <c r="D237" i="36" s="1"/>
  <c r="D238" i="36" s="1"/>
  <c r="D239" i="36" s="1"/>
  <c r="D240" i="36" s="1"/>
  <c r="D241" i="36" s="1"/>
  <c r="D242" i="36" s="1"/>
  <c r="D243" i="36" s="1"/>
  <c r="D244" i="36" s="1"/>
  <c r="D245" i="36" s="1"/>
  <c r="D246" i="36" s="1"/>
  <c r="D247" i="36" s="1"/>
  <c r="D248" i="36" s="1"/>
  <c r="D249" i="36" s="1"/>
  <c r="D250" i="36" s="1"/>
  <c r="D251" i="36" s="1"/>
  <c r="D252" i="36" s="1"/>
  <c r="D253" i="36" s="1"/>
  <c r="D254" i="36" s="1"/>
  <c r="D255" i="36" s="1"/>
  <c r="D256" i="36" s="1"/>
  <c r="D257" i="36" s="1"/>
  <c r="D258" i="36" s="1"/>
  <c r="D259" i="36" s="1"/>
  <c r="D260" i="36" s="1"/>
  <c r="D261" i="36" s="1"/>
  <c r="D262" i="36" s="1"/>
  <c r="D263" i="36" s="1"/>
  <c r="D264" i="36" s="1"/>
  <c r="D265" i="36" s="1"/>
  <c r="D266" i="36" s="1"/>
  <c r="D267" i="36" s="1"/>
  <c r="D268" i="36" s="1"/>
  <c r="D269" i="36" s="1"/>
  <c r="D270" i="36" s="1"/>
  <c r="D271" i="36" s="1"/>
  <c r="D272" i="36" s="1"/>
  <c r="D273" i="36" s="1"/>
  <c r="D274" i="36" s="1"/>
  <c r="D275" i="36" s="1"/>
  <c r="D276" i="36" s="1"/>
  <c r="D277" i="36" s="1"/>
  <c r="D278" i="36" s="1"/>
  <c r="D279" i="36" s="1"/>
  <c r="D280" i="36" s="1"/>
  <c r="D281" i="36" s="1"/>
  <c r="D282" i="36" s="1"/>
  <c r="D283" i="36" s="1"/>
  <c r="D284" i="36" s="1"/>
  <c r="D285" i="36" s="1"/>
  <c r="D286" i="36" s="1"/>
  <c r="D287" i="36" s="1"/>
  <c r="D288" i="36" s="1"/>
  <c r="D289" i="36" s="1"/>
  <c r="D290" i="36" s="1"/>
  <c r="D291" i="36" s="1"/>
  <c r="D292" i="36" s="1"/>
  <c r="D293" i="36" s="1"/>
  <c r="D294" i="36" s="1"/>
  <c r="D295" i="36" s="1"/>
  <c r="D296" i="36" s="1"/>
  <c r="D297" i="36" s="1"/>
  <c r="D298" i="36" s="1"/>
  <c r="D299" i="36" s="1"/>
  <c r="D300" i="36" s="1"/>
  <c r="D301" i="36" s="1"/>
  <c r="D302" i="36" s="1"/>
  <c r="D303" i="36" s="1"/>
  <c r="D304" i="36" s="1"/>
  <c r="D305" i="36" s="1"/>
  <c r="D306" i="36" s="1"/>
  <c r="D307" i="36" s="1"/>
  <c r="D308" i="36" s="1"/>
  <c r="D309" i="36" s="1"/>
  <c r="D310" i="36" s="1"/>
  <c r="D311" i="36" s="1"/>
  <c r="D312" i="36" s="1"/>
  <c r="D313" i="36" s="1"/>
  <c r="D314" i="36" s="1"/>
  <c r="D315" i="36" s="1"/>
  <c r="D316" i="36" s="1"/>
  <c r="D317" i="36" s="1"/>
  <c r="D318" i="36" s="1"/>
  <c r="D319" i="36" s="1"/>
  <c r="D320" i="36" s="1"/>
  <c r="D321" i="36" s="1"/>
  <c r="D322" i="36" s="1"/>
  <c r="D323" i="36" s="1"/>
  <c r="D324" i="36" s="1"/>
  <c r="D325" i="36" s="1"/>
  <c r="D326" i="36" s="1"/>
  <c r="D327" i="36" s="1"/>
  <c r="D328" i="36" s="1"/>
  <c r="D329" i="36" s="1"/>
  <c r="D330" i="36" s="1"/>
  <c r="D331" i="36" s="1"/>
  <c r="D332" i="36" s="1"/>
  <c r="D333" i="36" s="1"/>
  <c r="D334" i="36" s="1"/>
  <c r="D335" i="36" s="1"/>
  <c r="D336" i="36" s="1"/>
  <c r="D337" i="36" s="1"/>
  <c r="D338" i="36" s="1"/>
  <c r="D339" i="36" s="1"/>
  <c r="D340" i="36" s="1"/>
  <c r="D341" i="36" s="1"/>
  <c r="D342" i="36" s="1"/>
  <c r="D343" i="36" s="1"/>
  <c r="D344" i="36" s="1"/>
  <c r="D345" i="36" s="1"/>
  <c r="D346" i="36" s="1"/>
  <c r="D347" i="36" s="1"/>
  <c r="D348" i="36" s="1"/>
  <c r="D349" i="36" s="1"/>
  <c r="D350" i="36" s="1"/>
  <c r="D351" i="36" s="1"/>
  <c r="D352" i="36" s="1"/>
  <c r="D353" i="36" s="1"/>
  <c r="D354" i="36" s="1"/>
  <c r="D355" i="36" s="1"/>
  <c r="D356" i="36" s="1"/>
  <c r="D357" i="36" s="1"/>
  <c r="D358" i="36" s="1"/>
  <c r="D359" i="36" s="1"/>
  <c r="D360" i="36" s="1"/>
  <c r="D361" i="36" s="1"/>
  <c r="D362" i="36" s="1"/>
  <c r="D363" i="36" s="1"/>
  <c r="D364" i="36" s="1"/>
  <c r="D365" i="36" s="1"/>
  <c r="D366" i="36" s="1"/>
  <c r="D367" i="36" s="1"/>
  <c r="D368" i="36" s="1"/>
  <c r="D369" i="36" s="1"/>
  <c r="D370" i="36" s="1"/>
  <c r="D371" i="36" s="1"/>
  <c r="D372" i="36" s="1"/>
  <c r="D373" i="36" s="1"/>
  <c r="D374" i="36" s="1"/>
  <c r="D375" i="36" s="1"/>
  <c r="D376" i="36" s="1"/>
  <c r="D377" i="36" s="1"/>
  <c r="D378" i="36" s="1"/>
  <c r="D379" i="36" s="1"/>
  <c r="D380" i="36" s="1"/>
  <c r="D381" i="36" s="1"/>
  <c r="D382" i="36" s="1"/>
  <c r="D383" i="36" s="1"/>
  <c r="D384" i="36" s="1"/>
  <c r="D385" i="36" s="1"/>
  <c r="D386" i="36" s="1"/>
  <c r="D387" i="36" s="1"/>
  <c r="D388" i="36" s="1"/>
  <c r="D389" i="36" s="1"/>
  <c r="D390" i="36" s="1"/>
  <c r="D391" i="36" s="1"/>
  <c r="D392" i="36" s="1"/>
  <c r="D393" i="36" s="1"/>
  <c r="D394" i="36" s="1"/>
  <c r="E230" i="36"/>
  <c r="E231" i="36" s="1"/>
  <c r="E232" i="36" s="1"/>
  <c r="E233" i="36" s="1"/>
  <c r="E234" i="36" s="1"/>
  <c r="E235" i="36" s="1"/>
  <c r="E236" i="36" s="1"/>
  <c r="E237" i="36" s="1"/>
  <c r="E238" i="36" s="1"/>
  <c r="E239" i="36" s="1"/>
  <c r="E240" i="36" s="1"/>
  <c r="E241" i="36" s="1"/>
  <c r="E242" i="36" s="1"/>
  <c r="E243" i="36" s="1"/>
  <c r="E244" i="36" s="1"/>
  <c r="E245" i="36" s="1"/>
  <c r="E246" i="36" s="1"/>
  <c r="E247" i="36" s="1"/>
  <c r="E248" i="36" s="1"/>
  <c r="E249" i="36" s="1"/>
  <c r="E250" i="36" s="1"/>
  <c r="E251" i="36" s="1"/>
  <c r="E252" i="36" s="1"/>
  <c r="E253" i="36" s="1"/>
  <c r="E254" i="36" s="1"/>
  <c r="E255" i="36" s="1"/>
  <c r="E256" i="36" s="1"/>
  <c r="E257" i="36" s="1"/>
  <c r="E258" i="36" s="1"/>
  <c r="E259" i="36" s="1"/>
  <c r="E260" i="36" s="1"/>
  <c r="E261" i="36" s="1"/>
  <c r="E262" i="36" s="1"/>
  <c r="E263" i="36" s="1"/>
  <c r="E264" i="36" s="1"/>
  <c r="E265" i="36" s="1"/>
  <c r="E266" i="36" s="1"/>
  <c r="E267" i="36" s="1"/>
  <c r="E268" i="36" s="1"/>
  <c r="E269" i="36" s="1"/>
  <c r="E270" i="36" s="1"/>
  <c r="E271" i="36" s="1"/>
  <c r="E272" i="36" s="1"/>
  <c r="E273" i="36" s="1"/>
  <c r="E274" i="36" s="1"/>
  <c r="E275" i="36" s="1"/>
  <c r="E276" i="36" s="1"/>
  <c r="E277" i="36" s="1"/>
  <c r="E278" i="36" s="1"/>
  <c r="E279" i="36" s="1"/>
  <c r="E280" i="36" s="1"/>
  <c r="E281" i="36" s="1"/>
  <c r="E282" i="36" s="1"/>
  <c r="E283" i="36" s="1"/>
  <c r="E284" i="36" s="1"/>
  <c r="E285" i="36" s="1"/>
  <c r="E286" i="36" s="1"/>
  <c r="E287" i="36" s="1"/>
  <c r="E288" i="36" s="1"/>
  <c r="E289" i="36" s="1"/>
  <c r="E290" i="36" s="1"/>
  <c r="E291" i="36" s="1"/>
  <c r="E292" i="36" s="1"/>
  <c r="E293" i="36" s="1"/>
  <c r="E294" i="36" s="1"/>
  <c r="E295" i="36" s="1"/>
  <c r="E296" i="36" s="1"/>
  <c r="E297" i="36" s="1"/>
  <c r="E298" i="36" s="1"/>
  <c r="E299" i="36" s="1"/>
  <c r="E300" i="36" s="1"/>
  <c r="E301" i="36" s="1"/>
  <c r="E302" i="36" s="1"/>
  <c r="E303" i="36" s="1"/>
  <c r="E304" i="36" s="1"/>
  <c r="E305" i="36" s="1"/>
  <c r="E306" i="36" s="1"/>
  <c r="E307" i="36" s="1"/>
  <c r="E308" i="36" s="1"/>
  <c r="E309" i="36" s="1"/>
  <c r="E310" i="36" s="1"/>
  <c r="E311" i="36" s="1"/>
  <c r="E312" i="36" s="1"/>
  <c r="E313" i="36" s="1"/>
  <c r="E314" i="36" s="1"/>
  <c r="E315" i="36" s="1"/>
  <c r="E316" i="36" s="1"/>
  <c r="E317" i="36" s="1"/>
  <c r="E318" i="36" s="1"/>
  <c r="E319" i="36" s="1"/>
  <c r="E320" i="36" s="1"/>
  <c r="E321" i="36" s="1"/>
  <c r="E322" i="36" s="1"/>
  <c r="E323" i="36" s="1"/>
  <c r="E324" i="36" s="1"/>
  <c r="E325" i="36" s="1"/>
  <c r="E326" i="36" s="1"/>
  <c r="E327" i="36" s="1"/>
  <c r="E328" i="36" s="1"/>
  <c r="E329" i="36" s="1"/>
  <c r="E330" i="36" s="1"/>
  <c r="E331" i="36" s="1"/>
  <c r="E332" i="36" s="1"/>
  <c r="E333" i="36" s="1"/>
  <c r="E334" i="36" s="1"/>
  <c r="E335" i="36" s="1"/>
  <c r="E336" i="36" s="1"/>
  <c r="E337" i="36" s="1"/>
  <c r="E338" i="36" s="1"/>
  <c r="E339" i="36" s="1"/>
  <c r="E340" i="36" s="1"/>
  <c r="E341" i="36" s="1"/>
  <c r="E342" i="36" s="1"/>
  <c r="E343" i="36" s="1"/>
  <c r="E344" i="36" s="1"/>
  <c r="E345" i="36" s="1"/>
  <c r="E346" i="36" s="1"/>
  <c r="E347" i="36" s="1"/>
  <c r="E348" i="36" s="1"/>
  <c r="E349" i="36" s="1"/>
  <c r="E350" i="36" s="1"/>
  <c r="E351" i="36" s="1"/>
  <c r="E352" i="36" s="1"/>
  <c r="E353" i="36" s="1"/>
  <c r="E354" i="36" s="1"/>
  <c r="E355" i="36" s="1"/>
  <c r="E356" i="36" s="1"/>
  <c r="E357" i="36" s="1"/>
  <c r="E358" i="36" s="1"/>
  <c r="E359" i="36" s="1"/>
  <c r="E360" i="36" s="1"/>
  <c r="E361" i="36" s="1"/>
  <c r="E362" i="36" s="1"/>
  <c r="E363" i="36" s="1"/>
  <c r="E364" i="36" s="1"/>
  <c r="E365" i="36" s="1"/>
  <c r="E366" i="36" s="1"/>
  <c r="E367" i="36" s="1"/>
  <c r="E368" i="36" s="1"/>
  <c r="E369" i="36" s="1"/>
  <c r="E370" i="36" s="1"/>
  <c r="E371" i="36" s="1"/>
  <c r="E372" i="36" s="1"/>
  <c r="E373" i="36" s="1"/>
  <c r="E374" i="36" s="1"/>
  <c r="E375" i="36" s="1"/>
  <c r="E376" i="36" s="1"/>
  <c r="E377" i="36" s="1"/>
  <c r="E378" i="36" s="1"/>
  <c r="E379" i="36" s="1"/>
  <c r="E380" i="36" s="1"/>
  <c r="E381" i="36" s="1"/>
  <c r="E382" i="36" s="1"/>
  <c r="E383" i="36" s="1"/>
  <c r="E384" i="36" s="1"/>
  <c r="E385" i="36" s="1"/>
  <c r="E386" i="36" s="1"/>
  <c r="E387" i="36" s="1"/>
  <c r="E388" i="36" s="1"/>
  <c r="E389" i="36" s="1"/>
  <c r="E390" i="36" s="1"/>
  <c r="E391" i="36" s="1"/>
  <c r="E392" i="36" s="1"/>
  <c r="E393" i="36" s="1"/>
  <c r="E394" i="36" s="1"/>
  <c r="F230" i="36"/>
  <c r="F231" i="36" s="1"/>
  <c r="F232" i="36" s="1"/>
  <c r="F233" i="36" s="1"/>
  <c r="F234" i="36" s="1"/>
  <c r="F235" i="36" s="1"/>
  <c r="F236" i="36" s="1"/>
  <c r="F237" i="36" s="1"/>
  <c r="F238" i="36" s="1"/>
  <c r="F239" i="36" s="1"/>
  <c r="F240" i="36" s="1"/>
  <c r="F241" i="36" s="1"/>
  <c r="F242" i="36" s="1"/>
  <c r="F243" i="36" s="1"/>
  <c r="F244" i="36" s="1"/>
  <c r="F245" i="36" s="1"/>
  <c r="F246" i="36" s="1"/>
  <c r="F247" i="36" s="1"/>
  <c r="F248" i="36" s="1"/>
  <c r="F249" i="36" s="1"/>
  <c r="F250" i="36" s="1"/>
  <c r="F251" i="36" s="1"/>
  <c r="F252" i="36" s="1"/>
  <c r="F253" i="36" s="1"/>
  <c r="F254" i="36" s="1"/>
  <c r="F255" i="36" s="1"/>
  <c r="F256" i="36" s="1"/>
  <c r="F257" i="36" s="1"/>
  <c r="F258" i="36" s="1"/>
  <c r="F259" i="36" s="1"/>
  <c r="F260" i="36" s="1"/>
  <c r="F261" i="36" s="1"/>
  <c r="F262" i="36" s="1"/>
  <c r="F263" i="36" s="1"/>
  <c r="F264" i="36" s="1"/>
  <c r="F265" i="36" s="1"/>
  <c r="F266" i="36" s="1"/>
  <c r="F267" i="36" s="1"/>
  <c r="F268" i="36" s="1"/>
  <c r="F269" i="36" s="1"/>
  <c r="F270" i="36" s="1"/>
  <c r="F271" i="36" s="1"/>
  <c r="F272" i="36" s="1"/>
  <c r="F273" i="36" s="1"/>
  <c r="F274" i="36" s="1"/>
  <c r="F275" i="36" s="1"/>
  <c r="F276" i="36" s="1"/>
  <c r="F277" i="36" s="1"/>
  <c r="F278" i="36" s="1"/>
  <c r="F279" i="36" s="1"/>
  <c r="F280" i="36" s="1"/>
  <c r="F281" i="36" s="1"/>
  <c r="F282" i="36" s="1"/>
  <c r="F283" i="36" s="1"/>
  <c r="F284" i="36" s="1"/>
  <c r="F285" i="36" s="1"/>
  <c r="F286" i="36" s="1"/>
  <c r="F287" i="36" s="1"/>
  <c r="F288" i="36" s="1"/>
  <c r="F289" i="36" s="1"/>
  <c r="F290" i="36" s="1"/>
  <c r="F291" i="36" s="1"/>
  <c r="F292" i="36" s="1"/>
  <c r="F293" i="36" s="1"/>
  <c r="F294" i="36" s="1"/>
  <c r="F295" i="36" s="1"/>
  <c r="F296" i="36" s="1"/>
  <c r="F297" i="36" s="1"/>
  <c r="F298" i="36" s="1"/>
  <c r="F299" i="36" s="1"/>
  <c r="F300" i="36" s="1"/>
  <c r="F301" i="36" s="1"/>
  <c r="F302" i="36" s="1"/>
  <c r="F303" i="36" s="1"/>
  <c r="F304" i="36" s="1"/>
  <c r="F305" i="36" s="1"/>
  <c r="F306" i="36" s="1"/>
  <c r="F307" i="36" s="1"/>
  <c r="F308" i="36" s="1"/>
  <c r="F309" i="36" s="1"/>
  <c r="F310" i="36" s="1"/>
  <c r="F311" i="36" s="1"/>
  <c r="F312" i="36" s="1"/>
  <c r="F313" i="36" s="1"/>
  <c r="F314" i="36" s="1"/>
  <c r="F315" i="36" s="1"/>
  <c r="F316" i="36" s="1"/>
  <c r="F317" i="36" s="1"/>
  <c r="F318" i="36" s="1"/>
  <c r="F319" i="36" s="1"/>
  <c r="F320" i="36" s="1"/>
  <c r="F321" i="36" s="1"/>
  <c r="F322" i="36" s="1"/>
  <c r="F323" i="36" s="1"/>
  <c r="F324" i="36" s="1"/>
  <c r="F325" i="36" s="1"/>
  <c r="F326" i="36" s="1"/>
  <c r="F327" i="36" s="1"/>
  <c r="F328" i="36" s="1"/>
  <c r="F329" i="36" s="1"/>
  <c r="F330" i="36" s="1"/>
  <c r="F331" i="36" s="1"/>
  <c r="F332" i="36" s="1"/>
  <c r="F333" i="36" s="1"/>
  <c r="F334" i="36" s="1"/>
  <c r="F335" i="36" s="1"/>
  <c r="F336" i="36" s="1"/>
  <c r="F337" i="36" s="1"/>
  <c r="F338" i="36" s="1"/>
  <c r="F339" i="36" s="1"/>
  <c r="F340" i="36" s="1"/>
  <c r="F341" i="36" s="1"/>
  <c r="F342" i="36" s="1"/>
  <c r="F343" i="36" s="1"/>
  <c r="F344" i="36" s="1"/>
  <c r="F345" i="36" s="1"/>
  <c r="F346" i="36" s="1"/>
  <c r="F347" i="36" s="1"/>
  <c r="F348" i="36" s="1"/>
  <c r="F349" i="36" s="1"/>
  <c r="F350" i="36" s="1"/>
  <c r="F351" i="36" s="1"/>
  <c r="F352" i="36" s="1"/>
  <c r="F353" i="36" s="1"/>
  <c r="F354" i="36" s="1"/>
  <c r="F355" i="36" s="1"/>
  <c r="F356" i="36" s="1"/>
  <c r="F357" i="36" s="1"/>
  <c r="F358" i="36" s="1"/>
  <c r="F359" i="36" s="1"/>
  <c r="F360" i="36" s="1"/>
  <c r="F361" i="36" s="1"/>
  <c r="F362" i="36" s="1"/>
  <c r="F363" i="36" s="1"/>
  <c r="F364" i="36" s="1"/>
  <c r="F365" i="36" s="1"/>
  <c r="F366" i="36" s="1"/>
  <c r="F367" i="36" s="1"/>
  <c r="F368" i="36" s="1"/>
  <c r="F369" i="36" s="1"/>
  <c r="F370" i="36" s="1"/>
  <c r="F371" i="36" s="1"/>
  <c r="F372" i="36" s="1"/>
  <c r="F373" i="36" s="1"/>
  <c r="F374" i="36" s="1"/>
  <c r="F375" i="36" s="1"/>
  <c r="F376" i="36" s="1"/>
  <c r="F377" i="36" s="1"/>
  <c r="F378" i="36" s="1"/>
  <c r="F379" i="36" s="1"/>
  <c r="F380" i="36" s="1"/>
  <c r="F381" i="36" s="1"/>
  <c r="F382" i="36" s="1"/>
  <c r="F383" i="36" s="1"/>
  <c r="F384" i="36" s="1"/>
  <c r="F385" i="36" s="1"/>
  <c r="F386" i="36" s="1"/>
  <c r="F387" i="36" s="1"/>
  <c r="F388" i="36" s="1"/>
  <c r="F389" i="36" s="1"/>
  <c r="F390" i="36" s="1"/>
  <c r="F391" i="36" s="1"/>
  <c r="F392" i="36" s="1"/>
  <c r="F393" i="36" s="1"/>
  <c r="F394" i="36" s="1"/>
  <c r="G230" i="36"/>
  <c r="G231" i="36" s="1"/>
  <c r="H230" i="36"/>
  <c r="I230" i="36"/>
  <c r="J230" i="36"/>
  <c r="K230" i="36"/>
  <c r="L230" i="36"/>
  <c r="M230" i="36"/>
  <c r="M231" i="36" s="1"/>
  <c r="M232" i="36" s="1"/>
  <c r="M233" i="36" s="1"/>
  <c r="N230" i="36"/>
  <c r="O230" i="36"/>
  <c r="Q230" i="36"/>
  <c r="S230" i="36"/>
  <c r="T230" i="36"/>
  <c r="U230" i="36"/>
  <c r="W230" i="36"/>
  <c r="AA230" i="36"/>
  <c r="AB230" i="36"/>
  <c r="AC230" i="36"/>
  <c r="AD230" i="36"/>
  <c r="AE230" i="36"/>
  <c r="AF230" i="36"/>
  <c r="AG230" i="36"/>
  <c r="J8" i="10"/>
  <c r="J9" i="10"/>
  <c r="J10" i="10"/>
  <c r="J7" i="10"/>
  <c r="J5" i="10"/>
  <c r="J4" i="10"/>
  <c r="G2" i="10"/>
  <c r="H2" i="10"/>
  <c r="I2" i="10"/>
  <c r="F2" i="10"/>
  <c r="G6" i="10"/>
  <c r="H6" i="10"/>
  <c r="I6" i="10"/>
  <c r="F6" i="10"/>
  <c r="D8" i="10"/>
  <c r="D9" i="10"/>
  <c r="D10" i="10"/>
  <c r="D7" i="10"/>
  <c r="D4" i="10"/>
  <c r="D5" i="10"/>
  <c r="D3" i="10"/>
  <c r="AM235" i="36"/>
  <c r="AM236" i="36"/>
  <c r="AS280" i="31"/>
  <c r="AS281" i="31"/>
  <c r="AM241" i="36" s="1"/>
  <c r="AS283" i="31"/>
  <c r="AM243" i="36" s="1"/>
  <c r="AS284" i="31"/>
  <c r="AM244" i="36" s="1"/>
  <c r="AA282" i="31"/>
  <c r="V242" i="36" s="1"/>
  <c r="AO282" i="31"/>
  <c r="AI242" i="36" s="1"/>
  <c r="AP282" i="31"/>
  <c r="AJ242" i="36" s="1"/>
  <c r="AA277" i="31"/>
  <c r="AI237" i="36"/>
  <c r="AA278" i="31"/>
  <c r="AO278" i="31"/>
  <c r="AI238" i="36" s="1"/>
  <c r="AP278" i="31"/>
  <c r="AS278" i="31" s="1"/>
  <c r="AM238" i="36" s="1"/>
  <c r="AA279" i="31"/>
  <c r="V239" i="36" s="1"/>
  <c r="AO279" i="31"/>
  <c r="AI239" i="36" s="1"/>
  <c r="AP279" i="31"/>
  <c r="AJ239" i="36" s="1"/>
  <c r="AO285" i="31"/>
  <c r="AI245" i="36" s="1"/>
  <c r="AC285" i="31"/>
  <c r="AR285" i="31"/>
  <c r="AL245" i="36" s="1"/>
  <c r="AL246" i="36" s="1"/>
  <c r="AL247" i="36" s="1"/>
  <c r="AL248" i="36" s="1"/>
  <c r="AL249" i="36" s="1"/>
  <c r="AL250" i="36" s="1"/>
  <c r="AL251" i="36" s="1"/>
  <c r="AL252" i="36" s="1"/>
  <c r="AL253" i="36" s="1"/>
  <c r="AL254" i="36" s="1"/>
  <c r="AL255" i="36" s="1"/>
  <c r="AL256" i="36" s="1"/>
  <c r="AL257" i="36" s="1"/>
  <c r="AL258" i="36" s="1"/>
  <c r="AL259" i="36" s="1"/>
  <c r="AL260" i="36" s="1"/>
  <c r="AL261" i="36" s="1"/>
  <c r="AL262" i="36" s="1"/>
  <c r="AL263" i="36" s="1"/>
  <c r="AL264" i="36" s="1"/>
  <c r="AL265" i="36" s="1"/>
  <c r="AL266" i="36" s="1"/>
  <c r="AL267" i="36" s="1"/>
  <c r="AL268" i="36" s="1"/>
  <c r="AL269" i="36" s="1"/>
  <c r="AL270" i="36" s="1"/>
  <c r="AL271" i="36" s="1"/>
  <c r="AL272" i="36" s="1"/>
  <c r="AL273" i="36" s="1"/>
  <c r="AL274" i="36" s="1"/>
  <c r="AL275" i="36" s="1"/>
  <c r="AL276" i="36" s="1"/>
  <c r="AL277" i="36" s="1"/>
  <c r="AL278" i="36" s="1"/>
  <c r="AL279" i="36" s="1"/>
  <c r="AL280" i="36" s="1"/>
  <c r="AL281" i="36" s="1"/>
  <c r="AL282" i="36" s="1"/>
  <c r="AL283" i="36" s="1"/>
  <c r="AL284" i="36" s="1"/>
  <c r="AL285" i="36" s="1"/>
  <c r="AL286" i="36" s="1"/>
  <c r="AL287" i="36" s="1"/>
  <c r="AL288" i="36" s="1"/>
  <c r="AL289" i="36" s="1"/>
  <c r="AL290" i="36" s="1"/>
  <c r="AL291" i="36" s="1"/>
  <c r="AL292" i="36" s="1"/>
  <c r="AL293" i="36" s="1"/>
  <c r="AL294" i="36" s="1"/>
  <c r="AL295" i="36" s="1"/>
  <c r="AL296" i="36" s="1"/>
  <c r="AL297" i="36" s="1"/>
  <c r="AL298" i="36" s="1"/>
  <c r="AL299" i="36" s="1"/>
  <c r="AL300" i="36" s="1"/>
  <c r="AL301" i="36" s="1"/>
  <c r="AL302" i="36" s="1"/>
  <c r="AL303" i="36" s="1"/>
  <c r="AL304" i="36" s="1"/>
  <c r="AL305" i="36" s="1"/>
  <c r="AL306" i="36" s="1"/>
  <c r="AL307" i="36" s="1"/>
  <c r="AL308" i="36" s="1"/>
  <c r="AL309" i="36" s="1"/>
  <c r="AL310" i="36" s="1"/>
  <c r="AL311" i="36" s="1"/>
  <c r="AL312" i="36" s="1"/>
  <c r="AL313" i="36" s="1"/>
  <c r="AL314" i="36" s="1"/>
  <c r="AL315" i="36" s="1"/>
  <c r="AL316" i="36" s="1"/>
  <c r="AL317" i="36" s="1"/>
  <c r="AL318" i="36" s="1"/>
  <c r="AL319" i="36" s="1"/>
  <c r="AL320" i="36" s="1"/>
  <c r="AL321" i="36" s="1"/>
  <c r="AL322" i="36" s="1"/>
  <c r="AL323" i="36" s="1"/>
  <c r="AL324" i="36" s="1"/>
  <c r="AL325" i="36" s="1"/>
  <c r="AL326" i="36" s="1"/>
  <c r="AL327" i="36" s="1"/>
  <c r="AL328" i="36" s="1"/>
  <c r="AL329" i="36" s="1"/>
  <c r="AL330" i="36" s="1"/>
  <c r="AL331" i="36" s="1"/>
  <c r="AL332" i="36" s="1"/>
  <c r="AL333" i="36" s="1"/>
  <c r="AL334" i="36" s="1"/>
  <c r="AL335" i="36" s="1"/>
  <c r="AL336" i="36" s="1"/>
  <c r="AL337" i="36" s="1"/>
  <c r="AL338" i="36" s="1"/>
  <c r="AL339" i="36" s="1"/>
  <c r="AL340" i="36" s="1"/>
  <c r="AL341" i="36" s="1"/>
  <c r="AL342" i="36" s="1"/>
  <c r="AL343" i="36" s="1"/>
  <c r="AL344" i="36" s="1"/>
  <c r="AL345" i="36" s="1"/>
  <c r="AL346" i="36" s="1"/>
  <c r="AL347" i="36" s="1"/>
  <c r="AL348" i="36" s="1"/>
  <c r="AL349" i="36" s="1"/>
  <c r="AL350" i="36" s="1"/>
  <c r="AL351" i="36" s="1"/>
  <c r="AL352" i="36" s="1"/>
  <c r="AL353" i="36" s="1"/>
  <c r="AL354" i="36" s="1"/>
  <c r="AL355" i="36" s="1"/>
  <c r="AL356" i="36" s="1"/>
  <c r="AL357" i="36" s="1"/>
  <c r="AL358" i="36" s="1"/>
  <c r="AL359" i="36" s="1"/>
  <c r="AL360" i="36" s="1"/>
  <c r="AL361" i="36" s="1"/>
  <c r="AL362" i="36" s="1"/>
  <c r="AL363" i="36" s="1"/>
  <c r="AL364" i="36" s="1"/>
  <c r="AL365" i="36" s="1"/>
  <c r="AL366" i="36" s="1"/>
  <c r="AL367" i="36" s="1"/>
  <c r="AL368" i="36" s="1"/>
  <c r="AL369" i="36" s="1"/>
  <c r="AL370" i="36" s="1"/>
  <c r="AL371" i="36" s="1"/>
  <c r="AL372" i="36" s="1"/>
  <c r="AL373" i="36" s="1"/>
  <c r="AL374" i="36" s="1"/>
  <c r="AL375" i="36" s="1"/>
  <c r="AL376" i="36" s="1"/>
  <c r="AL377" i="36" s="1"/>
  <c r="AL378" i="36" s="1"/>
  <c r="AL379" i="36" s="1"/>
  <c r="AL380" i="36" s="1"/>
  <c r="AL381" i="36" s="1"/>
  <c r="AL382" i="36" s="1"/>
  <c r="AL383" i="36" s="1"/>
  <c r="AL384" i="36" s="1"/>
  <c r="AL385" i="36" s="1"/>
  <c r="AL386" i="36" s="1"/>
  <c r="AL387" i="36" s="1"/>
  <c r="AL388" i="36" s="1"/>
  <c r="AL389" i="36" s="1"/>
  <c r="AL390" i="36" s="1"/>
  <c r="AL391" i="36" s="1"/>
  <c r="AL392" i="36" s="1"/>
  <c r="AL393" i="36" s="1"/>
  <c r="AL394" i="36" s="1"/>
  <c r="V237" i="36" l="1"/>
  <c r="AQ277" i="31"/>
  <c r="AK237" i="36" s="1"/>
  <c r="X245" i="36"/>
  <c r="U120" i="25"/>
  <c r="C31" i="25"/>
  <c r="AN236" i="36"/>
  <c r="AR282" i="31"/>
  <c r="AL242" i="36" s="1"/>
  <c r="AL243" i="36" s="1"/>
  <c r="AL244" i="36" s="1"/>
  <c r="AR279" i="31"/>
  <c r="AL239" i="36" s="1"/>
  <c r="AL240" i="36" s="1"/>
  <c r="AL241" i="36" s="1"/>
  <c r="AQ282" i="31"/>
  <c r="AK242" i="36" s="1"/>
  <c r="AK243" i="36" s="1"/>
  <c r="AK244" i="36" s="1"/>
  <c r="AQ279" i="31"/>
  <c r="AK239" i="36" s="1"/>
  <c r="AK240" i="36" s="1"/>
  <c r="AK241" i="36" s="1"/>
  <c r="AT284" i="31"/>
  <c r="AS282" i="31"/>
  <c r="AT281" i="31"/>
  <c r="AN241" i="36" s="1"/>
  <c r="AJ237" i="36"/>
  <c r="AS279" i="31"/>
  <c r="AT280" i="31"/>
  <c r="AN240" i="36" s="1"/>
  <c r="AM240" i="36"/>
  <c r="AQ278" i="31"/>
  <c r="AK238" i="36" s="1"/>
  <c r="AJ238" i="36"/>
  <c r="AM237" i="36"/>
  <c r="AR278" i="31"/>
  <c r="V238" i="36"/>
  <c r="AT283" i="31"/>
  <c r="AN235" i="36"/>
  <c r="C30" i="25"/>
  <c r="AH245" i="36"/>
  <c r="AQ285" i="31"/>
  <c r="AD285" i="31"/>
  <c r="AP285" i="31"/>
  <c r="AN243" i="36" l="1"/>
  <c r="X118" i="25"/>
  <c r="AN244" i="36"/>
  <c r="X119" i="25"/>
  <c r="V120" i="25"/>
  <c r="D31" i="25"/>
  <c r="AM242" i="36"/>
  <c r="AT282" i="31"/>
  <c r="AN242" i="36" s="1"/>
  <c r="AT279" i="31"/>
  <c r="AN239" i="36" s="1"/>
  <c r="AM239" i="36"/>
  <c r="AL237" i="36"/>
  <c r="AN237" i="36"/>
  <c r="AT278" i="31"/>
  <c r="X117" i="25" s="1"/>
  <c r="AL238" i="36"/>
  <c r="AT285" i="31"/>
  <c r="X120" i="25" s="1"/>
  <c r="AK245" i="36"/>
  <c r="AK246" i="36" s="1"/>
  <c r="AK247" i="36" s="1"/>
  <c r="AK248" i="36" s="1"/>
  <c r="AK249" i="36" s="1"/>
  <c r="AK250" i="36" s="1"/>
  <c r="AK251" i="36" s="1"/>
  <c r="AK252" i="36" s="1"/>
  <c r="AK253" i="36" s="1"/>
  <c r="AK254" i="36" s="1"/>
  <c r="AK255" i="36" s="1"/>
  <c r="AK256" i="36" s="1"/>
  <c r="AK257" i="36" s="1"/>
  <c r="AK258" i="36" s="1"/>
  <c r="AK259" i="36" s="1"/>
  <c r="AK260" i="36" s="1"/>
  <c r="AK261" i="36" s="1"/>
  <c r="AK262" i="36" s="1"/>
  <c r="AK263" i="36" s="1"/>
  <c r="AK264" i="36" s="1"/>
  <c r="AK265" i="36" s="1"/>
  <c r="AK266" i="36" s="1"/>
  <c r="AK267" i="36" s="1"/>
  <c r="AK268" i="36" s="1"/>
  <c r="AK269" i="36" s="1"/>
  <c r="AK270" i="36" s="1"/>
  <c r="AK271" i="36" s="1"/>
  <c r="AK272" i="36" s="1"/>
  <c r="AK273" i="36" s="1"/>
  <c r="AK274" i="36" s="1"/>
  <c r="AK275" i="36" s="1"/>
  <c r="AK276" i="36" s="1"/>
  <c r="AK277" i="36" s="1"/>
  <c r="AK278" i="36" s="1"/>
  <c r="AK279" i="36" s="1"/>
  <c r="AK280" i="36" s="1"/>
  <c r="AK281" i="36" s="1"/>
  <c r="AK282" i="36" s="1"/>
  <c r="AK283" i="36" s="1"/>
  <c r="AK284" i="36" s="1"/>
  <c r="AK285" i="36" s="1"/>
  <c r="AK286" i="36" s="1"/>
  <c r="AK287" i="36" s="1"/>
  <c r="AK288" i="36" s="1"/>
  <c r="AK289" i="36" s="1"/>
  <c r="AK290" i="36" s="1"/>
  <c r="AK291" i="36" s="1"/>
  <c r="AK292" i="36" s="1"/>
  <c r="AK293" i="36" s="1"/>
  <c r="AK294" i="36" s="1"/>
  <c r="AK295" i="36" s="1"/>
  <c r="AK296" i="36" s="1"/>
  <c r="AK297" i="36" s="1"/>
  <c r="AK298" i="36" s="1"/>
  <c r="AK299" i="36" s="1"/>
  <c r="AK300" i="36" s="1"/>
  <c r="AK301" i="36" s="1"/>
  <c r="AK302" i="36" s="1"/>
  <c r="AK303" i="36" s="1"/>
  <c r="AK304" i="36" s="1"/>
  <c r="AK305" i="36" s="1"/>
  <c r="AK306" i="36" s="1"/>
  <c r="AK307" i="36" s="1"/>
  <c r="AK308" i="36" s="1"/>
  <c r="AK309" i="36" s="1"/>
  <c r="AK310" i="36" s="1"/>
  <c r="AK311" i="36" s="1"/>
  <c r="AK312" i="36" s="1"/>
  <c r="AK313" i="36" s="1"/>
  <c r="AK314" i="36" s="1"/>
  <c r="AK315" i="36" s="1"/>
  <c r="AK316" i="36" s="1"/>
  <c r="AK317" i="36" s="1"/>
  <c r="AK318" i="36" s="1"/>
  <c r="AK319" i="36" s="1"/>
  <c r="AK320" i="36" s="1"/>
  <c r="AK321" i="36" s="1"/>
  <c r="AK322" i="36" s="1"/>
  <c r="AK323" i="36" s="1"/>
  <c r="AK324" i="36" s="1"/>
  <c r="AK325" i="36" s="1"/>
  <c r="AK326" i="36" s="1"/>
  <c r="AK327" i="36" s="1"/>
  <c r="AK328" i="36" s="1"/>
  <c r="AK329" i="36" s="1"/>
  <c r="AK330" i="36" s="1"/>
  <c r="AK331" i="36" s="1"/>
  <c r="AK332" i="36" s="1"/>
  <c r="AK333" i="36" s="1"/>
  <c r="AK334" i="36" s="1"/>
  <c r="AK335" i="36" s="1"/>
  <c r="AK336" i="36" s="1"/>
  <c r="AK337" i="36" s="1"/>
  <c r="AK338" i="36" s="1"/>
  <c r="AK339" i="36" s="1"/>
  <c r="AK340" i="36" s="1"/>
  <c r="AK341" i="36" s="1"/>
  <c r="AK342" i="36" s="1"/>
  <c r="AK343" i="36" s="1"/>
  <c r="AK344" i="36" s="1"/>
  <c r="AK345" i="36" s="1"/>
  <c r="AK346" i="36" s="1"/>
  <c r="AK347" i="36" s="1"/>
  <c r="AK348" i="36" s="1"/>
  <c r="AK349" i="36" s="1"/>
  <c r="AK350" i="36" s="1"/>
  <c r="AK351" i="36" s="1"/>
  <c r="AK352" i="36" s="1"/>
  <c r="AK353" i="36" s="1"/>
  <c r="AK354" i="36" s="1"/>
  <c r="AK355" i="36" s="1"/>
  <c r="AK356" i="36" s="1"/>
  <c r="AK357" i="36" s="1"/>
  <c r="AK358" i="36" s="1"/>
  <c r="AK359" i="36" s="1"/>
  <c r="AK360" i="36" s="1"/>
  <c r="AK361" i="36" s="1"/>
  <c r="AK362" i="36" s="1"/>
  <c r="AK363" i="36" s="1"/>
  <c r="AK364" i="36" s="1"/>
  <c r="AK365" i="36" s="1"/>
  <c r="AK366" i="36" s="1"/>
  <c r="AK367" i="36" s="1"/>
  <c r="AK368" i="36" s="1"/>
  <c r="AK369" i="36" s="1"/>
  <c r="AK370" i="36" s="1"/>
  <c r="AK371" i="36" s="1"/>
  <c r="AK372" i="36" s="1"/>
  <c r="AK373" i="36" s="1"/>
  <c r="AK374" i="36" s="1"/>
  <c r="AK375" i="36" s="1"/>
  <c r="AK376" i="36" s="1"/>
  <c r="AK377" i="36" s="1"/>
  <c r="AK378" i="36" s="1"/>
  <c r="AK379" i="36" s="1"/>
  <c r="AK380" i="36" s="1"/>
  <c r="AK381" i="36" s="1"/>
  <c r="AK382" i="36" s="1"/>
  <c r="AK383" i="36" s="1"/>
  <c r="AK384" i="36" s="1"/>
  <c r="AK385" i="36" s="1"/>
  <c r="AK386" i="36" s="1"/>
  <c r="AK387" i="36" s="1"/>
  <c r="AK388" i="36" s="1"/>
  <c r="AK389" i="36" s="1"/>
  <c r="AK390" i="36" s="1"/>
  <c r="AK391" i="36" s="1"/>
  <c r="AK392" i="36" s="1"/>
  <c r="AK393" i="36" s="1"/>
  <c r="AK394" i="36" s="1"/>
  <c r="AS285" i="31"/>
  <c r="AM245" i="36" s="1"/>
  <c r="AJ245" i="36"/>
  <c r="AE285" i="31"/>
  <c r="D30" i="25"/>
  <c r="Y245" i="36"/>
  <c r="B4" i="39"/>
  <c r="C166" i="32"/>
  <c r="D166" i="32"/>
  <c r="E166" i="32"/>
  <c r="F166" i="32"/>
  <c r="C167" i="32"/>
  <c r="D167" i="32"/>
  <c r="E167" i="32"/>
  <c r="F167" i="32"/>
  <c r="C168" i="32"/>
  <c r="D168" i="32"/>
  <c r="E168" i="32"/>
  <c r="F168" i="32"/>
  <c r="B168" i="32"/>
  <c r="B166" i="32"/>
  <c r="B167" i="32"/>
  <c r="C163" i="32"/>
  <c r="D163" i="32"/>
  <c r="E163" i="32"/>
  <c r="F163" i="32"/>
  <c r="G163" i="32"/>
  <c r="C164" i="32"/>
  <c r="D164" i="32"/>
  <c r="E164" i="32"/>
  <c r="F164" i="32"/>
  <c r="G164" i="32"/>
  <c r="C165" i="32"/>
  <c r="D165" i="32"/>
  <c r="E165" i="32"/>
  <c r="F165" i="32"/>
  <c r="B165" i="32"/>
  <c r="Z167" i="31"/>
  <c r="U139" i="36" s="1"/>
  <c r="W120" i="25" l="1"/>
  <c r="E31" i="25"/>
  <c r="G31" i="25" s="1"/>
  <c r="AN238" i="36"/>
  <c r="F30" i="25"/>
  <c r="H30" i="25" s="1"/>
  <c r="AN245" i="36"/>
  <c r="E30" i="25"/>
  <c r="G30" i="25" s="1"/>
  <c r="Z245" i="36"/>
  <c r="AT176" i="31"/>
  <c r="AN150" i="36" s="1"/>
  <c r="AI145" i="36"/>
  <c r="AI144" i="36"/>
  <c r="AO171" i="31"/>
  <c r="AI143" i="36" s="1"/>
  <c r="AN171" i="31"/>
  <c r="AL144" i="36" l="1"/>
  <c r="AH144" i="36"/>
  <c r="AL145" i="36"/>
  <c r="AH145" i="36"/>
  <c r="AR171" i="31"/>
  <c r="AL143" i="36" s="1"/>
  <c r="AH143" i="36"/>
  <c r="AP171" i="31"/>
  <c r="AN105" i="31"/>
  <c r="AH51" i="36" s="1"/>
  <c r="AO105" i="31"/>
  <c r="AI51" i="36" s="1"/>
  <c r="AT84" i="31"/>
  <c r="AN35" i="36" s="1"/>
  <c r="AN36" i="36" s="1"/>
  <c r="AN37" i="36" s="1"/>
  <c r="AN38" i="36" s="1"/>
  <c r="AN73" i="31"/>
  <c r="AO73" i="31"/>
  <c r="AQ73" i="31"/>
  <c r="AN76" i="31"/>
  <c r="AH29" i="36" s="1"/>
  <c r="AO76" i="31"/>
  <c r="AI29" i="36" s="1"/>
  <c r="AN68" i="31"/>
  <c r="AO68" i="31"/>
  <c r="AQ68" i="31"/>
  <c r="AN69" i="31"/>
  <c r="AO69" i="31"/>
  <c r="AQ69" i="31"/>
  <c r="AN70" i="31"/>
  <c r="AO70" i="31"/>
  <c r="AN57" i="31"/>
  <c r="AO57" i="31"/>
  <c r="AQ57" i="31"/>
  <c r="AN58" i="31"/>
  <c r="AO58" i="31"/>
  <c r="AQ58" i="31"/>
  <c r="AN59" i="31"/>
  <c r="AO59" i="31"/>
  <c r="AQ59" i="31"/>
  <c r="X17" i="25"/>
  <c r="X29" i="25"/>
  <c r="X30" i="25"/>
  <c r="X31" i="25"/>
  <c r="X32" i="25"/>
  <c r="X33" i="25"/>
  <c r="X34" i="25"/>
  <c r="X36" i="25"/>
  <c r="X38" i="25"/>
  <c r="X39" i="25"/>
  <c r="X40" i="25"/>
  <c r="X42" i="25"/>
  <c r="X45" i="25"/>
  <c r="X65" i="25"/>
  <c r="X77" i="25"/>
  <c r="X78" i="25"/>
  <c r="X79" i="25"/>
  <c r="X10" i="25"/>
  <c r="AN48" i="31"/>
  <c r="AO48" i="31"/>
  <c r="AQ48" i="31"/>
  <c r="AN49" i="31"/>
  <c r="AO49" i="31"/>
  <c r="AQ49" i="31"/>
  <c r="AN50" i="31"/>
  <c r="AO50" i="31"/>
  <c r="F20" i="25" l="1"/>
  <c r="AS171" i="31"/>
  <c r="AM143" i="36" s="1"/>
  <c r="AJ143" i="36"/>
  <c r="AM145" i="36"/>
  <c r="AJ145" i="36"/>
  <c r="AM144" i="36"/>
  <c r="AJ144" i="36"/>
  <c r="AP105" i="31"/>
  <c r="AJ51" i="36" s="1"/>
  <c r="AP59" i="31"/>
  <c r="AP58" i="31"/>
  <c r="AP68" i="31"/>
  <c r="AP69" i="31"/>
  <c r="AP50" i="31"/>
  <c r="AP57" i="31"/>
  <c r="AP73" i="31"/>
  <c r="AP70" i="31"/>
  <c r="AP49" i="31"/>
  <c r="AP48" i="31"/>
  <c r="AP76" i="31"/>
  <c r="AJ29" i="36" s="1"/>
  <c r="U77" i="25" l="1"/>
  <c r="V77" i="25"/>
  <c r="W77" i="25"/>
  <c r="U78" i="25"/>
  <c r="V78" i="25"/>
  <c r="W78" i="25"/>
  <c r="U79" i="25"/>
  <c r="V79" i="25"/>
  <c r="W79" i="25"/>
  <c r="E20" i="25" l="1"/>
  <c r="D20" i="25"/>
  <c r="V14" i="25"/>
  <c r="C20" i="25" l="1"/>
  <c r="AF5" i="32"/>
  <c r="AF21" i="32"/>
  <c r="AF20" i="32"/>
  <c r="AF14" i="32"/>
  <c r="AF4" i="32"/>
  <c r="AF33" i="32"/>
  <c r="AF34" i="32"/>
  <c r="J34" i="32" l="1"/>
  <c r="K34" i="32" s="1"/>
  <c r="AF30" i="32"/>
  <c r="AF10" i="32"/>
  <c r="AF24" i="32"/>
  <c r="AF16" i="32"/>
  <c r="AF19" i="32"/>
  <c r="AF6" i="32"/>
  <c r="AF23" i="32"/>
  <c r="AF9" i="32"/>
  <c r="AF17" i="32"/>
  <c r="AF12" i="32"/>
  <c r="AF31" i="32"/>
  <c r="AF28" i="32"/>
  <c r="AF26" i="32"/>
  <c r="AF32" i="32"/>
  <c r="AF29" i="32"/>
  <c r="AF25" i="32"/>
  <c r="AF15" i="32"/>
  <c r="AN117" i="31" l="1"/>
  <c r="AH63" i="36" s="1"/>
  <c r="AO117" i="31"/>
  <c r="AI63" i="36" s="1"/>
  <c r="AD91" i="31"/>
  <c r="Y42" i="36" s="1"/>
  <c r="AD79" i="31"/>
  <c r="Y30" i="36" s="1"/>
  <c r="AA70" i="31"/>
  <c r="AQ70" i="31" s="1"/>
  <c r="AD60" i="31"/>
  <c r="AD51" i="31"/>
  <c r="AD115" i="31"/>
  <c r="Y61" i="36" s="1"/>
  <c r="AP117" i="31" l="1"/>
  <c r="AJ63" i="36" s="1"/>
  <c r="AN108" i="31"/>
  <c r="AH54" i="36" s="1"/>
  <c r="AO108" i="31"/>
  <c r="AI54" i="36" s="1"/>
  <c r="AP108" i="31" l="1"/>
  <c r="AJ54" i="36" s="1"/>
  <c r="K60" i="32"/>
  <c r="U146" i="36" l="1"/>
  <c r="Y144" i="36"/>
  <c r="AI146" i="36" l="1"/>
  <c r="AH146" i="36"/>
  <c r="K20" i="32"/>
  <c r="K19" i="32"/>
  <c r="K18" i="32"/>
  <c r="K17" i="32"/>
  <c r="K16" i="32"/>
  <c r="K15" i="32"/>
  <c r="K14" i="32"/>
  <c r="K13" i="32"/>
  <c r="K12" i="32"/>
  <c r="K11" i="32"/>
  <c r="K10" i="32"/>
  <c r="K9" i="32"/>
  <c r="K8" i="32"/>
  <c r="K7" i="32"/>
  <c r="AF13" i="32"/>
  <c r="K6" i="32"/>
  <c r="K5" i="32"/>
  <c r="K4" i="32"/>
  <c r="K3" i="32"/>
  <c r="AE133" i="25"/>
  <c r="AD133" i="25"/>
  <c r="AC133" i="25"/>
  <c r="AB133" i="25"/>
  <c r="AE132" i="25"/>
  <c r="AD132" i="25"/>
  <c r="AC132" i="25"/>
  <c r="AB132" i="25"/>
  <c r="AD131" i="25"/>
  <c r="AC131" i="25"/>
  <c r="AB131" i="25"/>
  <c r="AD130" i="25"/>
  <c r="AC130" i="25"/>
  <c r="AB130" i="25"/>
  <c r="AE129" i="25"/>
  <c r="AD129" i="25"/>
  <c r="AC129" i="25"/>
  <c r="AB129" i="25"/>
  <c r="AE128" i="25"/>
  <c r="AD128" i="25"/>
  <c r="AC128" i="25"/>
  <c r="AB128" i="25"/>
  <c r="AE127" i="25"/>
  <c r="AD127" i="25"/>
  <c r="AC127" i="25"/>
  <c r="AB127" i="25"/>
  <c r="AD126" i="25"/>
  <c r="AC126" i="25"/>
  <c r="AB126" i="25"/>
  <c r="AC125" i="25"/>
  <c r="AB125" i="25"/>
  <c r="AD124" i="25"/>
  <c r="AC124" i="25"/>
  <c r="AB124" i="25"/>
  <c r="AE123" i="25"/>
  <c r="AA123" i="25"/>
  <c r="AD122" i="25"/>
  <c r="AC122" i="25"/>
  <c r="AB122" i="25"/>
  <c r="AD121" i="25"/>
  <c r="AC121" i="25"/>
  <c r="AB121" i="25"/>
  <c r="AC120" i="25"/>
  <c r="AB120" i="25"/>
  <c r="AE119" i="25"/>
  <c r="AD119" i="25"/>
  <c r="AC119" i="25"/>
  <c r="AB119" i="25"/>
  <c r="AE118" i="25"/>
  <c r="AD118" i="25"/>
  <c r="AC118" i="25"/>
  <c r="AB118" i="25"/>
  <c r="AD117" i="25"/>
  <c r="AC117" i="25"/>
  <c r="AB117" i="25"/>
  <c r="AE116" i="25"/>
  <c r="AD116" i="25"/>
  <c r="AC116" i="25"/>
  <c r="AB116" i="25"/>
  <c r="AD115" i="25"/>
  <c r="AC115" i="25"/>
  <c r="AB115" i="25"/>
  <c r="AE114" i="25"/>
  <c r="AD114" i="25"/>
  <c r="AC114" i="25"/>
  <c r="AB114" i="25"/>
  <c r="AE113" i="25"/>
  <c r="AD113" i="25"/>
  <c r="AC113" i="25"/>
  <c r="AB113" i="25"/>
  <c r="AD112" i="25"/>
  <c r="AC112" i="25"/>
  <c r="AB112" i="25"/>
  <c r="AE111" i="25"/>
  <c r="AD111" i="25"/>
  <c r="AC111" i="25"/>
  <c r="AB111" i="25"/>
  <c r="AD110" i="25"/>
  <c r="AC110" i="25"/>
  <c r="AB110" i="25"/>
  <c r="AD109" i="25"/>
  <c r="AC109" i="25"/>
  <c r="AB109" i="25"/>
  <c r="AD108" i="25"/>
  <c r="AC108" i="25"/>
  <c r="AB108" i="25"/>
  <c r="AD107" i="25"/>
  <c r="AC107" i="25"/>
  <c r="AB107" i="25"/>
  <c r="AD106" i="25"/>
  <c r="AC106" i="25"/>
  <c r="AB106" i="25"/>
  <c r="AD105" i="25"/>
  <c r="AC105" i="25"/>
  <c r="AB105" i="25"/>
  <c r="AD104" i="25"/>
  <c r="AC104" i="25"/>
  <c r="AB104" i="25"/>
  <c r="AD103" i="25"/>
  <c r="AC103" i="25"/>
  <c r="AB103" i="25"/>
  <c r="AD102" i="25"/>
  <c r="AC102" i="25"/>
  <c r="AB102" i="25"/>
  <c r="AD101" i="25"/>
  <c r="AC101" i="25"/>
  <c r="AB101" i="25"/>
  <c r="AC100" i="25"/>
  <c r="AB100" i="25"/>
  <c r="AE99" i="25"/>
  <c r="AD99" i="25"/>
  <c r="AC99" i="25"/>
  <c r="AB99" i="25"/>
  <c r="AA98" i="25"/>
  <c r="AA97" i="25"/>
  <c r="AA96" i="25"/>
  <c r="AC95" i="25"/>
  <c r="AB95" i="25"/>
  <c r="AA94" i="25"/>
  <c r="AD93" i="25"/>
  <c r="AC93" i="25"/>
  <c r="AB93" i="25"/>
  <c r="AD92" i="25"/>
  <c r="AC92" i="25"/>
  <c r="AB92" i="25"/>
  <c r="AD91" i="25"/>
  <c r="AC91" i="25"/>
  <c r="AB91" i="25"/>
  <c r="AC90" i="25"/>
  <c r="AB90" i="25"/>
  <c r="AD89" i="25"/>
  <c r="AC89" i="25"/>
  <c r="AB89" i="25"/>
  <c r="AD88" i="25"/>
  <c r="AC88" i="25"/>
  <c r="AB88" i="25"/>
  <c r="AE87" i="25"/>
  <c r="AD87" i="25"/>
  <c r="AC87" i="25"/>
  <c r="AB87" i="25"/>
  <c r="AE86" i="25"/>
  <c r="AD86" i="25"/>
  <c r="AC86" i="25"/>
  <c r="AB86" i="25"/>
  <c r="AE85" i="25"/>
  <c r="AD85" i="25"/>
  <c r="AC85" i="25"/>
  <c r="AB85" i="25"/>
  <c r="AD84" i="25"/>
  <c r="AC84" i="25"/>
  <c r="AB84" i="25"/>
  <c r="AD83" i="25"/>
  <c r="AC83" i="25"/>
  <c r="AB83" i="25"/>
  <c r="AD82" i="25"/>
  <c r="AC82" i="25"/>
  <c r="AB82" i="25"/>
  <c r="AD81" i="25"/>
  <c r="AC81" i="25"/>
  <c r="AB81" i="25"/>
  <c r="AD80" i="25"/>
  <c r="AC80" i="25"/>
  <c r="AB80" i="25"/>
  <c r="AD79" i="25"/>
  <c r="AC79" i="25"/>
  <c r="AB79" i="25"/>
  <c r="AD78" i="25"/>
  <c r="AC78" i="25"/>
  <c r="AB78" i="25"/>
  <c r="AD77" i="25"/>
  <c r="AC77" i="25"/>
  <c r="AB77" i="25"/>
  <c r="AD76" i="25"/>
  <c r="AC76" i="25"/>
  <c r="AB76" i="25"/>
  <c r="AD75" i="25"/>
  <c r="AC75" i="25"/>
  <c r="AB75" i="25"/>
  <c r="AD74" i="25"/>
  <c r="AC74" i="25"/>
  <c r="AB74" i="25"/>
  <c r="AD73" i="25"/>
  <c r="AC73" i="25"/>
  <c r="AB73" i="25"/>
  <c r="AD72" i="25"/>
  <c r="AC72" i="25"/>
  <c r="AB72" i="25"/>
  <c r="AD71" i="25"/>
  <c r="AC71" i="25"/>
  <c r="AB71" i="25"/>
  <c r="AD70" i="25"/>
  <c r="AC70" i="25"/>
  <c r="AB70" i="25"/>
  <c r="AD69" i="25"/>
  <c r="AC69" i="25"/>
  <c r="AB69" i="25"/>
  <c r="AD68" i="25"/>
  <c r="AC68" i="25"/>
  <c r="AB68" i="25"/>
  <c r="AD67" i="25"/>
  <c r="AC67" i="25"/>
  <c r="AB67" i="25"/>
  <c r="AE66" i="25"/>
  <c r="AD66" i="25"/>
  <c r="AA66" i="25"/>
  <c r="AE65" i="25"/>
  <c r="AD65" i="25"/>
  <c r="AC65" i="25"/>
  <c r="AB65" i="25"/>
  <c r="AD64" i="25"/>
  <c r="AC64" i="25"/>
  <c r="AB64" i="25"/>
  <c r="AD63" i="25"/>
  <c r="AC63" i="25"/>
  <c r="AB63" i="25"/>
  <c r="AD62" i="25"/>
  <c r="AC62" i="25"/>
  <c r="AB62" i="25"/>
  <c r="AD61" i="25"/>
  <c r="AC61" i="25"/>
  <c r="AB61" i="25"/>
  <c r="AD60" i="25"/>
  <c r="AC60" i="25"/>
  <c r="AB60" i="25"/>
  <c r="AE59" i="25"/>
  <c r="AD59" i="25"/>
  <c r="AC59" i="25"/>
  <c r="AB59" i="25"/>
  <c r="AD58" i="25"/>
  <c r="AC58" i="25"/>
  <c r="AB58" i="25"/>
  <c r="AD57" i="25"/>
  <c r="AC57" i="25"/>
  <c r="AB57" i="25"/>
  <c r="P57" i="25"/>
  <c r="M57" i="25"/>
  <c r="AD56" i="25"/>
  <c r="AC56" i="25"/>
  <c r="AB56" i="25"/>
  <c r="P56" i="25"/>
  <c r="M56" i="25"/>
  <c r="AD55" i="25"/>
  <c r="AC55" i="25"/>
  <c r="AB55" i="25"/>
  <c r="P55" i="25"/>
  <c r="M55" i="25"/>
  <c r="AD54" i="25"/>
  <c r="AC54" i="25"/>
  <c r="AB54" i="25"/>
  <c r="P54" i="25"/>
  <c r="M54" i="25"/>
  <c r="AD53" i="25"/>
  <c r="AC53" i="25"/>
  <c r="AB53" i="25"/>
  <c r="P53" i="25"/>
  <c r="M53" i="25"/>
  <c r="AD52" i="25"/>
  <c r="AC52" i="25"/>
  <c r="AB52" i="25"/>
  <c r="P52" i="25"/>
  <c r="M52" i="25"/>
  <c r="AK51" i="25"/>
  <c r="AI51" i="25"/>
  <c r="AD51" i="25"/>
  <c r="AC51" i="25"/>
  <c r="AB51" i="25"/>
  <c r="P51" i="25"/>
  <c r="M51" i="25"/>
  <c r="AD50" i="25"/>
  <c r="AC50" i="25"/>
  <c r="AB50" i="25"/>
  <c r="P50" i="25"/>
  <c r="M50" i="25"/>
  <c r="AE49" i="25"/>
  <c r="AD49" i="25"/>
  <c r="AC49" i="25"/>
  <c r="AB49" i="25"/>
  <c r="P49" i="25"/>
  <c r="M49" i="25"/>
  <c r="AI48" i="25"/>
  <c r="AD48" i="25"/>
  <c r="AC48" i="25"/>
  <c r="AB48" i="25"/>
  <c r="U48" i="25"/>
  <c r="P48" i="25"/>
  <c r="M48" i="25"/>
  <c r="AI47" i="25"/>
  <c r="AC47" i="25"/>
  <c r="AB47" i="25"/>
  <c r="W47" i="25"/>
  <c r="V47" i="25"/>
  <c r="U47" i="25"/>
  <c r="P47" i="25"/>
  <c r="M47" i="25"/>
  <c r="AI46" i="25"/>
  <c r="AD46" i="25"/>
  <c r="AC46" i="25"/>
  <c r="AB46" i="25"/>
  <c r="W46" i="25"/>
  <c r="V46" i="25"/>
  <c r="U46" i="25"/>
  <c r="P46" i="25"/>
  <c r="M46" i="25"/>
  <c r="AI45" i="25"/>
  <c r="AD45" i="25"/>
  <c r="AC45" i="25"/>
  <c r="AB45" i="25"/>
  <c r="W45" i="25"/>
  <c r="V45" i="25"/>
  <c r="U45" i="25"/>
  <c r="P45" i="25"/>
  <c r="M45" i="25"/>
  <c r="AI44" i="25"/>
  <c r="AD44" i="25"/>
  <c r="AC44" i="25"/>
  <c r="AB44" i="25"/>
  <c r="P44" i="25"/>
  <c r="M44" i="25"/>
  <c r="AI43" i="25"/>
  <c r="AE43" i="25"/>
  <c r="AC43" i="25"/>
  <c r="AB43" i="25"/>
  <c r="AJ42" i="25"/>
  <c r="AL42" i="25" s="1"/>
  <c r="AE42" i="25"/>
  <c r="AD42" i="25"/>
  <c r="AC42" i="25"/>
  <c r="AB42" i="25"/>
  <c r="W42" i="25"/>
  <c r="V42" i="25"/>
  <c r="U42" i="25"/>
  <c r="AD41" i="25"/>
  <c r="AC41" i="25"/>
  <c r="AB41" i="25"/>
  <c r="P41" i="25"/>
  <c r="M41" i="25"/>
  <c r="AD40" i="25"/>
  <c r="AC40" i="25"/>
  <c r="AB40" i="25"/>
  <c r="W40" i="25"/>
  <c r="V40" i="25"/>
  <c r="U40" i="25"/>
  <c r="AD39" i="25"/>
  <c r="AC39" i="25"/>
  <c r="AB39" i="25"/>
  <c r="W39" i="25"/>
  <c r="V39" i="25"/>
  <c r="U39" i="25"/>
  <c r="M39" i="25"/>
  <c r="AD38" i="25"/>
  <c r="AC38" i="25"/>
  <c r="AB38" i="25"/>
  <c r="W38" i="25"/>
  <c r="V38" i="25"/>
  <c r="U38" i="25"/>
  <c r="AD37" i="25"/>
  <c r="AC37" i="25"/>
  <c r="AB37" i="25"/>
  <c r="M37" i="25"/>
  <c r="AI36" i="25"/>
  <c r="AD36" i="25"/>
  <c r="AC36" i="25"/>
  <c r="AB36" i="25"/>
  <c r="W36" i="25"/>
  <c r="V36" i="25"/>
  <c r="U36" i="25"/>
  <c r="AI35" i="25"/>
  <c r="AD35" i="25"/>
  <c r="AC35" i="25"/>
  <c r="AB35" i="25"/>
  <c r="AI34" i="25"/>
  <c r="AD34" i="25"/>
  <c r="AC34" i="25"/>
  <c r="AB34" i="25"/>
  <c r="W34" i="25"/>
  <c r="V34" i="25"/>
  <c r="U34" i="25"/>
  <c r="AI33" i="25"/>
  <c r="AD33" i="25"/>
  <c r="AC33" i="25"/>
  <c r="AB33" i="25"/>
  <c r="W33" i="25"/>
  <c r="V33" i="25"/>
  <c r="U33" i="25"/>
  <c r="AI32" i="25"/>
  <c r="AD32" i="25"/>
  <c r="AC32" i="25"/>
  <c r="AB32" i="25"/>
  <c r="W32" i="25"/>
  <c r="V32" i="25"/>
  <c r="U32" i="25"/>
  <c r="M32" i="25"/>
  <c r="AJ31" i="25"/>
  <c r="AL31" i="25" s="1"/>
  <c r="AD31" i="25"/>
  <c r="AC31" i="25"/>
  <c r="AB31" i="25"/>
  <c r="W31" i="25"/>
  <c r="V31" i="25"/>
  <c r="U31" i="25"/>
  <c r="AD30" i="25"/>
  <c r="AC30" i="25"/>
  <c r="AB30" i="25"/>
  <c r="W30" i="25"/>
  <c r="V30" i="25"/>
  <c r="U30" i="25"/>
  <c r="N30" i="25"/>
  <c r="M30" i="25"/>
  <c r="AD29" i="25"/>
  <c r="AC29" i="25"/>
  <c r="AM50" i="25" s="1"/>
  <c r="AK50" i="25" s="1"/>
  <c r="AB29" i="25"/>
  <c r="W29" i="25"/>
  <c r="V29" i="25"/>
  <c r="U29" i="25"/>
  <c r="M29" i="25"/>
  <c r="AD28" i="25"/>
  <c r="AC28" i="25"/>
  <c r="AM49" i="25" s="1"/>
  <c r="AK49" i="25" s="1"/>
  <c r="AB28" i="25"/>
  <c r="Q28" i="25"/>
  <c r="AD27" i="25"/>
  <c r="AC27" i="25"/>
  <c r="AB27" i="25"/>
  <c r="N27" i="25"/>
  <c r="AD26" i="25"/>
  <c r="AC26" i="25"/>
  <c r="AB26" i="25"/>
  <c r="AD25" i="25"/>
  <c r="AC25" i="25"/>
  <c r="AB25" i="25"/>
  <c r="N25" i="25"/>
  <c r="M25" i="25"/>
  <c r="AD24" i="25"/>
  <c r="AC24" i="25"/>
  <c r="AB24" i="25"/>
  <c r="Q24" i="25"/>
  <c r="N24" i="25"/>
  <c r="M24" i="25"/>
  <c r="AD23" i="25"/>
  <c r="AC23" i="25"/>
  <c r="AB23" i="25"/>
  <c r="M23" i="25"/>
  <c r="AD22" i="25"/>
  <c r="AC22" i="25"/>
  <c r="AB22" i="25"/>
  <c r="N22" i="25"/>
  <c r="M22" i="25"/>
  <c r="AD21" i="25"/>
  <c r="AC21" i="25"/>
  <c r="AB21" i="25"/>
  <c r="N21" i="25"/>
  <c r="M21" i="25"/>
  <c r="AI20" i="25"/>
  <c r="AD20" i="25"/>
  <c r="AC20" i="25"/>
  <c r="AB20" i="25"/>
  <c r="V20" i="25"/>
  <c r="Q20" i="25"/>
  <c r="AI19" i="25"/>
  <c r="AD19" i="25"/>
  <c r="AM47" i="25" s="1"/>
  <c r="AK47" i="25" s="1"/>
  <c r="AC19" i="25"/>
  <c r="AB19" i="25"/>
  <c r="AI18" i="25"/>
  <c r="AE18" i="25"/>
  <c r="AD18" i="25"/>
  <c r="AM46" i="25" s="1"/>
  <c r="AK46" i="25" s="1"/>
  <c r="AC18" i="25"/>
  <c r="AB18" i="25"/>
  <c r="N18" i="25"/>
  <c r="M18" i="25"/>
  <c r="AJ17" i="25"/>
  <c r="AL17" i="25" s="1"/>
  <c r="AD17" i="25"/>
  <c r="AM45" i="25" s="1"/>
  <c r="AK45" i="25" s="1"/>
  <c r="AC17" i="25"/>
  <c r="AB17" i="25"/>
  <c r="W17" i="25"/>
  <c r="V17" i="25"/>
  <c r="U17" i="25"/>
  <c r="N17" i="25"/>
  <c r="M17" i="25"/>
  <c r="AD16" i="25"/>
  <c r="AM44" i="25" s="1"/>
  <c r="AK44" i="25" s="1"/>
  <c r="AC16" i="25"/>
  <c r="AM24" i="25" s="1"/>
  <c r="AB16" i="25"/>
  <c r="Q16" i="25"/>
  <c r="AD15" i="25"/>
  <c r="AM43" i="25" s="1"/>
  <c r="AC15" i="25"/>
  <c r="AM23" i="25" s="1"/>
  <c r="AK23" i="25" s="1"/>
  <c r="AB15" i="25"/>
  <c r="N15" i="25"/>
  <c r="M15" i="25"/>
  <c r="AD14" i="25"/>
  <c r="AM35" i="25" s="1"/>
  <c r="AK35" i="25" s="1"/>
  <c r="AC14" i="25"/>
  <c r="AM22" i="25" s="1"/>
  <c r="AK22" i="25" s="1"/>
  <c r="AB14" i="25"/>
  <c r="AE13" i="25"/>
  <c r="AD13" i="25"/>
  <c r="AM34" i="25" s="1"/>
  <c r="AK34" i="25" s="1"/>
  <c r="AC13" i="25"/>
  <c r="AM21" i="25" s="1"/>
  <c r="AK21" i="25" s="1"/>
  <c r="AB13" i="25"/>
  <c r="N13" i="25"/>
  <c r="M13" i="25"/>
  <c r="AE12" i="25"/>
  <c r="AD12" i="25"/>
  <c r="AM33" i="25" s="1"/>
  <c r="AK33" i="25" s="1"/>
  <c r="AC12" i="25"/>
  <c r="AB12" i="25"/>
  <c r="AD11" i="25"/>
  <c r="AM32" i="25" s="1"/>
  <c r="AC11" i="25"/>
  <c r="AB11" i="25"/>
  <c r="AD10" i="25"/>
  <c r="AM20" i="25" s="1"/>
  <c r="AK20" i="25" s="1"/>
  <c r="AC10" i="25"/>
  <c r="AB10" i="25"/>
  <c r="AD9" i="25"/>
  <c r="AM19" i="25" s="1"/>
  <c r="AK19" i="25" s="1"/>
  <c r="AC9" i="25"/>
  <c r="AB9" i="25"/>
  <c r="AI8" i="25"/>
  <c r="AI21" i="25" s="1"/>
  <c r="AE8" i="25"/>
  <c r="AD8" i="25"/>
  <c r="AM18" i="25" s="1"/>
  <c r="AC8" i="25"/>
  <c r="AB8" i="25"/>
  <c r="N8" i="25"/>
  <c r="AI7" i="25"/>
  <c r="AC7" i="25"/>
  <c r="AB7" i="25"/>
  <c r="N7" i="25"/>
  <c r="AI6" i="25"/>
  <c r="AD6" i="25"/>
  <c r="AM6" i="25" s="1"/>
  <c r="AK6" i="25" s="1"/>
  <c r="AC6" i="25"/>
  <c r="AB6" i="25"/>
  <c r="Q6" i="25"/>
  <c r="AI5" i="25"/>
  <c r="AD5" i="25"/>
  <c r="AM5" i="25" s="1"/>
  <c r="AK5" i="25" s="1"/>
  <c r="AC5" i="25"/>
  <c r="AB5" i="25"/>
  <c r="AI4" i="25"/>
  <c r="AD4" i="25"/>
  <c r="AM4" i="25" s="1"/>
  <c r="AC4" i="25"/>
  <c r="AB4" i="25"/>
  <c r="Q4" i="25"/>
  <c r="N4" i="25"/>
  <c r="M4" i="25"/>
  <c r="AJ3" i="25"/>
  <c r="AL3" i="25" s="1"/>
  <c r="AI3" i="25"/>
  <c r="AI17" i="25" s="1"/>
  <c r="AI31" i="25" s="1"/>
  <c r="AI42" i="25" s="1"/>
  <c r="H3" i="10"/>
  <c r="G3" i="10"/>
  <c r="B4" i="33"/>
  <c r="AI234" i="36"/>
  <c r="AA276" i="31"/>
  <c r="AQ276" i="31" s="1"/>
  <c r="AI233" i="36"/>
  <c r="AI232" i="36"/>
  <c r="V232" i="36"/>
  <c r="L232" i="36"/>
  <c r="AI231" i="36"/>
  <c r="AN273" i="31"/>
  <c r="AC273" i="31"/>
  <c r="X231" i="36" s="1"/>
  <c r="AA273" i="31"/>
  <c r="AQ273" i="31" s="1"/>
  <c r="AI230" i="36"/>
  <c r="AN272" i="31"/>
  <c r="AC272" i="31"/>
  <c r="AA272" i="31"/>
  <c r="AQ272" i="31" s="1"/>
  <c r="AO266" i="31"/>
  <c r="AI229" i="36" s="1"/>
  <c r="AN266" i="31"/>
  <c r="AC266" i="31"/>
  <c r="U106" i="25" s="1"/>
  <c r="AA266" i="31"/>
  <c r="AC265" i="31"/>
  <c r="Z265" i="31"/>
  <c r="AO263" i="31"/>
  <c r="AI226" i="36" s="1"/>
  <c r="AN263" i="31"/>
  <c r="AH226" i="36" s="1"/>
  <c r="AC263" i="31"/>
  <c r="U103" i="25" s="1"/>
  <c r="AA263" i="31"/>
  <c r="V226" i="36" s="1"/>
  <c r="AO262" i="31"/>
  <c r="AI225" i="36" s="1"/>
  <c r="AN262" i="31"/>
  <c r="AC262" i="31"/>
  <c r="AA262" i="31"/>
  <c r="AO261" i="31"/>
  <c r="AI224" i="36" s="1"/>
  <c r="AN261" i="31"/>
  <c r="AC261" i="31"/>
  <c r="U101" i="25" s="1"/>
  <c r="AA261" i="31"/>
  <c r="AO260" i="31"/>
  <c r="AI223" i="36" s="1"/>
  <c r="AN260" i="31"/>
  <c r="AC260" i="31"/>
  <c r="U100" i="25" s="1"/>
  <c r="AA260" i="31"/>
  <c r="AO254" i="31"/>
  <c r="AI215" i="36" s="1"/>
  <c r="AN254" i="31"/>
  <c r="AH215" i="36" s="1"/>
  <c r="AC254" i="31"/>
  <c r="U98" i="25" s="1"/>
  <c r="AA254" i="31"/>
  <c r="V215" i="36" s="1"/>
  <c r="AO253" i="31"/>
  <c r="AI214" i="36" s="1"/>
  <c r="AN253" i="31"/>
  <c r="AC253" i="31"/>
  <c r="U97" i="25" s="1"/>
  <c r="AA253" i="31"/>
  <c r="AO252" i="31"/>
  <c r="AI213" i="36" s="1"/>
  <c r="AN252" i="31"/>
  <c r="AH213" i="36" s="1"/>
  <c r="AC252" i="31"/>
  <c r="AA252" i="31"/>
  <c r="AD251" i="31"/>
  <c r="Y212" i="36" s="1"/>
  <c r="AC251" i="31"/>
  <c r="X212" i="36" s="1"/>
  <c r="AO249" i="31"/>
  <c r="AI210" i="36" s="1"/>
  <c r="AN249" i="31"/>
  <c r="AH210" i="36" s="1"/>
  <c r="AC249" i="31"/>
  <c r="U93" i="25" s="1"/>
  <c r="AA249" i="31"/>
  <c r="AO248" i="31"/>
  <c r="AI209" i="36" s="1"/>
  <c r="AN248" i="31"/>
  <c r="AC248" i="31"/>
  <c r="U92" i="25" s="1"/>
  <c r="AA248" i="31"/>
  <c r="V209" i="36" s="1"/>
  <c r="AO247" i="31"/>
  <c r="AI208" i="36" s="1"/>
  <c r="AN247" i="31"/>
  <c r="AC247" i="31"/>
  <c r="U91" i="25" s="1"/>
  <c r="AA247" i="31"/>
  <c r="AE202" i="31"/>
  <c r="W81" i="25" s="1"/>
  <c r="AO201" i="31"/>
  <c r="AI162" i="36" s="1"/>
  <c r="AN201" i="31"/>
  <c r="AH162" i="36" s="1"/>
  <c r="AC201" i="31"/>
  <c r="AA201" i="31"/>
  <c r="AI161" i="36"/>
  <c r="Y161" i="36"/>
  <c r="AI160" i="36"/>
  <c r="AH160" i="36"/>
  <c r="Y160" i="36"/>
  <c r="AI159" i="36"/>
  <c r="AH159" i="36"/>
  <c r="Y159" i="36"/>
  <c r="AO197" i="31"/>
  <c r="AI158" i="36" s="1"/>
  <c r="AN197" i="31"/>
  <c r="AD197" i="31"/>
  <c r="V76" i="25" s="1"/>
  <c r="AC197" i="31"/>
  <c r="U76" i="25" s="1"/>
  <c r="AA197" i="31"/>
  <c r="AO196" i="31"/>
  <c r="AI157" i="36" s="1"/>
  <c r="AN196" i="31"/>
  <c r="AD196" i="31"/>
  <c r="V75" i="25" s="1"/>
  <c r="AC196" i="31"/>
  <c r="U75" i="25" s="1"/>
  <c r="AA196" i="31"/>
  <c r="AO195" i="31"/>
  <c r="AI156" i="36" s="1"/>
  <c r="AN195" i="31"/>
  <c r="AD195" i="31"/>
  <c r="D19" i="25" s="1"/>
  <c r="AC195" i="31"/>
  <c r="C19" i="25" s="1"/>
  <c r="AA195" i="31"/>
  <c r="V156" i="36" s="1"/>
  <c r="AO194" i="31"/>
  <c r="AI155" i="36" s="1"/>
  <c r="AA194" i="31"/>
  <c r="V155" i="36" s="1"/>
  <c r="AO193" i="31"/>
  <c r="AI154" i="36" s="1"/>
  <c r="AA193" i="31"/>
  <c r="V154" i="36" s="1"/>
  <c r="AO192" i="31"/>
  <c r="AI153" i="36" s="1"/>
  <c r="AA192" i="31"/>
  <c r="V153" i="36" s="1"/>
  <c r="AO191" i="31"/>
  <c r="AI152" i="36" s="1"/>
  <c r="AN191" i="31"/>
  <c r="AE121" i="25" s="1"/>
  <c r="AD191" i="31"/>
  <c r="AC191" i="31"/>
  <c r="AA191" i="31"/>
  <c r="AO177" i="31"/>
  <c r="AI151" i="36" s="1"/>
  <c r="AN177" i="31"/>
  <c r="AH151" i="36" s="1"/>
  <c r="AD177" i="31"/>
  <c r="Y151" i="36" s="1"/>
  <c r="AC177" i="31"/>
  <c r="X151" i="36" s="1"/>
  <c r="AA177" i="31"/>
  <c r="AD176" i="31"/>
  <c r="Y150" i="36" s="1"/>
  <c r="AA176" i="31"/>
  <c r="V150" i="36" s="1"/>
  <c r="AO175" i="31"/>
  <c r="AI149" i="36" s="1"/>
  <c r="AN175" i="31"/>
  <c r="AD175" i="31"/>
  <c r="AC175" i="31"/>
  <c r="AA175" i="31"/>
  <c r="AO174" i="31"/>
  <c r="AI148" i="36" s="1"/>
  <c r="AN174" i="31"/>
  <c r="AH148" i="36" s="1"/>
  <c r="AD174" i="31"/>
  <c r="AC174" i="31"/>
  <c r="AA174" i="31"/>
  <c r="AS173" i="31"/>
  <c r="AM147" i="36" s="1"/>
  <c r="AO173" i="31"/>
  <c r="AI147" i="36" s="1"/>
  <c r="AN173" i="31"/>
  <c r="AH147" i="36" s="1"/>
  <c r="AD173" i="31"/>
  <c r="V57" i="25" s="1"/>
  <c r="AC173" i="31"/>
  <c r="AA173" i="31"/>
  <c r="X146" i="36"/>
  <c r="AF171" i="31"/>
  <c r="AA143" i="36" s="1"/>
  <c r="AD171" i="31"/>
  <c r="AC171" i="31"/>
  <c r="AA171" i="31"/>
  <c r="AC170" i="31"/>
  <c r="Z170" i="31"/>
  <c r="AD100" i="25" s="1"/>
  <c r="AO169" i="31"/>
  <c r="AI141" i="36" s="1"/>
  <c r="AN169" i="31"/>
  <c r="AC169" i="31"/>
  <c r="X141" i="36" s="1"/>
  <c r="AA169" i="31"/>
  <c r="AO168" i="31"/>
  <c r="AI140" i="36" s="1"/>
  <c r="AN168" i="31"/>
  <c r="AH140" i="36" s="1"/>
  <c r="AD168" i="31"/>
  <c r="AC168" i="31"/>
  <c r="AA168" i="31"/>
  <c r="AC167" i="31"/>
  <c r="AO167" i="31"/>
  <c r="AI139" i="36" s="1"/>
  <c r="AO166" i="31"/>
  <c r="AI138" i="36" s="1"/>
  <c r="AN166" i="31"/>
  <c r="AE97" i="25" s="1"/>
  <c r="AD166" i="31"/>
  <c r="AC166" i="31"/>
  <c r="AA166" i="31"/>
  <c r="AC165" i="31"/>
  <c r="AO164" i="31"/>
  <c r="AI136" i="36" s="1"/>
  <c r="AN164" i="31"/>
  <c r="AH136" i="36" s="1"/>
  <c r="AA164" i="31"/>
  <c r="AO163" i="31"/>
  <c r="AI135" i="36" s="1"/>
  <c r="AN163" i="31"/>
  <c r="AH135" i="36" s="1"/>
  <c r="AA163" i="31"/>
  <c r="AO162" i="31"/>
  <c r="AI134" i="36" s="1"/>
  <c r="AN162" i="31"/>
  <c r="AH134" i="36" s="1"/>
  <c r="AD162" i="31"/>
  <c r="AA162" i="31"/>
  <c r="V134" i="36" s="1"/>
  <c r="AO161" i="31"/>
  <c r="AI133" i="36" s="1"/>
  <c r="AN161" i="31"/>
  <c r="AE110" i="25" s="1"/>
  <c r="AA161" i="31"/>
  <c r="AO160" i="31"/>
  <c r="AI132" i="36" s="1"/>
  <c r="AN160" i="31"/>
  <c r="AH132" i="36" s="1"/>
  <c r="AA160" i="31"/>
  <c r="AO159" i="31"/>
  <c r="AI131" i="36" s="1"/>
  <c r="AN159" i="31"/>
  <c r="AH131" i="36" s="1"/>
  <c r="AD159" i="31"/>
  <c r="Y131" i="36" s="1"/>
  <c r="AC159" i="31"/>
  <c r="AA159" i="31"/>
  <c r="AI128" i="36"/>
  <c r="AH128" i="36"/>
  <c r="AO153" i="31"/>
  <c r="AI127" i="36" s="1"/>
  <c r="AN153" i="31"/>
  <c r="AH127" i="36" s="1"/>
  <c r="AO152" i="31"/>
  <c r="AI126" i="36" s="1"/>
  <c r="AN152" i="31"/>
  <c r="AH126" i="36" s="1"/>
  <c r="AD152" i="31"/>
  <c r="Y126" i="36" s="1"/>
  <c r="V126" i="36"/>
  <c r="AO151" i="31"/>
  <c r="AI125" i="36" s="1"/>
  <c r="AN151" i="31"/>
  <c r="AE82" i="25" s="1"/>
  <c r="AA151" i="31"/>
  <c r="AO150" i="31"/>
  <c r="AI124" i="36" s="1"/>
  <c r="AN150" i="31"/>
  <c r="AA150" i="31"/>
  <c r="V124" i="36" s="1"/>
  <c r="AO149" i="31"/>
  <c r="AI123" i="36" s="1"/>
  <c r="AN149" i="31"/>
  <c r="AE80" i="25" s="1"/>
  <c r="AA149" i="31"/>
  <c r="V123" i="36" s="1"/>
  <c r="AO148" i="31"/>
  <c r="AI122" i="36" s="1"/>
  <c r="AN148" i="31"/>
  <c r="AA148" i="31"/>
  <c r="V122" i="36" s="1"/>
  <c r="AO147" i="31"/>
  <c r="AI121" i="36" s="1"/>
  <c r="AN147" i="31"/>
  <c r="AA147" i="31"/>
  <c r="V121" i="36" s="1"/>
  <c r="AO146" i="31"/>
  <c r="AI120" i="36" s="1"/>
  <c r="AN146" i="31"/>
  <c r="AA146" i="31"/>
  <c r="AO145" i="31"/>
  <c r="AI119" i="36" s="1"/>
  <c r="AN145" i="31"/>
  <c r="AA145" i="31"/>
  <c r="AO144" i="31"/>
  <c r="AI118" i="36" s="1"/>
  <c r="AN144" i="31"/>
  <c r="AH118" i="36" s="1"/>
  <c r="AA144" i="31"/>
  <c r="AO143" i="31"/>
  <c r="AI117" i="36" s="1"/>
  <c r="AN143" i="31"/>
  <c r="AO142" i="31"/>
  <c r="AI116" i="36" s="1"/>
  <c r="AN142" i="31"/>
  <c r="AH116" i="36" s="1"/>
  <c r="AO141" i="31"/>
  <c r="AI115" i="36" s="1"/>
  <c r="AN141" i="31"/>
  <c r="AO140" i="31"/>
  <c r="AI114" i="36" s="1"/>
  <c r="AN140" i="31"/>
  <c r="AD140" i="31"/>
  <c r="Y114" i="36" s="1"/>
  <c r="V114" i="36"/>
  <c r="AQ138" i="31"/>
  <c r="AK112" i="36" s="1"/>
  <c r="AK113" i="36" s="1"/>
  <c r="AO138" i="31"/>
  <c r="AI112" i="36" s="1"/>
  <c r="AN138" i="31"/>
  <c r="AH112" i="36" s="1"/>
  <c r="AQ137" i="31"/>
  <c r="AK111" i="36" s="1"/>
  <c r="AO137" i="31"/>
  <c r="AI111" i="36" s="1"/>
  <c r="AN137" i="31"/>
  <c r="AH111" i="36" s="1"/>
  <c r="AQ136" i="31"/>
  <c r="AK110" i="36" s="1"/>
  <c r="AO136" i="31"/>
  <c r="AI110" i="36" s="1"/>
  <c r="AN136" i="31"/>
  <c r="AH110" i="36" s="1"/>
  <c r="AQ135" i="31"/>
  <c r="AK109" i="36" s="1"/>
  <c r="AO135" i="31"/>
  <c r="AI109" i="36" s="1"/>
  <c r="AN135" i="31"/>
  <c r="AH109" i="36" s="1"/>
  <c r="AO134" i="31"/>
  <c r="AI108" i="36" s="1"/>
  <c r="AN134" i="31"/>
  <c r="AH108" i="36" s="1"/>
  <c r="AA134" i="31"/>
  <c r="AI107" i="36"/>
  <c r="AE91" i="25"/>
  <c r="AD127" i="31"/>
  <c r="V28" i="25" s="1"/>
  <c r="AO132" i="31"/>
  <c r="AI105" i="36" s="1"/>
  <c r="AN132" i="31"/>
  <c r="AA132" i="31"/>
  <c r="AO131" i="31"/>
  <c r="AI104" i="36" s="1"/>
  <c r="AN131" i="31"/>
  <c r="AH104" i="36" s="1"/>
  <c r="AA131" i="31"/>
  <c r="AQ130" i="31"/>
  <c r="AK103" i="36" s="1"/>
  <c r="AO130" i="31"/>
  <c r="AI103" i="36" s="1"/>
  <c r="AN130" i="31"/>
  <c r="AH103" i="36" s="1"/>
  <c r="AO127" i="31"/>
  <c r="AN127" i="31"/>
  <c r="AH100" i="36" s="1"/>
  <c r="AA127" i="31"/>
  <c r="V100" i="36" s="1"/>
  <c r="AI99" i="36"/>
  <c r="AI96" i="36"/>
  <c r="AI95" i="36"/>
  <c r="AH95" i="36"/>
  <c r="AI94" i="36"/>
  <c r="AI93" i="36"/>
  <c r="AI92" i="36"/>
  <c r="AH92" i="36"/>
  <c r="AI91" i="36"/>
  <c r="AI90" i="36"/>
  <c r="AH90" i="36"/>
  <c r="AI89" i="36"/>
  <c r="AH89" i="36"/>
  <c r="AI88" i="36"/>
  <c r="AI87" i="36"/>
  <c r="AI86" i="36"/>
  <c r="AI85" i="36"/>
  <c r="AE70" i="25"/>
  <c r="AI84" i="36"/>
  <c r="AI83" i="36"/>
  <c r="AI82" i="36"/>
  <c r="AE67" i="25"/>
  <c r="AI81" i="36"/>
  <c r="AH81" i="36"/>
  <c r="AI80" i="36"/>
  <c r="AH80" i="36"/>
  <c r="V80" i="36"/>
  <c r="AI79" i="36"/>
  <c r="AI78" i="36"/>
  <c r="AI77" i="36"/>
  <c r="AH77" i="36"/>
  <c r="AI76" i="36"/>
  <c r="AH76" i="36"/>
  <c r="AI75" i="36"/>
  <c r="AH75" i="36"/>
  <c r="AI74" i="36"/>
  <c r="AI73" i="36"/>
  <c r="AN126" i="31"/>
  <c r="AH72" i="36" s="1"/>
  <c r="AA126" i="31"/>
  <c r="V72" i="36" s="1"/>
  <c r="AO125" i="31"/>
  <c r="AS125" i="31" s="1"/>
  <c r="AN125" i="31"/>
  <c r="AR125" i="31" s="1"/>
  <c r="AA125" i="31"/>
  <c r="AE60" i="25"/>
  <c r="V24" i="25"/>
  <c r="AQ124" i="31"/>
  <c r="AK70" i="36" s="1"/>
  <c r="AO124" i="31"/>
  <c r="AI70" i="36" s="1"/>
  <c r="AN124" i="31"/>
  <c r="AQ123" i="31"/>
  <c r="AK69" i="36" s="1"/>
  <c r="AO123" i="31"/>
  <c r="AI69" i="36" s="1"/>
  <c r="AN123" i="31"/>
  <c r="AQ122" i="31"/>
  <c r="AK68" i="36" s="1"/>
  <c r="AO122" i="31"/>
  <c r="AI68" i="36" s="1"/>
  <c r="AN122" i="31"/>
  <c r="AQ121" i="31"/>
  <c r="AK67" i="36" s="1"/>
  <c r="AO121" i="31"/>
  <c r="AI67" i="36" s="1"/>
  <c r="AN121" i="31"/>
  <c r="AQ120" i="31"/>
  <c r="AK66" i="36" s="1"/>
  <c r="AO120" i="31"/>
  <c r="AI66" i="36" s="1"/>
  <c r="AN120" i="31"/>
  <c r="AD120" i="31"/>
  <c r="V26" i="25" s="1"/>
  <c r="AC120" i="31"/>
  <c r="X66" i="36" s="1"/>
  <c r="AO119" i="31"/>
  <c r="AI65" i="36" s="1"/>
  <c r="AN119" i="31"/>
  <c r="AD119" i="31"/>
  <c r="V21" i="25" s="1"/>
  <c r="AC119" i="31"/>
  <c r="AA119" i="31"/>
  <c r="AO118" i="31"/>
  <c r="AI64" i="36" s="1"/>
  <c r="AN118" i="31"/>
  <c r="AE52" i="25" s="1"/>
  <c r="AA118" i="31"/>
  <c r="AA117" i="31"/>
  <c r="AO116" i="31"/>
  <c r="AI62" i="36" s="1"/>
  <c r="AN116" i="31"/>
  <c r="AO115" i="31"/>
  <c r="AI61" i="36" s="1"/>
  <c r="AN115" i="31"/>
  <c r="AE46" i="25" s="1"/>
  <c r="AQ115" i="31"/>
  <c r="AK61" i="36" s="1"/>
  <c r="AA108" i="31"/>
  <c r="AO107" i="31"/>
  <c r="AN107" i="31"/>
  <c r="AH53" i="36" s="1"/>
  <c r="AD107" i="31"/>
  <c r="Y53" i="36" s="1"/>
  <c r="X53" i="36"/>
  <c r="AA107" i="31"/>
  <c r="U52" i="36"/>
  <c r="AA105" i="31"/>
  <c r="AO104" i="31"/>
  <c r="AI50" i="36" s="1"/>
  <c r="AN104" i="31"/>
  <c r="AA104" i="31"/>
  <c r="AO103" i="31"/>
  <c r="AI49" i="36" s="1"/>
  <c r="AN103" i="31"/>
  <c r="AH49" i="36" s="1"/>
  <c r="AA103" i="31"/>
  <c r="AO96" i="31"/>
  <c r="AI47" i="36" s="1"/>
  <c r="AN96" i="31"/>
  <c r="AO95" i="31"/>
  <c r="AI46" i="36" s="1"/>
  <c r="AN95" i="31"/>
  <c r="AO94" i="31"/>
  <c r="AI45" i="36" s="1"/>
  <c r="AN94" i="31"/>
  <c r="AO93" i="31"/>
  <c r="AI44" i="36" s="1"/>
  <c r="AN93" i="31"/>
  <c r="AE35" i="25" s="1"/>
  <c r="AA93" i="31"/>
  <c r="AA92" i="31"/>
  <c r="V43" i="36" s="1"/>
  <c r="AO91" i="31"/>
  <c r="AI42" i="36" s="1"/>
  <c r="AN91" i="31"/>
  <c r="AA91" i="31"/>
  <c r="V42" i="36" s="1"/>
  <c r="AC90" i="31"/>
  <c r="Z90" i="31"/>
  <c r="U41" i="36" s="1"/>
  <c r="AO89" i="31"/>
  <c r="AN89" i="31"/>
  <c r="AH40" i="36" s="1"/>
  <c r="AA89" i="31"/>
  <c r="AO88" i="31"/>
  <c r="AI39" i="36" s="1"/>
  <c r="AN88" i="31"/>
  <c r="AE32" i="25" s="1"/>
  <c r="AD88" i="31"/>
  <c r="V11" i="25" s="1"/>
  <c r="AC88" i="31"/>
  <c r="U11" i="25" s="1"/>
  <c r="AA88" i="31"/>
  <c r="AN87" i="31"/>
  <c r="AH38" i="36" s="1"/>
  <c r="AN86" i="31"/>
  <c r="AN85" i="31"/>
  <c r="AH36" i="36" s="1"/>
  <c r="AC84" i="31"/>
  <c r="Z84" i="31"/>
  <c r="U35" i="36" s="1"/>
  <c r="AO83" i="31"/>
  <c r="AI34" i="36" s="1"/>
  <c r="AN83" i="31"/>
  <c r="AH34" i="36" s="1"/>
  <c r="AA83" i="31"/>
  <c r="AO82" i="31"/>
  <c r="AN82" i="31"/>
  <c r="AE27" i="25" s="1"/>
  <c r="AD82" i="31"/>
  <c r="AC82" i="31"/>
  <c r="AA82" i="31"/>
  <c r="AO81" i="31"/>
  <c r="AI32" i="36" s="1"/>
  <c r="AN81" i="31"/>
  <c r="AE26" i="25" s="1"/>
  <c r="AA81" i="31"/>
  <c r="AO80" i="31"/>
  <c r="AI31" i="36" s="1"/>
  <c r="AN80" i="31"/>
  <c r="AH31" i="36" s="1"/>
  <c r="AA80" i="31"/>
  <c r="AO79" i="31"/>
  <c r="AI30" i="36" s="1"/>
  <c r="AN79" i="31"/>
  <c r="V8" i="25"/>
  <c r="AA79" i="31"/>
  <c r="M79" i="31"/>
  <c r="I30" i="36" s="1"/>
  <c r="AA76" i="31"/>
  <c r="AO75" i="31"/>
  <c r="AI28" i="36" s="1"/>
  <c r="AN75" i="31"/>
  <c r="AE20" i="25" s="1"/>
  <c r="AA75" i="31"/>
  <c r="AQ75" i="31" s="1"/>
  <c r="AK28" i="36" s="1"/>
  <c r="AO74" i="31"/>
  <c r="AI27" i="36" s="1"/>
  <c r="AN74" i="31"/>
  <c r="AE19" i="25" s="1"/>
  <c r="AA74" i="31"/>
  <c r="AQ74" i="31" s="1"/>
  <c r="AK27" i="36" s="1"/>
  <c r="AO72" i="31"/>
  <c r="AI25" i="36" s="1"/>
  <c r="AN72" i="31"/>
  <c r="AE17" i="25" s="1"/>
  <c r="AA72" i="31"/>
  <c r="AQ72" i="31" s="1"/>
  <c r="AK25" i="36" s="1"/>
  <c r="AK26" i="36" s="1"/>
  <c r="AO71" i="31"/>
  <c r="AN71" i="31"/>
  <c r="AE16" i="25" s="1"/>
  <c r="AD71" i="31"/>
  <c r="V7" i="25" s="1"/>
  <c r="AA71" i="31"/>
  <c r="AQ71" i="31" s="1"/>
  <c r="AO67" i="31"/>
  <c r="AI23" i="36" s="1"/>
  <c r="AN67" i="31"/>
  <c r="AE15" i="25" s="1"/>
  <c r="AA67" i="31"/>
  <c r="V23" i="36" s="1"/>
  <c r="AO66" i="31"/>
  <c r="AI22" i="36" s="1"/>
  <c r="AN66" i="31"/>
  <c r="AE14" i="25" s="1"/>
  <c r="AA66" i="31"/>
  <c r="AQ66" i="31" s="1"/>
  <c r="AK22" i="36" s="1"/>
  <c r="AO64" i="31"/>
  <c r="AI21" i="36" s="1"/>
  <c r="AN64" i="31"/>
  <c r="AE54" i="25" s="1"/>
  <c r="AA64" i="31"/>
  <c r="AQ64" i="31" s="1"/>
  <c r="AK21" i="36" s="1"/>
  <c r="AO60" i="31"/>
  <c r="AI17" i="36" s="1"/>
  <c r="AN60" i="31"/>
  <c r="AE11" i="25" s="1"/>
  <c r="AA60" i="31"/>
  <c r="AQ60" i="31" s="1"/>
  <c r="AK17" i="36" s="1"/>
  <c r="AK18" i="36" s="1"/>
  <c r="AK19" i="36" s="1"/>
  <c r="AK20" i="36" s="1"/>
  <c r="AO56" i="31"/>
  <c r="AI16" i="36" s="1"/>
  <c r="AN56" i="31"/>
  <c r="AE10" i="25" s="1"/>
  <c r="AA56" i="31"/>
  <c r="AQ56" i="31" s="1"/>
  <c r="AK16" i="36" s="1"/>
  <c r="AO55" i="31"/>
  <c r="AI15" i="36" s="1"/>
  <c r="AN55" i="31"/>
  <c r="AE9" i="25" s="1"/>
  <c r="AA55" i="31"/>
  <c r="V15" i="36" s="1"/>
  <c r="AO54" i="31"/>
  <c r="AI14" i="36" s="1"/>
  <c r="AN54" i="31"/>
  <c r="AH14" i="36" s="1"/>
  <c r="V5" i="25"/>
  <c r="AA51" i="31"/>
  <c r="AQ54" i="31" s="1"/>
  <c r="AK14" i="36" s="1"/>
  <c r="AA50" i="31"/>
  <c r="AQ50" i="31" s="1"/>
  <c r="AQ47" i="31"/>
  <c r="AK10" i="36" s="1"/>
  <c r="AK11" i="36" s="1"/>
  <c r="AK12" i="36" s="1"/>
  <c r="AK13" i="36" s="1"/>
  <c r="Z47" i="31"/>
  <c r="U10" i="36" s="1"/>
  <c r="AO46" i="31"/>
  <c r="AI9" i="36" s="1"/>
  <c r="AN46" i="31"/>
  <c r="AE6" i="25" s="1"/>
  <c r="AA46" i="31"/>
  <c r="AQ46" i="31" s="1"/>
  <c r="AK9" i="36" s="1"/>
  <c r="AA45" i="31"/>
  <c r="V8" i="36" s="1"/>
  <c r="AA44" i="31"/>
  <c r="V7" i="36" s="1"/>
  <c r="AA43" i="31"/>
  <c r="V6" i="36" s="1"/>
  <c r="AO42" i="31"/>
  <c r="AI5" i="36" s="1"/>
  <c r="AN42" i="31"/>
  <c r="AE5" i="25" s="1"/>
  <c r="AA42" i="31"/>
  <c r="AQ42" i="31" s="1"/>
  <c r="AK5" i="36" s="1"/>
  <c r="AK6" i="36" s="1"/>
  <c r="AK7" i="36" s="1"/>
  <c r="AK8" i="36" s="1"/>
  <c r="AX41" i="31"/>
  <c r="AW41" i="31"/>
  <c r="AV41" i="31"/>
  <c r="AO41" i="31"/>
  <c r="AN41" i="31"/>
  <c r="AH4" i="36" s="1"/>
  <c r="AA41" i="31"/>
  <c r="AQ41" i="31" s="1"/>
  <c r="AG28" i="36"/>
  <c r="AF28" i="36"/>
  <c r="AE28" i="36"/>
  <c r="AD28" i="36"/>
  <c r="AC28" i="36"/>
  <c r="AB28" i="36"/>
  <c r="AA28" i="36"/>
  <c r="Z28" i="36"/>
  <c r="Y28" i="36"/>
  <c r="X28" i="36"/>
  <c r="W28" i="36"/>
  <c r="U28" i="36"/>
  <c r="T28" i="36"/>
  <c r="S28" i="36"/>
  <c r="R28" i="36"/>
  <c r="R29" i="36" s="1"/>
  <c r="Q28" i="36"/>
  <c r="Q29" i="36" s="1"/>
  <c r="O28" i="36"/>
  <c r="N28" i="36"/>
  <c r="M28" i="36"/>
  <c r="L28" i="36"/>
  <c r="K28" i="36"/>
  <c r="J28" i="36"/>
  <c r="I28" i="36"/>
  <c r="H28" i="36"/>
  <c r="AG27" i="36"/>
  <c r="AF27" i="36"/>
  <c r="AE27" i="36"/>
  <c r="AD27" i="36"/>
  <c r="AC27" i="36"/>
  <c r="AB27" i="36"/>
  <c r="AA27" i="36"/>
  <c r="Z27" i="36"/>
  <c r="Y27" i="36"/>
  <c r="X27" i="36"/>
  <c r="W27" i="36"/>
  <c r="U27" i="36"/>
  <c r="T27" i="36"/>
  <c r="S27" i="36"/>
  <c r="R27" i="36"/>
  <c r="Q27" i="36"/>
  <c r="O27" i="36"/>
  <c r="N27" i="36"/>
  <c r="M27" i="36"/>
  <c r="L27" i="36"/>
  <c r="K27" i="36"/>
  <c r="J27" i="36"/>
  <c r="I27" i="36"/>
  <c r="H27" i="36"/>
  <c r="AJ26" i="36"/>
  <c r="AI26" i="36"/>
  <c r="AH26" i="36"/>
  <c r="AG26" i="36"/>
  <c r="AF26" i="36"/>
  <c r="AE26" i="36"/>
  <c r="AD26" i="36"/>
  <c r="AC26" i="36"/>
  <c r="AB26" i="36"/>
  <c r="AA26" i="36"/>
  <c r="Z26" i="36"/>
  <c r="Y26" i="36"/>
  <c r="X26" i="36"/>
  <c r="W26" i="36"/>
  <c r="V26" i="36"/>
  <c r="U26" i="36"/>
  <c r="T26" i="36"/>
  <c r="S26" i="36"/>
  <c r="Q26" i="36"/>
  <c r="O26" i="36"/>
  <c r="M26" i="36"/>
  <c r="L26" i="36"/>
  <c r="K26" i="36"/>
  <c r="J26" i="36"/>
  <c r="I26" i="36"/>
  <c r="H26" i="36"/>
  <c r="AG25" i="36"/>
  <c r="AF25" i="36"/>
  <c r="AE25" i="36"/>
  <c r="AD25" i="36"/>
  <c r="AC25" i="36"/>
  <c r="AB25" i="36"/>
  <c r="AA25" i="36"/>
  <c r="Z25" i="36"/>
  <c r="Y25" i="36"/>
  <c r="X25" i="36"/>
  <c r="W25" i="36"/>
  <c r="U25" i="36"/>
  <c r="T25" i="36"/>
  <c r="S25" i="36"/>
  <c r="R25" i="36"/>
  <c r="R26" i="36" s="1"/>
  <c r="Q25" i="36"/>
  <c r="O25" i="36"/>
  <c r="N25" i="36"/>
  <c r="N26" i="36" s="1"/>
  <c r="M25" i="36"/>
  <c r="L25" i="36"/>
  <c r="K25" i="36"/>
  <c r="J25" i="36"/>
  <c r="I25" i="36"/>
  <c r="H25" i="36"/>
  <c r="AG24" i="36"/>
  <c r="AF24" i="36"/>
  <c r="AE24" i="36"/>
  <c r="AD24" i="36"/>
  <c r="AC24" i="36"/>
  <c r="AB24" i="36"/>
  <c r="AA24" i="36"/>
  <c r="W24" i="36"/>
  <c r="U24" i="36"/>
  <c r="T24" i="36"/>
  <c r="S24" i="36"/>
  <c r="R24" i="36"/>
  <c r="Q24" i="36"/>
  <c r="O24" i="36"/>
  <c r="N24" i="36"/>
  <c r="M24" i="36"/>
  <c r="K24" i="36"/>
  <c r="J24" i="36"/>
  <c r="I24" i="36"/>
  <c r="H24" i="36"/>
  <c r="G24" i="36"/>
  <c r="G25" i="36" s="1"/>
  <c r="G26" i="36" s="1"/>
  <c r="G27" i="36" s="1"/>
  <c r="G28" i="36" s="1"/>
  <c r="G29" i="36" s="1"/>
  <c r="F24" i="36"/>
  <c r="F25" i="36" s="1"/>
  <c r="F26" i="36" s="1"/>
  <c r="F27" i="36" s="1"/>
  <c r="F28" i="36" s="1"/>
  <c r="F29" i="36" s="1"/>
  <c r="E24" i="36"/>
  <c r="E25" i="36" s="1"/>
  <c r="E26" i="36" s="1"/>
  <c r="E27" i="36" s="1"/>
  <c r="E28" i="36" s="1"/>
  <c r="E29" i="36" s="1"/>
  <c r="D24" i="36"/>
  <c r="D25" i="36" s="1"/>
  <c r="D26" i="36" s="1"/>
  <c r="D27" i="36" s="1"/>
  <c r="D28" i="36" s="1"/>
  <c r="D29" i="36" s="1"/>
  <c r="AG23" i="36"/>
  <c r="AF23" i="36"/>
  <c r="AE23" i="36"/>
  <c r="AD23" i="36"/>
  <c r="AC23" i="36"/>
  <c r="AB23" i="36"/>
  <c r="AA23" i="36"/>
  <c r="Z23" i="36"/>
  <c r="Y23" i="36"/>
  <c r="X23" i="36"/>
  <c r="W23" i="36"/>
  <c r="U23" i="36"/>
  <c r="T23" i="36"/>
  <c r="S23" i="36"/>
  <c r="R23" i="36"/>
  <c r="Q23" i="36"/>
  <c r="O23" i="36"/>
  <c r="N23" i="36"/>
  <c r="M23" i="36"/>
  <c r="L23" i="36"/>
  <c r="K23" i="36"/>
  <c r="J23" i="36"/>
  <c r="I23" i="36"/>
  <c r="H23" i="36"/>
  <c r="AG22" i="36"/>
  <c r="AF22" i="36"/>
  <c r="AE22" i="36"/>
  <c r="AD22" i="36"/>
  <c r="AC22" i="36"/>
  <c r="AB22" i="36"/>
  <c r="AA22" i="36"/>
  <c r="Z22" i="36"/>
  <c r="Y22" i="36"/>
  <c r="X22" i="36"/>
  <c r="W22" i="36"/>
  <c r="U22" i="36"/>
  <c r="T22" i="36"/>
  <c r="S22" i="36"/>
  <c r="Q22" i="36"/>
  <c r="O22" i="36"/>
  <c r="N22" i="36"/>
  <c r="M22" i="36"/>
  <c r="L22" i="36"/>
  <c r="K22" i="36"/>
  <c r="J22" i="36"/>
  <c r="I22" i="36"/>
  <c r="H22" i="36"/>
  <c r="AG21" i="36"/>
  <c r="AF21" i="36"/>
  <c r="AE21" i="36"/>
  <c r="AD21" i="36"/>
  <c r="AC21" i="36"/>
  <c r="AB21" i="36"/>
  <c r="AA21" i="36"/>
  <c r="Z21" i="36"/>
  <c r="Y21" i="36"/>
  <c r="X21" i="36"/>
  <c r="W21" i="36"/>
  <c r="U21" i="36"/>
  <c r="T21" i="36"/>
  <c r="S21" i="36"/>
  <c r="R21" i="36"/>
  <c r="R22" i="36" s="1"/>
  <c r="Q21" i="36"/>
  <c r="O21" i="36"/>
  <c r="N21" i="36"/>
  <c r="M21" i="36"/>
  <c r="L21" i="36"/>
  <c r="K21" i="36"/>
  <c r="J21" i="36"/>
  <c r="I21" i="36"/>
  <c r="H21" i="36"/>
  <c r="AJ20" i="36"/>
  <c r="AI20" i="36"/>
  <c r="AH20" i="36"/>
  <c r="AG20" i="36"/>
  <c r="AF20" i="36"/>
  <c r="AE20" i="36"/>
  <c r="AD20" i="36"/>
  <c r="AC20" i="36"/>
  <c r="AB20" i="36"/>
  <c r="AA20" i="36"/>
  <c r="Z20" i="36"/>
  <c r="Y20" i="36"/>
  <c r="X20" i="36"/>
  <c r="W20" i="36"/>
  <c r="V20" i="36"/>
  <c r="U20" i="36"/>
  <c r="T20" i="36"/>
  <c r="S20" i="36"/>
  <c r="Q20" i="36"/>
  <c r="O20" i="36"/>
  <c r="N20" i="36"/>
  <c r="L20" i="36"/>
  <c r="K20" i="36"/>
  <c r="J20" i="36"/>
  <c r="I20" i="36"/>
  <c r="H20" i="36"/>
  <c r="AJ19" i="36"/>
  <c r="AI19" i="36"/>
  <c r="AH19" i="36"/>
  <c r="AG19" i="36"/>
  <c r="AF19" i="36"/>
  <c r="AE19" i="36"/>
  <c r="AD19" i="36"/>
  <c r="AC19" i="36"/>
  <c r="AB19" i="36"/>
  <c r="AA19" i="36"/>
  <c r="Z19" i="36"/>
  <c r="Y19" i="36"/>
  <c r="X19" i="36"/>
  <c r="W19" i="36"/>
  <c r="V19" i="36"/>
  <c r="U19" i="36"/>
  <c r="T19" i="36"/>
  <c r="S19" i="36"/>
  <c r="R19" i="36"/>
  <c r="R20" i="36" s="1"/>
  <c r="Q19" i="36"/>
  <c r="O19" i="36"/>
  <c r="N19" i="36"/>
  <c r="L19" i="36"/>
  <c r="K19" i="36"/>
  <c r="J19" i="36"/>
  <c r="I19" i="36"/>
  <c r="H19" i="36"/>
  <c r="AJ18" i="36"/>
  <c r="AI18" i="36"/>
  <c r="AH18" i="36"/>
  <c r="AG18" i="36"/>
  <c r="AF18" i="36"/>
  <c r="AE18" i="36"/>
  <c r="AD18" i="36"/>
  <c r="AC18" i="36"/>
  <c r="AB18" i="36"/>
  <c r="AA18" i="36"/>
  <c r="Z18" i="36"/>
  <c r="Y18" i="36"/>
  <c r="X18" i="36"/>
  <c r="W18" i="36"/>
  <c r="V18" i="36"/>
  <c r="U18" i="36"/>
  <c r="T18" i="36"/>
  <c r="S18" i="36"/>
  <c r="R18" i="36"/>
  <c r="Q18" i="36"/>
  <c r="O18" i="36"/>
  <c r="N18" i="36"/>
  <c r="L18" i="36"/>
  <c r="K18" i="36"/>
  <c r="J18" i="36"/>
  <c r="I18" i="36"/>
  <c r="H18" i="36"/>
  <c r="AG17" i="36"/>
  <c r="AF17" i="36"/>
  <c r="AE17" i="36"/>
  <c r="AD17" i="36"/>
  <c r="AC17" i="36"/>
  <c r="AB17" i="36"/>
  <c r="AA17" i="36"/>
  <c r="W17" i="36"/>
  <c r="U17" i="36"/>
  <c r="T17" i="36"/>
  <c r="S17" i="36"/>
  <c r="R17" i="36"/>
  <c r="Q17" i="36"/>
  <c r="O17" i="36"/>
  <c r="N17" i="36"/>
  <c r="M17" i="36"/>
  <c r="M18" i="36" s="1"/>
  <c r="M19" i="36" s="1"/>
  <c r="M20" i="36" s="1"/>
  <c r="K17" i="36"/>
  <c r="J17" i="36"/>
  <c r="I17" i="36"/>
  <c r="H17" i="36"/>
  <c r="G17" i="36"/>
  <c r="G18" i="36" s="1"/>
  <c r="G19" i="36" s="1"/>
  <c r="G20" i="36" s="1"/>
  <c r="G21" i="36" s="1"/>
  <c r="G22" i="36" s="1"/>
  <c r="G23" i="36" s="1"/>
  <c r="F17" i="36"/>
  <c r="F18" i="36" s="1"/>
  <c r="F19" i="36" s="1"/>
  <c r="F20" i="36" s="1"/>
  <c r="F21" i="36" s="1"/>
  <c r="F22" i="36" s="1"/>
  <c r="F23" i="36" s="1"/>
  <c r="E17" i="36"/>
  <c r="E18" i="36" s="1"/>
  <c r="E19" i="36" s="1"/>
  <c r="E20" i="36" s="1"/>
  <c r="E21" i="36" s="1"/>
  <c r="E22" i="36" s="1"/>
  <c r="E23" i="36" s="1"/>
  <c r="D17" i="36"/>
  <c r="D18" i="36" s="1"/>
  <c r="D19" i="36" s="1"/>
  <c r="D20" i="36" s="1"/>
  <c r="D21" i="36" s="1"/>
  <c r="D22" i="36" s="1"/>
  <c r="D23" i="36" s="1"/>
  <c r="AG16" i="36"/>
  <c r="AF16" i="36"/>
  <c r="AE16" i="36"/>
  <c r="AD16" i="36"/>
  <c r="AC16" i="36"/>
  <c r="AB16" i="36"/>
  <c r="AA16" i="36"/>
  <c r="Z16" i="36"/>
  <c r="Y16" i="36"/>
  <c r="X16" i="36"/>
  <c r="W16" i="36"/>
  <c r="U16" i="36"/>
  <c r="T16" i="36"/>
  <c r="S16" i="36"/>
  <c r="Q16" i="36"/>
  <c r="O16" i="36"/>
  <c r="N16" i="36"/>
  <c r="M16" i="36"/>
  <c r="L16" i="36"/>
  <c r="K16" i="36"/>
  <c r="J16" i="36"/>
  <c r="I16" i="36"/>
  <c r="H16" i="36"/>
  <c r="AG15" i="36"/>
  <c r="AF15" i="36"/>
  <c r="AE15" i="36"/>
  <c r="AD15" i="36"/>
  <c r="AC15" i="36"/>
  <c r="AB15" i="36"/>
  <c r="AA15" i="36"/>
  <c r="Z15" i="36"/>
  <c r="Y15" i="36"/>
  <c r="X15" i="36"/>
  <c r="W15" i="36"/>
  <c r="U15" i="36"/>
  <c r="T15" i="36"/>
  <c r="S15" i="36"/>
  <c r="R15" i="36"/>
  <c r="R16" i="36" s="1"/>
  <c r="Q15" i="36"/>
  <c r="O15" i="36"/>
  <c r="N15" i="36"/>
  <c r="M15" i="36"/>
  <c r="L15" i="36"/>
  <c r="K15" i="36"/>
  <c r="J15" i="36"/>
  <c r="I15" i="36"/>
  <c r="H15" i="36"/>
  <c r="AG14" i="36"/>
  <c r="AF14" i="36"/>
  <c r="AE14" i="36"/>
  <c r="AD14" i="36"/>
  <c r="AC14" i="36"/>
  <c r="AB14" i="36"/>
  <c r="AA14" i="36"/>
  <c r="Z14" i="36"/>
  <c r="Y14" i="36"/>
  <c r="X14" i="36"/>
  <c r="W14" i="36"/>
  <c r="V14" i="36"/>
  <c r="U14" i="36"/>
  <c r="T14" i="36"/>
  <c r="S14" i="36"/>
  <c r="R14" i="36"/>
  <c r="O14" i="36"/>
  <c r="N14" i="36"/>
  <c r="L14" i="36"/>
  <c r="K14" i="36"/>
  <c r="J14" i="36"/>
  <c r="I14" i="36"/>
  <c r="H14" i="36"/>
  <c r="AJ13" i="36"/>
  <c r="AI13" i="36"/>
  <c r="AH13" i="36"/>
  <c r="AG13" i="36"/>
  <c r="AF13" i="36"/>
  <c r="AE13" i="36"/>
  <c r="AD13" i="36"/>
  <c r="AC13" i="36"/>
  <c r="AB13" i="36"/>
  <c r="AA13" i="36"/>
  <c r="Z13" i="36"/>
  <c r="Y13" i="36"/>
  <c r="X13" i="36"/>
  <c r="W13" i="36"/>
  <c r="V13" i="36"/>
  <c r="U13" i="36"/>
  <c r="T13" i="36"/>
  <c r="S13" i="36"/>
  <c r="R13" i="36"/>
  <c r="O13" i="36"/>
  <c r="N13" i="36"/>
  <c r="L13" i="36"/>
  <c r="K13" i="36"/>
  <c r="J13" i="36"/>
  <c r="I13" i="36"/>
  <c r="H13" i="36"/>
  <c r="AJ12" i="36"/>
  <c r="AI12" i="36"/>
  <c r="AH12" i="36"/>
  <c r="AG12" i="36"/>
  <c r="AF12" i="36"/>
  <c r="AE12" i="36"/>
  <c r="AD12" i="36"/>
  <c r="AC12" i="36"/>
  <c r="AB12" i="36"/>
  <c r="AA12" i="36"/>
  <c r="Z12" i="36"/>
  <c r="Y12" i="36"/>
  <c r="X12" i="36"/>
  <c r="W12" i="36"/>
  <c r="V12" i="36"/>
  <c r="U12" i="36"/>
  <c r="T12" i="36"/>
  <c r="S12" i="36"/>
  <c r="O12" i="36"/>
  <c r="N12" i="36"/>
  <c r="L12" i="36"/>
  <c r="K12" i="36"/>
  <c r="J12" i="36"/>
  <c r="I12" i="36"/>
  <c r="H12" i="36"/>
  <c r="AJ11" i="36"/>
  <c r="AI11" i="36"/>
  <c r="AH11" i="36"/>
  <c r="AG11" i="36"/>
  <c r="AF11" i="36"/>
  <c r="AE11" i="36"/>
  <c r="AD11" i="36"/>
  <c r="AC11" i="36"/>
  <c r="AB11" i="36"/>
  <c r="AA11" i="36"/>
  <c r="Y11" i="36"/>
  <c r="W11" i="36"/>
  <c r="U11" i="36"/>
  <c r="T11" i="36"/>
  <c r="S11" i="36"/>
  <c r="R11" i="36"/>
  <c r="R12" i="36" s="1"/>
  <c r="Q11" i="36"/>
  <c r="Q12" i="36" s="1"/>
  <c r="Q13" i="36" s="1"/>
  <c r="Q14" i="36" s="1"/>
  <c r="O11" i="36"/>
  <c r="N11" i="36"/>
  <c r="M11" i="36"/>
  <c r="M12" i="36" s="1"/>
  <c r="M13" i="36" s="1"/>
  <c r="M14" i="36" s="1"/>
  <c r="K11" i="36"/>
  <c r="J11" i="36"/>
  <c r="I11" i="36"/>
  <c r="H11" i="36"/>
  <c r="G11" i="36"/>
  <c r="G12" i="36" s="1"/>
  <c r="G13" i="36" s="1"/>
  <c r="G14" i="36" s="1"/>
  <c r="G15" i="36" s="1"/>
  <c r="G16" i="36" s="1"/>
  <c r="F11" i="36"/>
  <c r="F12" i="36" s="1"/>
  <c r="F13" i="36" s="1"/>
  <c r="F14" i="36" s="1"/>
  <c r="F15" i="36" s="1"/>
  <c r="F16" i="36" s="1"/>
  <c r="E11" i="36"/>
  <c r="E12" i="36" s="1"/>
  <c r="E13" i="36" s="1"/>
  <c r="E14" i="36" s="1"/>
  <c r="E15" i="36" s="1"/>
  <c r="E16" i="36" s="1"/>
  <c r="D11" i="36"/>
  <c r="D12" i="36" s="1"/>
  <c r="D13" i="36" s="1"/>
  <c r="D14" i="36" s="1"/>
  <c r="D15" i="36" s="1"/>
  <c r="D16" i="36" s="1"/>
  <c r="AG10" i="36"/>
  <c r="AF10" i="36"/>
  <c r="AE10" i="36"/>
  <c r="AD10" i="36"/>
  <c r="AC10" i="36"/>
  <c r="AB10" i="36"/>
  <c r="AA10" i="36"/>
  <c r="Z10" i="36"/>
  <c r="Y10" i="36"/>
  <c r="X10" i="36"/>
  <c r="W10" i="36"/>
  <c r="V10" i="36"/>
  <c r="T10" i="36"/>
  <c r="S10" i="36"/>
  <c r="R10" i="36"/>
  <c r="Q10" i="36"/>
  <c r="O10" i="36"/>
  <c r="N10" i="36"/>
  <c r="M10" i="36"/>
  <c r="L10" i="36"/>
  <c r="K10" i="36"/>
  <c r="J10" i="36"/>
  <c r="I10" i="36"/>
  <c r="H10" i="36"/>
  <c r="AG9" i="36"/>
  <c r="AF9" i="36"/>
  <c r="AE9" i="36"/>
  <c r="AD9" i="36"/>
  <c r="AC9" i="36"/>
  <c r="AB9" i="36"/>
  <c r="AA9" i="36"/>
  <c r="Z9" i="36"/>
  <c r="Y9" i="36"/>
  <c r="X9" i="36"/>
  <c r="W9" i="36"/>
  <c r="U9" i="36"/>
  <c r="T9" i="36"/>
  <c r="S9" i="36"/>
  <c r="R9" i="36"/>
  <c r="Q9" i="36"/>
  <c r="O9" i="36"/>
  <c r="N9" i="36"/>
  <c r="M9" i="36"/>
  <c r="L9" i="36"/>
  <c r="K9" i="36"/>
  <c r="J9" i="36"/>
  <c r="I9" i="36"/>
  <c r="H9" i="36"/>
  <c r="AJ8" i="36"/>
  <c r="AI8" i="36"/>
  <c r="AH8" i="36"/>
  <c r="AG8" i="36"/>
  <c r="AF8" i="36"/>
  <c r="AE8" i="36"/>
  <c r="AD8" i="36"/>
  <c r="AC8" i="36"/>
  <c r="AB8" i="36"/>
  <c r="AA8" i="36"/>
  <c r="Z8" i="36"/>
  <c r="Y8" i="36"/>
  <c r="X8" i="36"/>
  <c r="W8" i="36"/>
  <c r="U8" i="36"/>
  <c r="T8" i="36"/>
  <c r="S8" i="36"/>
  <c r="O8" i="36"/>
  <c r="N8" i="36"/>
  <c r="L8" i="36"/>
  <c r="K8" i="36"/>
  <c r="J8" i="36"/>
  <c r="I8" i="36"/>
  <c r="H8" i="36"/>
  <c r="AJ7" i="36"/>
  <c r="AI7" i="36"/>
  <c r="AH7" i="36"/>
  <c r="AG7" i="36"/>
  <c r="AF7" i="36"/>
  <c r="AE7" i="36"/>
  <c r="AD7" i="36"/>
  <c r="AC7" i="36"/>
  <c r="AB7" i="36"/>
  <c r="AA7" i="36"/>
  <c r="Z7" i="36"/>
  <c r="Y7" i="36"/>
  <c r="X7" i="36"/>
  <c r="W7" i="36"/>
  <c r="U7" i="36"/>
  <c r="T7" i="36"/>
  <c r="S7" i="36"/>
  <c r="R7" i="36"/>
  <c r="R8" i="36" s="1"/>
  <c r="O7" i="36"/>
  <c r="N7" i="36"/>
  <c r="L7" i="36"/>
  <c r="K7" i="36"/>
  <c r="J7" i="36"/>
  <c r="I7" i="36"/>
  <c r="H7" i="36"/>
  <c r="AJ6" i="36"/>
  <c r="AI6" i="36"/>
  <c r="AH6" i="36"/>
  <c r="AG6" i="36"/>
  <c r="AF6" i="36"/>
  <c r="AE6" i="36"/>
  <c r="AD6" i="36"/>
  <c r="AC6" i="36"/>
  <c r="AB6" i="36"/>
  <c r="AA6" i="36"/>
  <c r="Z6" i="36"/>
  <c r="Y6" i="36"/>
  <c r="X6" i="36"/>
  <c r="W6" i="36"/>
  <c r="U6" i="36"/>
  <c r="T6" i="36"/>
  <c r="S6" i="36"/>
  <c r="R6" i="36"/>
  <c r="O6" i="36"/>
  <c r="N6" i="36"/>
  <c r="L6" i="36"/>
  <c r="K6" i="36"/>
  <c r="J6" i="36"/>
  <c r="I6" i="36"/>
  <c r="H6" i="36"/>
  <c r="AO5" i="36"/>
  <c r="AO6" i="36" s="1"/>
  <c r="AO7" i="36" s="1"/>
  <c r="AO8" i="36" s="1"/>
  <c r="AO9" i="36" s="1"/>
  <c r="AO10" i="36" s="1"/>
  <c r="AO11" i="36" s="1"/>
  <c r="AO12" i="36" s="1"/>
  <c r="AO13" i="36" s="1"/>
  <c r="AO14" i="36" s="1"/>
  <c r="AO15" i="36" s="1"/>
  <c r="AO16" i="36" s="1"/>
  <c r="AO17" i="36" s="1"/>
  <c r="AO18" i="36" s="1"/>
  <c r="AO19" i="36" s="1"/>
  <c r="AO20" i="36" s="1"/>
  <c r="AO21" i="36" s="1"/>
  <c r="AO22" i="36" s="1"/>
  <c r="AO23" i="36" s="1"/>
  <c r="AO24" i="36" s="1"/>
  <c r="AO25" i="36" s="1"/>
  <c r="AO26" i="36" s="1"/>
  <c r="AO27" i="36" s="1"/>
  <c r="AO28" i="36" s="1"/>
  <c r="AO29" i="36" s="1"/>
  <c r="AO30" i="36" s="1"/>
  <c r="AO31" i="36" s="1"/>
  <c r="AO32" i="36" s="1"/>
  <c r="AO33" i="36" s="1"/>
  <c r="AO34" i="36" s="1"/>
  <c r="AO35" i="36" s="1"/>
  <c r="AO36" i="36" s="1"/>
  <c r="AO37" i="36" s="1"/>
  <c r="AO38" i="36" s="1"/>
  <c r="AO39" i="36" s="1"/>
  <c r="AO40" i="36" s="1"/>
  <c r="AO41" i="36" s="1"/>
  <c r="AO42" i="36" s="1"/>
  <c r="AO43" i="36" s="1"/>
  <c r="AO44" i="36" s="1"/>
  <c r="AO45" i="36" s="1"/>
  <c r="AO46" i="36" s="1"/>
  <c r="AO47" i="36" s="1"/>
  <c r="AO48" i="36" s="1"/>
  <c r="AO49" i="36" s="1"/>
  <c r="AO50" i="36" s="1"/>
  <c r="AO51" i="36" s="1"/>
  <c r="AO52" i="36" s="1"/>
  <c r="AO53" i="36" s="1"/>
  <c r="AO54" i="36" s="1"/>
  <c r="AO55" i="36" s="1"/>
  <c r="AO56" i="36" s="1"/>
  <c r="AO57" i="36" s="1"/>
  <c r="AO58" i="36" s="1"/>
  <c r="AO59" i="36" s="1"/>
  <c r="AO60" i="36" s="1"/>
  <c r="AO61" i="36" s="1"/>
  <c r="AO62" i="36" s="1"/>
  <c r="AO63" i="36" s="1"/>
  <c r="AO64" i="36" s="1"/>
  <c r="AO65" i="36" s="1"/>
  <c r="AO66" i="36" s="1"/>
  <c r="AO67" i="36" s="1"/>
  <c r="AO68" i="36" s="1"/>
  <c r="AO69" i="36" s="1"/>
  <c r="AO70" i="36" s="1"/>
  <c r="AO71" i="36" s="1"/>
  <c r="AO72" i="36" s="1"/>
  <c r="AO73" i="36" s="1"/>
  <c r="AO74" i="36" s="1"/>
  <c r="AO75" i="36" s="1"/>
  <c r="AO76" i="36" s="1"/>
  <c r="AO77" i="36" s="1"/>
  <c r="AO78" i="36" s="1"/>
  <c r="AO79" i="36" s="1"/>
  <c r="AO80" i="36" s="1"/>
  <c r="AO81" i="36" s="1"/>
  <c r="AO82" i="36" s="1"/>
  <c r="AO83" i="36" s="1"/>
  <c r="AO84" i="36" s="1"/>
  <c r="AO85" i="36" s="1"/>
  <c r="AO86" i="36" s="1"/>
  <c r="AO87" i="36" s="1"/>
  <c r="AO88" i="36" s="1"/>
  <c r="AO89" i="36" s="1"/>
  <c r="AO90" i="36" s="1"/>
  <c r="AO91" i="36" s="1"/>
  <c r="AO92" i="36" s="1"/>
  <c r="AO93" i="36" s="1"/>
  <c r="AO94" i="36" s="1"/>
  <c r="AO95" i="36" s="1"/>
  <c r="AO96" i="36" s="1"/>
  <c r="AO97" i="36" s="1"/>
  <c r="AO98" i="36" s="1"/>
  <c r="AO99" i="36" s="1"/>
  <c r="AO100" i="36" s="1"/>
  <c r="AO101" i="36" s="1"/>
  <c r="AO102" i="36" s="1"/>
  <c r="AO103" i="36" s="1"/>
  <c r="AO104" i="36" s="1"/>
  <c r="AO105" i="36" s="1"/>
  <c r="AO106" i="36" s="1"/>
  <c r="AO107" i="36" s="1"/>
  <c r="AO108" i="36" s="1"/>
  <c r="AO109" i="36" s="1"/>
  <c r="AO110" i="36" s="1"/>
  <c r="AO111" i="36" s="1"/>
  <c r="AO112" i="36" s="1"/>
  <c r="AO113" i="36" s="1"/>
  <c r="AO114" i="36" s="1"/>
  <c r="AO115" i="36" s="1"/>
  <c r="AO116" i="36" s="1"/>
  <c r="AO117" i="36" s="1"/>
  <c r="AO118" i="36" s="1"/>
  <c r="AO119" i="36" s="1"/>
  <c r="AO120" i="36" s="1"/>
  <c r="AO121" i="36" s="1"/>
  <c r="AO122" i="36" s="1"/>
  <c r="AO123" i="36" s="1"/>
  <c r="AO124" i="36" s="1"/>
  <c r="AO125" i="36" s="1"/>
  <c r="AO126" i="36" s="1"/>
  <c r="AO127" i="36" s="1"/>
  <c r="AO128" i="36" s="1"/>
  <c r="AO129" i="36" s="1"/>
  <c r="AO130" i="36" s="1"/>
  <c r="AO131" i="36" s="1"/>
  <c r="AO132" i="36" s="1"/>
  <c r="AO133" i="36" s="1"/>
  <c r="AO134" i="36" s="1"/>
  <c r="AO135" i="36" s="1"/>
  <c r="AO136" i="36" s="1"/>
  <c r="AO137" i="36" s="1"/>
  <c r="AO138" i="36" s="1"/>
  <c r="AO139" i="36" s="1"/>
  <c r="AO140" i="36" s="1"/>
  <c r="AO141" i="36" s="1"/>
  <c r="AO142" i="36" s="1"/>
  <c r="AO143" i="36" s="1"/>
  <c r="AO144" i="36" s="1"/>
  <c r="AO145" i="36" s="1"/>
  <c r="AO146" i="36" s="1"/>
  <c r="AO147" i="36" s="1"/>
  <c r="AO148" i="36" s="1"/>
  <c r="AO149" i="36" s="1"/>
  <c r="AO150" i="36" s="1"/>
  <c r="AO151" i="36" s="1"/>
  <c r="AO152" i="36" s="1"/>
  <c r="AO153" i="36" s="1"/>
  <c r="AO154" i="36" s="1"/>
  <c r="AO155" i="36" s="1"/>
  <c r="AO156" i="36" s="1"/>
  <c r="AO157" i="36" s="1"/>
  <c r="AO158" i="36" s="1"/>
  <c r="AO159" i="36" s="1"/>
  <c r="AO160" i="36" s="1"/>
  <c r="AO161" i="36" s="1"/>
  <c r="AO162" i="36" s="1"/>
  <c r="AO163" i="36" s="1"/>
  <c r="AO164" i="36" s="1"/>
  <c r="AO165" i="36" s="1"/>
  <c r="AO166" i="36" s="1"/>
  <c r="AO167" i="36" s="1"/>
  <c r="AO168" i="36" s="1"/>
  <c r="AO169" i="36" s="1"/>
  <c r="AO170" i="36" s="1"/>
  <c r="AO171" i="36" s="1"/>
  <c r="AO172" i="36" s="1"/>
  <c r="AO173" i="36" s="1"/>
  <c r="AO174" i="36" s="1"/>
  <c r="AO175" i="36" s="1"/>
  <c r="AO176" i="36" s="1"/>
  <c r="AO177" i="36" s="1"/>
  <c r="AO178" i="36" s="1"/>
  <c r="AO179" i="36" s="1"/>
  <c r="AO180" i="36" s="1"/>
  <c r="AO181" i="36" s="1"/>
  <c r="AO182" i="36" s="1"/>
  <c r="AO183" i="36" s="1"/>
  <c r="AO184" i="36" s="1"/>
  <c r="AO185" i="36" s="1"/>
  <c r="AO186" i="36" s="1"/>
  <c r="AO187" i="36" s="1"/>
  <c r="AO188" i="36" s="1"/>
  <c r="AO189" i="36" s="1"/>
  <c r="AO190" i="36" s="1"/>
  <c r="AO191" i="36" s="1"/>
  <c r="AO192" i="36" s="1"/>
  <c r="AO193" i="36" s="1"/>
  <c r="AO194" i="36" s="1"/>
  <c r="AO195" i="36" s="1"/>
  <c r="AO196" i="36" s="1"/>
  <c r="AO197" i="36" s="1"/>
  <c r="AO198" i="36" s="1"/>
  <c r="AO199" i="36" s="1"/>
  <c r="AO200" i="36" s="1"/>
  <c r="AO201" i="36" s="1"/>
  <c r="AO202" i="36" s="1"/>
  <c r="AO203" i="36" s="1"/>
  <c r="AO204" i="36" s="1"/>
  <c r="AO205" i="36" s="1"/>
  <c r="AO206" i="36" s="1"/>
  <c r="AO207" i="36" s="1"/>
  <c r="AO208" i="36" s="1"/>
  <c r="AO209" i="36" s="1"/>
  <c r="AO210" i="36" s="1"/>
  <c r="AO211" i="36" s="1"/>
  <c r="AO212" i="36" s="1"/>
  <c r="AO213" i="36" s="1"/>
  <c r="AO214" i="36" s="1"/>
  <c r="AO215" i="36" s="1"/>
  <c r="AO216" i="36" s="1"/>
  <c r="AO217" i="36" s="1"/>
  <c r="AO218" i="36" s="1"/>
  <c r="AO219" i="36" s="1"/>
  <c r="AO220" i="36" s="1"/>
  <c r="AO221" i="36" s="1"/>
  <c r="AO222" i="36" s="1"/>
  <c r="AO223" i="36" s="1"/>
  <c r="AO224" i="36" s="1"/>
  <c r="AO225" i="36" s="1"/>
  <c r="AO226" i="36" s="1"/>
  <c r="AO227" i="36" s="1"/>
  <c r="AO228" i="36" s="1"/>
  <c r="AO229" i="36" s="1"/>
  <c r="AO230" i="36" s="1"/>
  <c r="AO231" i="36" s="1"/>
  <c r="AO232" i="36" s="1"/>
  <c r="AO233" i="36" s="1"/>
  <c r="AO234" i="36" s="1"/>
  <c r="AO235" i="36" s="1"/>
  <c r="AO236" i="36" s="1"/>
  <c r="AO237" i="36" s="1"/>
  <c r="AO238" i="36" s="1"/>
  <c r="AO239" i="36" s="1"/>
  <c r="AO240" i="36" s="1"/>
  <c r="AO241" i="36" s="1"/>
  <c r="AO242" i="36" s="1"/>
  <c r="AO243" i="36" s="1"/>
  <c r="AO244" i="36" s="1"/>
  <c r="AO245" i="36" s="1"/>
  <c r="AO246" i="36" s="1"/>
  <c r="AO247" i="36" s="1"/>
  <c r="AO248" i="36" s="1"/>
  <c r="AO249" i="36" s="1"/>
  <c r="AO250" i="36" s="1"/>
  <c r="AO251" i="36" s="1"/>
  <c r="AO252" i="36" s="1"/>
  <c r="AO253" i="36" s="1"/>
  <c r="AO254" i="36" s="1"/>
  <c r="AO255" i="36" s="1"/>
  <c r="AO256" i="36" s="1"/>
  <c r="AO257" i="36" s="1"/>
  <c r="AO258" i="36" s="1"/>
  <c r="AO259" i="36" s="1"/>
  <c r="AO260" i="36" s="1"/>
  <c r="AO261" i="36" s="1"/>
  <c r="AO262" i="36" s="1"/>
  <c r="AO263" i="36" s="1"/>
  <c r="AO264" i="36" s="1"/>
  <c r="AO265" i="36" s="1"/>
  <c r="AO266" i="36" s="1"/>
  <c r="AO267" i="36" s="1"/>
  <c r="AO268" i="36" s="1"/>
  <c r="AO269" i="36" s="1"/>
  <c r="AO270" i="36" s="1"/>
  <c r="AO271" i="36" s="1"/>
  <c r="AO272" i="36" s="1"/>
  <c r="AO273" i="36" s="1"/>
  <c r="AO274" i="36" s="1"/>
  <c r="AO275" i="36" s="1"/>
  <c r="AO276" i="36" s="1"/>
  <c r="AO277" i="36" s="1"/>
  <c r="AO278" i="36" s="1"/>
  <c r="AO279" i="36" s="1"/>
  <c r="AO280" i="36" s="1"/>
  <c r="AO281" i="36" s="1"/>
  <c r="AO282" i="36" s="1"/>
  <c r="AO283" i="36" s="1"/>
  <c r="AO284" i="36" s="1"/>
  <c r="AO285" i="36" s="1"/>
  <c r="AO286" i="36" s="1"/>
  <c r="AO287" i="36" s="1"/>
  <c r="AO288" i="36" s="1"/>
  <c r="AO289" i="36" s="1"/>
  <c r="AO290" i="36" s="1"/>
  <c r="AO291" i="36" s="1"/>
  <c r="AO292" i="36" s="1"/>
  <c r="AO293" i="36" s="1"/>
  <c r="AO294" i="36" s="1"/>
  <c r="AO295" i="36" s="1"/>
  <c r="AO296" i="36" s="1"/>
  <c r="AO297" i="36" s="1"/>
  <c r="AO298" i="36" s="1"/>
  <c r="AO299" i="36" s="1"/>
  <c r="AO300" i="36" s="1"/>
  <c r="AO301" i="36" s="1"/>
  <c r="AO302" i="36" s="1"/>
  <c r="AO303" i="36" s="1"/>
  <c r="AO304" i="36" s="1"/>
  <c r="AO305" i="36" s="1"/>
  <c r="AO306" i="36" s="1"/>
  <c r="AO307" i="36" s="1"/>
  <c r="AO308" i="36" s="1"/>
  <c r="AO309" i="36" s="1"/>
  <c r="AO310" i="36" s="1"/>
  <c r="AO311" i="36" s="1"/>
  <c r="AO312" i="36" s="1"/>
  <c r="AO313" i="36" s="1"/>
  <c r="AO314" i="36" s="1"/>
  <c r="AO315" i="36" s="1"/>
  <c r="AO316" i="36" s="1"/>
  <c r="AO317" i="36" s="1"/>
  <c r="AO318" i="36" s="1"/>
  <c r="AO319" i="36" s="1"/>
  <c r="AO320" i="36" s="1"/>
  <c r="AO321" i="36" s="1"/>
  <c r="AO322" i="36" s="1"/>
  <c r="AO323" i="36" s="1"/>
  <c r="AO324" i="36" s="1"/>
  <c r="AO325" i="36" s="1"/>
  <c r="AO326" i="36" s="1"/>
  <c r="AO327" i="36" s="1"/>
  <c r="AO328" i="36" s="1"/>
  <c r="AO329" i="36" s="1"/>
  <c r="AO330" i="36" s="1"/>
  <c r="AO331" i="36" s="1"/>
  <c r="AO332" i="36" s="1"/>
  <c r="AO333" i="36" s="1"/>
  <c r="AO334" i="36" s="1"/>
  <c r="AO335" i="36" s="1"/>
  <c r="AO336" i="36" s="1"/>
  <c r="AO337" i="36" s="1"/>
  <c r="AO338" i="36" s="1"/>
  <c r="AO339" i="36" s="1"/>
  <c r="AO340" i="36" s="1"/>
  <c r="AO341" i="36" s="1"/>
  <c r="AO342" i="36" s="1"/>
  <c r="AO343" i="36" s="1"/>
  <c r="AO344" i="36" s="1"/>
  <c r="AO345" i="36" s="1"/>
  <c r="AO346" i="36" s="1"/>
  <c r="AO347" i="36" s="1"/>
  <c r="AO348" i="36" s="1"/>
  <c r="AO349" i="36" s="1"/>
  <c r="AO350" i="36" s="1"/>
  <c r="AO351" i="36" s="1"/>
  <c r="AO352" i="36" s="1"/>
  <c r="AO353" i="36" s="1"/>
  <c r="AO354" i="36" s="1"/>
  <c r="AO355" i="36" s="1"/>
  <c r="AO356" i="36" s="1"/>
  <c r="AO357" i="36" s="1"/>
  <c r="AO358" i="36" s="1"/>
  <c r="AO359" i="36" s="1"/>
  <c r="AO360" i="36" s="1"/>
  <c r="AO361" i="36" s="1"/>
  <c r="AO362" i="36" s="1"/>
  <c r="AO363" i="36" s="1"/>
  <c r="AO364" i="36" s="1"/>
  <c r="AO365" i="36" s="1"/>
  <c r="AO366" i="36" s="1"/>
  <c r="AO367" i="36" s="1"/>
  <c r="AO368" i="36" s="1"/>
  <c r="AO369" i="36" s="1"/>
  <c r="AO370" i="36" s="1"/>
  <c r="AO371" i="36" s="1"/>
  <c r="AO372" i="36" s="1"/>
  <c r="AO373" i="36" s="1"/>
  <c r="AO374" i="36" s="1"/>
  <c r="AO375" i="36" s="1"/>
  <c r="AO376" i="36" s="1"/>
  <c r="AO377" i="36" s="1"/>
  <c r="AO378" i="36" s="1"/>
  <c r="AO379" i="36" s="1"/>
  <c r="AO380" i="36" s="1"/>
  <c r="AO381" i="36" s="1"/>
  <c r="AO382" i="36" s="1"/>
  <c r="AO383" i="36" s="1"/>
  <c r="AO384" i="36" s="1"/>
  <c r="AO385" i="36" s="1"/>
  <c r="AO386" i="36" s="1"/>
  <c r="AO387" i="36" s="1"/>
  <c r="AO388" i="36" s="1"/>
  <c r="AO389" i="36" s="1"/>
  <c r="AO390" i="36" s="1"/>
  <c r="AO391" i="36" s="1"/>
  <c r="AO392" i="36" s="1"/>
  <c r="AO393" i="36" s="1"/>
  <c r="AO394" i="36" s="1"/>
  <c r="AN5" i="36"/>
  <c r="AN6" i="36" s="1"/>
  <c r="AN7" i="36" s="1"/>
  <c r="AN8" i="36" s="1"/>
  <c r="AN9" i="36" s="1"/>
  <c r="AN10" i="36" s="1"/>
  <c r="AM5" i="36"/>
  <c r="AM6" i="36" s="1"/>
  <c r="AM7" i="36" s="1"/>
  <c r="AM8" i="36" s="1"/>
  <c r="AM9" i="36" s="1"/>
  <c r="AM10" i="36" s="1"/>
  <c r="AL5" i="36"/>
  <c r="AL6" i="36" s="1"/>
  <c r="AL7" i="36" s="1"/>
  <c r="AL8" i="36" s="1"/>
  <c r="AL9" i="36" s="1"/>
  <c r="AL10" i="36" s="1"/>
  <c r="AG5" i="36"/>
  <c r="AF5" i="36"/>
  <c r="AE5" i="36"/>
  <c r="AD5" i="36"/>
  <c r="AC5" i="36"/>
  <c r="AB5" i="36"/>
  <c r="AA5" i="36"/>
  <c r="Z5" i="36"/>
  <c r="Y5" i="36"/>
  <c r="X5" i="36"/>
  <c r="W5" i="36"/>
  <c r="U5" i="36"/>
  <c r="T5" i="36"/>
  <c r="S5" i="36"/>
  <c r="R5" i="36"/>
  <c r="Q5" i="36"/>
  <c r="Q6" i="36" s="1"/>
  <c r="Q7" i="36" s="1"/>
  <c r="Q8" i="36" s="1"/>
  <c r="O5" i="36"/>
  <c r="N5" i="36"/>
  <c r="M5" i="36"/>
  <c r="M6" i="36" s="1"/>
  <c r="M7" i="36" s="1"/>
  <c r="M8" i="36" s="1"/>
  <c r="L5" i="36"/>
  <c r="K5" i="36"/>
  <c r="J5" i="36"/>
  <c r="I5" i="36"/>
  <c r="H5" i="36"/>
  <c r="AG4" i="36"/>
  <c r="AF4" i="36"/>
  <c r="AE4" i="36"/>
  <c r="AD4" i="36"/>
  <c r="AC4" i="36"/>
  <c r="AB4" i="36"/>
  <c r="AA4" i="36"/>
  <c r="W4" i="36"/>
  <c r="U4" i="36"/>
  <c r="T4" i="36"/>
  <c r="S4" i="36"/>
  <c r="R4" i="36"/>
  <c r="Q4" i="36"/>
  <c r="P4" i="36"/>
  <c r="P5" i="36" s="1"/>
  <c r="P6" i="36" s="1"/>
  <c r="P7" i="36" s="1"/>
  <c r="P8" i="36" s="1"/>
  <c r="P9" i="36" s="1"/>
  <c r="P10" i="36" s="1"/>
  <c r="P11" i="36" s="1"/>
  <c r="P12" i="36" s="1"/>
  <c r="P13" i="36" s="1"/>
  <c r="P14" i="36" s="1"/>
  <c r="P15" i="36" s="1"/>
  <c r="P16" i="36" s="1"/>
  <c r="P17" i="36" s="1"/>
  <c r="P18" i="36" s="1"/>
  <c r="P19" i="36" s="1"/>
  <c r="P20" i="36" s="1"/>
  <c r="P21" i="36" s="1"/>
  <c r="P22" i="36" s="1"/>
  <c r="P23" i="36" s="1"/>
  <c r="P24" i="36" s="1"/>
  <c r="P25" i="36" s="1"/>
  <c r="P26" i="36" s="1"/>
  <c r="P27" i="36" s="1"/>
  <c r="P28" i="36" s="1"/>
  <c r="P29" i="36" s="1"/>
  <c r="P30" i="36" s="1"/>
  <c r="P31" i="36" s="1"/>
  <c r="P32" i="36" s="1"/>
  <c r="P33" i="36" s="1"/>
  <c r="P34" i="36" s="1"/>
  <c r="P35" i="36" s="1"/>
  <c r="P36" i="36" s="1"/>
  <c r="P37" i="36" s="1"/>
  <c r="P38" i="36" s="1"/>
  <c r="P39" i="36" s="1"/>
  <c r="P40" i="36" s="1"/>
  <c r="P41" i="36" s="1"/>
  <c r="P42" i="36" s="1"/>
  <c r="P43" i="36" s="1"/>
  <c r="P44" i="36" s="1"/>
  <c r="P45" i="36" s="1"/>
  <c r="P46" i="36" s="1"/>
  <c r="P47" i="36" s="1"/>
  <c r="P48" i="36" s="1"/>
  <c r="P49" i="36" s="1"/>
  <c r="P50" i="36" s="1"/>
  <c r="P51" i="36" s="1"/>
  <c r="P52" i="36" s="1"/>
  <c r="P53" i="36" s="1"/>
  <c r="P54" i="36" s="1"/>
  <c r="P55" i="36" s="1"/>
  <c r="P56" i="36" s="1"/>
  <c r="P57" i="36" s="1"/>
  <c r="P58" i="36" s="1"/>
  <c r="P59" i="36" s="1"/>
  <c r="P60" i="36" s="1"/>
  <c r="P61" i="36" s="1"/>
  <c r="P62" i="36" s="1"/>
  <c r="P63" i="36" s="1"/>
  <c r="P64" i="36" s="1"/>
  <c r="P65" i="36" s="1"/>
  <c r="P66" i="36" s="1"/>
  <c r="P67" i="36" s="1"/>
  <c r="P68" i="36" s="1"/>
  <c r="P69" i="36" s="1"/>
  <c r="P70" i="36" s="1"/>
  <c r="P71" i="36" s="1"/>
  <c r="P72" i="36" s="1"/>
  <c r="P73" i="36" s="1"/>
  <c r="P74" i="36" s="1"/>
  <c r="P75" i="36" s="1"/>
  <c r="P76" i="36" s="1"/>
  <c r="P77" i="36" s="1"/>
  <c r="P78" i="36" s="1"/>
  <c r="P79" i="36" s="1"/>
  <c r="P80" i="36" s="1"/>
  <c r="P81" i="36" s="1"/>
  <c r="P82" i="36" s="1"/>
  <c r="P83" i="36" s="1"/>
  <c r="P84" i="36" s="1"/>
  <c r="P85" i="36" s="1"/>
  <c r="P86" i="36" s="1"/>
  <c r="P87" i="36" s="1"/>
  <c r="P88" i="36" s="1"/>
  <c r="P89" i="36" s="1"/>
  <c r="P90" i="36" s="1"/>
  <c r="P91" i="36" s="1"/>
  <c r="P92" i="36" s="1"/>
  <c r="P93" i="36" s="1"/>
  <c r="P94" i="36" s="1"/>
  <c r="P95" i="36" s="1"/>
  <c r="P96" i="36" s="1"/>
  <c r="P97" i="36" s="1"/>
  <c r="P98" i="36" s="1"/>
  <c r="P99" i="36" s="1"/>
  <c r="P100" i="36" s="1"/>
  <c r="P101" i="36" s="1"/>
  <c r="P102" i="36" s="1"/>
  <c r="P103" i="36" s="1"/>
  <c r="P104" i="36" s="1"/>
  <c r="P105" i="36" s="1"/>
  <c r="P106" i="36" s="1"/>
  <c r="P107" i="36" s="1"/>
  <c r="P108" i="36" s="1"/>
  <c r="P109" i="36" s="1"/>
  <c r="P110" i="36" s="1"/>
  <c r="P111" i="36" s="1"/>
  <c r="P112" i="36" s="1"/>
  <c r="P113" i="36" s="1"/>
  <c r="P114" i="36" s="1"/>
  <c r="P115" i="36" s="1"/>
  <c r="P116" i="36" s="1"/>
  <c r="P117" i="36" s="1"/>
  <c r="P118" i="36" s="1"/>
  <c r="P119" i="36" s="1"/>
  <c r="P120" i="36" s="1"/>
  <c r="P121" i="36" s="1"/>
  <c r="P122" i="36" s="1"/>
  <c r="P123" i="36" s="1"/>
  <c r="P124" i="36" s="1"/>
  <c r="P125" i="36" s="1"/>
  <c r="P126" i="36" s="1"/>
  <c r="P127" i="36" s="1"/>
  <c r="P128" i="36" s="1"/>
  <c r="P129" i="36" s="1"/>
  <c r="P130" i="36" s="1"/>
  <c r="P131" i="36" s="1"/>
  <c r="P132" i="36" s="1"/>
  <c r="P133" i="36" s="1"/>
  <c r="P134" i="36" s="1"/>
  <c r="P135" i="36" s="1"/>
  <c r="P136" i="36" s="1"/>
  <c r="P137" i="36" s="1"/>
  <c r="P138" i="36" s="1"/>
  <c r="P139" i="36" s="1"/>
  <c r="P140" i="36" s="1"/>
  <c r="P141" i="36" s="1"/>
  <c r="P142" i="36" s="1"/>
  <c r="P143" i="36" s="1"/>
  <c r="P144" i="36" s="1"/>
  <c r="P145" i="36" s="1"/>
  <c r="P146" i="36" s="1"/>
  <c r="P147" i="36" s="1"/>
  <c r="P148" i="36" s="1"/>
  <c r="P149" i="36" s="1"/>
  <c r="P150" i="36" s="1"/>
  <c r="P151" i="36" s="1"/>
  <c r="P152" i="36" s="1"/>
  <c r="P153" i="36" s="1"/>
  <c r="P154" i="36" s="1"/>
  <c r="P155" i="36" s="1"/>
  <c r="P156" i="36" s="1"/>
  <c r="P157" i="36" s="1"/>
  <c r="P158" i="36" s="1"/>
  <c r="P159" i="36" s="1"/>
  <c r="P160" i="36" s="1"/>
  <c r="P161" i="36" s="1"/>
  <c r="P162" i="36" s="1"/>
  <c r="P163" i="36" s="1"/>
  <c r="P164" i="36" s="1"/>
  <c r="P165" i="36" s="1"/>
  <c r="P166" i="36" s="1"/>
  <c r="P167" i="36" s="1"/>
  <c r="P168" i="36" s="1"/>
  <c r="P169" i="36" s="1"/>
  <c r="P170" i="36" s="1"/>
  <c r="P171" i="36" s="1"/>
  <c r="P172" i="36" s="1"/>
  <c r="P173" i="36" s="1"/>
  <c r="P174" i="36" s="1"/>
  <c r="P175" i="36" s="1"/>
  <c r="P176" i="36" s="1"/>
  <c r="P177" i="36" s="1"/>
  <c r="P178" i="36" s="1"/>
  <c r="P179" i="36" s="1"/>
  <c r="P180" i="36" s="1"/>
  <c r="P181" i="36" s="1"/>
  <c r="P182" i="36" s="1"/>
  <c r="P183" i="36" s="1"/>
  <c r="P184" i="36" s="1"/>
  <c r="P185" i="36" s="1"/>
  <c r="P186" i="36" s="1"/>
  <c r="P187" i="36" s="1"/>
  <c r="P188" i="36" s="1"/>
  <c r="P189" i="36" s="1"/>
  <c r="P190" i="36" s="1"/>
  <c r="P191" i="36" s="1"/>
  <c r="P192" i="36" s="1"/>
  <c r="P193" i="36" s="1"/>
  <c r="P194" i="36" s="1"/>
  <c r="P195" i="36" s="1"/>
  <c r="P196" i="36" s="1"/>
  <c r="P197" i="36" s="1"/>
  <c r="P198" i="36" s="1"/>
  <c r="P199" i="36" s="1"/>
  <c r="P200" i="36" s="1"/>
  <c r="P201" i="36" s="1"/>
  <c r="P202" i="36" s="1"/>
  <c r="P203" i="36" s="1"/>
  <c r="P204" i="36" s="1"/>
  <c r="P205" i="36" s="1"/>
  <c r="P206" i="36" s="1"/>
  <c r="P207" i="36" s="1"/>
  <c r="P208" i="36" s="1"/>
  <c r="P209" i="36" s="1"/>
  <c r="P210" i="36" s="1"/>
  <c r="P211" i="36" s="1"/>
  <c r="P212" i="36" s="1"/>
  <c r="P213" i="36" s="1"/>
  <c r="P214" i="36" s="1"/>
  <c r="P215" i="36" s="1"/>
  <c r="P216" i="36" s="1"/>
  <c r="P217" i="36" s="1"/>
  <c r="P218" i="36" s="1"/>
  <c r="P219" i="36" s="1"/>
  <c r="P220" i="36" s="1"/>
  <c r="P221" i="36" s="1"/>
  <c r="P222" i="36" s="1"/>
  <c r="P223" i="36" s="1"/>
  <c r="P224" i="36" s="1"/>
  <c r="P225" i="36" s="1"/>
  <c r="P226" i="36" s="1"/>
  <c r="P227" i="36" s="1"/>
  <c r="P228" i="36" s="1"/>
  <c r="P229" i="36" s="1"/>
  <c r="P230" i="36" s="1"/>
  <c r="P231" i="36" s="1"/>
  <c r="P232" i="36" s="1"/>
  <c r="P233" i="36" s="1"/>
  <c r="P234" i="36" s="1"/>
  <c r="P235" i="36" s="1"/>
  <c r="P236" i="36" s="1"/>
  <c r="P237" i="36" s="1"/>
  <c r="P238" i="36" s="1"/>
  <c r="P239" i="36" s="1"/>
  <c r="P240" i="36" s="1"/>
  <c r="P241" i="36" s="1"/>
  <c r="P242" i="36" s="1"/>
  <c r="P243" i="36" s="1"/>
  <c r="P244" i="36" s="1"/>
  <c r="P245" i="36" s="1"/>
  <c r="P246" i="36" s="1"/>
  <c r="P247" i="36" s="1"/>
  <c r="P248" i="36" s="1"/>
  <c r="P249" i="36" s="1"/>
  <c r="P250" i="36" s="1"/>
  <c r="P251" i="36" s="1"/>
  <c r="P252" i="36" s="1"/>
  <c r="P253" i="36" s="1"/>
  <c r="P254" i="36" s="1"/>
  <c r="P255" i="36" s="1"/>
  <c r="P256" i="36" s="1"/>
  <c r="P257" i="36" s="1"/>
  <c r="P258" i="36" s="1"/>
  <c r="P259" i="36" s="1"/>
  <c r="P260" i="36" s="1"/>
  <c r="P261" i="36" s="1"/>
  <c r="P262" i="36" s="1"/>
  <c r="P263" i="36" s="1"/>
  <c r="P264" i="36" s="1"/>
  <c r="P265" i="36" s="1"/>
  <c r="P266" i="36" s="1"/>
  <c r="P267" i="36" s="1"/>
  <c r="P268" i="36" s="1"/>
  <c r="P269" i="36" s="1"/>
  <c r="P270" i="36" s="1"/>
  <c r="P271" i="36" s="1"/>
  <c r="P272" i="36" s="1"/>
  <c r="P273" i="36" s="1"/>
  <c r="P274" i="36" s="1"/>
  <c r="P275" i="36" s="1"/>
  <c r="P276" i="36" s="1"/>
  <c r="P277" i="36" s="1"/>
  <c r="P278" i="36" s="1"/>
  <c r="P279" i="36" s="1"/>
  <c r="P280" i="36" s="1"/>
  <c r="P281" i="36" s="1"/>
  <c r="P282" i="36" s="1"/>
  <c r="P283" i="36" s="1"/>
  <c r="P284" i="36" s="1"/>
  <c r="P285" i="36" s="1"/>
  <c r="P286" i="36" s="1"/>
  <c r="P287" i="36" s="1"/>
  <c r="P288" i="36" s="1"/>
  <c r="P289" i="36" s="1"/>
  <c r="P290" i="36" s="1"/>
  <c r="P291" i="36" s="1"/>
  <c r="P292" i="36" s="1"/>
  <c r="P293" i="36" s="1"/>
  <c r="P294" i="36" s="1"/>
  <c r="P295" i="36" s="1"/>
  <c r="P296" i="36" s="1"/>
  <c r="P297" i="36" s="1"/>
  <c r="P298" i="36" s="1"/>
  <c r="P299" i="36" s="1"/>
  <c r="P300" i="36" s="1"/>
  <c r="P301" i="36" s="1"/>
  <c r="P302" i="36" s="1"/>
  <c r="P303" i="36" s="1"/>
  <c r="P304" i="36" s="1"/>
  <c r="P305" i="36" s="1"/>
  <c r="P306" i="36" s="1"/>
  <c r="P307" i="36" s="1"/>
  <c r="P308" i="36" s="1"/>
  <c r="P309" i="36" s="1"/>
  <c r="P310" i="36" s="1"/>
  <c r="P311" i="36" s="1"/>
  <c r="P312" i="36" s="1"/>
  <c r="P313" i="36" s="1"/>
  <c r="P314" i="36" s="1"/>
  <c r="P315" i="36" s="1"/>
  <c r="P316" i="36" s="1"/>
  <c r="P317" i="36" s="1"/>
  <c r="P318" i="36" s="1"/>
  <c r="P319" i="36" s="1"/>
  <c r="P320" i="36" s="1"/>
  <c r="P321" i="36" s="1"/>
  <c r="P322" i="36" s="1"/>
  <c r="P323" i="36" s="1"/>
  <c r="P324" i="36" s="1"/>
  <c r="P325" i="36" s="1"/>
  <c r="P326" i="36" s="1"/>
  <c r="P327" i="36" s="1"/>
  <c r="P328" i="36" s="1"/>
  <c r="P329" i="36" s="1"/>
  <c r="P330" i="36" s="1"/>
  <c r="P331" i="36" s="1"/>
  <c r="P332" i="36" s="1"/>
  <c r="P333" i="36" s="1"/>
  <c r="P334" i="36" s="1"/>
  <c r="P335" i="36" s="1"/>
  <c r="P336" i="36" s="1"/>
  <c r="P337" i="36" s="1"/>
  <c r="P338" i="36" s="1"/>
  <c r="P339" i="36" s="1"/>
  <c r="P340" i="36" s="1"/>
  <c r="P341" i="36" s="1"/>
  <c r="P342" i="36" s="1"/>
  <c r="P343" i="36" s="1"/>
  <c r="P344" i="36" s="1"/>
  <c r="P345" i="36" s="1"/>
  <c r="P346" i="36" s="1"/>
  <c r="P347" i="36" s="1"/>
  <c r="P348" i="36" s="1"/>
  <c r="P349" i="36" s="1"/>
  <c r="P350" i="36" s="1"/>
  <c r="P351" i="36" s="1"/>
  <c r="P352" i="36" s="1"/>
  <c r="P353" i="36" s="1"/>
  <c r="P354" i="36" s="1"/>
  <c r="P355" i="36" s="1"/>
  <c r="P356" i="36" s="1"/>
  <c r="P357" i="36" s="1"/>
  <c r="P358" i="36" s="1"/>
  <c r="P359" i="36" s="1"/>
  <c r="P360" i="36" s="1"/>
  <c r="P361" i="36" s="1"/>
  <c r="P362" i="36" s="1"/>
  <c r="P363" i="36" s="1"/>
  <c r="P364" i="36" s="1"/>
  <c r="P365" i="36" s="1"/>
  <c r="P366" i="36" s="1"/>
  <c r="P367" i="36" s="1"/>
  <c r="P368" i="36" s="1"/>
  <c r="P369" i="36" s="1"/>
  <c r="P370" i="36" s="1"/>
  <c r="P371" i="36" s="1"/>
  <c r="P372" i="36" s="1"/>
  <c r="P373" i="36" s="1"/>
  <c r="P374" i="36" s="1"/>
  <c r="P375" i="36" s="1"/>
  <c r="P376" i="36" s="1"/>
  <c r="P377" i="36" s="1"/>
  <c r="P378" i="36" s="1"/>
  <c r="P379" i="36" s="1"/>
  <c r="P380" i="36" s="1"/>
  <c r="P381" i="36" s="1"/>
  <c r="P382" i="36" s="1"/>
  <c r="P383" i="36" s="1"/>
  <c r="P384" i="36" s="1"/>
  <c r="P385" i="36" s="1"/>
  <c r="P386" i="36" s="1"/>
  <c r="P387" i="36" s="1"/>
  <c r="P388" i="36" s="1"/>
  <c r="P389" i="36" s="1"/>
  <c r="P390" i="36" s="1"/>
  <c r="P391" i="36" s="1"/>
  <c r="P392" i="36" s="1"/>
  <c r="P393" i="36" s="1"/>
  <c r="P394" i="36" s="1"/>
  <c r="O4" i="36"/>
  <c r="N4" i="36"/>
  <c r="M4" i="36"/>
  <c r="K4" i="36"/>
  <c r="J4" i="36"/>
  <c r="I4" i="36"/>
  <c r="H4" i="36"/>
  <c r="G4" i="36"/>
  <c r="G5" i="36" s="1"/>
  <c r="G6" i="36" s="1"/>
  <c r="G7" i="36" s="1"/>
  <c r="G8" i="36" s="1"/>
  <c r="G9" i="36" s="1"/>
  <c r="G10" i="36" s="1"/>
  <c r="F4" i="36"/>
  <c r="F5" i="36" s="1"/>
  <c r="F6" i="36" s="1"/>
  <c r="F7" i="36" s="1"/>
  <c r="F8" i="36" s="1"/>
  <c r="F9" i="36" s="1"/>
  <c r="F10" i="36" s="1"/>
  <c r="E4" i="36"/>
  <c r="E5" i="36" s="1"/>
  <c r="E6" i="36" s="1"/>
  <c r="E7" i="36" s="1"/>
  <c r="E8" i="36" s="1"/>
  <c r="E9" i="36" s="1"/>
  <c r="E10" i="36" s="1"/>
  <c r="D4" i="36"/>
  <c r="D5" i="36" s="1"/>
  <c r="D6" i="36" s="1"/>
  <c r="D7" i="36" s="1"/>
  <c r="D8" i="36" s="1"/>
  <c r="D9" i="36" s="1"/>
  <c r="D10" i="36" s="1"/>
  <c r="C4" i="36"/>
  <c r="C5" i="36" s="1"/>
  <c r="C6" i="36" s="1"/>
  <c r="C7" i="36" s="1"/>
  <c r="C8" i="36" s="1"/>
  <c r="C9" i="36" s="1"/>
  <c r="C10" i="36" s="1"/>
  <c r="C11" i="36" s="1"/>
  <c r="C12" i="36" s="1"/>
  <c r="C13" i="36" s="1"/>
  <c r="C14" i="36" s="1"/>
  <c r="C15" i="36" s="1"/>
  <c r="C16" i="36" s="1"/>
  <c r="C17" i="36" s="1"/>
  <c r="C18" i="36" s="1"/>
  <c r="C19" i="36" s="1"/>
  <c r="C20" i="36" s="1"/>
  <c r="C21" i="36" s="1"/>
  <c r="C22" i="36" s="1"/>
  <c r="C23" i="36" s="1"/>
  <c r="C24" i="36" s="1"/>
  <c r="C25" i="36" s="1"/>
  <c r="C26" i="36" s="1"/>
  <c r="C27" i="36" s="1"/>
  <c r="C28" i="36" s="1"/>
  <c r="C29" i="36" s="1"/>
  <c r="C30" i="36" s="1"/>
  <c r="C31" i="36" s="1"/>
  <c r="C32" i="36" s="1"/>
  <c r="C33" i="36" s="1"/>
  <c r="C34" i="36" s="1"/>
  <c r="C35" i="36" s="1"/>
  <c r="C36" i="36" s="1"/>
  <c r="C37" i="36" s="1"/>
  <c r="C38" i="36" s="1"/>
  <c r="C39" i="36" s="1"/>
  <c r="C40" i="36" s="1"/>
  <c r="C41" i="36" s="1"/>
  <c r="B4" i="36"/>
  <c r="B5" i="36" s="1"/>
  <c r="B6" i="36" s="1"/>
  <c r="B7" i="36" s="1"/>
  <c r="B8" i="36" s="1"/>
  <c r="B9" i="36" s="1"/>
  <c r="B10" i="36" s="1"/>
  <c r="B11" i="36" s="1"/>
  <c r="B12" i="36" s="1"/>
  <c r="B13" i="36" s="1"/>
  <c r="B14" i="36" s="1"/>
  <c r="B15" i="36" s="1"/>
  <c r="B16" i="36" s="1"/>
  <c r="B17" i="36" s="1"/>
  <c r="B18" i="36" s="1"/>
  <c r="B19" i="36" s="1"/>
  <c r="B20" i="36" s="1"/>
  <c r="B21" i="36" s="1"/>
  <c r="B22" i="36" s="1"/>
  <c r="B23" i="36" s="1"/>
  <c r="B24" i="36" s="1"/>
  <c r="B25" i="36" s="1"/>
  <c r="B26" i="36" s="1"/>
  <c r="B27" i="36" s="1"/>
  <c r="B28" i="36" s="1"/>
  <c r="B29" i="36" s="1"/>
  <c r="B30" i="36" s="1"/>
  <c r="B31" i="36" s="1"/>
  <c r="B32" i="36" s="1"/>
  <c r="B33" i="36" s="1"/>
  <c r="B34" i="36" s="1"/>
  <c r="B35" i="36" s="1"/>
  <c r="B36" i="36" s="1"/>
  <c r="B37" i="36" s="1"/>
  <c r="B38" i="36" s="1"/>
  <c r="B39" i="36" s="1"/>
  <c r="B40" i="36" s="1"/>
  <c r="B41" i="36" s="1"/>
  <c r="AQ2" i="36"/>
  <c r="AP2" i="36"/>
  <c r="AO2" i="36"/>
  <c r="AN2" i="36"/>
  <c r="AM2" i="36"/>
  <c r="AL2" i="36"/>
  <c r="AK2" i="36"/>
  <c r="AM70" i="17"/>
  <c r="AC70" i="17"/>
  <c r="AM68" i="17"/>
  <c r="AC68" i="17"/>
  <c r="AM66" i="17"/>
  <c r="AC66" i="17"/>
  <c r="AM64" i="17"/>
  <c r="AC64" i="17"/>
  <c r="AM62" i="17"/>
  <c r="AC62" i="17"/>
  <c r="AM60" i="17"/>
  <c r="AC60" i="17"/>
  <c r="AM58" i="17"/>
  <c r="AC58" i="17"/>
  <c r="AM56" i="17"/>
  <c r="AC56" i="17"/>
  <c r="AM54" i="17"/>
  <c r="AC54" i="17"/>
  <c r="AM52" i="17"/>
  <c r="AC52" i="17"/>
  <c r="AM50" i="17"/>
  <c r="AC50" i="17"/>
  <c r="AM48" i="17"/>
  <c r="AC48" i="17"/>
  <c r="AM46" i="17"/>
  <c r="AC46" i="17"/>
  <c r="AM44" i="17"/>
  <c r="AC44" i="17"/>
  <c r="AM42" i="17"/>
  <c r="AC42" i="17"/>
  <c r="AM40" i="17"/>
  <c r="AC40" i="17"/>
  <c r="AK18" i="17"/>
  <c r="P2" i="17"/>
  <c r="U22" i="17"/>
  <c r="U8" i="17"/>
  <c r="U105" i="25" l="1"/>
  <c r="C27" i="25"/>
  <c r="U26" i="25"/>
  <c r="AR273" i="31"/>
  <c r="AP273" i="31"/>
  <c r="AS273" i="31" s="1"/>
  <c r="X162" i="36"/>
  <c r="U80" i="25"/>
  <c r="AE30" i="25"/>
  <c r="Y152" i="36"/>
  <c r="D17" i="25"/>
  <c r="X225" i="36"/>
  <c r="U102" i="25"/>
  <c r="X230" i="36"/>
  <c r="U112" i="25"/>
  <c r="C28" i="25"/>
  <c r="AR272" i="31"/>
  <c r="AP272" i="31"/>
  <c r="AS272" i="31" s="1"/>
  <c r="AT272" i="31" s="1"/>
  <c r="X112" i="25" s="1"/>
  <c r="AE50" i="25"/>
  <c r="V4" i="36"/>
  <c r="V22" i="36"/>
  <c r="V21" i="36"/>
  <c r="AH5" i="36"/>
  <c r="AI100" i="36"/>
  <c r="V5" i="36"/>
  <c r="AH21" i="36"/>
  <c r="V18" i="25"/>
  <c r="V9" i="36"/>
  <c r="AH16" i="36"/>
  <c r="V25" i="36"/>
  <c r="AH25" i="36"/>
  <c r="V24" i="36"/>
  <c r="AH27" i="36"/>
  <c r="AQ89" i="31"/>
  <c r="AK40" i="36" s="1"/>
  <c r="V40" i="36"/>
  <c r="AQ163" i="31"/>
  <c r="AK135" i="36" s="1"/>
  <c r="V135" i="36"/>
  <c r="AD125" i="25"/>
  <c r="U142" i="36"/>
  <c r="X161" i="36"/>
  <c r="AL234" i="36"/>
  <c r="AL235" i="36" s="1"/>
  <c r="AL236" i="36" s="1"/>
  <c r="V234" i="36"/>
  <c r="AE40" i="25"/>
  <c r="AH45" i="36"/>
  <c r="AQ105" i="31"/>
  <c r="AK51" i="36" s="1"/>
  <c r="V51" i="36"/>
  <c r="V23" i="25"/>
  <c r="Y66" i="36"/>
  <c r="AK73" i="36"/>
  <c r="V73" i="36"/>
  <c r="AK77" i="36"/>
  <c r="V77" i="36"/>
  <c r="AK81" i="36"/>
  <c r="V81" i="36"/>
  <c r="AK85" i="36"/>
  <c r="V85" i="36"/>
  <c r="AK89" i="36"/>
  <c r="V89" i="36"/>
  <c r="AK93" i="36"/>
  <c r="V93" i="36"/>
  <c r="AK99" i="36"/>
  <c r="V99" i="36"/>
  <c r="AQ132" i="31"/>
  <c r="AK105" i="36" s="1"/>
  <c r="V105" i="36"/>
  <c r="AE98" i="25"/>
  <c r="AH114" i="36"/>
  <c r="AE106" i="25"/>
  <c r="AH122" i="36"/>
  <c r="AQ173" i="31"/>
  <c r="AK147" i="36" s="1"/>
  <c r="V147" i="36"/>
  <c r="U61" i="25"/>
  <c r="X149" i="36"/>
  <c r="X152" i="36"/>
  <c r="U62" i="25"/>
  <c r="V68" i="25"/>
  <c r="Y156" i="36"/>
  <c r="V66" i="25"/>
  <c r="C22" i="25"/>
  <c r="X213" i="36"/>
  <c r="X223" i="36"/>
  <c r="X226" i="36"/>
  <c r="V11" i="36"/>
  <c r="AH24" i="36"/>
  <c r="AQ81" i="31"/>
  <c r="AK32" i="36" s="1"/>
  <c r="V32" i="36"/>
  <c r="U10" i="25"/>
  <c r="X35" i="36"/>
  <c r="AE55" i="25"/>
  <c r="AH66" i="36"/>
  <c r="AE44" i="25"/>
  <c r="AH70" i="36"/>
  <c r="AE63" i="25"/>
  <c r="AH73" i="36"/>
  <c r="AE75" i="25"/>
  <c r="AH85" i="36"/>
  <c r="AE83" i="25"/>
  <c r="AH93" i="36"/>
  <c r="AE89" i="25"/>
  <c r="AH99" i="36"/>
  <c r="AE94" i="25"/>
  <c r="AH105" i="36"/>
  <c r="U55" i="25"/>
  <c r="X142" i="36"/>
  <c r="U59" i="25"/>
  <c r="X147" i="36"/>
  <c r="V61" i="25"/>
  <c r="Y149" i="36"/>
  <c r="AR195" i="31"/>
  <c r="AL156" i="36" s="1"/>
  <c r="AH156" i="36"/>
  <c r="AK159" i="36"/>
  <c r="V159" i="36"/>
  <c r="AR260" i="31"/>
  <c r="AL223" i="36" s="1"/>
  <c r="AH223" i="36"/>
  <c r="AD273" i="31"/>
  <c r="Y231" i="36" s="1"/>
  <c r="V231" i="36"/>
  <c r="AE28" i="25"/>
  <c r="AH37" i="36"/>
  <c r="AQ118" i="31"/>
  <c r="AK64" i="36" s="1"/>
  <c r="V64" i="36"/>
  <c r="AK74" i="36"/>
  <c r="V74" i="36"/>
  <c r="AK78" i="36"/>
  <c r="V78" i="36"/>
  <c r="AK82" i="36"/>
  <c r="V82" i="36"/>
  <c r="AK86" i="36"/>
  <c r="V86" i="36"/>
  <c r="AK90" i="36"/>
  <c r="V90" i="36"/>
  <c r="AK94" i="36"/>
  <c r="V94" i="36"/>
  <c r="AD95" i="25"/>
  <c r="U106" i="36"/>
  <c r="AE53" i="25"/>
  <c r="AH115" i="36"/>
  <c r="AE103" i="25"/>
  <c r="AH119" i="36"/>
  <c r="AE107" i="25"/>
  <c r="AH123" i="36"/>
  <c r="AQ153" i="31"/>
  <c r="AK127" i="36" s="1"/>
  <c r="V127" i="36"/>
  <c r="AQ164" i="31"/>
  <c r="AK136" i="36" s="1"/>
  <c r="V136" i="36"/>
  <c r="AQ168" i="31"/>
  <c r="AK140" i="36" s="1"/>
  <c r="V140" i="36"/>
  <c r="U56" i="25"/>
  <c r="X143" i="36"/>
  <c r="AQ196" i="31"/>
  <c r="AK157" i="36" s="1"/>
  <c r="V157" i="36"/>
  <c r="AQ253" i="31"/>
  <c r="AK214" i="36" s="1"/>
  <c r="V214" i="36"/>
  <c r="AQ261" i="31"/>
  <c r="AK224" i="36" s="1"/>
  <c r="V224" i="36"/>
  <c r="AO265" i="31"/>
  <c r="AI228" i="36" s="1"/>
  <c r="U228" i="36"/>
  <c r="AL231" i="36"/>
  <c r="AH231" i="36"/>
  <c r="V41" i="25"/>
  <c r="AD120" i="25"/>
  <c r="AS88" i="31"/>
  <c r="AM39" i="36" s="1"/>
  <c r="AM40" i="36" s="1"/>
  <c r="AM41" i="36" s="1"/>
  <c r="AI40" i="36"/>
  <c r="AQ117" i="31"/>
  <c r="AK63" i="36" s="1"/>
  <c r="V63" i="36"/>
  <c r="AQ145" i="31"/>
  <c r="AK119" i="36" s="1"/>
  <c r="V119" i="36"/>
  <c r="AQ160" i="31"/>
  <c r="AK132" i="36" s="1"/>
  <c r="V132" i="36"/>
  <c r="AQ171" i="31"/>
  <c r="V143" i="36"/>
  <c r="AL161" i="36"/>
  <c r="AH161" i="36"/>
  <c r="AQ76" i="31"/>
  <c r="AK29" i="36" s="1"/>
  <c r="V29" i="36"/>
  <c r="AQ82" i="31"/>
  <c r="AK33" i="36" s="1"/>
  <c r="V33" i="36"/>
  <c r="X41" i="36"/>
  <c r="AE51" i="25"/>
  <c r="AH47" i="36"/>
  <c r="AE36" i="25"/>
  <c r="AH64" i="36"/>
  <c r="AE56" i="25"/>
  <c r="AH67" i="36"/>
  <c r="AE124" i="25"/>
  <c r="AH74" i="36"/>
  <c r="AH78" i="36"/>
  <c r="AE72" i="25"/>
  <c r="AH82" i="36"/>
  <c r="AE76" i="25"/>
  <c r="AH86" i="36"/>
  <c r="AE84" i="25"/>
  <c r="AH94" i="36"/>
  <c r="AK107" i="36"/>
  <c r="V107" i="36"/>
  <c r="U53" i="25"/>
  <c r="X140" i="36"/>
  <c r="Y143" i="36"/>
  <c r="U69" i="25"/>
  <c r="X157" i="36"/>
  <c r="U67" i="25"/>
  <c r="AD201" i="31"/>
  <c r="V162" i="36"/>
  <c r="X214" i="36"/>
  <c r="X224" i="36"/>
  <c r="X228" i="36"/>
  <c r="AE29" i="25"/>
  <c r="AE71" i="25"/>
  <c r="AE102" i="25"/>
  <c r="U9" i="25"/>
  <c r="X33" i="36"/>
  <c r="AE96" i="25"/>
  <c r="AH107" i="36"/>
  <c r="AQ142" i="31"/>
  <c r="AK116" i="36" s="1"/>
  <c r="V116" i="36"/>
  <c r="AQ146" i="31"/>
  <c r="AK120" i="36" s="1"/>
  <c r="AK121" i="36" s="1"/>
  <c r="AK122" i="36" s="1"/>
  <c r="AK123" i="36" s="1"/>
  <c r="AK124" i="36" s="1"/>
  <c r="V120" i="36"/>
  <c r="AQ161" i="31"/>
  <c r="AK133" i="36" s="1"/>
  <c r="V133" i="36"/>
  <c r="Y140" i="36"/>
  <c r="V69" i="25"/>
  <c r="Y157" i="36"/>
  <c r="V67" i="25"/>
  <c r="AD249" i="31"/>
  <c r="V210" i="36"/>
  <c r="AR253" i="31"/>
  <c r="AL214" i="36" s="1"/>
  <c r="AH214" i="36"/>
  <c r="AR261" i="31"/>
  <c r="AL224" i="36" s="1"/>
  <c r="AH224" i="36"/>
  <c r="AD266" i="31"/>
  <c r="V106" i="25" s="1"/>
  <c r="V229" i="36"/>
  <c r="AE79" i="25"/>
  <c r="AQ141" i="31"/>
  <c r="AK115" i="36" s="1"/>
  <c r="V115" i="36"/>
  <c r="AR175" i="31"/>
  <c r="AL149" i="36" s="1"/>
  <c r="AL150" i="36" s="1"/>
  <c r="AH149" i="36"/>
  <c r="AQ79" i="31"/>
  <c r="AK30" i="36" s="1"/>
  <c r="V30" i="36"/>
  <c r="V9" i="25"/>
  <c r="Y33" i="36"/>
  <c r="AE37" i="25"/>
  <c r="AH42" i="36"/>
  <c r="AQ103" i="31"/>
  <c r="AK49" i="36" s="1"/>
  <c r="V49" i="36"/>
  <c r="AS107" i="31"/>
  <c r="AM53" i="36" s="1"/>
  <c r="AM54" i="36" s="1"/>
  <c r="AM55" i="36" s="1"/>
  <c r="AM56" i="36" s="1"/>
  <c r="AM57" i="36" s="1"/>
  <c r="AM58" i="36" s="1"/>
  <c r="AM59" i="36" s="1"/>
  <c r="AM60" i="36" s="1"/>
  <c r="AI53" i="36"/>
  <c r="AK75" i="36"/>
  <c r="V75" i="36"/>
  <c r="AK79" i="36"/>
  <c r="V79" i="36"/>
  <c r="AK83" i="36"/>
  <c r="V83" i="36"/>
  <c r="AK87" i="36"/>
  <c r="V87" i="36"/>
  <c r="AK91" i="36"/>
  <c r="V91" i="36"/>
  <c r="AK95" i="36"/>
  <c r="V95" i="36"/>
  <c r="AE104" i="25"/>
  <c r="AH120" i="36"/>
  <c r="AE108" i="25"/>
  <c r="AH124" i="36"/>
  <c r="AK128" i="36"/>
  <c r="AK129" i="36" s="1"/>
  <c r="AK130" i="36" s="1"/>
  <c r="V128" i="36"/>
  <c r="AE117" i="25"/>
  <c r="AH133" i="36"/>
  <c r="AA165" i="31"/>
  <c r="U137" i="36"/>
  <c r="V144" i="36"/>
  <c r="AQ174" i="31"/>
  <c r="AK148" i="36" s="1"/>
  <c r="V148" i="36"/>
  <c r="AQ177" i="31"/>
  <c r="V151" i="36"/>
  <c r="AR196" i="31"/>
  <c r="AL157" i="36" s="1"/>
  <c r="AH157" i="36"/>
  <c r="AK160" i="36"/>
  <c r="V160" i="36"/>
  <c r="X210" i="36"/>
  <c r="X229" i="36"/>
  <c r="AD43" i="25"/>
  <c r="AE41" i="25"/>
  <c r="AH46" i="36"/>
  <c r="AQ107" i="31"/>
  <c r="AK53" i="36" s="1"/>
  <c r="V53" i="36"/>
  <c r="U52" i="25"/>
  <c r="X139" i="36"/>
  <c r="AR191" i="31"/>
  <c r="AL152" i="36" s="1"/>
  <c r="AH152" i="36"/>
  <c r="X159" i="36"/>
  <c r="X209" i="36"/>
  <c r="AJ234" i="36"/>
  <c r="AE25" i="25"/>
  <c r="AH33" i="36"/>
  <c r="AQ88" i="31"/>
  <c r="AK39" i="36" s="1"/>
  <c r="V39" i="36"/>
  <c r="AQ108" i="31"/>
  <c r="AK54" i="36" s="1"/>
  <c r="AK55" i="36" s="1"/>
  <c r="AK56" i="36" s="1"/>
  <c r="AK57" i="36" s="1"/>
  <c r="AK58" i="36" s="1"/>
  <c r="AK59" i="36" s="1"/>
  <c r="AK60" i="36" s="1"/>
  <c r="V54" i="36"/>
  <c r="AE57" i="25"/>
  <c r="AH68" i="36"/>
  <c r="AE69" i="25"/>
  <c r="AH79" i="36"/>
  <c r="AE73" i="25"/>
  <c r="AH83" i="36"/>
  <c r="AE77" i="25"/>
  <c r="AH87" i="36"/>
  <c r="AE81" i="25"/>
  <c r="AH91" i="36"/>
  <c r="AQ134" i="31"/>
  <c r="AK108" i="36" s="1"/>
  <c r="V108" i="36"/>
  <c r="X137" i="36"/>
  <c r="U57" i="25"/>
  <c r="X144" i="36"/>
  <c r="U60" i="25"/>
  <c r="X148" i="36"/>
  <c r="X160" i="36"/>
  <c r="AD262" i="31"/>
  <c r="V225" i="36"/>
  <c r="AR266" i="31"/>
  <c r="AL229" i="36" s="1"/>
  <c r="AH229" i="36"/>
  <c r="U18" i="25"/>
  <c r="AD90" i="25"/>
  <c r="AE93" i="25"/>
  <c r="AQ151" i="31"/>
  <c r="AK125" i="36" s="1"/>
  <c r="V125" i="36"/>
  <c r="AQ166" i="31"/>
  <c r="V138" i="36"/>
  <c r="AD169" i="31"/>
  <c r="AE169" i="31" s="1"/>
  <c r="Z141" i="36" s="1"/>
  <c r="V141" i="36"/>
  <c r="V145" i="36"/>
  <c r="V60" i="25"/>
  <c r="Y148" i="36"/>
  <c r="AQ197" i="31"/>
  <c r="AK158" i="36" s="1"/>
  <c r="V158" i="36"/>
  <c r="Z163" i="36"/>
  <c r="X215" i="36"/>
  <c r="AJ232" i="36"/>
  <c r="AE31" i="25"/>
  <c r="V48" i="25"/>
  <c r="AS82" i="31"/>
  <c r="AM33" i="36" s="1"/>
  <c r="AM34" i="36" s="1"/>
  <c r="AI33" i="36"/>
  <c r="AQ143" i="31"/>
  <c r="AK117" i="36" s="1"/>
  <c r="V117" i="36"/>
  <c r="AQ83" i="31"/>
  <c r="AK34" i="36" s="1"/>
  <c r="V34" i="36"/>
  <c r="Y39" i="36"/>
  <c r="AQ93" i="31"/>
  <c r="AK44" i="36" s="1"/>
  <c r="AK45" i="36" s="1"/>
  <c r="AK46" i="36" s="1"/>
  <c r="AK47" i="36" s="1"/>
  <c r="AK48" i="36" s="1"/>
  <c r="V44" i="36"/>
  <c r="AQ104" i="31"/>
  <c r="AK50" i="36" s="1"/>
  <c r="V50" i="36"/>
  <c r="AK76" i="36"/>
  <c r="V76" i="36"/>
  <c r="AK84" i="36"/>
  <c r="V84" i="36"/>
  <c r="AK88" i="36"/>
  <c r="V88" i="36"/>
  <c r="AK92" i="36"/>
  <c r="V92" i="36"/>
  <c r="AK96" i="36"/>
  <c r="AK97" i="36" s="1"/>
  <c r="AK98" i="36" s="1"/>
  <c r="V96" i="36"/>
  <c r="AQ131" i="31"/>
  <c r="AK104" i="36" s="1"/>
  <c r="V104" i="36"/>
  <c r="AE101" i="25"/>
  <c r="AH117" i="36"/>
  <c r="AE105" i="25"/>
  <c r="AH121" i="36"/>
  <c r="AE109" i="25"/>
  <c r="AH125" i="36"/>
  <c r="AQ159" i="31"/>
  <c r="AK131" i="36" s="1"/>
  <c r="V131" i="36"/>
  <c r="V49" i="25"/>
  <c r="Y134" i="36"/>
  <c r="U51" i="25"/>
  <c r="X138" i="36"/>
  <c r="V146" i="36"/>
  <c r="U70" i="25"/>
  <c r="X158" i="36"/>
  <c r="AD247" i="31"/>
  <c r="V208" i="36"/>
  <c r="AR262" i="31"/>
  <c r="AL225" i="36" s="1"/>
  <c r="AH225" i="36"/>
  <c r="AK230" i="36"/>
  <c r="V230" i="36"/>
  <c r="AL233" i="36"/>
  <c r="V233" i="36"/>
  <c r="AE112" i="25"/>
  <c r="AE24" i="25"/>
  <c r="AH32" i="36"/>
  <c r="V59" i="25"/>
  <c r="Y147" i="36"/>
  <c r="AE22" i="25"/>
  <c r="AH30" i="36"/>
  <c r="AH23" i="36"/>
  <c r="AD80" i="31"/>
  <c r="Y31" i="36" s="1"/>
  <c r="V31" i="36"/>
  <c r="AE33" i="25"/>
  <c r="AH39" i="36"/>
  <c r="AE39" i="25"/>
  <c r="AH44" i="36"/>
  <c r="AE88" i="25"/>
  <c r="AH50" i="36"/>
  <c r="AE58" i="25"/>
  <c r="AH69" i="36"/>
  <c r="AE74" i="25"/>
  <c r="AH84" i="36"/>
  <c r="AE78" i="25"/>
  <c r="AH88" i="36"/>
  <c r="AE21" i="25"/>
  <c r="AH96" i="36"/>
  <c r="C13" i="25"/>
  <c r="X131" i="36"/>
  <c r="Y138" i="36"/>
  <c r="AR169" i="31"/>
  <c r="AL141" i="36" s="1"/>
  <c r="AH141" i="36"/>
  <c r="V70" i="25"/>
  <c r="Y158" i="36"/>
  <c r="X208" i="36"/>
  <c r="V35" i="25"/>
  <c r="AE38" i="25"/>
  <c r="AE126" i="25"/>
  <c r="U12" i="25"/>
  <c r="X39" i="36"/>
  <c r="V28" i="36"/>
  <c r="AQ144" i="31"/>
  <c r="AK118" i="36" s="1"/>
  <c r="V118" i="36"/>
  <c r="AE122" i="25"/>
  <c r="AH138" i="36"/>
  <c r="V58" i="25"/>
  <c r="Y146" i="36"/>
  <c r="AQ175" i="31"/>
  <c r="V149" i="36"/>
  <c r="AQ191" i="31"/>
  <c r="AK152" i="36" s="1"/>
  <c r="V152" i="36"/>
  <c r="U68" i="25"/>
  <c r="X156" i="36"/>
  <c r="U66" i="25"/>
  <c r="AR197" i="31"/>
  <c r="AL158" i="36" s="1"/>
  <c r="AH158" i="36"/>
  <c r="AK161" i="36"/>
  <c r="V161" i="36"/>
  <c r="AR247" i="31"/>
  <c r="AL208" i="36" s="1"/>
  <c r="AH208" i="36"/>
  <c r="AQ252" i="31"/>
  <c r="AK213" i="36" s="1"/>
  <c r="V213" i="36"/>
  <c r="AD260" i="31"/>
  <c r="V223" i="36"/>
  <c r="AL230" i="36"/>
  <c r="AH230" i="36"/>
  <c r="AJ233" i="36"/>
  <c r="AQ119" i="31"/>
  <c r="AK65" i="36" s="1"/>
  <c r="V65" i="36"/>
  <c r="V22" i="25"/>
  <c r="Y65" i="36"/>
  <c r="U22" i="25"/>
  <c r="X65" i="36"/>
  <c r="AE92" i="25"/>
  <c r="AH65" i="36"/>
  <c r="AE23" i="25"/>
  <c r="AH61" i="36"/>
  <c r="AE45" i="25"/>
  <c r="AH62" i="36"/>
  <c r="AR248" i="31"/>
  <c r="AL209" i="36" s="1"/>
  <c r="AH209" i="36"/>
  <c r="AE61" i="25"/>
  <c r="AH71" i="36"/>
  <c r="AQ125" i="31"/>
  <c r="AP125" i="31" s="1"/>
  <c r="AJ71" i="36" s="1"/>
  <c r="V71" i="36"/>
  <c r="AM71" i="36"/>
  <c r="AM72" i="36" s="1"/>
  <c r="AM73" i="36" s="1"/>
  <c r="AM74" i="36" s="1"/>
  <c r="AM75" i="36" s="1"/>
  <c r="AM76" i="36" s="1"/>
  <c r="AM77" i="36" s="1"/>
  <c r="AM78" i="36" s="1"/>
  <c r="AM79" i="36" s="1"/>
  <c r="AM80" i="36" s="1"/>
  <c r="AM81" i="36" s="1"/>
  <c r="AM82" i="36" s="1"/>
  <c r="AM83" i="36" s="1"/>
  <c r="AM84" i="36" s="1"/>
  <c r="AM85" i="36" s="1"/>
  <c r="AM86" i="36" s="1"/>
  <c r="AM87" i="36" s="1"/>
  <c r="AM88" i="36" s="1"/>
  <c r="AM89" i="36" s="1"/>
  <c r="AM90" i="36" s="1"/>
  <c r="AM91" i="36" s="1"/>
  <c r="AM92" i="36" s="1"/>
  <c r="AM93" i="36" s="1"/>
  <c r="AM94" i="36" s="1"/>
  <c r="AM95" i="36" s="1"/>
  <c r="AM96" i="36" s="1"/>
  <c r="AM97" i="36" s="1"/>
  <c r="AM98" i="36" s="1"/>
  <c r="AM99" i="36" s="1"/>
  <c r="AI71" i="36"/>
  <c r="AQ247" i="31"/>
  <c r="AK208" i="36" s="1"/>
  <c r="J3" i="10"/>
  <c r="Y24" i="36"/>
  <c r="AH17" i="36"/>
  <c r="AD272" i="31"/>
  <c r="AH15" i="36"/>
  <c r="AP260" i="31"/>
  <c r="AJ223" i="36" s="1"/>
  <c r="AP134" i="31"/>
  <c r="AJ108" i="36" s="1"/>
  <c r="AH22" i="36"/>
  <c r="V17" i="36"/>
  <c r="V27" i="36"/>
  <c r="AA170" i="31"/>
  <c r="V142" i="36" s="1"/>
  <c r="AE18" i="17"/>
  <c r="AK6" i="17"/>
  <c r="AR249" i="31"/>
  <c r="AL210" i="36" s="1"/>
  <c r="AL211" i="36" s="1"/>
  <c r="AL212" i="36" s="1"/>
  <c r="AQ116" i="31"/>
  <c r="AK62" i="36" s="1"/>
  <c r="AE62" i="25"/>
  <c r="AE131" i="25"/>
  <c r="AR177" i="31"/>
  <c r="AL151" i="36" s="1"/>
  <c r="AL160" i="36"/>
  <c r="AJ128" i="36"/>
  <c r="AA265" i="31"/>
  <c r="V228" i="36" s="1"/>
  <c r="AH9" i="36"/>
  <c r="AQ201" i="31"/>
  <c r="AK162" i="36" s="1"/>
  <c r="AK163" i="36" s="1"/>
  <c r="AK164" i="36" s="1"/>
  <c r="AK165" i="36" s="1"/>
  <c r="AK166" i="36" s="1"/>
  <c r="AK167" i="36" s="1"/>
  <c r="AK168" i="36" s="1"/>
  <c r="AK169" i="36" s="1"/>
  <c r="AK170" i="36" s="1"/>
  <c r="AK171" i="36" s="1"/>
  <c r="AK172" i="36" s="1"/>
  <c r="AK173" i="36" s="1"/>
  <c r="AK174" i="36" s="1"/>
  <c r="AK175" i="36" s="1"/>
  <c r="AK176" i="36" s="1"/>
  <c r="AK177" i="36" s="1"/>
  <c r="AK178" i="36" s="1"/>
  <c r="AK179" i="36" s="1"/>
  <c r="AK180" i="36" s="1"/>
  <c r="AK181" i="36" s="1"/>
  <c r="AK182" i="36" s="1"/>
  <c r="AK183" i="36" s="1"/>
  <c r="AK184" i="36" s="1"/>
  <c r="AK185" i="36" s="1"/>
  <c r="AK186" i="36" s="1"/>
  <c r="AK187" i="36" s="1"/>
  <c r="AK188" i="36" s="1"/>
  <c r="AK189" i="36" s="1"/>
  <c r="AK190" i="36" s="1"/>
  <c r="AK191" i="36" s="1"/>
  <c r="AK192" i="36" s="1"/>
  <c r="AK193" i="36" s="1"/>
  <c r="AK194" i="36" s="1"/>
  <c r="AK195" i="36" s="1"/>
  <c r="AK196" i="36" s="1"/>
  <c r="AK197" i="36" s="1"/>
  <c r="AK198" i="36" s="1"/>
  <c r="AK199" i="36" s="1"/>
  <c r="AK200" i="36" s="1"/>
  <c r="AK201" i="36" s="1"/>
  <c r="AK202" i="36" s="1"/>
  <c r="AK203" i="36" s="1"/>
  <c r="AK204" i="36" s="1"/>
  <c r="AK205" i="36" s="1"/>
  <c r="AK206" i="36" s="1"/>
  <c r="AK207" i="36" s="1"/>
  <c r="V16" i="36"/>
  <c r="AS51" i="31"/>
  <c r="AM11" i="36" s="1"/>
  <c r="AM12" i="36" s="1"/>
  <c r="AM13" i="36" s="1"/>
  <c r="AM14" i="36" s="1"/>
  <c r="AM15" i="36" s="1"/>
  <c r="AM16" i="36" s="1"/>
  <c r="AP146" i="31"/>
  <c r="AJ120" i="36" s="1"/>
  <c r="AP83" i="31"/>
  <c r="AJ34" i="36" s="1"/>
  <c r="AP197" i="31"/>
  <c r="AJ158" i="36" s="1"/>
  <c r="AP252" i="31"/>
  <c r="AD261" i="31"/>
  <c r="V101" i="25" s="1"/>
  <c r="AJ89" i="36"/>
  <c r="AE251" i="31"/>
  <c r="Z212" i="36" s="1"/>
  <c r="AS71" i="31"/>
  <c r="AP131" i="31"/>
  <c r="AD252" i="31"/>
  <c r="AE252" i="31" s="1"/>
  <c r="Z213" i="36" s="1"/>
  <c r="V74" i="25"/>
  <c r="AE201" i="31"/>
  <c r="AT168" i="31"/>
  <c r="AT41" i="31"/>
  <c r="AP122" i="31"/>
  <c r="AJ68" i="36" s="1"/>
  <c r="AJ83" i="36"/>
  <c r="AJ88" i="36"/>
  <c r="AP148" i="31"/>
  <c r="AJ122" i="36" s="1"/>
  <c r="AP153" i="31"/>
  <c r="AJ127" i="36" s="1"/>
  <c r="AE4" i="25"/>
  <c r="AP41" i="31"/>
  <c r="AQ80" i="31"/>
  <c r="AA90" i="31"/>
  <c r="AN90" i="31"/>
  <c r="AH41" i="36" s="1"/>
  <c r="AO90" i="31"/>
  <c r="AI41" i="36" s="1"/>
  <c r="AD192" i="31"/>
  <c r="D18" i="25" s="1"/>
  <c r="AK24" i="36"/>
  <c r="AT81" i="31"/>
  <c r="AN32" i="36" s="1"/>
  <c r="AP82" i="31"/>
  <c r="AJ33" i="36" s="1"/>
  <c r="AP103" i="31"/>
  <c r="AJ49" i="36" s="1"/>
  <c r="AP115" i="31"/>
  <c r="AJ61" i="36" s="1"/>
  <c r="AP141" i="31"/>
  <c r="AJ115" i="36" s="1"/>
  <c r="AP247" i="31"/>
  <c r="AJ208" i="36" s="1"/>
  <c r="AP262" i="31"/>
  <c r="AJ225" i="36" s="1"/>
  <c r="AP94" i="31"/>
  <c r="AJ45" i="36" s="1"/>
  <c r="AT120" i="31"/>
  <c r="AN66" i="36" s="1"/>
  <c r="AN67" i="36" s="1"/>
  <c r="AN68" i="36" s="1"/>
  <c r="AN69" i="36" s="1"/>
  <c r="AN70" i="36" s="1"/>
  <c r="AP193" i="31"/>
  <c r="AJ154" i="36" s="1"/>
  <c r="Z161" i="36"/>
  <c r="AQ262" i="31"/>
  <c r="AK225" i="36" s="1"/>
  <c r="AI24" i="36"/>
  <c r="AJ92" i="36"/>
  <c r="AP136" i="31"/>
  <c r="AJ110" i="36" s="1"/>
  <c r="AE171" i="31"/>
  <c r="C16" i="25"/>
  <c r="U64" i="25"/>
  <c r="AC51" i="31"/>
  <c r="X11" i="36" s="1"/>
  <c r="AS60" i="31"/>
  <c r="AP137" i="31"/>
  <c r="AJ111" i="36" s="1"/>
  <c r="AE176" i="31"/>
  <c r="V62" i="25"/>
  <c r="V64" i="25"/>
  <c r="C25" i="25"/>
  <c r="AL146" i="36"/>
  <c r="AH28" i="36"/>
  <c r="AS140" i="31"/>
  <c r="AM114" i="36" s="1"/>
  <c r="AM115" i="36" s="1"/>
  <c r="AM116" i="36" s="1"/>
  <c r="AM117" i="36" s="1"/>
  <c r="AM118" i="36" s="1"/>
  <c r="AM119" i="36" s="1"/>
  <c r="AM120" i="36" s="1"/>
  <c r="AM121" i="36" s="1"/>
  <c r="AM122" i="36" s="1"/>
  <c r="AM123" i="36" s="1"/>
  <c r="AM124" i="36" s="1"/>
  <c r="AM125" i="36" s="1"/>
  <c r="AP150" i="31"/>
  <c r="AJ124" i="36" s="1"/>
  <c r="AR174" i="31"/>
  <c r="AL148" i="36" s="1"/>
  <c r="U74" i="25"/>
  <c r="AQ195" i="31"/>
  <c r="AK156" i="36" s="1"/>
  <c r="AS162" i="31"/>
  <c r="AM134" i="36" s="1"/>
  <c r="AM135" i="36" s="1"/>
  <c r="AM136" i="36" s="1"/>
  <c r="AD7" i="25"/>
  <c r="AM7" i="25" s="1"/>
  <c r="AK7" i="25" s="1"/>
  <c r="AD41" i="31"/>
  <c r="AO84" i="31"/>
  <c r="AI35" i="36" s="1"/>
  <c r="AD84" i="31"/>
  <c r="Y35" i="36" s="1"/>
  <c r="AO47" i="31"/>
  <c r="AI10" i="36" s="1"/>
  <c r="AP75" i="31"/>
  <c r="AJ28" i="36" s="1"/>
  <c r="AQ91" i="31"/>
  <c r="AK42" i="36" s="1"/>
  <c r="AK43" i="36" s="1"/>
  <c r="W14" i="25"/>
  <c r="U14" i="25" s="1"/>
  <c r="AP96" i="31"/>
  <c r="AJ47" i="36" s="1"/>
  <c r="AP104" i="31"/>
  <c r="AJ50" i="36" s="1"/>
  <c r="AP119" i="31"/>
  <c r="AJ65" i="36" s="1"/>
  <c r="AP124" i="31"/>
  <c r="AJ70" i="36" s="1"/>
  <c r="AP130" i="31"/>
  <c r="AJ103" i="36" s="1"/>
  <c r="AP149" i="31"/>
  <c r="AJ123" i="36" s="1"/>
  <c r="AP151" i="31"/>
  <c r="AJ125" i="36" s="1"/>
  <c r="AP159" i="31"/>
  <c r="AJ131" i="36" s="1"/>
  <c r="AC162" i="31"/>
  <c r="X134" i="36" s="1"/>
  <c r="AP196" i="31"/>
  <c r="AJ157" i="36" s="1"/>
  <c r="AJ161" i="36"/>
  <c r="AP249" i="31"/>
  <c r="AJ210" i="36" s="1"/>
  <c r="AI4" i="36"/>
  <c r="AC91" i="31"/>
  <c r="AJ77" i="36"/>
  <c r="AJ84" i="36"/>
  <c r="AP138" i="31"/>
  <c r="AJ112" i="36" s="1"/>
  <c r="AP164" i="31"/>
  <c r="AJ136" i="36" s="1"/>
  <c r="AD170" i="31"/>
  <c r="V56" i="25" s="1"/>
  <c r="AJ160" i="36"/>
  <c r="AO106" i="31"/>
  <c r="AI52" i="36" s="1"/>
  <c r="AD103" i="31"/>
  <c r="AJ80" i="36"/>
  <c r="AP143" i="31"/>
  <c r="AJ117" i="36" s="1"/>
  <c r="AP248" i="31"/>
  <c r="AJ209" i="36" s="1"/>
  <c r="AJ230" i="36"/>
  <c r="AK232" i="36"/>
  <c r="AC71" i="31"/>
  <c r="AK80" i="36"/>
  <c r="AJ95" i="36"/>
  <c r="AP152" i="31"/>
  <c r="AJ126" i="36" s="1"/>
  <c r="AP169" i="31"/>
  <c r="AJ159" i="36"/>
  <c r="AP266" i="31"/>
  <c r="AJ229" i="36" s="1"/>
  <c r="AC60" i="31"/>
  <c r="AC79" i="31"/>
  <c r="AQ127" i="31"/>
  <c r="AK100" i="36" s="1"/>
  <c r="AK101" i="36" s="1"/>
  <c r="AK102" i="36" s="1"/>
  <c r="AS152" i="31"/>
  <c r="AM126" i="36" s="1"/>
  <c r="AM127" i="36" s="1"/>
  <c r="AM128" i="36" s="1"/>
  <c r="AM129" i="36" s="1"/>
  <c r="AM130" i="36" s="1"/>
  <c r="AQ266" i="31"/>
  <c r="AK229" i="36" s="1"/>
  <c r="AJ76" i="36"/>
  <c r="AP142" i="31"/>
  <c r="AJ116" i="36" s="1"/>
  <c r="AP144" i="31"/>
  <c r="AJ118" i="36" s="1"/>
  <c r="AP88" i="31"/>
  <c r="AJ39" i="36" s="1"/>
  <c r="AI37" i="25"/>
  <c r="AI49" i="25" s="1"/>
  <c r="AK234" i="36"/>
  <c r="AK235" i="36" s="1"/>
  <c r="AK236" i="36" s="1"/>
  <c r="AJ231" i="36"/>
  <c r="AL232" i="36"/>
  <c r="AK231" i="36"/>
  <c r="AS115" i="31"/>
  <c r="AM61" i="36" s="1"/>
  <c r="AM62" i="36" s="1"/>
  <c r="AM63" i="36" s="1"/>
  <c r="AM64" i="36" s="1"/>
  <c r="AM65" i="36" s="1"/>
  <c r="AC115" i="31"/>
  <c r="U24" i="25" s="1"/>
  <c r="AJ85" i="36"/>
  <c r="AJ75" i="36"/>
  <c r="AL71" i="36"/>
  <c r="AL72" i="36" s="1"/>
  <c r="AL73" i="36" s="1"/>
  <c r="AL74" i="36" s="1"/>
  <c r="AL75" i="36" s="1"/>
  <c r="AL76" i="36" s="1"/>
  <c r="AL77" i="36" s="1"/>
  <c r="AL78" i="36" s="1"/>
  <c r="AL79" i="36" s="1"/>
  <c r="AL80" i="36" s="1"/>
  <c r="AL81" i="36" s="1"/>
  <c r="AL82" i="36" s="1"/>
  <c r="AL83" i="36" s="1"/>
  <c r="AL84" i="36" s="1"/>
  <c r="AL85" i="36" s="1"/>
  <c r="AL86" i="36" s="1"/>
  <c r="AL87" i="36" s="1"/>
  <c r="AL88" i="36" s="1"/>
  <c r="AL89" i="36" s="1"/>
  <c r="AL90" i="36" s="1"/>
  <c r="AL91" i="36" s="1"/>
  <c r="AL92" i="36" s="1"/>
  <c r="AL93" i="36" s="1"/>
  <c r="AL94" i="36" s="1"/>
  <c r="AL95" i="36" s="1"/>
  <c r="AL96" i="36" s="1"/>
  <c r="AL97" i="36" s="1"/>
  <c r="AL98" i="36" s="1"/>
  <c r="AL99" i="36" s="1"/>
  <c r="AD81" i="31"/>
  <c r="Y32" i="36" s="1"/>
  <c r="AE34" i="25"/>
  <c r="AR88" i="31"/>
  <c r="AL39" i="36" s="1"/>
  <c r="AL40" i="36" s="1"/>
  <c r="AL41" i="36" s="1"/>
  <c r="AE48" i="25"/>
  <c r="AR107" i="31"/>
  <c r="AL53" i="36" s="1"/>
  <c r="AL54" i="36" s="1"/>
  <c r="AL55" i="36" s="1"/>
  <c r="AL56" i="36" s="1"/>
  <c r="AL57" i="36" s="1"/>
  <c r="AL58" i="36" s="1"/>
  <c r="AL59" i="36" s="1"/>
  <c r="AL60" i="36" s="1"/>
  <c r="AP118" i="31"/>
  <c r="AJ64" i="36" s="1"/>
  <c r="AP135" i="31"/>
  <c r="AJ109" i="36" s="1"/>
  <c r="AP162" i="31"/>
  <c r="AJ134" i="36" s="1"/>
  <c r="AE191" i="31"/>
  <c r="Z152" i="36" s="1"/>
  <c r="AP71" i="31"/>
  <c r="AJ24" i="36" s="1"/>
  <c r="AP89" i="31"/>
  <c r="AJ40" i="36" s="1"/>
  <c r="AP91" i="31"/>
  <c r="AJ42" i="36" s="1"/>
  <c r="AJ91" i="36"/>
  <c r="AJ93" i="36"/>
  <c r="AP140" i="31"/>
  <c r="AJ114" i="36" s="1"/>
  <c r="AP160" i="31"/>
  <c r="AJ132" i="36" s="1"/>
  <c r="AO165" i="31"/>
  <c r="AI137" i="36" s="1"/>
  <c r="AD167" i="31"/>
  <c r="Y139" i="36" s="1"/>
  <c r="AN170" i="31"/>
  <c r="AE115" i="25" s="1"/>
  <c r="AE177" i="31"/>
  <c r="Z151" i="36" s="1"/>
  <c r="AQ249" i="31"/>
  <c r="AK210" i="36" s="1"/>
  <c r="AK211" i="36" s="1"/>
  <c r="AK212" i="36" s="1"/>
  <c r="AQ260" i="31"/>
  <c r="AK223" i="36" s="1"/>
  <c r="AP261" i="31"/>
  <c r="AJ224" i="36" s="1"/>
  <c r="AE88" i="31"/>
  <c r="Z39" i="36" s="1"/>
  <c r="AJ81" i="36"/>
  <c r="AP127" i="31"/>
  <c r="AJ100" i="36" s="1"/>
  <c r="AJ107" i="36"/>
  <c r="AO170" i="31"/>
  <c r="AI142" i="36" s="1"/>
  <c r="AE175" i="31"/>
  <c r="Z149" i="36" s="1"/>
  <c r="AE197" i="31"/>
  <c r="AD265" i="31"/>
  <c r="AP42" i="31"/>
  <c r="AJ5" i="36" s="1"/>
  <c r="AP46" i="31"/>
  <c r="AJ9" i="36" s="1"/>
  <c r="AS91" i="31"/>
  <c r="AM42" i="36" s="1"/>
  <c r="AM43" i="36" s="1"/>
  <c r="AM44" i="36" s="1"/>
  <c r="AM45" i="36" s="1"/>
  <c r="AM46" i="36" s="1"/>
  <c r="AM47" i="36" s="1"/>
  <c r="AM48" i="36" s="1"/>
  <c r="AN106" i="31"/>
  <c r="AP116" i="31"/>
  <c r="AJ62" i="36" s="1"/>
  <c r="AE119" i="31"/>
  <c r="Z65" i="36" s="1"/>
  <c r="X71" i="36"/>
  <c r="AJ96" i="36"/>
  <c r="AE173" i="31"/>
  <c r="Z147" i="36" s="1"/>
  <c r="AP254" i="31"/>
  <c r="AJ215" i="36" s="1"/>
  <c r="AN265" i="31"/>
  <c r="AH228" i="36" s="1"/>
  <c r="F3" i="10"/>
  <c r="AP54" i="31"/>
  <c r="AJ14" i="36" s="1"/>
  <c r="AP56" i="31"/>
  <c r="AJ16" i="36" s="1"/>
  <c r="AS79" i="31"/>
  <c r="AM30" i="36" s="1"/>
  <c r="AD90" i="31"/>
  <c r="AE90" i="31" s="1"/>
  <c r="AJ90" i="36"/>
  <c r="AP173" i="31"/>
  <c r="AJ147" i="36" s="1"/>
  <c r="AA36" i="31"/>
  <c r="P93" i="31"/>
  <c r="G12" i="40" s="1"/>
  <c r="H12" i="40" s="1"/>
  <c r="AS120" i="31"/>
  <c r="AM66" i="36" s="1"/>
  <c r="AM67" i="36" s="1"/>
  <c r="AM68" i="36" s="1"/>
  <c r="AM69" i="36" s="1"/>
  <c r="AM70" i="36" s="1"/>
  <c r="AC140" i="31"/>
  <c r="AP263" i="31"/>
  <c r="AJ226" i="36" s="1"/>
  <c r="AP201" i="31"/>
  <c r="AJ162" i="36" s="1"/>
  <c r="AP60" i="31"/>
  <c r="AP64" i="31"/>
  <c r="AJ21" i="36" s="1"/>
  <c r="AE82" i="31"/>
  <c r="Z33" i="36" s="1"/>
  <c r="AA84" i="31"/>
  <c r="AP121" i="31"/>
  <c r="AJ67" i="36" s="1"/>
  <c r="AP123" i="31"/>
  <c r="AJ69" i="36" s="1"/>
  <c r="AJ73" i="36"/>
  <c r="AJ99" i="36"/>
  <c r="AQ152" i="31"/>
  <c r="AK126" i="36" s="1"/>
  <c r="AD165" i="31"/>
  <c r="V51" i="25" s="1"/>
  <c r="AC192" i="31"/>
  <c r="AQ192" i="31"/>
  <c r="AK153" i="36" s="1"/>
  <c r="AL159" i="36"/>
  <c r="AR263" i="31"/>
  <c r="AL226" i="36" s="1"/>
  <c r="AL227" i="36" s="1"/>
  <c r="AE266" i="31"/>
  <c r="W106" i="25" s="1"/>
  <c r="AP72" i="31"/>
  <c r="AP107" i="31"/>
  <c r="AJ53" i="36" s="1"/>
  <c r="AP120" i="31"/>
  <c r="AJ66" i="36" s="1"/>
  <c r="AJ78" i="36"/>
  <c r="AJ86" i="36"/>
  <c r="AJ94" i="36"/>
  <c r="AP132" i="31"/>
  <c r="AJ105" i="36" s="1"/>
  <c r="AE159" i="31"/>
  <c r="Z131" i="36" s="1"/>
  <c r="AP161" i="31"/>
  <c r="AJ133" i="36" s="1"/>
  <c r="AQ162" i="31"/>
  <c r="AK134" i="36" s="1"/>
  <c r="AE174" i="31"/>
  <c r="AQ194" i="31"/>
  <c r="AK155" i="36" s="1"/>
  <c r="AP194" i="31"/>
  <c r="AJ155" i="36" s="1"/>
  <c r="AQ254" i="31"/>
  <c r="AK215" i="36" s="1"/>
  <c r="AK216" i="36" s="1"/>
  <c r="AK217" i="36" s="1"/>
  <c r="AK218" i="36" s="1"/>
  <c r="AK219" i="36" s="1"/>
  <c r="AK220" i="36" s="1"/>
  <c r="AK221" i="36" s="1"/>
  <c r="AK222" i="36" s="1"/>
  <c r="AP55" i="31"/>
  <c r="AP67" i="31"/>
  <c r="AJ23" i="36" s="1"/>
  <c r="AE100" i="25"/>
  <c r="AP81" i="31"/>
  <c r="AJ32" i="36" s="1"/>
  <c r="AQ140" i="31"/>
  <c r="AK114" i="36" s="1"/>
  <c r="AN165" i="31"/>
  <c r="AH137" i="36" s="1"/>
  <c r="AE166" i="31"/>
  <c r="Z138" i="36" s="1"/>
  <c r="AA167" i="31"/>
  <c r="V139" i="36" s="1"/>
  <c r="AQ169" i="31"/>
  <c r="AK141" i="36" s="1"/>
  <c r="U58" i="25"/>
  <c r="Z160" i="36"/>
  <c r="AC41" i="31"/>
  <c r="AQ55" i="31"/>
  <c r="AK15" i="36" s="1"/>
  <c r="AQ67" i="31"/>
  <c r="AK23" i="36" s="1"/>
  <c r="V43" i="25"/>
  <c r="AP80" i="31"/>
  <c r="AJ31" i="36" s="1"/>
  <c r="AN84" i="31"/>
  <c r="AH35" i="36" s="1"/>
  <c r="AA133" i="31"/>
  <c r="AC127" i="31" s="1"/>
  <c r="U28" i="25" s="1"/>
  <c r="AD263" i="31"/>
  <c r="V103" i="25" s="1"/>
  <c r="AQ263" i="31"/>
  <c r="AK226" i="36" s="1"/>
  <c r="AK227" i="36" s="1"/>
  <c r="AK233" i="36"/>
  <c r="AP66" i="31"/>
  <c r="AJ22" i="36" s="1"/>
  <c r="AD47" i="25"/>
  <c r="V19" i="25"/>
  <c r="AJ74" i="36"/>
  <c r="AJ82" i="36"/>
  <c r="AN133" i="31"/>
  <c r="AE68" i="25" s="1"/>
  <c r="V37" i="25"/>
  <c r="AP145" i="31"/>
  <c r="AJ119" i="36" s="1"/>
  <c r="AP166" i="31"/>
  <c r="AJ138" i="36" s="1"/>
  <c r="AN167" i="31"/>
  <c r="AH139" i="36" s="1"/>
  <c r="U54" i="25"/>
  <c r="AP175" i="31"/>
  <c r="AJ149" i="36" s="1"/>
  <c r="AR254" i="31"/>
  <c r="AL215" i="36" s="1"/>
  <c r="AL216" i="36" s="1"/>
  <c r="AL217" i="36" s="1"/>
  <c r="AL218" i="36" s="1"/>
  <c r="AL219" i="36" s="1"/>
  <c r="AL220" i="36" s="1"/>
  <c r="AL221" i="36" s="1"/>
  <c r="AL222" i="36" s="1"/>
  <c r="AN47" i="31"/>
  <c r="AP74" i="31"/>
  <c r="AJ27" i="36" s="1"/>
  <c r="AP79" i="31"/>
  <c r="AJ30" i="36" s="1"/>
  <c r="AP93" i="31"/>
  <c r="AJ44" i="36" s="1"/>
  <c r="AP95" i="31"/>
  <c r="AJ46" i="36" s="1"/>
  <c r="AA106" i="31"/>
  <c r="AE107" i="31"/>
  <c r="D7" i="25" s="1"/>
  <c r="AE120" i="31"/>
  <c r="AJ79" i="36"/>
  <c r="AJ87" i="36"/>
  <c r="AO133" i="31"/>
  <c r="AI106" i="36" s="1"/>
  <c r="AR159" i="31"/>
  <c r="AL131" i="36" s="1"/>
  <c r="AL132" i="36" s="1"/>
  <c r="AL133" i="36" s="1"/>
  <c r="AP163" i="31"/>
  <c r="AJ135" i="36" s="1"/>
  <c r="AR166" i="31"/>
  <c r="AL138" i="36" s="1"/>
  <c r="AE168" i="31"/>
  <c r="Z140" i="36" s="1"/>
  <c r="AP177" i="31"/>
  <c r="AJ151" i="36" s="1"/>
  <c r="AE195" i="31"/>
  <c r="E19" i="25" s="1"/>
  <c r="AP147" i="31"/>
  <c r="AJ121" i="36" s="1"/>
  <c r="AR168" i="31"/>
  <c r="AL140" i="36" s="1"/>
  <c r="AP168" i="31"/>
  <c r="AJ140" i="36" s="1"/>
  <c r="AQ248" i="31"/>
  <c r="AK209" i="36" s="1"/>
  <c r="AD248" i="31"/>
  <c r="V92" i="25" s="1"/>
  <c r="AE130" i="25"/>
  <c r="AP174" i="31"/>
  <c r="AJ148" i="36" s="1"/>
  <c r="AQ193" i="31"/>
  <c r="AK154" i="36" s="1"/>
  <c r="AR201" i="31"/>
  <c r="AL162" i="36" s="1"/>
  <c r="AL163" i="36" s="1"/>
  <c r="AL164" i="36" s="1"/>
  <c r="AL165" i="36" s="1"/>
  <c r="AL166" i="36" s="1"/>
  <c r="AL167" i="36" s="1"/>
  <c r="AL168" i="36" s="1"/>
  <c r="AL169" i="36" s="1"/>
  <c r="AL170" i="36" s="1"/>
  <c r="AL171" i="36" s="1"/>
  <c r="AL172" i="36" s="1"/>
  <c r="AL173" i="36" s="1"/>
  <c r="AL174" i="36" s="1"/>
  <c r="AL175" i="36" s="1"/>
  <c r="AL176" i="36" s="1"/>
  <c r="AL177" i="36" s="1"/>
  <c r="AL178" i="36" s="1"/>
  <c r="AL179" i="36" s="1"/>
  <c r="AL180" i="36" s="1"/>
  <c r="AL181" i="36" s="1"/>
  <c r="AL182" i="36" s="1"/>
  <c r="AL183" i="36" s="1"/>
  <c r="AL184" i="36" s="1"/>
  <c r="AL185" i="36" s="1"/>
  <c r="AL186" i="36" s="1"/>
  <c r="AL187" i="36" s="1"/>
  <c r="AL188" i="36" s="1"/>
  <c r="AL189" i="36" s="1"/>
  <c r="AL190" i="36" s="1"/>
  <c r="AL191" i="36" s="1"/>
  <c r="AL192" i="36" s="1"/>
  <c r="AL193" i="36" s="1"/>
  <c r="AL194" i="36" s="1"/>
  <c r="AL195" i="36" s="1"/>
  <c r="AL196" i="36" s="1"/>
  <c r="AL197" i="36" s="1"/>
  <c r="AL198" i="36" s="1"/>
  <c r="AL199" i="36" s="1"/>
  <c r="AL200" i="36" s="1"/>
  <c r="AL201" i="36" s="1"/>
  <c r="AL202" i="36" s="1"/>
  <c r="AL203" i="36" s="1"/>
  <c r="AL204" i="36" s="1"/>
  <c r="AL205" i="36" s="1"/>
  <c r="AL206" i="36" s="1"/>
  <c r="AL207" i="36" s="1"/>
  <c r="AR252" i="31"/>
  <c r="AL32" i="25"/>
  <c r="AL33" i="25" s="1"/>
  <c r="AP191" i="31"/>
  <c r="AJ152" i="36" s="1"/>
  <c r="AP195" i="31"/>
  <c r="AJ156" i="36" s="1"/>
  <c r="AE196" i="31"/>
  <c r="W75" i="25" s="1"/>
  <c r="AD253" i="31"/>
  <c r="V97" i="25" s="1"/>
  <c r="AP253" i="31"/>
  <c r="AJ214" i="36" s="1"/>
  <c r="AA46" i="25"/>
  <c r="AA25" i="25"/>
  <c r="AA26" i="25"/>
  <c r="AA121" i="25"/>
  <c r="AA9" i="25"/>
  <c r="AA17" i="25"/>
  <c r="AA50" i="25"/>
  <c r="AA78" i="25"/>
  <c r="AA89" i="25"/>
  <c r="AA101" i="25"/>
  <c r="AA43" i="25"/>
  <c r="AA60" i="25"/>
  <c r="AA61" i="25"/>
  <c r="AA64" i="25"/>
  <c r="AA20" i="25"/>
  <c r="AA35" i="25"/>
  <c r="AA4" i="25"/>
  <c r="AA48" i="25"/>
  <c r="AA106" i="25"/>
  <c r="AA108" i="25"/>
  <c r="AA110" i="25"/>
  <c r="AA122" i="25"/>
  <c r="AA13" i="25"/>
  <c r="AA32" i="25"/>
  <c r="AA38" i="25"/>
  <c r="AA42" i="25"/>
  <c r="AA126" i="25"/>
  <c r="AA23" i="25"/>
  <c r="AA37" i="25"/>
  <c r="AA5" i="25"/>
  <c r="AA54" i="25"/>
  <c r="AA71" i="25"/>
  <c r="AA81" i="25"/>
  <c r="AA129" i="25"/>
  <c r="AA131" i="25"/>
  <c r="AA133" i="25"/>
  <c r="AA27" i="25"/>
  <c r="AA11" i="25"/>
  <c r="AA15" i="25"/>
  <c r="AA18" i="25"/>
  <c r="AA111" i="25"/>
  <c r="AA19" i="25"/>
  <c r="AA31" i="25"/>
  <c r="AA36" i="25"/>
  <c r="AA90" i="25"/>
  <c r="AA99" i="25"/>
  <c r="AA120" i="25"/>
  <c r="AA22" i="25"/>
  <c r="AA33" i="25"/>
  <c r="AA45" i="25"/>
  <c r="AA47" i="25"/>
  <c r="AA49" i="25"/>
  <c r="AA55" i="25"/>
  <c r="AA125" i="25"/>
  <c r="AA34" i="25"/>
  <c r="AA56" i="25"/>
  <c r="AA105" i="25"/>
  <c r="AA113" i="25"/>
  <c r="AA115" i="25"/>
  <c r="AA117" i="25"/>
  <c r="AA7" i="25"/>
  <c r="AA21" i="25"/>
  <c r="AA70" i="25"/>
  <c r="AA73" i="25"/>
  <c r="AA74" i="25"/>
  <c r="AA75" i="25"/>
  <c r="AA76" i="25"/>
  <c r="AA77" i="25"/>
  <c r="AA30" i="25"/>
  <c r="AA52" i="25"/>
  <c r="AA63" i="25"/>
  <c r="AA80" i="25"/>
  <c r="AA86" i="25"/>
  <c r="AA88" i="25"/>
  <c r="AA128" i="25"/>
  <c r="AK43" i="25"/>
  <c r="AL43" i="25"/>
  <c r="AL44" i="25" s="1"/>
  <c r="AK18" i="25"/>
  <c r="AL18" i="25"/>
  <c r="AJ19" i="25" s="1"/>
  <c r="AA6" i="25"/>
  <c r="AA51" i="25"/>
  <c r="AA8" i="25"/>
  <c r="AA12" i="25"/>
  <c r="AA24" i="25"/>
  <c r="AA28" i="25"/>
  <c r="AA40" i="25"/>
  <c r="AA53" i="25"/>
  <c r="AA79" i="25"/>
  <c r="AA82" i="25"/>
  <c r="AA83" i="25"/>
  <c r="AA84" i="25"/>
  <c r="AA85" i="25"/>
  <c r="AA95" i="25"/>
  <c r="AA107" i="25"/>
  <c r="AA109" i="25"/>
  <c r="AA127" i="25"/>
  <c r="AA44" i="25"/>
  <c r="AA87" i="25"/>
  <c r="AA91" i="25"/>
  <c r="AA92" i="25"/>
  <c r="AA93" i="25"/>
  <c r="AA100" i="25"/>
  <c r="AA119" i="25"/>
  <c r="AA41" i="25"/>
  <c r="AA102" i="25"/>
  <c r="AA103" i="25"/>
  <c r="AA104" i="25"/>
  <c r="AA10" i="25"/>
  <c r="AA57" i="25"/>
  <c r="AA58" i="25"/>
  <c r="AA59" i="25"/>
  <c r="AA62" i="25"/>
  <c r="AA67" i="25"/>
  <c r="AA68" i="25"/>
  <c r="AA69" i="25"/>
  <c r="AA112" i="25"/>
  <c r="AA124" i="25"/>
  <c r="AA16" i="25"/>
  <c r="AA39" i="25"/>
  <c r="AA65" i="25"/>
  <c r="AA72" i="25"/>
  <c r="AA114" i="25"/>
  <c r="AA116" i="25"/>
  <c r="AA118" i="25"/>
  <c r="AA130" i="25"/>
  <c r="AA132" i="25"/>
  <c r="J3" i="32"/>
  <c r="AK4" i="25"/>
  <c r="AL4" i="25"/>
  <c r="AA14" i="25"/>
  <c r="AA29" i="25"/>
  <c r="AM48" i="25"/>
  <c r="AK32" i="25"/>
  <c r="N32" i="25"/>
  <c r="N34" i="25"/>
  <c r="N36" i="25"/>
  <c r="C26" i="25" l="1"/>
  <c r="V105" i="25"/>
  <c r="D27" i="25"/>
  <c r="X153" i="36"/>
  <c r="C18" i="25"/>
  <c r="Z158" i="36"/>
  <c r="W76" i="25"/>
  <c r="U50" i="25"/>
  <c r="AE272" i="31"/>
  <c r="V112" i="25"/>
  <c r="D28" i="25"/>
  <c r="Y162" i="36"/>
  <c r="V80" i="25"/>
  <c r="AE247" i="31"/>
  <c r="W91" i="25" s="1"/>
  <c r="V91" i="25"/>
  <c r="Z162" i="36"/>
  <c r="W80" i="25"/>
  <c r="Y225" i="36"/>
  <c r="V102" i="25"/>
  <c r="AE249" i="31"/>
  <c r="V93" i="25"/>
  <c r="AE260" i="31"/>
  <c r="W100" i="25" s="1"/>
  <c r="V100" i="25"/>
  <c r="AT273" i="31"/>
  <c r="Z66" i="36"/>
  <c r="W26" i="25"/>
  <c r="D14" i="25"/>
  <c r="D8" i="25"/>
  <c r="AE71" i="31"/>
  <c r="P71" i="31" s="1"/>
  <c r="D16" i="25"/>
  <c r="D24" i="25"/>
  <c r="D13" i="25"/>
  <c r="C24" i="25"/>
  <c r="AT174" i="31"/>
  <c r="AJ104" i="36"/>
  <c r="AT71" i="31"/>
  <c r="AS127" i="31"/>
  <c r="C21" i="25"/>
  <c r="AT88" i="31"/>
  <c r="AN39" i="36" s="1"/>
  <c r="AN40" i="36" s="1"/>
  <c r="D25" i="25"/>
  <c r="AT173" i="31"/>
  <c r="AN147" i="36" s="1"/>
  <c r="AE262" i="31"/>
  <c r="Z208" i="36"/>
  <c r="X126" i="36"/>
  <c r="U41" i="25"/>
  <c r="V106" i="36"/>
  <c r="W58" i="25"/>
  <c r="Z146" i="36"/>
  <c r="W57" i="25"/>
  <c r="Z144" i="36"/>
  <c r="AE170" i="31"/>
  <c r="Z142" i="36" s="1"/>
  <c r="Y142" i="36"/>
  <c r="AT79" i="31"/>
  <c r="AN30" i="36" s="1"/>
  <c r="AK31" i="36"/>
  <c r="AE261" i="31"/>
  <c r="W101" i="25" s="1"/>
  <c r="Y224" i="36"/>
  <c r="Y223" i="36"/>
  <c r="Y210" i="36"/>
  <c r="Z223" i="36"/>
  <c r="AM146" i="36"/>
  <c r="AJ146" i="36"/>
  <c r="AS252" i="31"/>
  <c r="AM213" i="36" s="1"/>
  <c r="AJ213" i="36"/>
  <c r="AH106" i="36"/>
  <c r="AE90" i="25"/>
  <c r="AT82" i="31"/>
  <c r="AN33" i="36" s="1"/>
  <c r="AN34" i="36" s="1"/>
  <c r="Y214" i="36"/>
  <c r="Z230" i="36"/>
  <c r="AE273" i="31"/>
  <c r="Z231" i="36" s="1"/>
  <c r="AN140" i="36"/>
  <c r="AT175" i="31"/>
  <c r="X59" i="25" s="1"/>
  <c r="AK149" i="36"/>
  <c r="AK150" i="36" s="1"/>
  <c r="AK146" i="36"/>
  <c r="AK144" i="36"/>
  <c r="AR170" i="31"/>
  <c r="AL142" i="36" s="1"/>
  <c r="AH142" i="36"/>
  <c r="AE120" i="25"/>
  <c r="Z157" i="36"/>
  <c r="W67" i="25"/>
  <c r="Z159" i="36"/>
  <c r="Z229" i="36"/>
  <c r="P84" i="31"/>
  <c r="V35" i="36"/>
  <c r="U23" i="25"/>
  <c r="AT171" i="31"/>
  <c r="AK143" i="36"/>
  <c r="AS169" i="31"/>
  <c r="AM141" i="36" s="1"/>
  <c r="AJ141" i="36"/>
  <c r="AT107" i="31"/>
  <c r="W60" i="25"/>
  <c r="Z148" i="36"/>
  <c r="V13" i="25"/>
  <c r="D5" i="25" s="1"/>
  <c r="Y41" i="36"/>
  <c r="AH52" i="36"/>
  <c r="AE64" i="25"/>
  <c r="X42" i="36"/>
  <c r="AT191" i="31"/>
  <c r="AQ165" i="31"/>
  <c r="V137" i="36"/>
  <c r="V53" i="25"/>
  <c r="AQ90" i="31"/>
  <c r="V41" i="36"/>
  <c r="Y209" i="36"/>
  <c r="D22" i="25"/>
  <c r="Y213" i="36"/>
  <c r="Y230" i="36"/>
  <c r="AM232" i="36"/>
  <c r="AN145" i="36"/>
  <c r="AK145" i="36"/>
  <c r="Y229" i="36"/>
  <c r="AR265" i="31"/>
  <c r="AL228" i="36" s="1"/>
  <c r="Z53" i="36"/>
  <c r="W18" i="25"/>
  <c r="Z41" i="36"/>
  <c r="U8" i="25"/>
  <c r="X30" i="36"/>
  <c r="W56" i="25"/>
  <c r="Z143" i="36"/>
  <c r="AN233" i="36"/>
  <c r="AM233" i="36"/>
  <c r="AT166" i="31"/>
  <c r="AK138" i="36"/>
  <c r="AN234" i="36"/>
  <c r="AM234" i="36"/>
  <c r="Y226" i="36"/>
  <c r="Y208" i="36"/>
  <c r="AT177" i="31"/>
  <c r="AK151" i="36"/>
  <c r="AL213" i="36"/>
  <c r="X60" i="25"/>
  <c r="AN148" i="36"/>
  <c r="V54" i="25"/>
  <c r="Y141" i="36"/>
  <c r="U13" i="25"/>
  <c r="X114" i="36"/>
  <c r="U35" i="25"/>
  <c r="I4" i="10"/>
  <c r="K4" i="10" s="1"/>
  <c r="L44" i="36"/>
  <c r="AC103" i="31"/>
  <c r="V52" i="36"/>
  <c r="W68" i="25"/>
  <c r="Z156" i="36"/>
  <c r="W66" i="25"/>
  <c r="AE165" i="31"/>
  <c r="Z137" i="36" s="1"/>
  <c r="Y137" i="36"/>
  <c r="W48" i="25"/>
  <c r="D26" i="25"/>
  <c r="Y228" i="36"/>
  <c r="Y49" i="36"/>
  <c r="V15" i="25"/>
  <c r="W62" i="25"/>
  <c r="Z150" i="36"/>
  <c r="V12" i="25"/>
  <c r="AT119" i="31"/>
  <c r="U21" i="25"/>
  <c r="X61" i="36"/>
  <c r="U20" i="25"/>
  <c r="V65" i="25"/>
  <c r="Y153" i="36"/>
  <c r="V63" i="25"/>
  <c r="U63" i="25"/>
  <c r="AT125" i="31"/>
  <c r="X23" i="25" s="1"/>
  <c r="AK71" i="36"/>
  <c r="AK72" i="36" s="1"/>
  <c r="AE79" i="31"/>
  <c r="Z30" i="36" s="1"/>
  <c r="AR152" i="31"/>
  <c r="AL126" i="36" s="1"/>
  <c r="AL127" i="36" s="1"/>
  <c r="AL128" i="36" s="1"/>
  <c r="AL129" i="36" s="1"/>
  <c r="AL130" i="36" s="1"/>
  <c r="AP106" i="31"/>
  <c r="AJ52" i="36" s="1"/>
  <c r="AT115" i="31"/>
  <c r="X24" i="25" s="1"/>
  <c r="AS260" i="31"/>
  <c r="AM223" i="36" s="1"/>
  <c r="AQ170" i="31"/>
  <c r="AK142" i="36" s="1"/>
  <c r="AR51" i="31"/>
  <c r="AT51" i="31" s="1"/>
  <c r="X5" i="25" s="1"/>
  <c r="AE265" i="31"/>
  <c r="AQ265" i="31"/>
  <c r="AK228" i="36" s="1"/>
  <c r="U43" i="25"/>
  <c r="AE152" i="31"/>
  <c r="AP170" i="31"/>
  <c r="AJ142" i="36" s="1"/>
  <c r="C12" i="25"/>
  <c r="AE51" i="31"/>
  <c r="Z11" i="36" s="1"/>
  <c r="U5" i="25"/>
  <c r="AS197" i="31"/>
  <c r="AM158" i="36" s="1"/>
  <c r="AE253" i="31"/>
  <c r="AT91" i="31"/>
  <c r="AN42" i="36" s="1"/>
  <c r="AN43" i="36" s="1"/>
  <c r="AN44" i="36" s="1"/>
  <c r="AN45" i="36" s="1"/>
  <c r="AN46" i="36" s="1"/>
  <c r="AN47" i="36" s="1"/>
  <c r="AN48" i="36" s="1"/>
  <c r="W59" i="25"/>
  <c r="W69" i="25"/>
  <c r="AT169" i="31"/>
  <c r="AP90" i="31"/>
  <c r="AJ41" i="36" s="1"/>
  <c r="W70" i="25"/>
  <c r="AT60" i="31"/>
  <c r="AR60" i="31" s="1"/>
  <c r="X64" i="25"/>
  <c r="AS80" i="31"/>
  <c r="AM31" i="36" s="1"/>
  <c r="AE115" i="31"/>
  <c r="AE192" i="31"/>
  <c r="E18" i="25" s="1"/>
  <c r="U65" i="25"/>
  <c r="W61" i="25"/>
  <c r="AR140" i="31"/>
  <c r="AL114" i="36" s="1"/>
  <c r="AL115" i="36" s="1"/>
  <c r="AL116" i="36" s="1"/>
  <c r="AL117" i="36" s="1"/>
  <c r="AL118" i="36" s="1"/>
  <c r="AL119" i="36" s="1"/>
  <c r="AL120" i="36" s="1"/>
  <c r="AL121" i="36" s="1"/>
  <c r="AL122" i="36" s="1"/>
  <c r="AL123" i="36" s="1"/>
  <c r="AL124" i="36" s="1"/>
  <c r="AL125" i="36" s="1"/>
  <c r="W64" i="25"/>
  <c r="X4" i="25"/>
  <c r="E22" i="25"/>
  <c r="G22" i="25" s="1"/>
  <c r="E25" i="25"/>
  <c r="G25" i="25" s="1"/>
  <c r="AT152" i="31"/>
  <c r="AS262" i="31"/>
  <c r="AM225" i="36" s="1"/>
  <c r="AT80" i="31"/>
  <c r="AN31" i="36" s="1"/>
  <c r="W74" i="25"/>
  <c r="AT140" i="31"/>
  <c r="AS41" i="31"/>
  <c r="AR41" i="31" s="1"/>
  <c r="AS247" i="31"/>
  <c r="AM208" i="36" s="1"/>
  <c r="AT195" i="31"/>
  <c r="F19" i="25" s="1"/>
  <c r="H19" i="25" s="1"/>
  <c r="U49" i="25"/>
  <c r="AT162" i="31"/>
  <c r="F15" i="25" s="1"/>
  <c r="H15" i="25" s="1"/>
  <c r="AR162" i="31"/>
  <c r="AL134" i="36" s="1"/>
  <c r="AL135" i="36" s="1"/>
  <c r="AL136" i="36" s="1"/>
  <c r="AM160" i="36"/>
  <c r="AE162" i="31"/>
  <c r="AR115" i="31"/>
  <c r="AL61" i="36" s="1"/>
  <c r="AL62" i="36" s="1"/>
  <c r="AL63" i="36" s="1"/>
  <c r="AL64" i="36" s="1"/>
  <c r="AL65" i="36" s="1"/>
  <c r="AS266" i="31"/>
  <c r="AM229" i="36" s="1"/>
  <c r="AM230" i="36"/>
  <c r="V55" i="25"/>
  <c r="AS249" i="31"/>
  <c r="AM210" i="36" s="1"/>
  <c r="AM211" i="36" s="1"/>
  <c r="AM212" i="36" s="1"/>
  <c r="AM159" i="36"/>
  <c r="AS248" i="31"/>
  <c r="AM209" i="36" s="1"/>
  <c r="AM161" i="36"/>
  <c r="AS196" i="31"/>
  <c r="AM157" i="36" s="1"/>
  <c r="AE140" i="31"/>
  <c r="AE91" i="31"/>
  <c r="AJ25" i="36"/>
  <c r="AR71" i="31"/>
  <c r="U7" i="25"/>
  <c r="X24" i="36"/>
  <c r="AM231" i="36"/>
  <c r="V52" i="25"/>
  <c r="AE167" i="31"/>
  <c r="W50" i="25" s="1"/>
  <c r="AS254" i="31"/>
  <c r="AM215" i="36" s="1"/>
  <c r="AM216" i="36" s="1"/>
  <c r="AM217" i="36" s="1"/>
  <c r="AM218" i="36" s="1"/>
  <c r="AM219" i="36" s="1"/>
  <c r="AM220" i="36" s="1"/>
  <c r="AM221" i="36" s="1"/>
  <c r="AM222" i="36" s="1"/>
  <c r="AS263" i="31"/>
  <c r="AM226" i="36" s="1"/>
  <c r="AM227" i="36" s="1"/>
  <c r="V4" i="25"/>
  <c r="Y4" i="36"/>
  <c r="E16" i="25"/>
  <c r="G16" i="25" s="1"/>
  <c r="AS201" i="31"/>
  <c r="AM162" i="36" s="1"/>
  <c r="AM163" i="36" s="1"/>
  <c r="AM164" i="36" s="1"/>
  <c r="AM165" i="36" s="1"/>
  <c r="AM166" i="36" s="1"/>
  <c r="AM167" i="36" s="1"/>
  <c r="AM168" i="36" s="1"/>
  <c r="AM169" i="36" s="1"/>
  <c r="AM170" i="36" s="1"/>
  <c r="AM171" i="36" s="1"/>
  <c r="AM172" i="36" s="1"/>
  <c r="AM173" i="36" s="1"/>
  <c r="AM174" i="36" s="1"/>
  <c r="AM175" i="36" s="1"/>
  <c r="AM176" i="36" s="1"/>
  <c r="AM177" i="36" s="1"/>
  <c r="AM178" i="36" s="1"/>
  <c r="AM179" i="36" s="1"/>
  <c r="AM180" i="36" s="1"/>
  <c r="AM181" i="36" s="1"/>
  <c r="AM182" i="36" s="1"/>
  <c r="AM183" i="36" s="1"/>
  <c r="AM184" i="36" s="1"/>
  <c r="AM185" i="36" s="1"/>
  <c r="AM186" i="36" s="1"/>
  <c r="AM187" i="36" s="1"/>
  <c r="AM188" i="36" s="1"/>
  <c r="AM189" i="36" s="1"/>
  <c r="AM190" i="36" s="1"/>
  <c r="AM191" i="36" s="1"/>
  <c r="AM192" i="36" s="1"/>
  <c r="AM193" i="36" s="1"/>
  <c r="AM194" i="36" s="1"/>
  <c r="AM195" i="36" s="1"/>
  <c r="AM196" i="36" s="1"/>
  <c r="AM197" i="36" s="1"/>
  <c r="AM198" i="36" s="1"/>
  <c r="AM199" i="36" s="1"/>
  <c r="AM200" i="36" s="1"/>
  <c r="AM201" i="36" s="1"/>
  <c r="AM202" i="36" s="1"/>
  <c r="AM203" i="36" s="1"/>
  <c r="AM204" i="36" s="1"/>
  <c r="AM205" i="36" s="1"/>
  <c r="AM206" i="36" s="1"/>
  <c r="AM207" i="36" s="1"/>
  <c r="AP265" i="31"/>
  <c r="AJ228" i="36" s="1"/>
  <c r="AE125" i="25"/>
  <c r="U37" i="25"/>
  <c r="W22" i="25"/>
  <c r="C11" i="25"/>
  <c r="W12" i="25"/>
  <c r="V6" i="25"/>
  <c r="Y17" i="36"/>
  <c r="AE125" i="31"/>
  <c r="AE47" i="25"/>
  <c r="AS261" i="31"/>
  <c r="AM224" i="36" s="1"/>
  <c r="AJ32" i="25"/>
  <c r="U16" i="25"/>
  <c r="AS191" i="31"/>
  <c r="AM152" i="36" s="1"/>
  <c r="AE263" i="31"/>
  <c r="AQ167" i="31"/>
  <c r="AK139" i="36" s="1"/>
  <c r="W21" i="25"/>
  <c r="AP192" i="31"/>
  <c r="AJ153" i="36" s="1"/>
  <c r="AS175" i="31"/>
  <c r="AM149" i="36" s="1"/>
  <c r="AM150" i="36" s="1"/>
  <c r="W51" i="25"/>
  <c r="V50" i="25"/>
  <c r="AS159" i="31"/>
  <c r="AM131" i="36" s="1"/>
  <c r="AM132" i="36" s="1"/>
  <c r="AM133" i="36" s="1"/>
  <c r="AP84" i="31"/>
  <c r="AJ35" i="36" s="1"/>
  <c r="AR84" i="31"/>
  <c r="AL35" i="36" s="1"/>
  <c r="AL36" i="36" s="1"/>
  <c r="AL37" i="36" s="1"/>
  <c r="AL38" i="36" s="1"/>
  <c r="AR165" i="31"/>
  <c r="AL137" i="36" s="1"/>
  <c r="AP165" i="31"/>
  <c r="AJ137" i="36" s="1"/>
  <c r="E13" i="25"/>
  <c r="G13" i="25" s="1"/>
  <c r="AQ84" i="31"/>
  <c r="AK35" i="36" s="1"/>
  <c r="AK36" i="36" s="1"/>
  <c r="AK37" i="36" s="1"/>
  <c r="AK38" i="36" s="1"/>
  <c r="W43" i="25"/>
  <c r="AR91" i="31"/>
  <c r="AL42" i="36" s="1"/>
  <c r="AL43" i="36" s="1"/>
  <c r="AL44" i="36" s="1"/>
  <c r="AL45" i="36" s="1"/>
  <c r="AL46" i="36" s="1"/>
  <c r="AL47" i="36" s="1"/>
  <c r="AL48" i="36" s="1"/>
  <c r="AE7" i="25"/>
  <c r="AP47" i="31"/>
  <c r="AH10" i="36"/>
  <c r="AE95" i="25"/>
  <c r="AP133" i="31"/>
  <c r="AR127" i="31" s="1"/>
  <c r="AJ15" i="36"/>
  <c r="W9" i="25"/>
  <c r="AS168" i="31"/>
  <c r="AM140" i="36" s="1"/>
  <c r="W53" i="25"/>
  <c r="U6" i="25"/>
  <c r="AE60" i="31"/>
  <c r="X17" i="36"/>
  <c r="AE254" i="31"/>
  <c r="W98" i="25" s="1"/>
  <c r="W7" i="25"/>
  <c r="Z24" i="36"/>
  <c r="AM36" i="25"/>
  <c r="AK36" i="25" s="1"/>
  <c r="AQ106" i="31"/>
  <c r="AK52" i="36" s="1"/>
  <c r="W54" i="25"/>
  <c r="W24" i="25"/>
  <c r="AM17" i="36"/>
  <c r="AM18" i="36" s="1"/>
  <c r="AM19" i="36" s="1"/>
  <c r="AM20" i="36" s="1"/>
  <c r="AM21" i="36" s="1"/>
  <c r="AM22" i="36" s="1"/>
  <c r="AM23" i="36" s="1"/>
  <c r="AM24" i="36" s="1"/>
  <c r="AM25" i="36" s="1"/>
  <c r="AM26" i="36" s="1"/>
  <c r="AM27" i="36" s="1"/>
  <c r="AM28" i="36" s="1"/>
  <c r="AM29" i="36" s="1"/>
  <c r="AJ17" i="36"/>
  <c r="W37" i="25"/>
  <c r="E24" i="25"/>
  <c r="G24" i="25" s="1"/>
  <c r="AS177" i="31"/>
  <c r="AM151" i="36" s="1"/>
  <c r="V16" i="25"/>
  <c r="AP167" i="31"/>
  <c r="AJ139" i="36" s="1"/>
  <c r="AR167" i="31"/>
  <c r="AL139" i="36" s="1"/>
  <c r="U4" i="25"/>
  <c r="AE41" i="31"/>
  <c r="X4" i="36"/>
  <c r="W55" i="25"/>
  <c r="W11" i="25"/>
  <c r="AJ4" i="36"/>
  <c r="AS195" i="31"/>
  <c r="AM156" i="36" s="1"/>
  <c r="AS174" i="31"/>
  <c r="AM148" i="36" s="1"/>
  <c r="AE248" i="31"/>
  <c r="W92" i="25" s="1"/>
  <c r="AS166" i="31"/>
  <c r="AM138" i="36" s="1"/>
  <c r="AQ133" i="31"/>
  <c r="AK106" i="36" s="1"/>
  <c r="AS81" i="31"/>
  <c r="AM32" i="36" s="1"/>
  <c r="AR120" i="31"/>
  <c r="AL66" i="36" s="1"/>
  <c r="AL67" i="36" s="1"/>
  <c r="AL68" i="36" s="1"/>
  <c r="AL69" i="36" s="1"/>
  <c r="AL70" i="36" s="1"/>
  <c r="C17" i="25"/>
  <c r="D23" i="25"/>
  <c r="AS253" i="31"/>
  <c r="AM214" i="36" s="1"/>
  <c r="AJ43" i="25"/>
  <c r="AJ44" i="25"/>
  <c r="AL19" i="25"/>
  <c r="AJ20" i="25" s="1"/>
  <c r="AJ18" i="25"/>
  <c r="AL34" i="25"/>
  <c r="AJ33" i="25"/>
  <c r="AJ34" i="25"/>
  <c r="AJ5" i="25"/>
  <c r="AL5" i="25"/>
  <c r="AJ4" i="25"/>
  <c r="AJ45" i="25"/>
  <c r="AL45" i="25"/>
  <c r="C7" i="25" l="1"/>
  <c r="U19" i="25"/>
  <c r="W112" i="25"/>
  <c r="E28" i="25"/>
  <c r="G28" i="25" s="1"/>
  <c r="Z210" i="36"/>
  <c r="W93" i="25"/>
  <c r="Z225" i="36"/>
  <c r="W102" i="25"/>
  <c r="Z226" i="36"/>
  <c r="W103" i="25"/>
  <c r="W105" i="25"/>
  <c r="E27" i="25"/>
  <c r="G27" i="25" s="1"/>
  <c r="E23" i="25"/>
  <c r="G23" i="25" s="1"/>
  <c r="W97" i="25"/>
  <c r="F16" i="25"/>
  <c r="H16" i="25" s="1"/>
  <c r="F17" i="25"/>
  <c r="F29" i="25"/>
  <c r="H29" i="25" s="1"/>
  <c r="X113" i="25"/>
  <c r="D15" i="25"/>
  <c r="D6" i="25"/>
  <c r="I10" i="10"/>
  <c r="K10" i="10" s="1"/>
  <c r="G168" i="32"/>
  <c r="G9" i="40"/>
  <c r="H9" i="40" s="1"/>
  <c r="P51" i="31"/>
  <c r="G7" i="40" s="1"/>
  <c r="H7" i="40" s="1"/>
  <c r="W5" i="25"/>
  <c r="X9" i="25"/>
  <c r="E12" i="25"/>
  <c r="G12" i="25" s="1"/>
  <c r="D12" i="25"/>
  <c r="Z71" i="36"/>
  <c r="Z42" i="36"/>
  <c r="D11" i="25"/>
  <c r="X11" i="25"/>
  <c r="AR82" i="31"/>
  <c r="AL33" i="36" s="1"/>
  <c r="AL34" i="36" s="1"/>
  <c r="W8" i="25"/>
  <c r="AT159" i="31"/>
  <c r="AN131" i="36" s="1"/>
  <c r="AN132" i="36" s="1"/>
  <c r="AN133" i="36" s="1"/>
  <c r="AT252" i="31"/>
  <c r="AN213" i="36" s="1"/>
  <c r="X8" i="25"/>
  <c r="AR79" i="31"/>
  <c r="AL30" i="36" s="1"/>
  <c r="AL31" i="36" s="1"/>
  <c r="AL32" i="36" s="1"/>
  <c r="AR103" i="31"/>
  <c r="AL49" i="36" s="1"/>
  <c r="AL50" i="36" s="1"/>
  <c r="AL51" i="36" s="1"/>
  <c r="AL52" i="36" s="1"/>
  <c r="AE103" i="31"/>
  <c r="AN159" i="36"/>
  <c r="AN138" i="36"/>
  <c r="Z228" i="36"/>
  <c r="E26" i="25"/>
  <c r="G26" i="25" s="1"/>
  <c r="X63" i="25"/>
  <c r="AN151" i="36"/>
  <c r="AT90" i="31"/>
  <c r="AK41" i="36"/>
  <c r="X57" i="25"/>
  <c r="AN144" i="36"/>
  <c r="D21" i="25"/>
  <c r="AN143" i="36"/>
  <c r="I5" i="10"/>
  <c r="K5" i="10" s="1"/>
  <c r="L35" i="36"/>
  <c r="Z209" i="36"/>
  <c r="G20" i="25"/>
  <c r="AM100" i="36"/>
  <c r="AM101" i="36" s="1"/>
  <c r="AM102" i="36" s="1"/>
  <c r="AM103" i="36" s="1"/>
  <c r="AM104" i="36" s="1"/>
  <c r="AM105" i="36" s="1"/>
  <c r="AM106" i="36" s="1"/>
  <c r="AM107" i="36" s="1"/>
  <c r="AM108" i="36" s="1"/>
  <c r="AM109" i="36" s="1"/>
  <c r="AM110" i="36" s="1"/>
  <c r="AM111" i="36" s="1"/>
  <c r="AM112" i="36" s="1"/>
  <c r="AM113" i="36" s="1"/>
  <c r="AJ106" i="36"/>
  <c r="X58" i="25"/>
  <c r="AN146" i="36"/>
  <c r="Z114" i="36"/>
  <c r="W35" i="25"/>
  <c r="AN232" i="36"/>
  <c r="F31" i="25"/>
  <c r="H31" i="25" s="1"/>
  <c r="F28" i="25"/>
  <c r="H28" i="25" s="1"/>
  <c r="AK137" i="36"/>
  <c r="AT165" i="31"/>
  <c r="X51" i="25" s="1"/>
  <c r="AN53" i="36"/>
  <c r="AN54" i="36" s="1"/>
  <c r="AN55" i="36" s="1"/>
  <c r="AN56" i="36" s="1"/>
  <c r="AN57" i="36" s="1"/>
  <c r="AN58" i="36" s="1"/>
  <c r="AN59" i="36" s="1"/>
  <c r="AN60" i="36" s="1"/>
  <c r="X18" i="25"/>
  <c r="Y100" i="36"/>
  <c r="V25" i="25"/>
  <c r="D9" i="25" s="1"/>
  <c r="AE127" i="31"/>
  <c r="E11" i="25" s="1"/>
  <c r="G11" i="25" s="1"/>
  <c r="X100" i="36"/>
  <c r="AS170" i="31"/>
  <c r="AM142" i="36" s="1"/>
  <c r="AS103" i="31"/>
  <c r="AM49" i="36" s="1"/>
  <c r="AM50" i="36" s="1"/>
  <c r="AM51" i="36" s="1"/>
  <c r="AM52" i="36" s="1"/>
  <c r="X49" i="25"/>
  <c r="AN134" i="36"/>
  <c r="AN135" i="36" s="1"/>
  <c r="AN136" i="36" s="1"/>
  <c r="X47" i="25"/>
  <c r="AN126" i="36"/>
  <c r="AN127" i="36" s="1"/>
  <c r="AN128" i="36" s="1"/>
  <c r="AN129" i="36" s="1"/>
  <c r="AN130" i="36" s="1"/>
  <c r="X41" i="25"/>
  <c r="X61" i="25"/>
  <c r="AN149" i="36"/>
  <c r="Z214" i="36"/>
  <c r="X49" i="36"/>
  <c r="U15" i="25"/>
  <c r="X54" i="25"/>
  <c r="AN141" i="36"/>
  <c r="W13" i="25"/>
  <c r="E5" i="25" s="1"/>
  <c r="C5" i="25" s="1"/>
  <c r="AN161" i="36"/>
  <c r="Z224" i="36"/>
  <c r="AN114" i="36"/>
  <c r="AN115" i="36" s="1"/>
  <c r="AN116" i="36" s="1"/>
  <c r="AN117" i="36" s="1"/>
  <c r="AN118" i="36" s="1"/>
  <c r="AN119" i="36" s="1"/>
  <c r="AN120" i="36" s="1"/>
  <c r="AN121" i="36" s="1"/>
  <c r="AN122" i="36" s="1"/>
  <c r="AN123" i="36" s="1"/>
  <c r="AN124" i="36" s="1"/>
  <c r="AN125" i="36" s="1"/>
  <c r="X35" i="25"/>
  <c r="U25" i="25"/>
  <c r="AN152" i="36"/>
  <c r="X62" i="25"/>
  <c r="W49" i="25"/>
  <c r="E14" i="25" s="1"/>
  <c r="Z134" i="36"/>
  <c r="AN156" i="36"/>
  <c r="X66" i="25"/>
  <c r="W52" i="25"/>
  <c r="E15" i="25" s="1"/>
  <c r="Z139" i="36"/>
  <c r="Z126" i="36"/>
  <c r="W41" i="25"/>
  <c r="X22" i="25"/>
  <c r="AN65" i="36"/>
  <c r="X21" i="25"/>
  <c r="AN61" i="36"/>
  <c r="AN62" i="36" s="1"/>
  <c r="AN63" i="36" s="1"/>
  <c r="AN64" i="36" s="1"/>
  <c r="X20" i="25"/>
  <c r="Z61" i="36"/>
  <c r="W20" i="25"/>
  <c r="Z215" i="36"/>
  <c r="W65" i="25"/>
  <c r="Z153" i="36"/>
  <c r="W63" i="25"/>
  <c r="E17" i="25"/>
  <c r="G17" i="25" s="1"/>
  <c r="W23" i="25"/>
  <c r="E8" i="25" s="1"/>
  <c r="AN71" i="36"/>
  <c r="AN72" i="36" s="1"/>
  <c r="AN73" i="36" s="1"/>
  <c r="AN74" i="36" s="1"/>
  <c r="AN75" i="36" s="1"/>
  <c r="AN76" i="36" s="1"/>
  <c r="AN77" i="36" s="1"/>
  <c r="AN78" i="36" s="1"/>
  <c r="AN79" i="36" s="1"/>
  <c r="AN80" i="36" s="1"/>
  <c r="AN81" i="36" s="1"/>
  <c r="AN82" i="36" s="1"/>
  <c r="AN83" i="36" s="1"/>
  <c r="AN84" i="36" s="1"/>
  <c r="AN85" i="36" s="1"/>
  <c r="AN86" i="36" s="1"/>
  <c r="AN87" i="36" s="1"/>
  <c r="AN88" i="36" s="1"/>
  <c r="AN89" i="36" s="1"/>
  <c r="AN90" i="36" s="1"/>
  <c r="AN91" i="36" s="1"/>
  <c r="AN92" i="36" s="1"/>
  <c r="AN93" i="36" s="1"/>
  <c r="AN94" i="36" s="1"/>
  <c r="AN95" i="36" s="1"/>
  <c r="AN96" i="36" s="1"/>
  <c r="AN97" i="36" s="1"/>
  <c r="AN98" i="36" s="1"/>
  <c r="AN99" i="36" s="1"/>
  <c r="AT254" i="31"/>
  <c r="X98" i="25" s="1"/>
  <c r="G166" i="32"/>
  <c r="I9" i="10"/>
  <c r="AT170" i="31"/>
  <c r="X56" i="25" s="1"/>
  <c r="AT260" i="31"/>
  <c r="X100" i="25" s="1"/>
  <c r="U15" i="17"/>
  <c r="AT265" i="31"/>
  <c r="AT201" i="31"/>
  <c r="X6" i="25"/>
  <c r="AT197" i="31"/>
  <c r="G18" i="25"/>
  <c r="F13" i="25"/>
  <c r="H13" i="25" s="1"/>
  <c r="X46" i="25"/>
  <c r="AT247" i="31"/>
  <c r="X91" i="25" s="1"/>
  <c r="AT103" i="31"/>
  <c r="X19" i="25" s="1"/>
  <c r="E21" i="25"/>
  <c r="G21" i="25" s="1"/>
  <c r="F12" i="25"/>
  <c r="H12" i="25" s="1"/>
  <c r="X43" i="25"/>
  <c r="X14" i="25"/>
  <c r="X37" i="25"/>
  <c r="AT262" i="31"/>
  <c r="AT167" i="31"/>
  <c r="AB15" i="31"/>
  <c r="AT266" i="31"/>
  <c r="X106" i="25" s="1"/>
  <c r="AT196" i="31"/>
  <c r="X75" i="25" s="1"/>
  <c r="AT249" i="31"/>
  <c r="X7" i="25"/>
  <c r="AT248" i="31"/>
  <c r="X92" i="25" s="1"/>
  <c r="AN230" i="36"/>
  <c r="AN160" i="36"/>
  <c r="AN231" i="36"/>
  <c r="AT263" i="31"/>
  <c r="AS265" i="31"/>
  <c r="AM228" i="36" s="1"/>
  <c r="AT261" i="31"/>
  <c r="X101" i="25" s="1"/>
  <c r="W4" i="25"/>
  <c r="P41" i="31"/>
  <c r="Z4" i="36"/>
  <c r="AS167" i="31"/>
  <c r="AM139" i="36" s="1"/>
  <c r="AS165" i="31"/>
  <c r="AM137" i="36" s="1"/>
  <c r="W6" i="25"/>
  <c r="P60" i="31"/>
  <c r="Z17" i="36"/>
  <c r="AN11" i="36"/>
  <c r="AN12" i="36" s="1"/>
  <c r="AN13" i="36" s="1"/>
  <c r="AN14" i="36" s="1"/>
  <c r="AN15" i="36" s="1"/>
  <c r="AN16" i="36" s="1"/>
  <c r="AL11" i="36"/>
  <c r="AL12" i="36" s="1"/>
  <c r="AL13" i="36" s="1"/>
  <c r="AL14" i="36" s="1"/>
  <c r="AL15" i="36" s="1"/>
  <c r="AL16" i="36" s="1"/>
  <c r="C10" i="25"/>
  <c r="U27" i="25"/>
  <c r="H8" i="25"/>
  <c r="V27" i="25"/>
  <c r="L24" i="36"/>
  <c r="AL100" i="36"/>
  <c r="AL101" i="36" s="1"/>
  <c r="AL102" i="36" s="1"/>
  <c r="AL103" i="36" s="1"/>
  <c r="AL104" i="36" s="1"/>
  <c r="AL105" i="36" s="1"/>
  <c r="AL106" i="36" s="1"/>
  <c r="AL107" i="36" s="1"/>
  <c r="AL108" i="36" s="1"/>
  <c r="AL109" i="36" s="1"/>
  <c r="AL110" i="36" s="1"/>
  <c r="AL111" i="36" s="1"/>
  <c r="AL112" i="36" s="1"/>
  <c r="AL113" i="36" s="1"/>
  <c r="V10" i="25"/>
  <c r="D4" i="25" s="1"/>
  <c r="AE84" i="31"/>
  <c r="AJ21" i="25"/>
  <c r="L11" i="36"/>
  <c r="AS84" i="31"/>
  <c r="AM35" i="36" s="1"/>
  <c r="AM36" i="36" s="1"/>
  <c r="AM37" i="36" s="1"/>
  <c r="AM38" i="36" s="1"/>
  <c r="AS192" i="31"/>
  <c r="AM153" i="36" s="1"/>
  <c r="AM154" i="36" s="1"/>
  <c r="AM155" i="36" s="1"/>
  <c r="AR192" i="31"/>
  <c r="AL153" i="36" s="1"/>
  <c r="AL154" i="36" s="1"/>
  <c r="AL155" i="36" s="1"/>
  <c r="W16" i="25"/>
  <c r="AJ10" i="36"/>
  <c r="AN17" i="36"/>
  <c r="AN18" i="36" s="1"/>
  <c r="AN19" i="36" s="1"/>
  <c r="AN20" i="36" s="1"/>
  <c r="AN21" i="36" s="1"/>
  <c r="AN22" i="36" s="1"/>
  <c r="AN23" i="36" s="1"/>
  <c r="AL17" i="36"/>
  <c r="AL18" i="36" s="1"/>
  <c r="AL19" i="36" s="1"/>
  <c r="AL20" i="36" s="1"/>
  <c r="AL21" i="36" s="1"/>
  <c r="AL22" i="36" s="1"/>
  <c r="AL23" i="36" s="1"/>
  <c r="AL24" i="36" s="1"/>
  <c r="AL25" i="36" s="1"/>
  <c r="AL26" i="36" s="1"/>
  <c r="AL27" i="36" s="1"/>
  <c r="AL28" i="36" s="1"/>
  <c r="AL29" i="36" s="1"/>
  <c r="AT253" i="31"/>
  <c r="X97" i="25" s="1"/>
  <c r="AL20" i="25"/>
  <c r="AL21" i="25" s="1"/>
  <c r="AJ22" i="25" s="1"/>
  <c r="AL6" i="25"/>
  <c r="AJ6" i="25"/>
  <c r="AJ46" i="25"/>
  <c r="AL46" i="25"/>
  <c r="AL47" i="25" s="1"/>
  <c r="AL48" i="25" s="1"/>
  <c r="AL49" i="25" s="1"/>
  <c r="AL35" i="25"/>
  <c r="AL36" i="25" s="1"/>
  <c r="AJ35" i="25"/>
  <c r="AN225" i="36" l="1"/>
  <c r="X102" i="25"/>
  <c r="AN226" i="36"/>
  <c r="AN227" i="36" s="1"/>
  <c r="X103" i="25"/>
  <c r="AN162" i="36"/>
  <c r="AN163" i="36" s="1"/>
  <c r="AN164" i="36" s="1"/>
  <c r="AN165" i="36" s="1"/>
  <c r="AN166" i="36" s="1"/>
  <c r="AN167" i="36" s="1"/>
  <c r="AN168" i="36" s="1"/>
  <c r="AN169" i="36" s="1"/>
  <c r="AN170" i="36" s="1"/>
  <c r="AN171" i="36" s="1"/>
  <c r="AN172" i="36" s="1"/>
  <c r="AN173" i="36" s="1"/>
  <c r="AN174" i="36" s="1"/>
  <c r="AN175" i="36" s="1"/>
  <c r="AN176" i="36" s="1"/>
  <c r="AN177" i="36" s="1"/>
  <c r="AN178" i="36" s="1"/>
  <c r="AN179" i="36" s="1"/>
  <c r="AN180" i="36" s="1"/>
  <c r="AN181" i="36" s="1"/>
  <c r="AN182" i="36" s="1"/>
  <c r="AN183" i="36" s="1"/>
  <c r="AN184" i="36" s="1"/>
  <c r="AN185" i="36" s="1"/>
  <c r="AN186" i="36" s="1"/>
  <c r="AN187" i="36" s="1"/>
  <c r="AN188" i="36" s="1"/>
  <c r="AN189" i="36" s="1"/>
  <c r="AN190" i="36" s="1"/>
  <c r="AN191" i="36" s="1"/>
  <c r="AN192" i="36" s="1"/>
  <c r="AN193" i="36" s="1"/>
  <c r="AN194" i="36" s="1"/>
  <c r="AN195" i="36" s="1"/>
  <c r="AN196" i="36" s="1"/>
  <c r="AN197" i="36" s="1"/>
  <c r="AN198" i="36" s="1"/>
  <c r="AN199" i="36" s="1"/>
  <c r="AN200" i="36" s="1"/>
  <c r="AN201" i="36" s="1"/>
  <c r="AN202" i="36" s="1"/>
  <c r="AN203" i="36" s="1"/>
  <c r="AN204" i="36" s="1"/>
  <c r="AN205" i="36" s="1"/>
  <c r="AN206" i="36" s="1"/>
  <c r="AN207" i="36" s="1"/>
  <c r="X80" i="25"/>
  <c r="F22" i="25"/>
  <c r="H22" i="25" s="1"/>
  <c r="X105" i="25"/>
  <c r="F27" i="25"/>
  <c r="H27" i="25" s="1"/>
  <c r="F7" i="25"/>
  <c r="H7" i="25" s="1"/>
  <c r="W19" i="25"/>
  <c r="E7" i="25"/>
  <c r="G7" i="25" s="1"/>
  <c r="AN210" i="36"/>
  <c r="AN211" i="36" s="1"/>
  <c r="AN212" i="36" s="1"/>
  <c r="X93" i="25"/>
  <c r="Z100" i="36"/>
  <c r="W28" i="25"/>
  <c r="AD15" i="22"/>
  <c r="AE16" i="22"/>
  <c r="AE15" i="22"/>
  <c r="AD10" i="22"/>
  <c r="AD16" i="22"/>
  <c r="AE10" i="22"/>
  <c r="AE11" i="22"/>
  <c r="AD11" i="22"/>
  <c r="AD12" i="22"/>
  <c r="AE12" i="22"/>
  <c r="AD14" i="22"/>
  <c r="AE14" i="22"/>
  <c r="AN158" i="36"/>
  <c r="X76" i="25"/>
  <c r="G6" i="40"/>
  <c r="H6" i="40" s="1"/>
  <c r="W34" i="22"/>
  <c r="V34" i="22"/>
  <c r="G8" i="40"/>
  <c r="G5" i="40" s="1"/>
  <c r="H5" i="40" s="1"/>
  <c r="V46" i="22"/>
  <c r="W46" i="22"/>
  <c r="D10" i="25"/>
  <c r="Z49" i="36"/>
  <c r="X44" i="25"/>
  <c r="W40" i="22"/>
  <c r="V40" i="22"/>
  <c r="W41" i="22"/>
  <c r="V41" i="22"/>
  <c r="V45" i="22"/>
  <c r="W42" i="22"/>
  <c r="W43" i="22"/>
  <c r="W44" i="22"/>
  <c r="V44" i="22"/>
  <c r="V43" i="22"/>
  <c r="V42" i="22"/>
  <c r="I7" i="10"/>
  <c r="K7" i="10" s="1"/>
  <c r="V24" i="22"/>
  <c r="W24" i="22"/>
  <c r="W15" i="25"/>
  <c r="E6" i="25" s="1"/>
  <c r="C6" i="25" s="1"/>
  <c r="X68" i="25"/>
  <c r="W25" i="25"/>
  <c r="E9" i="25" s="1"/>
  <c r="G14" i="25"/>
  <c r="X13" i="25"/>
  <c r="F5" i="25" s="1"/>
  <c r="H5" i="25" s="1"/>
  <c r="AN41" i="36"/>
  <c r="X12" i="25"/>
  <c r="AN208" i="36"/>
  <c r="AN215" i="36"/>
  <c r="AN216" i="36" s="1"/>
  <c r="AN217" i="36" s="1"/>
  <c r="AN218" i="36" s="1"/>
  <c r="AN219" i="36" s="1"/>
  <c r="AN220" i="36" s="1"/>
  <c r="AN221" i="36" s="1"/>
  <c r="AN222" i="36" s="1"/>
  <c r="X50" i="25"/>
  <c r="AN137" i="36"/>
  <c r="X48" i="25"/>
  <c r="F14" i="25" s="1"/>
  <c r="H14" i="25" s="1"/>
  <c r="AN229" i="36"/>
  <c r="F26" i="25"/>
  <c r="H26" i="25" s="1"/>
  <c r="AN228" i="36"/>
  <c r="AN224" i="36"/>
  <c r="AN157" i="36"/>
  <c r="X67" i="25"/>
  <c r="AN214" i="36"/>
  <c r="AN223" i="36"/>
  <c r="X52" i="25"/>
  <c r="AN139" i="36"/>
  <c r="AB10" i="31"/>
  <c r="Z35" i="36"/>
  <c r="AN49" i="36"/>
  <c r="AN50" i="36" s="1"/>
  <c r="AN51" i="36" s="1"/>
  <c r="AN52" i="36" s="1"/>
  <c r="X15" i="25"/>
  <c r="X55" i="25"/>
  <c r="AN142" i="36"/>
  <c r="X53" i="25"/>
  <c r="AN209" i="36"/>
  <c r="G5" i="25"/>
  <c r="K9" i="10"/>
  <c r="G167" i="32"/>
  <c r="I8" i="10"/>
  <c r="K8" i="10" s="1"/>
  <c r="X74" i="25"/>
  <c r="F24" i="25"/>
  <c r="H24" i="25" s="1"/>
  <c r="G19" i="25"/>
  <c r="X70" i="25"/>
  <c r="G165" i="32"/>
  <c r="P45" i="39"/>
  <c r="AK32" i="39"/>
  <c r="AL22" i="39"/>
  <c r="O45" i="39"/>
  <c r="AE32" i="39"/>
  <c r="AK22" i="39"/>
  <c r="AL11" i="39"/>
  <c r="AE39" i="39"/>
  <c r="AK28" i="39"/>
  <c r="AD18" i="39"/>
  <c r="O43" i="39"/>
  <c r="W31" i="39"/>
  <c r="O21" i="39"/>
  <c r="W38" i="39"/>
  <c r="V27" i="39"/>
  <c r="O17" i="39"/>
  <c r="O46" i="39"/>
  <c r="W33" i="39"/>
  <c r="V23" i="39"/>
  <c r="W12" i="39"/>
  <c r="P39" i="39"/>
  <c r="V28" i="39"/>
  <c r="O18" i="39"/>
  <c r="O12" i="39"/>
  <c r="W34" i="39"/>
  <c r="O24" i="39"/>
  <c r="AE43" i="39"/>
  <c r="AK31" i="39"/>
  <c r="W21" i="39"/>
  <c r="AD43" i="39"/>
  <c r="AE31" i="39"/>
  <c r="V21" i="39"/>
  <c r="W10" i="39"/>
  <c r="AE38" i="39"/>
  <c r="AD27" i="39"/>
  <c r="V17" i="39"/>
  <c r="O41" i="39"/>
  <c r="W30" i="39"/>
  <c r="AE19" i="39"/>
  <c r="AL17" i="39"/>
  <c r="AL36" i="39"/>
  <c r="V26" i="39"/>
  <c r="AK15" i="39"/>
  <c r="V44" i="39"/>
  <c r="P32" i="39"/>
  <c r="V22" i="39"/>
  <c r="P11" i="39"/>
  <c r="P38" i="39"/>
  <c r="O27" i="39"/>
  <c r="AK16" i="39"/>
  <c r="V45" i="39"/>
  <c r="AE41" i="39"/>
  <c r="AK30" i="39"/>
  <c r="O20" i="39"/>
  <c r="AD41" i="39"/>
  <c r="AE30" i="39"/>
  <c r="AL19" i="39"/>
  <c r="AK11" i="39"/>
  <c r="P37" i="39"/>
  <c r="AD26" i="39"/>
  <c r="O16" i="39"/>
  <c r="AD39" i="39"/>
  <c r="AE28" i="39"/>
  <c r="W18" i="39"/>
  <c r="AL10" i="39"/>
  <c r="O35" i="39"/>
  <c r="AE24" i="39"/>
  <c r="V14" i="39"/>
  <c r="V42" i="39"/>
  <c r="P31" i="39"/>
  <c r="AK20" i="39"/>
  <c r="AL18" i="39"/>
  <c r="AE36" i="39"/>
  <c r="AD25" i="39"/>
  <c r="V15" i="39"/>
  <c r="O44" i="39"/>
  <c r="AL31" i="39"/>
  <c r="AD20" i="39"/>
  <c r="O23" i="39"/>
  <c r="P40" i="39"/>
  <c r="V29" i="39"/>
  <c r="AK18" i="39"/>
  <c r="O40" i="39"/>
  <c r="AL28" i="39"/>
  <c r="AE18" i="39"/>
  <c r="AK13" i="39"/>
  <c r="AL35" i="39"/>
  <c r="AL24" i="39"/>
  <c r="AK14" i="39"/>
  <c r="AD38" i="39"/>
  <c r="W27" i="39"/>
  <c r="P17" i="39"/>
  <c r="P46" i="39"/>
  <c r="AK33" i="39"/>
  <c r="W23" i="39"/>
  <c r="AK12" i="39"/>
  <c r="AD40" i="39"/>
  <c r="P30" i="39"/>
  <c r="W19" i="39"/>
  <c r="P12" i="39"/>
  <c r="AD34" i="39"/>
  <c r="P24" i="39"/>
  <c r="O14" i="39"/>
  <c r="O42" i="39"/>
  <c r="AL30" i="39"/>
  <c r="AL13" i="39"/>
  <c r="AL38" i="39"/>
  <c r="O28" i="39"/>
  <c r="AK17" i="39"/>
  <c r="AK38" i="39"/>
  <c r="AE27" i="39"/>
  <c r="W17" i="39"/>
  <c r="W46" i="39"/>
  <c r="O34" i="39"/>
  <c r="AE23" i="39"/>
  <c r="O13" i="39"/>
  <c r="O37" i="39"/>
  <c r="W26" i="39"/>
  <c r="AL15" i="39"/>
  <c r="W44" i="39"/>
  <c r="V32" i="39"/>
  <c r="W22" i="39"/>
  <c r="V11" i="39"/>
  <c r="V39" i="39"/>
  <c r="W28" i="39"/>
  <c r="P18" i="39"/>
  <c r="W45" i="39"/>
  <c r="V33" i="39"/>
  <c r="P23" i="39"/>
  <c r="V12" i="39"/>
  <c r="V40" i="39"/>
  <c r="W29" i="39"/>
  <c r="W37" i="39"/>
  <c r="AK26" i="39"/>
  <c r="V16" i="39"/>
  <c r="V37" i="39"/>
  <c r="AE26" i="39"/>
  <c r="P16" i="39"/>
  <c r="AE44" i="39"/>
  <c r="AD32" i="39"/>
  <c r="AE22" i="39"/>
  <c r="V10" i="39"/>
  <c r="AK35" i="39"/>
  <c r="AK24" i="39"/>
  <c r="W14" i="39"/>
  <c r="W42" i="39"/>
  <c r="V31" i="39"/>
  <c r="AL20" i="39"/>
  <c r="V38" i="39"/>
  <c r="P27" i="39"/>
  <c r="AL16" i="39"/>
  <c r="P44" i="39"/>
  <c r="O32" i="39"/>
  <c r="AE21" i="39"/>
  <c r="O11" i="39"/>
  <c r="O39" i="39"/>
  <c r="P28" i="39"/>
  <c r="AL32" i="39"/>
  <c r="W36" i="39"/>
  <c r="P25" i="39"/>
  <c r="O15" i="39"/>
  <c r="V36" i="39"/>
  <c r="O25" i="39"/>
  <c r="AL14" i="39"/>
  <c r="P43" i="39"/>
  <c r="AD31" i="39"/>
  <c r="P21" i="39"/>
  <c r="V46" i="39"/>
  <c r="AL33" i="39"/>
  <c r="AD23" i="39"/>
  <c r="AL12" i="39"/>
  <c r="AE40" i="39"/>
  <c r="V30" i="39"/>
  <c r="AD19" i="39"/>
  <c r="W16" i="39"/>
  <c r="AK36" i="39"/>
  <c r="AE25" i="39"/>
  <c r="W15" i="39"/>
  <c r="P42" i="39"/>
  <c r="O31" i="39"/>
  <c r="AE20" i="39"/>
  <c r="AD21" i="39"/>
  <c r="O38" i="39"/>
  <c r="AL26" i="39"/>
  <c r="AE46" i="39"/>
  <c r="V34" i="39"/>
  <c r="AL23" i="39"/>
  <c r="AD46" i="39"/>
  <c r="P34" i="39"/>
  <c r="AK23" i="39"/>
  <c r="P13" i="39"/>
  <c r="P41" i="39"/>
  <c r="AD30" i="39"/>
  <c r="AK19" i="39"/>
  <c r="AD44" i="39"/>
  <c r="W32" i="39"/>
  <c r="AD22" i="39"/>
  <c r="W11" i="39"/>
  <c r="W39" i="39"/>
  <c r="AD28" i="39"/>
  <c r="V18" i="39"/>
  <c r="AK10" i="39"/>
  <c r="AE34" i="39"/>
  <c r="AD24" i="39"/>
  <c r="P14" i="39"/>
  <c r="W40" i="39"/>
  <c r="O30" i="39"/>
  <c r="V19" i="39"/>
  <c r="P15" i="39"/>
  <c r="AD36" i="39"/>
  <c r="V25" i="39"/>
  <c r="O10" i="39"/>
  <c r="P10" i="39"/>
  <c r="X16" i="25"/>
  <c r="F6" i="25"/>
  <c r="F25" i="25"/>
  <c r="H25" i="25" s="1"/>
  <c r="F21" i="25"/>
  <c r="H21" i="25" s="1"/>
  <c r="C15" i="25"/>
  <c r="G15" i="25"/>
  <c r="F23" i="25"/>
  <c r="H23" i="25" s="1"/>
  <c r="X69" i="25"/>
  <c r="AN24" i="36"/>
  <c r="AN25" i="36" s="1"/>
  <c r="AN26" i="36" s="1"/>
  <c r="AN27" i="36" s="1"/>
  <c r="AN28" i="36" s="1"/>
  <c r="AN29" i="36" s="1"/>
  <c r="H18" i="25"/>
  <c r="H17" i="25"/>
  <c r="G8" i="25"/>
  <c r="C8" i="25"/>
  <c r="W27" i="25"/>
  <c r="E10" i="25"/>
  <c r="W10" i="25"/>
  <c r="E4" i="25" s="1"/>
  <c r="AJ37" i="25"/>
  <c r="L17" i="36"/>
  <c r="W32" i="22"/>
  <c r="AL10" i="22"/>
  <c r="W23" i="22"/>
  <c r="V10" i="22"/>
  <c r="AJ8" i="25"/>
  <c r="AJ10" i="25" s="1"/>
  <c r="W19" i="22"/>
  <c r="W15" i="22"/>
  <c r="AL13" i="22"/>
  <c r="V11" i="22"/>
  <c r="W16" i="22"/>
  <c r="P11" i="22"/>
  <c r="L4" i="36"/>
  <c r="W37" i="22"/>
  <c r="P40" i="22"/>
  <c r="P21" i="22"/>
  <c r="P15" i="22"/>
  <c r="V12" i="22"/>
  <c r="V32" i="22"/>
  <c r="P32" i="22"/>
  <c r="O20" i="22"/>
  <c r="AK32" i="22"/>
  <c r="AE36" i="22"/>
  <c r="AD25" i="22"/>
  <c r="AE20" i="22"/>
  <c r="AE38" i="22"/>
  <c r="AD43" i="22"/>
  <c r="W11" i="22"/>
  <c r="O24" i="22"/>
  <c r="AK36" i="22"/>
  <c r="AK14" i="22"/>
  <c r="O28" i="22"/>
  <c r="AL14" i="22"/>
  <c r="P28" i="22"/>
  <c r="O40" i="22"/>
  <c r="AK16" i="22"/>
  <c r="AK11" i="22"/>
  <c r="P25" i="22"/>
  <c r="AL17" i="22"/>
  <c r="V15" i="22"/>
  <c r="P18" i="22"/>
  <c r="V36" i="22"/>
  <c r="W22" i="22"/>
  <c r="AD42" i="22"/>
  <c r="AE30" i="22"/>
  <c r="AD21" i="22"/>
  <c r="AE22" i="22"/>
  <c r="AE43" i="22"/>
  <c r="AD39" i="22"/>
  <c r="AL12" i="22"/>
  <c r="W27" i="22"/>
  <c r="AK38" i="22"/>
  <c r="O16" i="22"/>
  <c r="V50" i="22"/>
  <c r="P16" i="22"/>
  <c r="W50" i="22"/>
  <c r="AK19" i="22"/>
  <c r="P14" i="22"/>
  <c r="O30" i="22"/>
  <c r="V21" i="22"/>
  <c r="O18" i="22"/>
  <c r="V22" i="22"/>
  <c r="O11" i="22"/>
  <c r="V23" i="22"/>
  <c r="AL35" i="22"/>
  <c r="AL23" i="22"/>
  <c r="W36" i="22"/>
  <c r="AD38" i="22"/>
  <c r="AE25" i="22"/>
  <c r="AE42" i="22"/>
  <c r="AD53" i="22"/>
  <c r="AE39" i="22"/>
  <c r="AD32" i="22"/>
  <c r="W14" i="22"/>
  <c r="W48" i="22"/>
  <c r="V17" i="22"/>
  <c r="AK30" i="22"/>
  <c r="W17" i="22"/>
  <c r="AL30" i="22"/>
  <c r="AK23" i="22"/>
  <c r="AL16" i="22"/>
  <c r="W33" i="22"/>
  <c r="V26" i="22"/>
  <c r="W21" i="22"/>
  <c r="V28" i="22"/>
  <c r="AK13" i="22"/>
  <c r="O25" i="22"/>
  <c r="O37" i="22"/>
  <c r="AK33" i="22"/>
  <c r="AK12" i="22"/>
  <c r="V27" i="22"/>
  <c r="W38" i="22"/>
  <c r="AD31" i="22"/>
  <c r="AE21" i="22"/>
  <c r="AE53" i="22"/>
  <c r="AD40" i="22"/>
  <c r="AE32" i="22"/>
  <c r="AD27" i="22"/>
  <c r="AL15" i="22"/>
  <c r="W30" i="22"/>
  <c r="AK18" i="22"/>
  <c r="AK31" i="22"/>
  <c r="AL18" i="22"/>
  <c r="AL31" i="22"/>
  <c r="AK28" i="22"/>
  <c r="AL19" i="22"/>
  <c r="O10" i="22"/>
  <c r="V31" i="22"/>
  <c r="O27" i="22"/>
  <c r="O31" i="22"/>
  <c r="V16" i="22"/>
  <c r="P27" i="22"/>
  <c r="V39" i="22"/>
  <c r="O35" i="22"/>
  <c r="V38" i="22"/>
  <c r="V14" i="22"/>
  <c r="V48" i="22"/>
  <c r="P39" i="22"/>
  <c r="AD26" i="22"/>
  <c r="AE18" i="22"/>
  <c r="AE40" i="22"/>
  <c r="AD34" i="22"/>
  <c r="AE27" i="22"/>
  <c r="AD23" i="22"/>
  <c r="P17" i="22"/>
  <c r="W51" i="22"/>
  <c r="AL20" i="22"/>
  <c r="O21" i="22"/>
  <c r="W12" i="22"/>
  <c r="O32" i="22"/>
  <c r="AL24" i="22"/>
  <c r="O12" i="22"/>
  <c r="W31" i="22"/>
  <c r="AK35" i="22"/>
  <c r="V19" i="22"/>
  <c r="W29" i="22"/>
  <c r="O41" i="22"/>
  <c r="P37" i="22"/>
  <c r="O39" i="22"/>
  <c r="AK15" i="22"/>
  <c r="V30" i="22"/>
  <c r="P42" i="22"/>
  <c r="AD22" i="22"/>
  <c r="AE34" i="22"/>
  <c r="AD28" i="22"/>
  <c r="AE23" i="22"/>
  <c r="AD19" i="22"/>
  <c r="W18" i="22"/>
  <c r="W52" i="22"/>
  <c r="AL22" i="22"/>
  <c r="O34" i="22"/>
  <c r="W10" i="22"/>
  <c r="O23" i="22"/>
  <c r="P34" i="22"/>
  <c r="V29" i="22"/>
  <c r="P38" i="22"/>
  <c r="AL28" i="22"/>
  <c r="O15" i="22"/>
  <c r="AL33" i="22"/>
  <c r="P23" i="22"/>
  <c r="P30" i="22"/>
  <c r="W39" i="22"/>
  <c r="O42" i="22"/>
  <c r="O17" i="22"/>
  <c r="V51" i="22"/>
  <c r="AD18" i="22"/>
  <c r="AD36" i="22"/>
  <c r="AE28" i="22"/>
  <c r="AD24" i="22"/>
  <c r="AE19" i="22"/>
  <c r="AE31" i="22"/>
  <c r="AK20" i="22"/>
  <c r="AL32" i="22"/>
  <c r="P24" i="22"/>
  <c r="AL36" i="22"/>
  <c r="AL11" i="22"/>
  <c r="AK24" i="22"/>
  <c r="V37" i="22"/>
  <c r="O14" i="22"/>
  <c r="V33" i="22"/>
  <c r="AK17" i="22"/>
  <c r="P12" i="22"/>
  <c r="AK10" i="22"/>
  <c r="W28" i="22"/>
  <c r="P31" i="22"/>
  <c r="P41" i="22"/>
  <c r="V18" i="22"/>
  <c r="V52" i="22"/>
  <c r="AD30" i="22"/>
  <c r="AE24" i="22"/>
  <c r="AD20" i="22"/>
  <c r="AE26" i="22"/>
  <c r="P10" i="22"/>
  <c r="AK22" i="22"/>
  <c r="O13" i="22"/>
  <c r="AK26" i="22"/>
  <c r="AL38" i="22"/>
  <c r="P13" i="22"/>
  <c r="AL26" i="22"/>
  <c r="O38" i="22"/>
  <c r="AT127" i="31"/>
  <c r="AL22" i="25"/>
  <c r="AJ23" i="25" s="1"/>
  <c r="AL50" i="25"/>
  <c r="AJ50" i="25"/>
  <c r="AL7" i="25"/>
  <c r="AJ7" i="25"/>
  <c r="AJ36" i="25"/>
  <c r="AL37" i="25"/>
  <c r="AC14" i="22" l="1"/>
  <c r="AF14" i="22"/>
  <c r="AC16" i="22"/>
  <c r="AF16" i="22"/>
  <c r="AC10" i="22"/>
  <c r="AF10" i="22"/>
  <c r="AC15" i="22"/>
  <c r="AF15" i="22"/>
  <c r="AC12" i="22"/>
  <c r="AF12" i="22"/>
  <c r="AC11" i="22"/>
  <c r="AF11" i="22"/>
  <c r="W45" i="22"/>
  <c r="U45" i="22" s="1"/>
  <c r="X28" i="25"/>
  <c r="F11" i="25"/>
  <c r="H11" i="25" s="1"/>
  <c r="C9" i="25"/>
  <c r="G9" i="25"/>
  <c r="G6" i="25"/>
  <c r="X34" i="22"/>
  <c r="U34" i="22"/>
  <c r="H8" i="40"/>
  <c r="U46" i="22"/>
  <c r="X46" i="22"/>
  <c r="M4" i="39"/>
  <c r="M4" i="22" a="1"/>
  <c r="M4" i="22" s="1"/>
  <c r="C14" i="25"/>
  <c r="X42" i="22"/>
  <c r="U42" i="22"/>
  <c r="U43" i="22"/>
  <c r="X43" i="22"/>
  <c r="U44" i="22"/>
  <c r="X44" i="22"/>
  <c r="X41" i="22"/>
  <c r="U41" i="22"/>
  <c r="X40" i="22"/>
  <c r="U40" i="22"/>
  <c r="N23" i="25" s="1"/>
  <c r="U24" i="22"/>
  <c r="X24" i="22"/>
  <c r="F4" i="25"/>
  <c r="H4" i="25" s="1"/>
  <c r="AN100" i="36"/>
  <c r="AN101" i="36" s="1"/>
  <c r="AN102" i="36" s="1"/>
  <c r="AN103" i="36" s="1"/>
  <c r="AN104" i="36" s="1"/>
  <c r="AN105" i="36" s="1"/>
  <c r="AN106" i="36" s="1"/>
  <c r="AN107" i="36" s="1"/>
  <c r="AN108" i="36" s="1"/>
  <c r="AN109" i="36" s="1"/>
  <c r="AN110" i="36" s="1"/>
  <c r="AN111" i="36" s="1"/>
  <c r="AN112" i="36" s="1"/>
  <c r="AN113" i="36" s="1"/>
  <c r="X25" i="25"/>
  <c r="F9" i="25" s="1"/>
  <c r="H9" i="25" s="1"/>
  <c r="H20" i="25"/>
  <c r="G10" i="25"/>
  <c r="H6" i="25"/>
  <c r="E3" i="25"/>
  <c r="X27" i="25"/>
  <c r="F10" i="25"/>
  <c r="AC22" i="39"/>
  <c r="AF22" i="39"/>
  <c r="U30" i="39"/>
  <c r="X30" i="39"/>
  <c r="X38" i="39"/>
  <c r="U38" i="39"/>
  <c r="Q37" i="39"/>
  <c r="N37" i="39"/>
  <c r="AJ17" i="39"/>
  <c r="AM17" i="39"/>
  <c r="AC34" i="39"/>
  <c r="AF34" i="39"/>
  <c r="X42" i="39"/>
  <c r="U42" i="39"/>
  <c r="Q16" i="39"/>
  <c r="N16" i="39"/>
  <c r="AJ30" i="39"/>
  <c r="AM30" i="39"/>
  <c r="Q41" i="39"/>
  <c r="N41" i="39"/>
  <c r="N21" i="39"/>
  <c r="Q21" i="39"/>
  <c r="N10" i="39"/>
  <c r="Q10" i="39"/>
  <c r="AC24" i="39"/>
  <c r="AF24" i="39"/>
  <c r="AC46" i="39"/>
  <c r="AF46" i="39"/>
  <c r="N31" i="39"/>
  <c r="Q31" i="39"/>
  <c r="Q39" i="39"/>
  <c r="N39" i="39"/>
  <c r="AC32" i="39"/>
  <c r="AF32" i="39"/>
  <c r="U39" i="39"/>
  <c r="X39" i="39"/>
  <c r="N13" i="39"/>
  <c r="Q13" i="39"/>
  <c r="N28" i="39"/>
  <c r="Q28" i="39"/>
  <c r="Q44" i="39"/>
  <c r="N44" i="39"/>
  <c r="X14" i="39"/>
  <c r="U14" i="39"/>
  <c r="AC26" i="39"/>
  <c r="AF26" i="39"/>
  <c r="U44" i="39"/>
  <c r="X44" i="39"/>
  <c r="X17" i="39"/>
  <c r="U17" i="39"/>
  <c r="AJ31" i="39"/>
  <c r="AM31" i="39"/>
  <c r="Q45" i="39"/>
  <c r="N45" i="39"/>
  <c r="X25" i="39"/>
  <c r="U25" i="39"/>
  <c r="AC44" i="39"/>
  <c r="AF44" i="39"/>
  <c r="Q25" i="39"/>
  <c r="N25" i="39"/>
  <c r="N11" i="39"/>
  <c r="Q11" i="39"/>
  <c r="U31" i="39"/>
  <c r="X31" i="39"/>
  <c r="U40" i="39"/>
  <c r="X40" i="39"/>
  <c r="U11" i="39"/>
  <c r="X11" i="39"/>
  <c r="Q40" i="39"/>
  <c r="N40" i="39"/>
  <c r="U15" i="39"/>
  <c r="X15" i="39"/>
  <c r="X45" i="39"/>
  <c r="U45" i="39"/>
  <c r="AJ15" i="39"/>
  <c r="AM15" i="39"/>
  <c r="AF27" i="39"/>
  <c r="AC27" i="39"/>
  <c r="X23" i="39"/>
  <c r="U23" i="39"/>
  <c r="Q43" i="39"/>
  <c r="N43" i="39"/>
  <c r="AF36" i="39"/>
  <c r="AC36" i="39"/>
  <c r="AJ10" i="39"/>
  <c r="AM10" i="39"/>
  <c r="AM19" i="39"/>
  <c r="AJ19" i="39"/>
  <c r="X34" i="39"/>
  <c r="U34" i="39"/>
  <c r="AC23" i="39"/>
  <c r="AF23" i="39"/>
  <c r="X36" i="39"/>
  <c r="U36" i="39"/>
  <c r="X12" i="39"/>
  <c r="U12" i="39"/>
  <c r="Q34" i="39"/>
  <c r="N34" i="39"/>
  <c r="AF38" i="39"/>
  <c r="AC38" i="39"/>
  <c r="AM18" i="39"/>
  <c r="AJ18" i="39"/>
  <c r="AF25" i="39"/>
  <c r="AC25" i="39"/>
  <c r="Q35" i="39"/>
  <c r="N35" i="39"/>
  <c r="AM11" i="39"/>
  <c r="AJ11" i="39"/>
  <c r="AM16" i="39"/>
  <c r="AJ16" i="39"/>
  <c r="X26" i="39"/>
  <c r="U26" i="39"/>
  <c r="Q24" i="39"/>
  <c r="N24" i="39"/>
  <c r="AC18" i="39"/>
  <c r="AF18" i="39"/>
  <c r="AJ32" i="39"/>
  <c r="AM32" i="39"/>
  <c r="U18" i="39"/>
  <c r="X18" i="39"/>
  <c r="AC30" i="39"/>
  <c r="AF30" i="39"/>
  <c r="Q15" i="39"/>
  <c r="N15" i="39"/>
  <c r="N32" i="39"/>
  <c r="Q32" i="39"/>
  <c r="U32" i="39"/>
  <c r="X32" i="39"/>
  <c r="AF40" i="39"/>
  <c r="AC40" i="39"/>
  <c r="AJ14" i="39"/>
  <c r="AM14" i="39"/>
  <c r="X29" i="39"/>
  <c r="U29" i="39"/>
  <c r="N27" i="39"/>
  <c r="Q27" i="39"/>
  <c r="Q46" i="39"/>
  <c r="N46" i="39"/>
  <c r="AJ28" i="39"/>
  <c r="AM28" i="39"/>
  <c r="U19" i="39"/>
  <c r="X19" i="39"/>
  <c r="AF28" i="39"/>
  <c r="AC28" i="39"/>
  <c r="AM36" i="39"/>
  <c r="AJ36" i="39"/>
  <c r="X46" i="39"/>
  <c r="U46" i="39"/>
  <c r="AM24" i="39"/>
  <c r="AJ24" i="39"/>
  <c r="X37" i="39"/>
  <c r="U37" i="39"/>
  <c r="U33" i="39"/>
  <c r="X33" i="39"/>
  <c r="N42" i="39"/>
  <c r="Q42" i="39"/>
  <c r="AM12" i="39"/>
  <c r="AJ12" i="39"/>
  <c r="X21" i="39"/>
  <c r="U21" i="39"/>
  <c r="N12" i="39"/>
  <c r="Q12" i="39"/>
  <c r="Q17" i="39"/>
  <c r="N17" i="39"/>
  <c r="Q30" i="39"/>
  <c r="N30" i="39"/>
  <c r="N38" i="39"/>
  <c r="Q38" i="39"/>
  <c r="AJ35" i="39"/>
  <c r="AM35" i="39"/>
  <c r="U16" i="39"/>
  <c r="X16" i="39"/>
  <c r="N14" i="39"/>
  <c r="Q14" i="39"/>
  <c r="Q23" i="39"/>
  <c r="N23" i="39"/>
  <c r="AJ20" i="39"/>
  <c r="AM20" i="39"/>
  <c r="AF41" i="39"/>
  <c r="AC41" i="39"/>
  <c r="N18" i="39"/>
  <c r="Q18" i="39"/>
  <c r="U27" i="39"/>
  <c r="X27" i="39"/>
  <c r="AM23" i="39"/>
  <c r="AJ23" i="39"/>
  <c r="AC21" i="39"/>
  <c r="AF21" i="39"/>
  <c r="AF19" i="39"/>
  <c r="AC19" i="39"/>
  <c r="AF31" i="39"/>
  <c r="AC31" i="39"/>
  <c r="X10" i="39"/>
  <c r="U10" i="39"/>
  <c r="AM26" i="39"/>
  <c r="AJ26" i="39"/>
  <c r="AM38" i="39"/>
  <c r="AJ38" i="39"/>
  <c r="AM33" i="39"/>
  <c r="AJ33" i="39"/>
  <c r="AM13" i="39"/>
  <c r="AJ13" i="39"/>
  <c r="AF20" i="39"/>
  <c r="AC20" i="39"/>
  <c r="AF39" i="39"/>
  <c r="AC39" i="39"/>
  <c r="N20" i="39"/>
  <c r="Q20" i="39"/>
  <c r="X22" i="39"/>
  <c r="U22" i="39"/>
  <c r="AC43" i="39"/>
  <c r="AF43" i="39"/>
  <c r="X28" i="39"/>
  <c r="U28" i="39"/>
  <c r="AJ22" i="39"/>
  <c r="AM22" i="39"/>
  <c r="AB24" i="31"/>
  <c r="AB21" i="31"/>
  <c r="X10" i="22"/>
  <c r="AM14" i="22"/>
  <c r="X22" i="22"/>
  <c r="X11" i="22"/>
  <c r="N10" i="22"/>
  <c r="AM30" i="22"/>
  <c r="Q13" i="22"/>
  <c r="N16" i="22"/>
  <c r="M11" i="25" s="1"/>
  <c r="X17" i="22"/>
  <c r="AJ26" i="22"/>
  <c r="AM23" i="22"/>
  <c r="AF20" i="22"/>
  <c r="AC20" i="22"/>
  <c r="X18" i="22"/>
  <c r="U18" i="22"/>
  <c r="AJ17" i="22"/>
  <c r="AM17" i="22"/>
  <c r="AJ24" i="22"/>
  <c r="AM24" i="22"/>
  <c r="AF18" i="22"/>
  <c r="AC18" i="22"/>
  <c r="N42" i="22"/>
  <c r="M36" i="25" s="1"/>
  <c r="Q42" i="22"/>
  <c r="X29" i="22"/>
  <c r="U29" i="22"/>
  <c r="N10" i="25" s="1"/>
  <c r="N34" i="22"/>
  <c r="M31" i="25" s="1"/>
  <c r="Q34" i="22"/>
  <c r="U30" i="22"/>
  <c r="N11" i="25" s="1"/>
  <c r="X30" i="22"/>
  <c r="U39" i="22"/>
  <c r="X39" i="22"/>
  <c r="AJ13" i="22"/>
  <c r="AM13" i="22"/>
  <c r="U17" i="22"/>
  <c r="AC53" i="22"/>
  <c r="AF53" i="22"/>
  <c r="Q28" i="22"/>
  <c r="N28" i="22"/>
  <c r="Q20" i="22"/>
  <c r="N20" i="22"/>
  <c r="M14" i="25" s="1"/>
  <c r="U11" i="22"/>
  <c r="X33" i="22"/>
  <c r="U33" i="22"/>
  <c r="AF28" i="22"/>
  <c r="AC28" i="22"/>
  <c r="AM15" i="22"/>
  <c r="AJ15" i="22"/>
  <c r="N12" i="22"/>
  <c r="M7" i="25" s="1"/>
  <c r="Q12" i="22"/>
  <c r="AM28" i="22"/>
  <c r="AJ28" i="22"/>
  <c r="X28" i="22"/>
  <c r="U28" i="22"/>
  <c r="N9" i="25" s="1"/>
  <c r="U23" i="22"/>
  <c r="X23" i="22"/>
  <c r="X15" i="22"/>
  <c r="U15" i="22"/>
  <c r="U52" i="22"/>
  <c r="X52" i="22"/>
  <c r="Q38" i="22"/>
  <c r="N38" i="22"/>
  <c r="AF30" i="22"/>
  <c r="AC30" i="22"/>
  <c r="AJ20" i="22"/>
  <c r="AM20" i="22"/>
  <c r="N41" i="22"/>
  <c r="M35" i="25" s="1"/>
  <c r="Q41" i="22"/>
  <c r="N21" i="22"/>
  <c r="M16" i="25" s="1"/>
  <c r="Q21" i="22"/>
  <c r="AF26" i="22"/>
  <c r="AC26" i="22"/>
  <c r="U38" i="22"/>
  <c r="N20" i="25" s="1"/>
  <c r="X38" i="22"/>
  <c r="U16" i="22"/>
  <c r="X16" i="22"/>
  <c r="AC27" i="22"/>
  <c r="AF27" i="22"/>
  <c r="AM33" i="22"/>
  <c r="AJ33" i="22"/>
  <c r="AJ30" i="22"/>
  <c r="AJ19" i="22"/>
  <c r="AM19" i="22"/>
  <c r="AF39" i="22"/>
  <c r="AC39" i="22"/>
  <c r="M38" i="25" s="1"/>
  <c r="N40" i="22"/>
  <c r="M34" i="25" s="1"/>
  <c r="Q40" i="22"/>
  <c r="AC25" i="22"/>
  <c r="AF25" i="22"/>
  <c r="AJ10" i="22"/>
  <c r="M40" i="25" s="1"/>
  <c r="AM10" i="22"/>
  <c r="G4" i="25"/>
  <c r="C4" i="25"/>
  <c r="N45" i="22"/>
  <c r="N14" i="22"/>
  <c r="M9" i="25" s="1"/>
  <c r="Q14" i="22"/>
  <c r="N32" i="22"/>
  <c r="M28" i="25" s="1"/>
  <c r="Q32" i="22"/>
  <c r="N31" i="22"/>
  <c r="M27" i="25" s="1"/>
  <c r="Q31" i="22"/>
  <c r="AM31" i="22"/>
  <c r="AJ31" i="22"/>
  <c r="X27" i="22"/>
  <c r="U27" i="22"/>
  <c r="N6" i="25" s="1"/>
  <c r="X26" i="22"/>
  <c r="U26" i="22"/>
  <c r="N5" i="25" s="1"/>
  <c r="AC38" i="22"/>
  <c r="N37" i="25" s="1"/>
  <c r="AF38" i="22"/>
  <c r="N11" i="22"/>
  <c r="M6" i="25" s="1"/>
  <c r="Q11" i="22"/>
  <c r="X50" i="22"/>
  <c r="U50" i="22"/>
  <c r="N28" i="25" s="1"/>
  <c r="U22" i="22"/>
  <c r="U32" i="22"/>
  <c r="N14" i="25" s="1"/>
  <c r="X32" i="22"/>
  <c r="AM26" i="22"/>
  <c r="N13" i="22"/>
  <c r="M8" i="25" s="1"/>
  <c r="U51" i="22"/>
  <c r="N29" i="25" s="1"/>
  <c r="X51" i="22"/>
  <c r="Q23" i="22"/>
  <c r="N23" i="22"/>
  <c r="M19" i="25" s="1"/>
  <c r="AF22" i="22"/>
  <c r="AC22" i="22"/>
  <c r="N39" i="22"/>
  <c r="Q39" i="22"/>
  <c r="X19" i="22"/>
  <c r="U19" i="22"/>
  <c r="N27" i="22"/>
  <c r="Q27" i="22"/>
  <c r="AM18" i="22"/>
  <c r="AJ18" i="22"/>
  <c r="AF40" i="22"/>
  <c r="AC40" i="22"/>
  <c r="AM12" i="22"/>
  <c r="AJ12" i="22"/>
  <c r="Q16" i="22"/>
  <c r="AJ14" i="22"/>
  <c r="AJ36" i="22"/>
  <c r="AM36" i="22"/>
  <c r="AM22" i="22"/>
  <c r="AJ22" i="22"/>
  <c r="M42" i="25" s="1"/>
  <c r="AC24" i="22"/>
  <c r="AF24" i="22"/>
  <c r="N17" i="22"/>
  <c r="M12" i="25" s="1"/>
  <c r="Q17" i="22"/>
  <c r="N15" i="22"/>
  <c r="M10" i="25" s="1"/>
  <c r="Q15" i="22"/>
  <c r="AM35" i="22"/>
  <c r="AJ35" i="22"/>
  <c r="AF23" i="22"/>
  <c r="AC23" i="22"/>
  <c r="N35" i="22"/>
  <c r="Q35" i="22"/>
  <c r="X31" i="22"/>
  <c r="U31" i="22"/>
  <c r="N12" i="25" s="1"/>
  <c r="N37" i="22"/>
  <c r="M33" i="25" s="1"/>
  <c r="Q37" i="22"/>
  <c r="Q18" i="22"/>
  <c r="N18" i="22"/>
  <c r="AF21" i="22"/>
  <c r="AC21" i="22"/>
  <c r="AJ11" i="22"/>
  <c r="AM11" i="22"/>
  <c r="N24" i="22"/>
  <c r="M20" i="25" s="1"/>
  <c r="Q24" i="22"/>
  <c r="N44" i="22"/>
  <c r="X48" i="22"/>
  <c r="U48" i="22"/>
  <c r="N26" i="25" s="1"/>
  <c r="Q25" i="22"/>
  <c r="N25" i="22"/>
  <c r="AF32" i="22"/>
  <c r="AC32" i="22"/>
  <c r="N31" i="25" s="1"/>
  <c r="X21" i="22"/>
  <c r="U21" i="22"/>
  <c r="U36" i="22"/>
  <c r="N16" i="25" s="1"/>
  <c r="X36" i="22"/>
  <c r="AJ16" i="22"/>
  <c r="AM16" i="22"/>
  <c r="X12" i="22"/>
  <c r="U12" i="22"/>
  <c r="K3" i="10"/>
  <c r="U10" i="22"/>
  <c r="U37" i="22"/>
  <c r="N19" i="25" s="1"/>
  <c r="X37" i="22"/>
  <c r="AC36" i="22"/>
  <c r="N35" i="25" s="1"/>
  <c r="AF36" i="22"/>
  <c r="AF19" i="22"/>
  <c r="AC19" i="22"/>
  <c r="AC34" i="22"/>
  <c r="N33" i="25" s="1"/>
  <c r="AF34" i="22"/>
  <c r="U14" i="22"/>
  <c r="X14" i="22"/>
  <c r="Q10" i="22"/>
  <c r="N43" i="22"/>
  <c r="AC31" i="22"/>
  <c r="AF31" i="22"/>
  <c r="AJ23" i="22"/>
  <c r="M43" i="25" s="1"/>
  <c r="Q30" i="22"/>
  <c r="N30" i="22"/>
  <c r="M26" i="25" s="1"/>
  <c r="AM38" i="22"/>
  <c r="AJ38" i="22"/>
  <c r="AF42" i="22"/>
  <c r="AC42" i="22"/>
  <c r="AF43" i="22"/>
  <c r="AC43" i="22"/>
  <c r="AJ32" i="22"/>
  <c r="AM32" i="22"/>
  <c r="AL23" i="25"/>
  <c r="AJ24" i="25" s="1"/>
  <c r="AL51" i="25"/>
  <c r="AJ51" i="25"/>
  <c r="J40" i="17" l="1"/>
  <c r="X45" i="22"/>
  <c r="H69" i="17"/>
  <c r="D63" i="17"/>
  <c r="J52" i="17"/>
  <c r="F46" i="17"/>
  <c r="B40" i="17"/>
  <c r="B63" i="17"/>
  <c r="D46" i="17"/>
  <c r="F69" i="17"/>
  <c r="H52" i="17"/>
  <c r="B46" i="17"/>
  <c r="D69" i="17"/>
  <c r="J60" i="17"/>
  <c r="F52" i="17"/>
  <c r="B69" i="17"/>
  <c r="H60" i="17"/>
  <c r="D52" i="17"/>
  <c r="J43" i="17"/>
  <c r="J66" i="17"/>
  <c r="F60" i="17"/>
  <c r="B52" i="17"/>
  <c r="H43" i="17"/>
  <c r="H66" i="17"/>
  <c r="D60" i="17"/>
  <c r="J49" i="17"/>
  <c r="F43" i="17"/>
  <c r="F66" i="17"/>
  <c r="B60" i="17"/>
  <c r="H49" i="17"/>
  <c r="D43" i="17"/>
  <c r="D66" i="17"/>
  <c r="J57" i="17"/>
  <c r="F49" i="17"/>
  <c r="B43" i="17"/>
  <c r="B66" i="17"/>
  <c r="H57" i="17"/>
  <c r="D49" i="17"/>
  <c r="J63" i="17"/>
  <c r="F57" i="17"/>
  <c r="B49" i="17"/>
  <c r="H40" i="17"/>
  <c r="H63" i="17"/>
  <c r="D57" i="17"/>
  <c r="J46" i="17"/>
  <c r="F40" i="17"/>
  <c r="J69" i="17"/>
  <c r="F63" i="17"/>
  <c r="B57" i="17"/>
  <c r="H46" i="17"/>
  <c r="D40" i="17"/>
  <c r="M5" i="25"/>
  <c r="R9" i="33"/>
  <c r="R28" i="33"/>
  <c r="R29" i="33"/>
  <c r="Q15" i="33"/>
  <c r="R30" i="33"/>
  <c r="R25" i="33"/>
  <c r="R26" i="33"/>
  <c r="O28" i="33"/>
  <c r="R22" i="33"/>
  <c r="P15" i="33"/>
  <c r="O13" i="33"/>
  <c r="Q22" i="33"/>
  <c r="P17" i="33"/>
  <c r="P34" i="33"/>
  <c r="R23" i="33"/>
  <c r="O34" i="33"/>
  <c r="P16" i="33"/>
  <c r="P26" i="33"/>
  <c r="P14" i="33"/>
  <c r="P11" i="33"/>
  <c r="O15" i="33"/>
  <c r="Q29" i="33"/>
  <c r="P21" i="33"/>
  <c r="P27" i="33"/>
  <c r="P19" i="33"/>
  <c r="O19" i="33"/>
  <c r="P29" i="33"/>
  <c r="P12" i="33"/>
  <c r="P22" i="33"/>
  <c r="Q12" i="33"/>
  <c r="O26" i="33"/>
  <c r="R19" i="33"/>
  <c r="O35" i="33"/>
  <c r="R31" i="33"/>
  <c r="Q18" i="33"/>
  <c r="O29" i="33"/>
  <c r="Q23" i="33"/>
  <c r="Q11" i="33"/>
  <c r="O21" i="33"/>
  <c r="O22" i="33"/>
  <c r="O10" i="33"/>
  <c r="P9" i="33"/>
  <c r="R24" i="33"/>
  <c r="Q17" i="33"/>
  <c r="R32" i="33"/>
  <c r="R20" i="33"/>
  <c r="P28" i="33"/>
  <c r="Q31" i="33"/>
  <c r="Q13" i="33"/>
  <c r="O24" i="33"/>
  <c r="Q24" i="33"/>
  <c r="O31" i="33"/>
  <c r="P25" i="33"/>
  <c r="O20" i="33"/>
  <c r="R10" i="33"/>
  <c r="P30" i="33"/>
  <c r="Q19" i="33"/>
  <c r="P24" i="33"/>
  <c r="R33" i="33"/>
  <c r="R12" i="33"/>
  <c r="P33" i="33"/>
  <c r="P35" i="33"/>
  <c r="R34" i="33"/>
  <c r="Q33" i="33"/>
  <c r="R18" i="33"/>
  <c r="Q21" i="33"/>
  <c r="O16" i="33"/>
  <c r="Q10" i="33"/>
  <c r="O23" i="33"/>
  <c r="O12" i="33"/>
  <c r="O17" i="33"/>
  <c r="R27" i="33"/>
  <c r="R17" i="33"/>
  <c r="P18" i="33"/>
  <c r="R14" i="33"/>
  <c r="R13" i="33"/>
  <c r="Q27" i="33"/>
  <c r="O14" i="33"/>
  <c r="Q28" i="33"/>
  <c r="P32" i="33"/>
  <c r="Q16" i="33"/>
  <c r="O9" i="33"/>
  <c r="Q35" i="33"/>
  <c r="P31" i="33"/>
  <c r="Q20" i="33"/>
  <c r="O27" i="33"/>
  <c r="O18" i="33"/>
  <c r="R21" i="33"/>
  <c r="P23" i="33"/>
  <c r="Q30" i="33"/>
  <c r="P10" i="33"/>
  <c r="O32" i="33"/>
  <c r="Q32" i="33"/>
  <c r="Q26" i="33"/>
  <c r="P20" i="33"/>
  <c r="Q25" i="33"/>
  <c r="P13" i="33"/>
  <c r="O11" i="33"/>
  <c r="R16" i="33"/>
  <c r="O25" i="33"/>
  <c r="Q14" i="33"/>
  <c r="O33" i="33"/>
  <c r="Q34" i="33"/>
  <c r="O30" i="33"/>
  <c r="N30" i="33" s="1"/>
  <c r="R35" i="33"/>
  <c r="R11" i="33"/>
  <c r="Q9" i="33"/>
  <c r="H10" i="25"/>
  <c r="R15" i="33"/>
  <c r="Q23" i="25"/>
  <c r="Q32" i="25"/>
  <c r="Q27" i="25"/>
  <c r="Q12" i="25"/>
  <c r="Q30" i="25"/>
  <c r="Q31" i="25"/>
  <c r="Q11" i="25"/>
  <c r="Q33" i="25"/>
  <c r="Q34" i="25"/>
  <c r="Q21" i="25"/>
  <c r="Q37" i="25"/>
  <c r="P42" i="25"/>
  <c r="P40" i="25"/>
  <c r="Q22" i="25"/>
  <c r="Q36" i="25"/>
  <c r="Q18" i="25"/>
  <c r="Q25" i="25"/>
  <c r="Q35" i="25"/>
  <c r="Q7" i="25"/>
  <c r="P43" i="25"/>
  <c r="Q9" i="25"/>
  <c r="Q8" i="25"/>
  <c r="Q10" i="25"/>
  <c r="Q13" i="25"/>
  <c r="Q17" i="25"/>
  <c r="Q14" i="25"/>
  <c r="P39" i="25"/>
  <c r="Q26" i="25"/>
  <c r="Q5" i="25"/>
  <c r="Q15" i="25"/>
  <c r="P38" i="25"/>
  <c r="Q29" i="25"/>
  <c r="Q19" i="25"/>
  <c r="AL24" i="25"/>
  <c r="AJ25" i="25" s="1"/>
  <c r="N28" i="33" l="1"/>
  <c r="N32" i="33"/>
  <c r="N11" i="33"/>
  <c r="N27" i="33"/>
  <c r="N25" i="33"/>
  <c r="N18" i="33"/>
  <c r="N21" i="33"/>
  <c r="N12" i="33"/>
  <c r="N15" i="33"/>
  <c r="N17" i="33"/>
  <c r="N33" i="33"/>
  <c r="N22" i="33"/>
  <c r="N34" i="33"/>
  <c r="N19" i="33"/>
  <c r="N29" i="33"/>
  <c r="N35" i="33"/>
  <c r="N14" i="33"/>
  <c r="N10" i="33"/>
  <c r="N16" i="33"/>
  <c r="N26" i="33"/>
  <c r="N20" i="33"/>
  <c r="N9" i="33"/>
  <c r="N31" i="33"/>
  <c r="N24" i="33"/>
  <c r="N13" i="33"/>
  <c r="N23" i="33"/>
  <c r="S5" i="22"/>
  <c r="R5" i="22"/>
  <c r="Q5" i="22"/>
  <c r="P5" i="22"/>
  <c r="O5" i="22"/>
  <c r="N5" i="22"/>
  <c r="M5" i="22"/>
  <c r="S4" i="22"/>
  <c r="R4" i="22"/>
  <c r="Q4" i="22"/>
  <c r="P4" i="22"/>
  <c r="O4" i="22"/>
  <c r="N4" i="22"/>
</calcChain>
</file>

<file path=xl/comments1.xml><?xml version="1.0" encoding="utf-8"?>
<comments xmlns="http://schemas.openxmlformats.org/spreadsheetml/2006/main">
  <authors>
    <author>Алия М Шманова</author>
    <author>Нурлан С  Дуйсенов</author>
    <author>Тимур Касымбеков</author>
    <author>RePack by Diakov</author>
    <author>Пользователь Windows</author>
    <author>tc={00E9A969-B322-4D16-B9F7-99C8C00CEBEF}</author>
    <author>tc={6A317666-1F91-4225-BED8-8DBE10A34804}</author>
    <author>Автор</author>
  </authors>
  <commentList>
    <comment ref="B41" authorId="0">
      <text>
        <r>
          <rPr>
            <b/>
            <sz val="9"/>
            <color indexed="81"/>
            <rFont val="Tahoma"/>
            <family val="2"/>
            <charset val="204"/>
          </rPr>
          <t>Алия М Шманова:</t>
        </r>
        <r>
          <rPr>
            <sz val="9"/>
            <color indexed="81"/>
            <rFont val="Tahoma"/>
            <family val="2"/>
            <charset val="204"/>
          </rPr>
          <t xml:space="preserve">
Инициативы в рамках достижения цели №1 согласно Стратегии
Финансовая устойчивость Компании зависит как от усилий менеджмента по обеспечению сбалансированности собственных и заемных средств, повышению операционной эффективности, так и от тарифной политики и финансовой поддержки государства в отношении Компании.
Для улучшения финансового состояния и аккумулирования средств с целью направления их на обновление и модернизацию активов, Компания будет проводить работу по увеличению доходности от регулируемых видов услуг, в том числе за счет совершенствования тарифной политики.
- Тарифная политика на регулируемые услуги МЖС
- Совершенствование тарифной политики на услуги локомотивной тяги (при перевозке грузов, при перевозке пассажиров.)</t>
        </r>
      </text>
    </comment>
    <comment ref="R42" authorId="0">
      <text>
        <r>
          <rPr>
            <b/>
            <sz val="9"/>
            <color indexed="81"/>
            <rFont val="Tahoma"/>
            <family val="2"/>
            <charset val="204"/>
          </rPr>
          <t>Алия М Шманова:</t>
        </r>
        <r>
          <rPr>
            <sz val="9"/>
            <color indexed="81"/>
            <rFont val="Tahoma"/>
            <family val="2"/>
            <charset val="204"/>
          </rPr>
          <t xml:space="preserve">
</t>
        </r>
        <r>
          <rPr>
            <b/>
            <sz val="14"/>
            <color indexed="81"/>
            <rFont val="Tahoma"/>
            <family val="2"/>
            <charset val="204"/>
          </rPr>
          <t>Объединение согласно ЦЗФ</t>
        </r>
      </text>
    </comment>
    <comment ref="AI46" authorId="1">
      <text>
        <r>
          <rPr>
            <sz val="14"/>
            <color indexed="81"/>
            <rFont val="Tahoma"/>
            <family val="2"/>
            <charset val="204"/>
          </rPr>
          <t xml:space="preserve">Контейнеризация грузов позволит сохранить жд. объемы перевозок за счет повышения скорости перевозок и снижения времени таможенного досмотра и переработки груза на станции  </t>
        </r>
        <r>
          <rPr>
            <sz val="9"/>
            <color indexed="81"/>
            <rFont val="Tahoma"/>
            <family val="2"/>
            <charset val="204"/>
          </rPr>
          <t xml:space="preserve">
</t>
        </r>
      </text>
    </comment>
    <comment ref="R51" authorId="0">
      <text>
        <r>
          <rPr>
            <b/>
            <sz val="9"/>
            <color indexed="81"/>
            <rFont val="Tahoma"/>
            <family val="2"/>
            <charset val="204"/>
          </rPr>
          <t>Алия М Шманова:</t>
        </r>
        <r>
          <rPr>
            <sz val="9"/>
            <color indexed="81"/>
            <rFont val="Tahoma"/>
            <family val="2"/>
            <charset val="204"/>
          </rPr>
          <t xml:space="preserve">
</t>
        </r>
        <r>
          <rPr>
            <b/>
            <sz val="14"/>
            <color indexed="81"/>
            <rFont val="Tahoma"/>
            <family val="2"/>
            <charset val="204"/>
          </rPr>
          <t>Объединение согласно ЦЗФ</t>
        </r>
      </text>
    </comment>
    <comment ref="AI55" authorId="1">
      <text>
        <r>
          <rPr>
            <sz val="14"/>
            <color indexed="81"/>
            <rFont val="Tahoma"/>
            <family val="2"/>
            <charset val="204"/>
          </rPr>
          <t xml:space="preserve">Контейнеризация грузов позволит сохранить жд. объемы перевозок за счет повышения скорости перевозок и снижения времени таможенного досмотра и переработки груза на станции  </t>
        </r>
        <r>
          <rPr>
            <sz val="9"/>
            <color indexed="81"/>
            <rFont val="Tahoma"/>
            <family val="2"/>
            <charset val="204"/>
          </rPr>
          <t xml:space="preserve">
</t>
        </r>
      </text>
    </comment>
    <comment ref="R60" authorId="0">
      <text>
        <r>
          <rPr>
            <b/>
            <sz val="9"/>
            <color indexed="81"/>
            <rFont val="Tahoma"/>
            <family val="2"/>
            <charset val="204"/>
          </rPr>
          <t>Алия М Шманова:</t>
        </r>
        <r>
          <rPr>
            <sz val="9"/>
            <color indexed="81"/>
            <rFont val="Tahoma"/>
            <family val="2"/>
            <charset val="204"/>
          </rPr>
          <t xml:space="preserve">
</t>
        </r>
        <r>
          <rPr>
            <b/>
            <sz val="14"/>
            <color indexed="81"/>
            <rFont val="Tahoma"/>
            <family val="2"/>
            <charset val="204"/>
          </rPr>
          <t>Объединение согласно ЦЗФ</t>
        </r>
      </text>
    </comment>
    <comment ref="AI66" authorId="1">
      <text>
        <r>
          <rPr>
            <sz val="14"/>
            <color indexed="81"/>
            <rFont val="Tahoma"/>
            <family val="2"/>
            <charset val="204"/>
          </rPr>
          <t xml:space="preserve">Контейнеризация грузов позволит сохранить жд. объемы перевозок за счет повышения скорости перевозок и снижения времени таможенного досмотра и переработки груза на станции  </t>
        </r>
        <r>
          <rPr>
            <sz val="9"/>
            <color indexed="81"/>
            <rFont val="Tahoma"/>
            <family val="2"/>
            <charset val="204"/>
          </rPr>
          <t xml:space="preserve">
</t>
        </r>
      </text>
    </comment>
    <comment ref="K71" authorId="2">
      <text>
        <r>
          <rPr>
            <b/>
            <sz val="9"/>
            <color indexed="81"/>
            <rFont val="Tahoma"/>
            <family val="2"/>
            <charset val="204"/>
          </rPr>
          <t>Тимур Касымбеков:</t>
        </r>
        <r>
          <rPr>
            <sz val="9"/>
            <color indexed="81"/>
            <rFont val="Tahoma"/>
            <family val="2"/>
            <charset val="204"/>
          </rPr>
          <t xml:space="preserve">
Доходы</t>
        </r>
      </text>
    </comment>
    <comment ref="AI71" authorId="1">
      <text>
        <r>
          <rPr>
            <sz val="14"/>
            <color indexed="81"/>
            <rFont val="Tahoma"/>
            <family val="2"/>
            <charset val="204"/>
          </rPr>
          <t xml:space="preserve">Контейнеризация грузов позволит сохранить жд. объемы перевозок за счет повышения скорости перевозок и снижения времени таможенного досмотра и переработки груза на станции  </t>
        </r>
        <r>
          <rPr>
            <sz val="9"/>
            <color indexed="81"/>
            <rFont val="Tahoma"/>
            <family val="2"/>
            <charset val="204"/>
          </rPr>
          <t xml:space="preserve">
</t>
        </r>
      </text>
    </comment>
    <comment ref="K84" authorId="2">
      <text>
        <r>
          <rPr>
            <b/>
            <sz val="9"/>
            <color indexed="81"/>
            <rFont val="Tahoma"/>
            <family val="2"/>
            <charset val="204"/>
          </rPr>
          <t>Тимур Касымбеков:</t>
        </r>
        <r>
          <rPr>
            <sz val="9"/>
            <color indexed="81"/>
            <rFont val="Tahoma"/>
            <family val="2"/>
            <charset val="204"/>
          </rPr>
          <t xml:space="preserve">
Доходы</t>
        </r>
      </text>
    </comment>
    <comment ref="O84" authorId="3">
      <text>
        <r>
          <rPr>
            <b/>
            <sz val="9"/>
            <color indexed="81"/>
            <rFont val="Tahoma"/>
            <family val="2"/>
            <charset val="204"/>
          </rPr>
          <t>Оценка в доходах, остальные по прибыли</t>
        </r>
      </text>
    </comment>
    <comment ref="W119" authorId="4">
      <text>
        <r>
          <rPr>
            <sz val="9"/>
            <color indexed="81"/>
            <rFont val="Tahoma"/>
            <family val="2"/>
            <charset val="204"/>
          </rPr>
          <t>Снижение уполномоченным органом утвержденного тарифа до истечения его срока действия, в случае увеличения объемов предоставляемых регулируемых услуг, установленных по результатам рассмотренияуполномоченным органом отчета об исполнении тарифной сметы на регулируемые услуги АО "НК "КТЖ". В случае допущения данного риска ожидаемые потери составят 217,1 млн тнг</t>
        </r>
      </text>
    </comment>
    <comment ref="R125" authorId="4">
      <text>
        <r>
          <rPr>
            <sz val="9"/>
            <color indexed="81"/>
            <rFont val="Tahoma"/>
            <family val="2"/>
            <charset val="204"/>
          </rPr>
          <t>Возникновение убытков от курсовой разницы из-за переоценки стоимости долговых обязательств в иностранной валюте;рост расходов по обслуживанию долговых обязательств в иностранной валюте и как следствие снижение ликвидности компании</t>
        </r>
      </text>
    </comment>
    <comment ref="Z125" authorId="5">
      <text>
        <r>
          <rPr>
            <sz val="11"/>
            <color theme="1"/>
            <rFont val="Calibri"/>
            <family val="2"/>
            <charset val="204"/>
            <scheme val="minor"/>
          </rPr>
          <t>[Цепочка примечаний]
Ваша версия Excel позволяет прочитать эту цепочку примечаний, но если открыть файл в более поздней версии Excel, все внесенные в нее изменения будут удалены. Подробнее: https://go.microsoft.com/fwlink/?linkid=870924
Комментарий:
    622 694млн тнг - доля ин валюты в КП
Ответить:
    Ослабление курса на 10%</t>
        </r>
      </text>
    </comment>
    <comment ref="AI125" authorId="4">
      <text>
        <r>
          <rPr>
            <b/>
            <sz val="9"/>
            <color indexed="81"/>
            <rFont val="Tahoma"/>
            <family val="2"/>
            <charset val="204"/>
          </rPr>
          <t>1. Рефинансирование долговых обязательств в иностранной валюте за счет привлечения заемных средств в "мягкой валюте" (в тенге и российских рублях);</t>
        </r>
      </text>
    </comment>
    <comment ref="Z126" authorId="6">
      <text>
        <r>
          <rPr>
            <sz val="11"/>
            <color theme="1"/>
            <rFont val="Calibri"/>
            <family val="2"/>
            <charset val="204"/>
            <scheme val="minor"/>
          </rPr>
          <t>[Цепочка примечаний]
Ваша версия Excel позволяет прочитать эту цепочку примечаний, но если открыть файл в более поздней версии Excel, все внесенные в нее изменения будут удалены. Подробнее: https://go.microsoft.com/fwlink/?linkid=870924
Комментарий:
    Укрепление курса тенге на 2%
В расчет берется сумма КП в ин валюте</t>
        </r>
      </text>
    </comment>
    <comment ref="AI140" authorId="4">
      <text>
        <r>
          <rPr>
            <sz val="9"/>
            <color indexed="81"/>
            <rFont val="Tahoma"/>
            <family val="2"/>
            <charset val="204"/>
          </rPr>
          <t>1. Проведение капитального ремонта пути, ежегодно в объёме не менее 582,53км, ориентировочно на сумму 79 млрд. 107 млн.тенге, где в результате повышается скорости движения, а также своевременное и качественное обеспечение материалами верхнего строения пути согласно утверждённых норм расхода, ежегодно ориентировочно на сумму не менее 20 млрд.
2. Своевременное планирование профильного шлифование рельсов на основании диагностирования фактического состояния продольного и поперечного профилей головки рельсов с применением путевой машины Атлас ежегодно в объеме не менее 1000км, ориентировочно на сумму 655млн.тенге. Профилактическое шлифование позволяет предупредить появление дефектов поверхности катания, не допустить развитие в рельсах дефектов контактно-усталостного характера.</t>
        </r>
      </text>
    </comment>
    <comment ref="AI151" authorId="7">
      <text>
        <r>
          <rPr>
            <sz val="14"/>
            <color indexed="81"/>
            <rFont val="Tahoma"/>
            <family val="2"/>
            <charset val="204"/>
          </rPr>
          <t xml:space="preserve">Контейнеризация грузов позволит сохранить жд. объемы перевозок за счет повышения скорости перевозок и снижения времени таможенного досмотра и переработки груза на станции  </t>
        </r>
        <r>
          <rPr>
            <sz val="9"/>
            <color indexed="81"/>
            <rFont val="Tahoma"/>
            <family val="2"/>
            <charset val="204"/>
          </rPr>
          <t xml:space="preserve">
</t>
        </r>
      </text>
    </comment>
    <comment ref="AI152" authorId="4">
      <text>
        <r>
          <rPr>
            <b/>
            <sz val="9"/>
            <color indexed="81"/>
            <rFont val="Tahoma"/>
            <family val="2"/>
            <charset val="204"/>
          </rPr>
          <t>Пользователь Windows:</t>
        </r>
        <r>
          <rPr>
            <sz val="9"/>
            <color indexed="81"/>
            <rFont val="Tahoma"/>
            <family val="2"/>
            <charset val="204"/>
          </rPr>
          <t xml:space="preserve">
В настоящее время проводятся переговоры с ПАО «Сбербанк России» по вопросам рефинансирования займа в АО «Банк развития Казахстана» в рубли (основные условия: ставка 7%, срок до 2027 года).
После рефинансирования займа планируется расторгнуть соглашение.
В среднесрочной перспективе планируется реализовать ТОО «АМСТ» в рамках приватизации.</t>
        </r>
      </text>
    </comment>
    <comment ref="AI162" authorId="4">
      <text>
        <r>
          <rPr>
            <b/>
            <sz val="9"/>
            <color indexed="81"/>
            <rFont val="Tahoma"/>
            <family val="2"/>
            <charset val="204"/>
          </rPr>
          <t>Пользователь Windows:</t>
        </r>
        <r>
          <rPr>
            <sz val="9"/>
            <color indexed="81"/>
            <rFont val="Tahoma"/>
            <family val="2"/>
            <charset val="204"/>
          </rPr>
          <t xml:space="preserve">
В настоящее время проводятся переговоры с ПАО «Сбербанк России» по вопросам рефинансирования займа в АО «Банк развития Казахстана» в рубли (основные условия: ставка 7%, срок до 2027 года).
После рефинансирования займа планируется расторгнуть соглашение.
В среднесрочной перспективе планируется реализовать ТОО «АМСТ» в рамках приватизации.</t>
        </r>
      </text>
    </comment>
    <comment ref="AI165" authorId="4">
      <text>
        <r>
          <rPr>
            <b/>
            <sz val="9"/>
            <color indexed="81"/>
            <rFont val="Tahoma"/>
            <family val="2"/>
            <charset val="204"/>
          </rPr>
          <t>Пользователь Windows:</t>
        </r>
        <r>
          <rPr>
            <sz val="9"/>
            <color indexed="81"/>
            <rFont val="Tahoma"/>
            <family val="2"/>
            <charset val="204"/>
          </rPr>
          <t xml:space="preserve">
С 1 января 2019 года выплаты для DP World приостановлены. С DP World достигнута договорённость приостановления Договора и выплат по нему на 3 года (с 01.01.2019 по 31.12.2021). Дополнительное соглашение подписано 23.07.2020
</t>
        </r>
      </text>
    </comment>
    <comment ref="AI167" authorId="4">
      <text>
        <r>
          <rPr>
            <b/>
            <sz val="9"/>
            <color indexed="81"/>
            <rFont val="Tahoma"/>
            <family val="2"/>
            <charset val="204"/>
          </rPr>
          <t>Пользователь Windows:</t>
        </r>
        <r>
          <rPr>
            <sz val="9"/>
            <color indexed="81"/>
            <rFont val="Tahoma"/>
            <family val="2"/>
            <charset val="204"/>
          </rPr>
          <t xml:space="preserve">
Для урегулирования сложившейся ситуации на заседании Государственной комиссии по вопросам модернизации экономики Республикик Казахстан разработана Дорожная карта по урегулированию взаиморасчетов между АО "Қазтеміртранс", АО "KTZE" и АО "БРК-Лизинг" с компаниями ТОО "Проммашкомплект",  АО "ЗИКСТО".
</t>
        </r>
      </text>
    </comment>
    <comment ref="K168" authorId="0">
      <text>
        <r>
          <rPr>
            <b/>
            <sz val="12"/>
            <color indexed="81"/>
            <rFont val="Tahoma"/>
            <family val="2"/>
            <charset val="204"/>
          </rPr>
          <t>Алия М Шманова:</t>
        </r>
        <r>
          <rPr>
            <sz val="12"/>
            <color indexed="81"/>
            <rFont val="Tahoma"/>
            <family val="2"/>
            <charset val="204"/>
          </rPr>
          <t xml:space="preserve">
</t>
        </r>
        <r>
          <rPr>
            <b/>
            <sz val="14"/>
            <color indexed="81"/>
            <rFont val="Tahoma"/>
            <family val="2"/>
            <charset val="204"/>
          </rPr>
          <t>есл по данным договорам начислены суммы резерва, то необходимо указать их</t>
        </r>
      </text>
    </comment>
    <comment ref="Z168" authorId="7">
      <text>
        <r>
          <rPr>
            <b/>
            <sz val="9"/>
            <color indexed="81"/>
            <rFont val="Tahoma"/>
            <family val="2"/>
            <charset val="204"/>
          </rPr>
          <t>в случае неисполнения инвестиционной программы, учтенной в предельной цене, ведомство уполномоченного органа вносит предписание Субъекту в соответствии с подпунктом 7) статьи 124-6 Кодекса (Предписание штраф в размере 10% от неисполненной суммы).</t>
        </r>
      </text>
    </comment>
    <comment ref="Z169" authorId="7">
      <text>
        <r>
          <rPr>
            <b/>
            <sz val="9"/>
            <color indexed="81"/>
            <rFont val="Tahoma"/>
            <family val="2"/>
            <charset val="204"/>
          </rPr>
          <t>расходы на приобретение тепловозов в количестве 10 ед в сумме 16412,4</t>
        </r>
      </text>
    </comment>
    <comment ref="B195" authorId="0">
      <text>
        <r>
          <rPr>
            <b/>
            <sz val="9"/>
            <color indexed="81"/>
            <rFont val="Tahoma"/>
            <family val="2"/>
            <charset val="204"/>
          </rPr>
          <t>Алия М Шманова:</t>
        </r>
        <r>
          <rPr>
            <sz val="9"/>
            <color indexed="81"/>
            <rFont val="Tahoma"/>
            <family val="2"/>
            <charset val="204"/>
          </rPr>
          <t xml:space="preserve">
Согласно Стратегии
Стратегическая инициатива направлена на достижение следующих основных целей:
− обеспечение сохранности жизни и здоровья людей;
− обеспечение сохранности грузов, подвижного состава, объектов инфраструктуры;
− обеспечение заданного уровня безопасности движения;
− минимизация последствий от транспортных происшествий.</t>
        </r>
      </text>
    </comment>
    <comment ref="Z276" authorId="2">
      <text>
        <r>
          <rPr>
            <b/>
            <sz val="9"/>
            <color indexed="81"/>
            <rFont val="Tahoma"/>
            <family val="2"/>
            <charset val="204"/>
          </rPr>
          <t>Тимур Касымбеков:</t>
        </r>
        <r>
          <rPr>
            <sz val="9"/>
            <color indexed="81"/>
            <rFont val="Tahoma"/>
            <family val="2"/>
            <charset val="204"/>
          </rPr>
          <t xml:space="preserve">
Чингиз</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<sst xmlns="http://schemas.openxmlformats.org/spreadsheetml/2006/main" count="4431" uniqueCount="1723">
  <si>
    <t>Вывод Компании из зоны финансового риска и обеспечение финансовой устойчивости</t>
  </si>
  <si>
    <t>Гарантирование безопасности движения поездов</t>
  </si>
  <si>
    <t>Обеспечение устойчивого развития Компании</t>
  </si>
  <si>
    <t>Риск разрыва ликвидности</t>
  </si>
  <si>
    <t>Рейтинг корпоративного управления, коэффициент</t>
  </si>
  <si>
    <t>Тип мероприятия</t>
  </si>
  <si>
    <t>Наименования мероприятий</t>
  </si>
  <si>
    <t>Лицо / подразделение, ответственное за реализацию мероприятия</t>
  </si>
  <si>
    <t xml:space="preserve">Срок реализации мероприятия </t>
  </si>
  <si>
    <t>MOD</t>
  </si>
  <si>
    <t>№</t>
  </si>
  <si>
    <t>Безопасность перевозок</t>
  </si>
  <si>
    <t>CRR</t>
  </si>
  <si>
    <t>IR</t>
  </si>
  <si>
    <t>OR</t>
  </si>
  <si>
    <t>CR</t>
  </si>
  <si>
    <t>PIR</t>
  </si>
  <si>
    <t>ICR</t>
  </si>
  <si>
    <t>Недостаточные объемы инвестирования в течение длительного периода.
Несвоевременное проведение плановых капитальных ремонтов
Отсутствиеобновления локомотивов, вагонного парка
Ежегодное выбытие пассажирских вагонов по истечению срока службы;
Нарушение сроков поставки новых вагонов в рамках заключенных договоров.</t>
  </si>
  <si>
    <t>Отсутствие, неактуальность нормативной и технической документации и неправильное её ведение.
Несоответствие персонала квалификационным требованиям, неэффективность проведения техучебы. 
Не укомплектованность работников на объем выполняемой работы.
Нарушение и несоблюдение технологических процессов и их неактуальность.
Нарушения требований в части содержания и обслуживания подвижного состава и объектов инфраструктуры.
Нарушение требований содержания и эксплуатации технических средств.
Не своевременная обеспеченность ресурсами и их качество.  </t>
  </si>
  <si>
    <t xml:space="preserve">В случае отсутствия или не полного сравнительного анализа предлагаемых  условий БВУ. В случае нарушения ДЗО процедур предварительного согласования с Компанией, членами Уполномоченных органов решений о размещении ВСДС;
Дефолт контрагентов либо дефолт банка-контрагента. 
Изменение конъюнктуры финансовых рынков.  </t>
  </si>
  <si>
    <t>Предоставление контрагентам/поставщикам авансовых платежей без банковской гарантии/страхового полиса</t>
  </si>
  <si>
    <t>Ненадлежащая организация учёта и хранения имущества. Отсутствие охраны объектов.</t>
  </si>
  <si>
    <t>KPI</t>
  </si>
  <si>
    <t>CCR</t>
  </si>
  <si>
    <t>HR</t>
  </si>
  <si>
    <t>LR</t>
  </si>
  <si>
    <t xml:space="preserve">Неисполнение обязательств по возврату банковских займов. </t>
  </si>
  <si>
    <t>Неполное начисление налоговых обязательств, несвоевременной оплаты  налогов и других обязательных платежей</t>
  </si>
  <si>
    <t>Возникновение дополнительной  налоговой нагрузки при нестандартных/новых бизнес-процессах</t>
  </si>
  <si>
    <t xml:space="preserve">Неопределенность, присущая казахстанской системе налогообложения </t>
  </si>
  <si>
    <t>Риск возврата авансовых платежей предусмотренные договором бербоут чартера.
Заключение договора бербоут чартера с ТОО "Казмортрансфлот"</t>
  </si>
  <si>
    <t>Риск уплаты штрафных санкций и увеличения расходов при расторжении контракта с DP World
В ноябре 2013 года заключен договор с компанией DP World на оказание консультационных услуг на управление СЭЗ «Хоргос-Восточные ворота», срок действия договора 10 лет. Общая сумма  по договору  40 млн. долларов США (по 4 млн. долларов США ежегодно). В конце 2017 года ежегодная сумма по договору была снижена до 2 млн.долларов США.</t>
  </si>
  <si>
    <t>Невозврат финансовой помощи АО Востокмашзавод (в том числе вследствие банкротства)</t>
  </si>
  <si>
    <t>Банкротство и невозврат дебиторской задолженности ТОО "Казахстанская вагоностроительная компания"</t>
  </si>
  <si>
    <t>Низкий уровень рентабельности производства, убыточность деятельности Товарищества, простой предприятия, инфляционных процессов и нестабильности на валютном рынке.</t>
  </si>
  <si>
    <t xml:space="preserve">Невозврат дебиторской задолженности (Образование проблемной дебиторской задолженности) </t>
  </si>
  <si>
    <t>Потеря  временно-свободных денежных средств при размещении (в долгосрочные финансовые инструменты) в банки второго уровня</t>
  </si>
  <si>
    <t>Выплата необеспеченных банковской гарантией либо страховым полисом авансовых платежей потенциально недобросовестным поставщикам</t>
  </si>
  <si>
    <t>Процесс закупок</t>
  </si>
  <si>
    <t>Снижение репутации Компании</t>
  </si>
  <si>
    <t>Социальное недовольство со стороны работников</t>
  </si>
  <si>
    <t>Критический износ/дефицит локомотивного парка, пассажирских вагонов</t>
  </si>
  <si>
    <t>Безопасность и охрана труда (производственный травматизм)</t>
  </si>
  <si>
    <t>Несохранность груза</t>
  </si>
  <si>
    <t>Экология</t>
  </si>
  <si>
    <t>Несоблюдение экологического законодательства.
Превышение предельно-допустимой концентрации эмиссиии в окружающую среду при нарушениях требований в части содержания и обслуживания подвижного состава и объектов инфраструктуры.</t>
  </si>
  <si>
    <t>Информационная безопасность (Утечка конфиденциальной информации Компании)</t>
  </si>
  <si>
    <t>Нарушения безопасности движения
Сход / столкновение  подвижного состава в поезде и при маневровой работе</t>
  </si>
  <si>
    <t xml:space="preserve">
Предпосылки к нарушениям безопасности движения 
</t>
  </si>
  <si>
    <t>Нарушения Трудового кодекса Республики Казахстан при расторжении трудового договора по инициативе работодателя</t>
  </si>
  <si>
    <t>Неэффективное использование ИКТ инфраструктуры и её компонентов, что в свою очередь может повлечь увеличение капитальных и операционных затрат</t>
  </si>
  <si>
    <t xml:space="preserve">
1. Оплата полученных авансовых платежей от АО "Пассажирские перевозки" для покрытия убытков по проекту 436;
2. Девальвация курса тенге в 2015 г.
3. Потеря денежных средств в связи с банкроством АО "Банк Астана";
4. Отсутствие денежных средств у ТОО "ВСЗ "Тулпар" для приобретения части недостающих комплектующих для производства и сборки вагонов.
</t>
  </si>
  <si>
    <t>Коррупция при приеме на работу</t>
  </si>
  <si>
    <t>Мошенничество</t>
  </si>
  <si>
    <t>Недостоверность финансовой отчетности</t>
  </si>
  <si>
    <t>Хищения</t>
  </si>
  <si>
    <t>MR</t>
  </si>
  <si>
    <t>SWOT</t>
  </si>
  <si>
    <t>RP</t>
  </si>
  <si>
    <t>FX</t>
  </si>
  <si>
    <t>ER</t>
  </si>
  <si>
    <t>IRR</t>
  </si>
  <si>
    <t xml:space="preserve">Мониторинг исполнения договорных обязательств и анализ деятельности поставщиков, контроль хода сборки на территории завода; своевременное уведомление поставщика/подрядчика о невыполненных обязательствах. За несвоевременную поставку электровозов предъявление пени за каждый день просрочки; своевременная выплата авансов; </t>
  </si>
  <si>
    <t>Ненадлежащее исполнение договорных обязательств  по поставке тепловозов ТОО "Транспортейшн Глоубэл Эл-Эл-Си"</t>
  </si>
  <si>
    <t>Ненадлежащее исполнение подрядчиком договорных обязательств.
Повышение стоимости электровозов и комплектующих.
Убыточная деятельность подрядчика, субподрядчиков.
Изменение курса евро по отношению к национальной валюте - тенге. (Девальвация тенге).
Дефицит инвестиционных возможностей.
Влияние пандемии</t>
  </si>
  <si>
    <t>РЕПУТАЦИОННЫЙ РИСК</t>
  </si>
  <si>
    <t>Связанный с политическим риском, который может повлиять на все предприятия, действующие в стране, может быть вызван макроэкономическими факторами или событиями вне контроля правящего правительства страны, например, изменения в денежно-кредитной политике, изменения в регулятивном или налоговом режиме, а также политические или гражданские беспорядки</t>
  </si>
  <si>
    <t>КОМПЛАЕНС РИСК</t>
  </si>
  <si>
    <t>ИНФРАСТРУКТУРНЫЙ РИСК</t>
  </si>
  <si>
    <t>Возможность того, что инфраструктура может быть недостаточной для завершения проекта или транспортировки товара, сбои в базовых услугах, организационных структурах и объектах, низкий уровень использования, простои и моральный износ.</t>
  </si>
  <si>
    <t>ОПЕРАЦИОННЫЙ РИСК</t>
  </si>
  <si>
    <t>Изменение стоимости вызвано тем, что фактические потери, понесенные из-за недостаточных или неудачных внутренних технологических процессов, людей и систем, или от внешних событий</t>
  </si>
  <si>
    <t>РИСК ГРУЗООБОРОТА</t>
  </si>
  <si>
    <t>РИСК КОРПОРАТИВНОГО УПРАВЛЕНИЯ</t>
  </si>
  <si>
    <t>Система правовых и обоснованных подходов, с помощью которых корпорации направляются и контролируются, ориентируясь на внутренние и внешние корпоративные структуры с целью мониторинга действий менеджмента и директоров и, тем самым, снижения агентских рисков, которые могут возникнуть в результате неправомерных действий должностных лиц.</t>
  </si>
  <si>
    <t>ВАЛЮТНЫЙ РИСК</t>
  </si>
  <si>
    <t>Валютный риск возникает в результате изменения цены одной валюты по отношению к другой, непредсказуемых прибылей или убытков в результате изменения стоимости одной валюты по отношению к другой валюте.</t>
  </si>
  <si>
    <t>НАЛОГОВЫЙ РИСК</t>
  </si>
  <si>
    <t>ПРОЕКТНЫЕ И ИНВЕСТИЦИОННЫЕ РИСКИ</t>
  </si>
  <si>
    <t>ЖЕЛЕЗНОДОРОЖНЫЙ ТАРИФНЫЙ РИСК</t>
  </si>
  <si>
    <t>Вероятность потери в результате невыполнения контракта (нарушение условий контракта, претензий, проблем с гарантией, расторжение, обвинения в нарушении прав интеллектуальной собственности, раскрытие информации о конфиденциальности, споры и судебные разбирательства)</t>
  </si>
  <si>
    <t>ИТ и КИБЕР РИСК</t>
  </si>
  <si>
    <t>РИСК ЛИКВИДНОСТИ</t>
  </si>
  <si>
    <t>Риск того, что компания не сможет выполнить свои краткосрочные финансовые обязательства в установленный срок. Другими словами, риск ликвидности финансовых средств - это риск того, что компания не сможет оплатить свои текущие неоплаченные счета.</t>
  </si>
  <si>
    <t>КРЕДИТНЫЙ РИСК</t>
  </si>
  <si>
    <t>Вероятность того, что один из участников сделки может не выполнить свои договорные обязательства перед финансовым учреждением и дочерними компаниями. Риск контрагента может существовать в кредитных, инвестиционных и торговых операциях.</t>
  </si>
  <si>
    <t>ПРОЦЕНТНЫЙ РИСК</t>
  </si>
  <si>
    <t>Риск, который возникает, когда абсолютный уровень процентных ставок колеблется. Процентный риск напрямую влияет на стоимость ценных бумаг с фиксированным доходом и плавающих ставок LIBOR, EURIBOR и т. д.</t>
  </si>
  <si>
    <t>РИСК ПАССАЖИРСКОГО ОБОРОТА</t>
  </si>
  <si>
    <t>ЭПИДЕМИОЛОГИЧЕСКИЙ РИСК</t>
  </si>
  <si>
    <t>СТРАТЕГИЧЕСКАЯ ЦЕЛЬ 5 л.</t>
  </si>
  <si>
    <t>ВЫЗОВ</t>
  </si>
  <si>
    <t>ПОРОГ</t>
  </si>
  <si>
    <t>код риска</t>
  </si>
  <si>
    <t>ВЛАДЕЛЕЦ РИСКА</t>
  </si>
  <si>
    <t>ФАКТОРЫ РИСКА                         УРОВЕНЬ 1</t>
  </si>
  <si>
    <t>ИСТОЧНИК ДАННЫХ</t>
  </si>
  <si>
    <t>КАРТИРОВАНИЕ РИСКОВ СОГЛАСНО ФИНАНСОВОГО ОТЧЕТА</t>
  </si>
  <si>
    <t>КЛЮЧЕВОЙ ИНДИКАТОР РИСКА (KRI)</t>
  </si>
  <si>
    <t>ВЕРОЯТНОСТЬ</t>
  </si>
  <si>
    <t>Ожидаемые потери / прибыль</t>
  </si>
  <si>
    <t>ВЛИЯНИЕ (+/- млн.тенге)</t>
  </si>
  <si>
    <t>ПЕРИОД ВОЗДЕЙСТВИЯ РИСКА</t>
  </si>
  <si>
    <t>ПРИОРИТЕТ</t>
  </si>
  <si>
    <t>ВИД ДЕЙСТВИЯ</t>
  </si>
  <si>
    <t>НАИМЕНОВАНИЕ МЕРОПРИЯТИЯ ПО СНИЖЕНИЮ РИСКА</t>
  </si>
  <si>
    <t>ОТВЕТСТВЕННОЕ СП</t>
  </si>
  <si>
    <t>СРОК ИСПОЛНЕНИЯ</t>
  </si>
  <si>
    <t>ЭФФЕКТИВНОСТЬ</t>
  </si>
  <si>
    <t>ОЖИДАЕМЫЕ ПОТЕРИ/ПРИБЫЛЬ</t>
  </si>
  <si>
    <t>ЦЗ 1</t>
  </si>
  <si>
    <t>Ц</t>
  </si>
  <si>
    <t>(Q) Риск конкуренции из-за ухудшения качества предоставляемых услуг</t>
  </si>
  <si>
    <t>1год</t>
  </si>
  <si>
    <t>высокий</t>
  </si>
  <si>
    <t>ОСТАТОЧНЫЙ РИСК</t>
  </si>
  <si>
    <t>ОЦЕНКА РИСКА</t>
  </si>
  <si>
    <t>ИДЕНТИФИКАЦИЯ РИСКА</t>
  </si>
  <si>
    <t>Распределение государственных субсидий и дефицит</t>
  </si>
  <si>
    <t>Пассажирооборот</t>
  </si>
  <si>
    <t>Уровень гиперинфляции</t>
  </si>
  <si>
    <t>Нестабильные политические и экономические условия</t>
  </si>
  <si>
    <t>Баланс активов и обязательств</t>
  </si>
  <si>
    <t>Риск низкого качества и несвоевременного планового ремонта подвижного состава (локомотивный парк и железнодорожный вагон)</t>
  </si>
  <si>
    <t>HR РИСКИ</t>
  </si>
  <si>
    <t>HR РИСК</t>
  </si>
  <si>
    <t>ДОГОВОРНЫЕ КОНТРАКТНЫЕ РИСКИ</t>
  </si>
  <si>
    <t>КОНТРАКТНЫЙ РИСК</t>
  </si>
  <si>
    <t>2квартал</t>
  </si>
  <si>
    <t>Угрозы</t>
  </si>
  <si>
    <t>Cлабые стороны</t>
  </si>
  <si>
    <t>ОЖИДАЕМЫЕ ПОТЕРИ (-) / ПРИБЫЛЬ (+) (млн.тенге)</t>
  </si>
  <si>
    <t>Тариф на локомотивную тягу</t>
  </si>
  <si>
    <t>ПРИСУЩИЙ РИСК</t>
  </si>
  <si>
    <t>ВЛИЯНИЕ (+/-)</t>
  </si>
  <si>
    <t>АО "КТЖ-Грузовые перевозки"</t>
  </si>
  <si>
    <t>Возможности</t>
  </si>
  <si>
    <t>Слабые стороны</t>
  </si>
  <si>
    <t>Тариф на транзит</t>
  </si>
  <si>
    <t>СТРАТЕГИЧЕСКИЕ КАТЕГОРИИ РИСКОВ</t>
  </si>
  <si>
    <t>Элемент риска</t>
  </si>
  <si>
    <t>Доля</t>
  </si>
  <si>
    <t>Код</t>
  </si>
  <si>
    <t>Описание</t>
  </si>
  <si>
    <t>РИСК ТОЛЕРАНТНОСТЬ</t>
  </si>
  <si>
    <t xml:space="preserve"> </t>
  </si>
  <si>
    <t>Нормативная скорость доставки груза, 330 км/сут</t>
  </si>
  <si>
    <t>Неисполнение нормативной скорости грузового поезда 48,86 км/час</t>
  </si>
  <si>
    <t>Сумма недополученного дохода, млн.тенге</t>
  </si>
  <si>
    <t xml:space="preserve">Коэффициент непланового ремонта локомотивов (количество случаев внепланового ремонта локомотивов по вине филиалов/на млн. км линейного пробега) </t>
  </si>
  <si>
    <t>Риски, связанные с оперированием грузовыми вагонами</t>
  </si>
  <si>
    <t xml:space="preserve">Мероприятия по защите внутреннего рынка от демпинга со стороны сторонних жд администраций. Запрет на погрузку порожних вагонов сторонних жд администраций. Конвекционные ограничения  </t>
  </si>
  <si>
    <t>Обеспечение в условиях договоров предоставления контрагентом/поставщиком на счет АО «Қазтеміртранс» суммы обеспечения исполнения своих обязательств по договору, либо банковской гарантии/страхового полиса</t>
  </si>
  <si>
    <t xml:space="preserve">Дефолт контрагента, 
Неисполнение контрагентами договорных обязательств. Ненадлежащий контроль за исполнением контрагентами договорных обязательств.  
Оказание услуг в кредит без получения 100% предоплаты. 
Отклонение от условий типовых договоров о закупках. </t>
  </si>
  <si>
    <t>Мониторинг и анализ финансовых показателей БВУ</t>
  </si>
  <si>
    <t>Кибер-хищения денежных средств группы компаний АО «НК «КТЖ», при организации удаленной формы работы для работников, имеющих право подписи по платежам (в системе Банк-клиент)</t>
  </si>
  <si>
    <t>Физический вынос ПК с системой Банк-клиент и токенов персоналом, имеющим право подтверждения финансовых переводов, из административного здания на период удаленной формы работы; Несанкционированный доступ к информационным системам; 
Отсутствие контроля работниками исполнения ВНД по работе с системой Банк-клиент непосредственным руководителем;
Контроль систем видеокамер;
Наличие доступа к ресурсам Интернет;</t>
  </si>
  <si>
    <t>ЦЗФ</t>
  </si>
  <si>
    <t>1. корректировки, предложенные внешним аудитором 2. корректировки, предложенные Единственным  акционером</t>
  </si>
  <si>
    <t>CTR</t>
  </si>
  <si>
    <t>РИСК БЕЗОПАСНОСТИ ДВИЖЕНИЯ И ОХРАНЫ ТРУДА</t>
  </si>
  <si>
    <t>Риск принудительного исполнения контрактов</t>
  </si>
  <si>
    <t>Оперирование вагонами, фитинговых платформ</t>
  </si>
  <si>
    <t>Проведение совместно с правоохранительными органами разъяснительной работы с населением о последствиях и влиянии нарушений целостности пути на обеспечение безопасности при хищении МВСП,  об уголовной ответственности.
По каждому факту хищения направляются отношения в правоохранительные органы для возбуждения уголовного дела.
Проводятся профилактические мероприятия, перекрытие дорог ведущие к железной дороге, совместные рейды с ЛОВД по пунктам приема металлолома. В филиалах определены и организованы места хранения металлолома
Проводятся объезды с осмотром с проверкой и ревизией запирающих устройств, закрепление узлов и деталей на перегонах  по объектам  хоз-ва (ПСК, КТП,АПП,ТП).
Установлены запорные устройства в местах хранения съемных вышек. Проводятся  проверки ограждений трансформаторных подстанций, постов секционирования, автоматических пунктов питания.</t>
  </si>
  <si>
    <t>Снижение эмиссий в окружающую среду обеспечено за счет:
реализации ежегодных мероприятий, направленных на охрану атмосферного воздуха, охрану водных и земельных ресурсов. 
наличия системы управления природоохранной деятельностью;
обеспечения мониторинга за воздействием на окружающую среду.</t>
  </si>
  <si>
    <t xml:space="preserve"> Контроль обеспечения безопасности со стороны руководителя работ.Обучение поведенческому диалогу безопасности. Обучение безопасным приемам работ.Внедрение автоматизированной системы процессов  производственной безопасности (модули: Обучение, ПДБ, Минутка безопасности). Плановая проверка средств индивидуальной защиты и/или неисправного инструмента.Своевременная организация повышения квалификации работников, тиражирование постеров, буклетов по безопасным приемам работ Качественное выполнение трехступенчатого контроля .Запрет на эксплуатацию неисправных машин и механизмов. Своевременный ремонт, обслуживание, осмотр машин и механизмов. Внедрение инструментов "Поведенческий диалог безопасности", "Останов работ" направленные на выявление, предупреждение и предотвращение опасных условий и опасных действий работника, а также их причин; ; Своевременное оповещение, обеспечение спецодежды по сезону, проведение целевого инструктажа, запрет работы на высоте. Разработка единых требований по БиОТ к подрядным организациям, обучение внутренних аудиторов. Закрепление ответственных за работой подрядных организаций. Разработка единых требований по укомплектованию транспортных средств оборудованием для защиты работников (ремни безопасности, подушки, медицинские аптечки).  
Материальное поощрение работников, применивших проактивные инструменты при проведении ПДБ</t>
  </si>
  <si>
    <t>ВЛИЯНИЕ</t>
  </si>
  <si>
    <t>Взыскание с Компании суммы в пользу компании Active Bay S.L.</t>
  </si>
  <si>
    <t>Риск коррупции со стороны должностных лиц КТЖ</t>
  </si>
  <si>
    <t>1) наличие жалоб, поступающих в КТЖ,по каналам конфиденциального информирования. в том числе по "горячей линии";
2) негативная информация в СМИ, социальных сетях;
3) наличие вступившего в законну силу решения суда о привлечении к уголовной/административной ответственности;
4) результаты проверок со стороны государственных органов;
5) результаты аудита системы внутреннего контроля</t>
  </si>
  <si>
    <t>1) определение регуляторных требований и оценка комплаенс-рисков;
2) формирование антикоррупционной культуры, путем проведения обучающих мероприятий и тренингов для работников КТЖ и его дочерних организаций по вопросам антикоррупционного законодательства Республики Казахстан, этики и поведения;
3) обеспечение надлежащего функционирования каналов конфиденциального информирования, включая «горячую линию»; 
4) объективное и справедливое рассмотрение структурными подразделениями сообщений, поступающих по каналам конфиденциального информирования, включая «горячую линию»; 
5) проведение служебных расследований, а также разработка и обеспечение принятия корректирующих мер;
6) внедрение автоматизации операций/бизнес-процессов, подверженных коррупционных рискам
7) исполнение Плана по минимизации коррупционных рисков</t>
  </si>
  <si>
    <t>Должностные лица КТЖ</t>
  </si>
  <si>
    <t>ЦЗК</t>
  </si>
  <si>
    <t>ЦЗ 1, ЦЗК</t>
  </si>
  <si>
    <t>ЦЖС</t>
  </si>
  <si>
    <t>ЦЗО</t>
  </si>
  <si>
    <t>ЦЗЛ</t>
  </si>
  <si>
    <t>CTR-1</t>
  </si>
  <si>
    <t>CTR-2</t>
  </si>
  <si>
    <t>CTR-3</t>
  </si>
  <si>
    <t>CTR-4</t>
  </si>
  <si>
    <t>CTR-5</t>
  </si>
  <si>
    <t>ER-1</t>
  </si>
  <si>
    <t>ER-2</t>
  </si>
  <si>
    <t>ER-3</t>
  </si>
  <si>
    <t>FX-1</t>
  </si>
  <si>
    <t>OR-1</t>
  </si>
  <si>
    <t>OR-2</t>
  </si>
  <si>
    <t>OR-3</t>
  </si>
  <si>
    <t>LR-1</t>
  </si>
  <si>
    <t>CR-1</t>
  </si>
  <si>
    <t>CR-2</t>
  </si>
  <si>
    <t>ICR-1</t>
  </si>
  <si>
    <t>ICR-2</t>
  </si>
  <si>
    <t>ICR-3</t>
  </si>
  <si>
    <t>ICR-4</t>
  </si>
  <si>
    <t>ICR-5</t>
  </si>
  <si>
    <t>OR-4</t>
  </si>
  <si>
    <t>OR-5</t>
  </si>
  <si>
    <t>OR-6</t>
  </si>
  <si>
    <t>HR-1</t>
  </si>
  <si>
    <t>HR-2</t>
  </si>
  <si>
    <t>HR-3</t>
  </si>
  <si>
    <t>CRR-1</t>
  </si>
  <si>
    <t>RP-1</t>
  </si>
  <si>
    <t>RP-2</t>
  </si>
  <si>
    <t>TR-1</t>
  </si>
  <si>
    <t>TR-2</t>
  </si>
  <si>
    <t>TR-3</t>
  </si>
  <si>
    <t>Поступление пассажирских вагонов в парк вагонов</t>
  </si>
  <si>
    <t>(A) Интермодальная конкуренция со стороны альтернативных видов транспорта (воздушный,автомобильный, водный транспорт)</t>
  </si>
  <si>
    <t>ПАНЕЛЬ ВЫБОРА РИСКОВ</t>
  </si>
  <si>
    <t>mln. tenge</t>
  </si>
  <si>
    <t>THREATS</t>
  </si>
  <si>
    <t>OPPORTUNITIES</t>
  </si>
  <si>
    <t>ВНЕШНИЕ</t>
  </si>
  <si>
    <t>WEAK</t>
  </si>
  <si>
    <t>STRONG</t>
  </si>
  <si>
    <t>ВНУТРЕННИЕ</t>
  </si>
  <si>
    <t>KPI 2020</t>
  </si>
  <si>
    <t>КЛЮЧЕВЫЕ РИСКИ</t>
  </si>
  <si>
    <t>КОЛИЧЕСТВО РИСКОВ НА КАРТЕ</t>
  </si>
  <si>
    <t>СУММА ВЛИЯНИЯ РИСКОВ НА КАРТЕ (в млн. тенге)</t>
  </si>
  <si>
    <t>RTR-1</t>
  </si>
  <si>
    <t>RTR-2</t>
  </si>
  <si>
    <t>RTR-3</t>
  </si>
  <si>
    <t>CCR-1</t>
  </si>
  <si>
    <t>CCR-2</t>
  </si>
  <si>
    <t>CCR-3</t>
  </si>
  <si>
    <t>CCR-4</t>
  </si>
  <si>
    <t>CCR-5</t>
  </si>
  <si>
    <t>CCR-6</t>
  </si>
  <si>
    <t>CCR-8</t>
  </si>
  <si>
    <t>CCR-9</t>
  </si>
  <si>
    <t>CCR-10</t>
  </si>
  <si>
    <t>Ннеисполнение договора поставки электровозов и комплектующих поставщиком ТОО "ЭКЗ", субпоставщиками "ALSTOM", ЗАО "ТМХ"</t>
  </si>
  <si>
    <t>ВЕРОЯТНОСТЬ (%)</t>
  </si>
  <si>
    <t>АО "Қазтеміртранс"</t>
  </si>
  <si>
    <t>АО "Пассажирские перевозки"</t>
  </si>
  <si>
    <t>Структурные подразделения, дочерние организации</t>
  </si>
  <si>
    <t xml:space="preserve"> Некачественное управление лицензионным програмным обеспечением в Компании  </t>
  </si>
  <si>
    <t>высокая</t>
  </si>
  <si>
    <t>Зависимость от Вендора</t>
  </si>
  <si>
    <t>Не своевременное обеспечение комплектующими</t>
  </si>
  <si>
    <t>EBITDA - 14 000 млн.тенге                чистая прибыль -2 000 млн. тенге</t>
  </si>
  <si>
    <t>ЦЗ 1, ЦЗЛ</t>
  </si>
  <si>
    <t>АО "KTZ Expess"</t>
  </si>
  <si>
    <t>АО "KTZ Express"</t>
  </si>
  <si>
    <t>Департамент казначейства, структурные подразделения, Дочерние организации</t>
  </si>
  <si>
    <t>Филиалы, Дочерние организации</t>
  </si>
  <si>
    <t xml:space="preserve">Департамент заимствований и по работе с инвесторами </t>
  </si>
  <si>
    <t>Дирекция автоматизации и цифровизации</t>
  </si>
  <si>
    <t>Не освоение проектов  по автоматизации</t>
  </si>
  <si>
    <t>Департамент координации и мониторинга закупок , структурные подразделения, дочерние организации</t>
  </si>
  <si>
    <t>АО "КТЖ-Грузовые перевозки" АО "Пассажирские перевозки"</t>
  </si>
  <si>
    <t>АО "КТЖ-Грузовые перевозки",АО "ВЖДО"</t>
  </si>
  <si>
    <t>Департамент безопасности движения ,структурные подразделения, дочерние организации</t>
  </si>
  <si>
    <t xml:space="preserve"> Департамент управления человеческими ресурсами   </t>
  </si>
  <si>
    <t>Департамент производственной безопасности и экологии, Структурные подразделения, дочерние организации</t>
  </si>
  <si>
    <t xml:space="preserve"> Департамент по работе со СМИ</t>
  </si>
  <si>
    <t>КОНТРОЛИРУЮЩЕЕ СП</t>
  </si>
  <si>
    <t>- ХХХ млн. тенге</t>
  </si>
  <si>
    <t>Чистая валютная позиция</t>
  </si>
  <si>
    <t>K1 - 4,96  K2 - 3,09    K3 1,46</t>
  </si>
  <si>
    <t>Риски персонала связанные с низкой квалификацией, высокой текучестью кадров и низкой мотивацией работников влияющих на снижения эфффективности деятельности и перерывами в производстве</t>
  </si>
  <si>
    <t xml:space="preserve">Риски снижения пассажирского оборота или повышения затрат выше утвержденных негативно влияющие на показатели компании </t>
  </si>
  <si>
    <t>Риски связанные с ухудшением показателей инвестицонных проектов</t>
  </si>
  <si>
    <t>Интермодальный риск от частного сектора (основные 2 конкурента ТТТ Сервис, Дар Рэйл, возможно до 8 частных перевозчиков)</t>
  </si>
  <si>
    <t>SEVERE</t>
  </si>
  <si>
    <t>MAJOR</t>
  </si>
  <si>
    <t>MODERATE</t>
  </si>
  <si>
    <t>MINOR</t>
  </si>
  <si>
    <t>NEGLIGEBLE</t>
  </si>
  <si>
    <t>IMPOSSIBLE</t>
  </si>
  <si>
    <t>UNLIKELY</t>
  </si>
  <si>
    <t>LIKELY</t>
  </si>
  <si>
    <t>ALMOST CERTAIN</t>
  </si>
  <si>
    <t xml:space="preserve">  HIGH RISK</t>
  </si>
  <si>
    <t xml:space="preserve">      MODERATE RISK</t>
  </si>
  <si>
    <t xml:space="preserve"> LOW RISK</t>
  </si>
  <si>
    <t xml:space="preserve">       NEGLIGEBLE RISK</t>
  </si>
  <si>
    <t>PROBABILITY</t>
  </si>
  <si>
    <t>IMPACT</t>
  </si>
  <si>
    <t>POSSIBLE</t>
  </si>
  <si>
    <t>0,2 - 0,5 BILLION TENGE</t>
  </si>
  <si>
    <t>LESS 0,2 BILLION TENGE</t>
  </si>
  <si>
    <t>0,5 - 1,0 BILLION TENGE</t>
  </si>
  <si>
    <t>1,0 - 3,0 BILLION TENGE</t>
  </si>
  <si>
    <t>MORE 3,0 BILLION TENGE</t>
  </si>
  <si>
    <t>Тариф по вагонной составляющей (оперирование вагонами)</t>
  </si>
  <si>
    <t>КОД</t>
  </si>
  <si>
    <t>ОПИСАНИЕ КАТЕГОРИИ РИСКА</t>
  </si>
  <si>
    <t xml:space="preserve"> РИСКИ ГРУЗООБОРОТА </t>
  </si>
  <si>
    <t xml:space="preserve">РИСКИ ПАССАЖИРСКОГО ОБОРОТА </t>
  </si>
  <si>
    <t xml:space="preserve">ТАРИФНЫЙ РИСК </t>
  </si>
  <si>
    <t>ЦЗЮ</t>
  </si>
  <si>
    <t>ВЕРОЯТНОСТЬ %</t>
  </si>
  <si>
    <t xml:space="preserve">Тариф на локомотивную тягу
</t>
  </si>
  <si>
    <t>данные деп. Технической политики и деп. фин.блока, данные из годовых отчетов 2017-2019 гг</t>
  </si>
  <si>
    <t>Процент неосвоения инвестиционных проектов к плану , %</t>
  </si>
  <si>
    <t>CR-3</t>
  </si>
  <si>
    <t>ИТ &amp; КИБЕР РИСК</t>
  </si>
  <si>
    <t>Объем транзитного грузооборота</t>
  </si>
  <si>
    <t>Объем грузооборота от экспорта</t>
  </si>
  <si>
    <t>PIR-1</t>
  </si>
  <si>
    <t>Риск обесценения инвестиций</t>
  </si>
  <si>
    <t>Риск принудительного исполнения Offtake-контрактов, связанных с Unit 45 B.V.
19.09.2016г. между Unit 45 B.V. и XINJIANG KTZ INTERNETIONAL заключен договор о передаче контейнеров в аренду, в количестве 230 единиц, срок аренды 9 лет и 4 месяца, стоимость аренды до 1 марта 2019 года составляет 20 долларов США в сутки за единицу, в последующем стоимость составит 27 долларов США в сутки за единицу.</t>
  </si>
  <si>
    <t>Реализация гарантий АО "НК "КТЖ",  предоставленным в обеспечение по банковским займам ТОО "Актюбинский рельсобалочный завод" и АО "Международный аэропорт Н.Назарбаев", АО "Транстелеком"</t>
  </si>
  <si>
    <t>OR-7</t>
  </si>
  <si>
    <t>АО "КТЖ-Грузовые перевозки"
АО "Қазтеміртранс"</t>
  </si>
  <si>
    <t>EXPECTED LOSS</t>
  </si>
  <si>
    <t>СТРАНОВОЙ РИСК</t>
  </si>
  <si>
    <t>STR</t>
  </si>
  <si>
    <t>Риски негативного влияния на грузооборот и пассажирооборот</t>
  </si>
  <si>
    <t>ЭПИДЕМИОЛОГИЧЕСКИЙ РИСК (Super Risk)</t>
  </si>
  <si>
    <r>
      <t xml:space="preserve">СТРАНОВОЙ РИСК
</t>
    </r>
    <r>
      <rPr>
        <sz val="24"/>
        <rFont val="Times New Roman"/>
        <family val="1"/>
        <charset val="204"/>
      </rPr>
      <t xml:space="preserve"> (Super Risk)</t>
    </r>
  </si>
  <si>
    <t>Рассмотреть возможность альтернативных маршрутов</t>
  </si>
  <si>
    <t>STR-1</t>
  </si>
  <si>
    <t>Неисполнение договора поставки электровозов и комплектующих поставщиком ТОО "ЭКЗ", субпоставщиками "ALSTOM", ЗАО "ТМХ"</t>
  </si>
  <si>
    <t>Объем грузооборота от импорта</t>
  </si>
  <si>
    <t>Проект Достык-Илецк</t>
  </si>
  <si>
    <t>Строительство паромного комплекса в порту Курык</t>
  </si>
  <si>
    <t>Капитальные затраты на поддержание</t>
  </si>
  <si>
    <t>PIR-2</t>
  </si>
  <si>
    <t>PIR-3</t>
  </si>
  <si>
    <r>
      <t xml:space="preserve">SEVERE
</t>
    </r>
    <r>
      <rPr>
        <b/>
        <sz val="14"/>
        <rFont val="Copperplate Gothic Light"/>
        <family val="2"/>
      </rPr>
      <t>more 3,0 bln tenge</t>
    </r>
  </si>
  <si>
    <r>
      <t xml:space="preserve">MAJOR
</t>
    </r>
    <r>
      <rPr>
        <b/>
        <sz val="14"/>
        <color rgb="FF000000"/>
        <rFont val="Copperplate Gothic Light"/>
        <family val="2"/>
      </rPr>
      <t>1,0 - 3,0 bln tenge</t>
    </r>
  </si>
  <si>
    <r>
      <t xml:space="preserve">MODERATE
</t>
    </r>
    <r>
      <rPr>
        <b/>
        <sz val="14"/>
        <color rgb="FF000000"/>
        <rFont val="Copperplate Gothic Light"/>
        <family val="2"/>
      </rPr>
      <t>0,5 - 1,0 bln tenge</t>
    </r>
  </si>
  <si>
    <r>
      <t xml:space="preserve">MINOR
</t>
    </r>
    <r>
      <rPr>
        <b/>
        <sz val="14"/>
        <color rgb="FF000000"/>
        <rFont val="Copperplate Gothic Light"/>
        <family val="2"/>
      </rPr>
      <t>0,2 - 0,5 bln tenge</t>
    </r>
  </si>
  <si>
    <r>
      <t xml:space="preserve">NEGLIGEBLE
</t>
    </r>
    <r>
      <rPr>
        <b/>
        <sz val="14"/>
        <color rgb="FF000000"/>
        <rFont val="Copperplate Gothic Light"/>
        <family val="2"/>
      </rPr>
      <t>LESS 0,2 bln tenge</t>
    </r>
  </si>
  <si>
    <r>
      <rPr>
        <b/>
        <sz val="16"/>
        <color theme="1"/>
        <rFont val="Copperplate Gothic Light"/>
        <family val="2"/>
      </rPr>
      <t>IMPOSSIBLE</t>
    </r>
    <r>
      <rPr>
        <sz val="16"/>
        <color theme="1"/>
        <rFont val="Copperplate Gothic Light"/>
        <family val="2"/>
      </rPr>
      <t xml:space="preserve">
</t>
    </r>
    <r>
      <rPr>
        <sz val="14"/>
        <color theme="1"/>
        <rFont val="Copperplate Gothic Light"/>
        <family val="2"/>
      </rPr>
      <t>0%</t>
    </r>
  </si>
  <si>
    <r>
      <rPr>
        <b/>
        <sz val="16"/>
        <color rgb="FF000000"/>
        <rFont val="Copperplate Gothic Light"/>
        <family val="2"/>
      </rPr>
      <t>UNLIKELY</t>
    </r>
    <r>
      <rPr>
        <sz val="20"/>
        <color indexed="8"/>
        <rFont val="Copperplate Gothic Light"/>
        <family val="2"/>
      </rPr>
      <t xml:space="preserve">
</t>
    </r>
    <r>
      <rPr>
        <sz val="14"/>
        <color rgb="FF000000"/>
        <rFont val="Copperplate Gothic Light"/>
        <family val="2"/>
      </rPr>
      <t>25%</t>
    </r>
  </si>
  <si>
    <r>
      <rPr>
        <b/>
        <sz val="16"/>
        <color theme="1"/>
        <rFont val="Copperplate Gothic Light"/>
        <family val="2"/>
      </rPr>
      <t>POSSIBLE</t>
    </r>
    <r>
      <rPr>
        <sz val="20"/>
        <color theme="1"/>
        <rFont val="Copperplate Gothic Light"/>
        <family val="2"/>
      </rPr>
      <t xml:space="preserve">
</t>
    </r>
    <r>
      <rPr>
        <sz val="14"/>
        <color theme="1"/>
        <rFont val="Copperplate Gothic Light"/>
        <family val="2"/>
      </rPr>
      <t>50%</t>
    </r>
  </si>
  <si>
    <r>
      <rPr>
        <b/>
        <sz val="16"/>
        <color theme="1"/>
        <rFont val="Copperplate Gothic Light"/>
        <family val="2"/>
      </rPr>
      <t>LIKELY</t>
    </r>
    <r>
      <rPr>
        <sz val="20"/>
        <color theme="1"/>
        <rFont val="Copperplate Gothic Light"/>
        <family val="2"/>
      </rPr>
      <t xml:space="preserve">
</t>
    </r>
    <r>
      <rPr>
        <sz val="14"/>
        <color theme="1"/>
        <rFont val="Copperplate Gothic Light"/>
        <family val="2"/>
      </rPr>
      <t>75%</t>
    </r>
  </si>
  <si>
    <r>
      <rPr>
        <b/>
        <sz val="16"/>
        <rFont val="Copperplate Gothic Light"/>
        <family val="2"/>
      </rPr>
      <t>ALMOST CERTAIN</t>
    </r>
    <r>
      <rPr>
        <sz val="20"/>
        <rFont val="Copperplate Gothic Light"/>
        <family val="2"/>
      </rPr>
      <t xml:space="preserve">
</t>
    </r>
    <r>
      <rPr>
        <sz val="14"/>
        <rFont val="Copperplate Gothic Light"/>
        <family val="2"/>
      </rPr>
      <t>100%</t>
    </r>
  </si>
  <si>
    <t>Тариф магистральной железнодорожной сети</t>
  </si>
  <si>
    <t>Код риска</t>
  </si>
  <si>
    <t>Наименование  риска</t>
  </si>
  <si>
    <t>Прогнозируемая реализация и миграция риска</t>
  </si>
  <si>
    <t>Миграция риска</t>
  </si>
  <si>
    <t>Сбой информационных систем и оборудования</t>
  </si>
  <si>
    <t>ЭПИДЕМИОЛОГИЧЕСКИЙ РИСК 
(Super Risk)</t>
  </si>
  <si>
    <t xml:space="preserve">Исполнение мероприятий по снижению риска неисполнения инвестиционных проектов; Своевременное повышение тарифов на предоставляемые услуги до уровня, обеспечивающего покрытие текущих затрат и необходимого объема капитальных вложений; Капитальный ремонт локомотивного парка в соответствии с Планом капитальных вложений; Обновление локомотивного парка в соответствии с Планом капитальных вложений.                                                                                                                                                                             Утверждение и исполнение Мероприятий по улучшению технического состояния и сокращению внепланового ремонта локомотивов; Повышение уровня знаний устройства локомотивов и навыков локомотивных бригад по выходу из нестандартных ситуаций и надлежащей эксплуатации и обслуживанию локомотивов; Организация совещаний и семинаров совместно с Подрядными организациями направленные на улучшение технического состояния и повышения надежной работы локомотивов; Предъявление штрафов Подрядным организациям в связи с несодержанием установленног процента готовых локомотив; Требование к Подрядным организациям повышения квалификации ремонтного персонала, выполнения работ в соответствии технолгическому процессу ремонта локомотивов и локомотивного оборудования, обеспечения бесперебойной работы технолгической оснастки и диагностических комплексов, содержания потребно переходного запаса локомотивного оборудования и запасных частей; Постоянный контроль за текущей ситуацией ремонта локомотивов.                                                                                                         Просить АО "НК "КТЖ" об исключении или смягчений корпоративных процедур (Инвестком КТЖ, Совет директоров ГП, Праление ГП и КТЖ) одобрения заключения дополнительных соглашений к договорам сервисного обслуживания локомотивов в виду их длительного принятия решений, что в свою очередь влияет на несвоевременный закуп Подрядными организациями необходимых для ремонта локомотивов запасных частей. </t>
  </si>
  <si>
    <t>Сумма ущербов по несохранности грузов по факту оплаты, на основе предъявленных претензий, в млн.тенге</t>
  </si>
  <si>
    <t>Ненадлежащее исполнение условия договора. Исполнение должностных обязанностей не на должном уровне. Некачественная организация грузовой и коммерческой работы (пропуск коммерческого брака  пунктами коммерческого осмотра (ПКО), некачественное оформление актовых материалов, недостоверный просчет количества мест при перегрузе и др.).</t>
  </si>
  <si>
    <t xml:space="preserve">Разработка Планов мероприятий по повышению уровня обеспечения сохранности грузов;
Проведение Месячников по обеспечению сохранности перевозимых грузов совместно с группой Компанией  и  работниками правоохранительных органов; для обеспечения сохранности груза на должном уровне  внедрять новые технологии охраны номенклатурных грузов;                                                                                                                                            
усилить пропускной режим  в парках станции, рабочих зонах, перегрузочных терминалах пограничных станции Достык, Алтынколь,  участков Достык-Саяк, Достык-Матай, на криминогенных участках проводить работу по установке ограждений,  тем самым создавать препятствия для подъезда автотранспорта   для совершения краж из вагонов,                                                                                        Своевременное и качественное расследование допущенных случаев утраты, порчи, повреждении грузов  вследствие  нарушений безопасности движения в поездной и маневровой работ.                                                                                                                                    Разработка корректирующих мероприятий, направленных   на своевременное выявление неисправности и качественное обслуживание подвижного состава,                                                                                                                                                                                             на поддержание содержания пути в соответствии с требованиям нормативно-правовых актов РК.                                                                                                                                                                                                                                                                                                                                            оснастить  промышленными видеорегистраторами кабины локомотитвов, обслуживающих уастки Достык-Саяк, Достык-Матай, Алтынколь-Алматы.                                                                                                                                                                                                                                                                                                                                                                                                                                                                                                                                                                                                                                                                                                                                                                                                                                                                                                                                                                                                                                                                                                                                             </t>
  </si>
  <si>
    <t>Несвоевременная сборка электровозов.
Несвоевременный заказ комплектующих.
Несвоевременная изготовление/доставка комплектующих.
Закрытие границ.</t>
  </si>
  <si>
    <t>низкая</t>
  </si>
  <si>
    <t>средняя</t>
  </si>
  <si>
    <t>Изменения подхода реализации проекта KTZ.03.03.P «Реинжиниринг и автоматизация основных процессов управления предприятием»</t>
  </si>
  <si>
    <t>Заявление об изменении утвержденной тарифной сметы без повышения тарифа до 1 ноября текущего календарного года</t>
  </si>
  <si>
    <t>1. проведение (внеплановых) проверок по соблюдению технологии ремонта подвижного состава на вагоноремонтных  предприятиях;       
2.исполнение Дорожной карты по решению проблемных вопросов долгосрочных договоров на плановые виды ремонта пассажирских вагонов с ТОО «Табыс» и его филиалами  
3. своевременное заключение договоров на выполнение планового ремонта пассажирских поездов; 
4. проведение круглого стола (рабочих встреч) с представителями вагоноремонтных предприятий, по обсуждению проблемных вопросов.          
Утверждение и исполнение Мероприятий по улучшению технического состояния и сокращению внепланового ремонта локомотивов; Утверждение и исполнение Мероприятий, направленных на улучшение технического состояния и сервисного обслуживания электровозов; Утверждение и исполнение Мероприятий по неисправностям на электровозах, повлекшие за собой задержки поездов; Повышение уровня знаний устройства локомотивов и навыков локомотивных бригад по выходу из нестандартных ситуаций и надлежащей эксплуатации и обслуживанию локомотивов.</t>
  </si>
  <si>
    <t xml:space="preserve">Ненадлежащее исполнение подрядчиком договорных обязательств.
Повышение стоимости электровозов и комплектующих.
Убыточная деятельность подрядчика, субподрядчиков.
Изменение курса евро по отношению к национальной валюте - тенге. (Девальвация тенге).
Дефицит инвестиционных возможностей.
Влияние пандемии
</t>
  </si>
  <si>
    <t>ПРИСУЩИЙ РИСК (млн тенге)</t>
  </si>
  <si>
    <t>ОСТАТОЧНЫЙ РИСК (млн тенге)</t>
  </si>
  <si>
    <t>ЭФФЕКТИВНОСТЬ МЕРОПРИЯТИЙ (млн тенге)</t>
  </si>
  <si>
    <t>МАКРО РИСК (SUPER RISK)</t>
  </si>
  <si>
    <t>TR</t>
  </si>
  <si>
    <t>PTR</t>
  </si>
  <si>
    <t>RTR</t>
  </si>
  <si>
    <t>PTR-1</t>
  </si>
  <si>
    <t>PTR-2</t>
  </si>
  <si>
    <t>HTR-1</t>
  </si>
  <si>
    <t>HTR-2</t>
  </si>
  <si>
    <t>HTR-3</t>
  </si>
  <si>
    <t>HTR</t>
  </si>
  <si>
    <t>ЦЕЛЕПОЛАГАНИЕ</t>
  </si>
  <si>
    <t>ВОЗДЕЙСТВИЕ РИСКА</t>
  </si>
  <si>
    <t xml:space="preserve">EBITDA ПЛАН            294 250 млн. тенге   ЧИСТАЯ ПРИБЫЛЬ ПЛАН:             - 84 000 млн. тенге                                     </t>
  </si>
  <si>
    <t>Ожидаемые потери</t>
  </si>
  <si>
    <t>КАРТА ПРИСУЩИХ РИСКОВ</t>
  </si>
  <si>
    <t>ФАКТ</t>
  </si>
  <si>
    <t>ОЦЕНКА</t>
  </si>
  <si>
    <t xml:space="preserve"> @Risk</t>
  </si>
  <si>
    <t>ПЛАН / ЦЕЛЬ</t>
  </si>
  <si>
    <t>Комментарии и обоснования по оценке вероятности и ущерба</t>
  </si>
  <si>
    <t>5017 сумма резерва</t>
  </si>
  <si>
    <t>Среднее значение за 2019-2020</t>
  </si>
  <si>
    <t>СТРАНОВОЙ РИСК
 (Super Risk)</t>
  </si>
  <si>
    <t>ПОРОГ/ТОЛЕРАНТНОСТЬ</t>
  </si>
  <si>
    <t>Департамент бухгалтерского учета</t>
  </si>
  <si>
    <t>КАТЕГОРИЯ</t>
  </si>
  <si>
    <t>IR-1</t>
  </si>
  <si>
    <t>Объем внутриреспубликанского грузооборота</t>
  </si>
  <si>
    <t>Неопределенность, присущая казахстанской системе налогообложения</t>
  </si>
  <si>
    <t>Уплата штрафных санкций и увеличение расходов при расторжении контракта с DP World</t>
  </si>
  <si>
    <t>Неисполнение обязательств ТОО "ВСЗ "Тулпар"</t>
  </si>
  <si>
    <t>Неисполнение договорных (контрактных) обязательств ЗИКСТО перед Компанией</t>
  </si>
  <si>
    <t>Некачественное управление лицензионным програмным обеспечением в Компании</t>
  </si>
  <si>
    <t>Невозврат дебиторской задолженности (Образование проблемной дебиторской задолженности)</t>
  </si>
  <si>
    <t>Неисполнение обязательств по возврату банковских займов.</t>
  </si>
  <si>
    <t>Порт Курык</t>
  </si>
  <si>
    <t xml:space="preserve">Обесценение активов
</t>
  </si>
  <si>
    <r>
      <t xml:space="preserve">МАКРО РИСК
</t>
    </r>
    <r>
      <rPr>
        <sz val="24"/>
        <rFont val="Times New Roman"/>
        <family val="1"/>
        <charset val="204"/>
      </rPr>
      <t>(Super Risk)</t>
    </r>
  </si>
  <si>
    <t>INHERENT</t>
  </si>
  <si>
    <t>Обесценение активов и снижение стоимоcти компании вследствие воздействия внешних и внутренних факторов</t>
  </si>
  <si>
    <t>IT &amp; CYBER RISK</t>
  </si>
  <si>
    <t>COUNTRY RISK</t>
  </si>
  <si>
    <t>OPERATIONAL RISK</t>
  </si>
  <si>
    <t>LIQUIDITY RISK</t>
  </si>
  <si>
    <t>COMPLIANCE RISK</t>
  </si>
  <si>
    <t>МАКРО РИСК
(Super Risk)</t>
  </si>
  <si>
    <t>ОЖИДАЕМЫЕ ПОТЕРИ</t>
  </si>
  <si>
    <t>РИСК ФАКТОРЫ</t>
  </si>
  <si>
    <t>Снижение пассажиропотока</t>
  </si>
  <si>
    <t>РИСК - АППЕТИТ</t>
  </si>
  <si>
    <t>mln.tenge</t>
  </si>
  <si>
    <t>ЭФФЕКТ МЕРОПРИЯТИЙ</t>
  </si>
  <si>
    <t>РИСК СЛИЯНИЯ, ПОГЛОЩЕНИЯ, ДЕВИСТИЦИЙ</t>
  </si>
  <si>
    <t>MAR</t>
  </si>
  <si>
    <t>Приватизация ТОО "Актюбинский рельсобалочный завод" (30%)</t>
  </si>
  <si>
    <t>Приватизация ТОО "Continental Logistics" (30%)</t>
  </si>
  <si>
    <t>АО "Востокмашзавод" (95,08%)</t>
  </si>
  <si>
    <t>ТОО "Казахстанвская вагоностроительная компания" (78,47%)</t>
  </si>
  <si>
    <t>Приватизация ТОО "ВСЗ "Тулпар"</t>
  </si>
  <si>
    <t>ЦИО</t>
  </si>
  <si>
    <t>Неполное начисление налоговых обязательств, несвоевременная оплата  налогов и других обязательных платежей</t>
  </si>
  <si>
    <t xml:space="preserve"> Департамент заимствований и по работе с инвесторами </t>
  </si>
  <si>
    <t>Девальвация тенге
Выплата денежных средств в результате реализации обязательств по выпущенным гарантиям Увеличение стоимости крупных инвестиционных проектов</t>
  </si>
  <si>
    <t>Департамент казначейства,
Дочерние организации</t>
  </si>
  <si>
    <t>ЦУДС</t>
  </si>
  <si>
    <t>Макро риск</t>
  </si>
  <si>
    <t>Прочие</t>
  </si>
  <si>
    <t>Гиперинфляция</t>
  </si>
  <si>
    <t>Динамика прироста заболевших COVID-19 в Казахстане</t>
  </si>
  <si>
    <t>Динамика прироста заболевших COVID-19 в Казахстане и мире</t>
  </si>
  <si>
    <t>Ухудшение политической ситуации в соседних странах</t>
  </si>
  <si>
    <t>Эпидемиологический риск (ER)</t>
  </si>
  <si>
    <t>В случае отсутствия или не полного сравнительного анализа предлагаемых  условий БВУ. В случае нарушения ДЗО процедур предварительного согласования с Компанией, членами Уполномоченных органов решений о размещении ВСДС;
Дефолт контрагентов либо дефолт банка-контрагента. 
Изменение конъюнктуры финансовых рынков.</t>
  </si>
  <si>
    <t>Дефолт контрагента, 
Неисполнение контрагентами договорных обязательств. Ненадлежащий контроль за исполнением контрагентами договорных обязательств.  
Оказание услуг в кредит без получения 100% предоплаты. 
Отклонение от условий типовых договоров о закупках.</t>
  </si>
  <si>
    <t>Снижение спроса со стороны грузоотправителей (Kz)</t>
  </si>
  <si>
    <t>Снижение спроса со стороны грузоотправителей экспорта</t>
  </si>
  <si>
    <t>Снижение спроса со стороны грузоотправителей импорта</t>
  </si>
  <si>
    <t>(A) Интермодальная конкуренция со стороны альтернативных видов транспорта (воздушный,автомобильный, водный транспорт) (imp)</t>
  </si>
  <si>
    <t>(P) Нормативная скорость доставки груза, 220 км/сут (imp)</t>
  </si>
  <si>
    <t>Нормативная скорость доставки груза, 220 км/сут (tran)</t>
  </si>
  <si>
    <t>(A) Интермодальная конкуренция со стороны альтернативных видов транспорта (воздушный,автомобильный, водный транспорт) (tran)</t>
  </si>
  <si>
    <t>Нормативная скорость доставки груза, 220 км/сут (exp)</t>
  </si>
  <si>
    <t xml:space="preserve">Нарекания со стороны уполном.органа. 
Признание заключенных договоров недействительными. 
Административные взыскания на должн.лица. 
Нарушение сроков осуществления закупок товаров, работ и услуг Общества. Сужение круга потенц. поставщиков (ограниченный выбор поставщиков). Поставка некачественных товаро-материальных ценностей. </t>
  </si>
  <si>
    <t>Для пай арта</t>
  </si>
  <si>
    <t>Общая сумма задолженности составляет 8811,99. Начислен резерв 100%</t>
  </si>
  <si>
    <t>Остаток</t>
  </si>
  <si>
    <t>PIR-6</t>
  </si>
  <si>
    <t xml:space="preserve">Неисполнение параметров инвест проекта по приобретению 1000 ед. полувагонов </t>
  </si>
  <si>
    <t>Неисполнение параметров инвест проекта по приобретению 2000 ед. фитинговых-платформ</t>
  </si>
  <si>
    <t>Остаточный риск</t>
  </si>
  <si>
    <t>ЦЗД</t>
  </si>
  <si>
    <t>Владелец риска</t>
  </si>
  <si>
    <t>Наименование риска</t>
  </si>
  <si>
    <t>Вероятность, %</t>
  </si>
  <si>
    <t>Ущерб, млн. тенге</t>
  </si>
  <si>
    <t>Ожидаемые потери, млн. тенге</t>
  </si>
  <si>
    <t>ТАРИФНЫЙ РИСК/ 
ЦЕНОВОЙ РИСК</t>
  </si>
  <si>
    <t>Регулируемый тариф магистральной железнодорожной сети</t>
  </si>
  <si>
    <t>Регулируемый тариф на локомотивную тягу</t>
  </si>
  <si>
    <t>Ценовой тарифный риск по вагонной составляющей (оперирование вагонами)</t>
  </si>
  <si>
    <t>Тариф оперирования (КЗХ)</t>
  </si>
  <si>
    <t>Тариф оперирования (Экспорт)</t>
  </si>
  <si>
    <t>Тариф оперирования (Импорт)</t>
  </si>
  <si>
    <t>Тариф оперирования (транзит)</t>
  </si>
  <si>
    <t>Тариф оперирования (чужие ЖДА)</t>
  </si>
  <si>
    <t>Ценовой тарифный риск по вагонной составляющей (аренда вагонов)</t>
  </si>
  <si>
    <t>1. Общее снижение цен ны рынке ЖД перевозок. 
2. Повышение тарифов МЖС, ЛТ, ГК со стороны перевозчика.</t>
  </si>
  <si>
    <t>1. Повышение на ЖД тарифа в порожнем состоянии по сопредельным территориям 
2. Неконкурентный тариф по отношению к прочим собственникам. 
3. Возможность ошибки при ручном расчете</t>
  </si>
  <si>
    <t>1. Мониторинг изменения провозных платежей в программе рейл тариф 
2. Гибкая тарифная политика. Рассмотрение на Тарифном комитете тарифных условий крупным клиентам (под объемы, логистика). 
3. Полная автоматизация расчетов.</t>
  </si>
  <si>
    <t>1) Мониторинг изменения провозных платежей в программе рейл тариф
2) Гибкая тарифная политика. Рассмотрение на Тарифном комитете тарифных условий крупным клиентам (под объемы, логистика)
3) Полная автоматизация расчетов</t>
  </si>
  <si>
    <t>Износ верхнего строения пути</t>
  </si>
  <si>
    <t>Износ искусственных сооружений</t>
  </si>
  <si>
    <t>IR-2</t>
  </si>
  <si>
    <t>IR-3</t>
  </si>
  <si>
    <t>IR-4</t>
  </si>
  <si>
    <t>IR-5</t>
  </si>
  <si>
    <t>IR-6</t>
  </si>
  <si>
    <t>угроза</t>
  </si>
  <si>
    <r>
      <rPr>
        <b/>
        <sz val="13"/>
        <color rgb="FF000000"/>
        <rFont val="Times New Roman"/>
        <family val="1"/>
        <charset val="204"/>
      </rPr>
      <t xml:space="preserve">Факторы: </t>
    </r>
    <r>
      <rPr>
        <sz val="13"/>
        <color rgb="FF000000"/>
        <rFont val="Times New Roman"/>
        <family val="1"/>
        <charset val="204"/>
      </rPr>
      <t xml:space="preserve">Потери способности компании погашать свои обязательства;
Отсутствие субсидии;
Удорожание стоимости комплектующих деталей;
Снижение производственной загруженности; </t>
    </r>
  </si>
  <si>
    <t>Угроза жизни и здоровья сотрудников Компании</t>
  </si>
  <si>
    <t>Достижение условий нулевого травматизма</t>
  </si>
  <si>
    <t>0,24 (2019)</t>
  </si>
  <si>
    <t>400 млн.тг.</t>
  </si>
  <si>
    <t>Дирекция магистральной сети</t>
  </si>
  <si>
    <t xml:space="preserve">Неудовлетворительная организация производства работ.
Эксплуатация неисправных машин, механизмов и оборудования.
Несоблюдение технологических процессов при производстве работ.
Нарушение правил железнодорожного и автомобильного движения.
Нарушение трудовой и производственной дисциплины.
Грубая неосторожность самого пострадавшего.
Неиспользование СИЗ и средств коллективной защиты.
</t>
  </si>
  <si>
    <t>Риски, связанные с  перегрузочной деятельностью на МГСП</t>
  </si>
  <si>
    <t>Риск конкуренции из-за ухудшения качества предоставляемых услуг</t>
  </si>
  <si>
    <t>Техническая готовности техники и инфраструктуры перегрузочных терминалов</t>
  </si>
  <si>
    <t>1 год</t>
  </si>
  <si>
    <t>Риск конкуренции на рынке услуг по терминальной обработке грузов</t>
  </si>
  <si>
    <t>99,7 (обеспечение бесперебойного функционирования ИС)</t>
  </si>
  <si>
    <t>Количество инцидентов</t>
  </si>
  <si>
    <t>Некачественное управление лицензионным программным обеспечением в Компании</t>
  </si>
  <si>
    <t>Аудит</t>
  </si>
  <si>
    <t>АО "Кедентранссервис"</t>
  </si>
  <si>
    <t>АО "Қазтеміртранс", АО "Кедентранссервис"</t>
  </si>
  <si>
    <t>Снижение оборачиваемости вагонов в оперировании (Нарушения сроков доставки и подачи/уборки /превышение оборота)</t>
  </si>
  <si>
    <t>Исполнениее плана доходности и доли КТТ на рынке; 
Увеличение погрузки чужих вагонов на КЗХ.</t>
  </si>
  <si>
    <t xml:space="preserve">Ежесуточная справка анализа и мониторинга по порожнему и груженному состоянию </t>
  </si>
  <si>
    <t xml:space="preserve">Исполнение Плана доходности </t>
  </si>
  <si>
    <t xml:space="preserve"> 1. Работа с грузоотправителями, экспедиторами, государственными органами (решение проблемных вопросов).                                                                                                                              
2.Заключение долгосрочных договоров. Постоянный мониторинги анализ цен на  услуги. 
3.Создание тарифной комиссии.  Предоставление конкурентоспособных тарифов. Разработка единой гибкой тарифной политики, с возможностью разработки пакетных предложений и портфельного управления клиентскими договорами.                                                                                        
4.Анкетирование клиентов.                                                                                                                                           5. Автоматизация расчетов для тарифного Комитета. Прозрачность тарифной политики.                                 6. Постоянный мониторинг и  анализ цен на услуги                                                                                             
7. Контроль расчета тарифным калькулятором. Система контроля.                                                 
8.Решение проблемных вопросов.</t>
  </si>
  <si>
    <t xml:space="preserve">1.Работа с ГП и с региональными филиалами КТТ по ускорению оборота вагонов собственности КТТ.                                                                                                                                                             2.Своевременная выдача разрешающих телеграмм.                                                                                          
3. Эффективное использование вагонного парка. Ежесуточный контроль за подачей/ уборки с /на п/пути, контроль за выполнением оборота вагонов.                                                                                              
4. Проверка наличия особых условий перевозок, работы станций погрузки, наличие конвенционных запретов                     </t>
  </si>
  <si>
    <t>Риск конкуренции</t>
  </si>
  <si>
    <t>1.Нарушение цепи поставок        2.Неперспективные (убыточые) маршруты      
3.Не исполнение логистических маршрутов 
4.Снижение объемов груженных вагоноотправок 
5.Длительное занятие станционных путей порожними вагонами в ожидании высокодоходных перевозок                                                                                          
6.Нарушение логистических схем и увеличение порожнего пробега</t>
  </si>
  <si>
    <t>Снижение объемов ТЭО</t>
  </si>
  <si>
    <t>Доходы по порожнему пробегу, млн. тг.</t>
  </si>
  <si>
    <t>CTR-6</t>
  </si>
  <si>
    <t>CTR-8</t>
  </si>
  <si>
    <t>Риск отказа оборудования и устройств тяговых подстанций (ТП) из-за выработки нормативного срока службы</t>
  </si>
  <si>
    <t>Нарушение нормальной работы технических средств</t>
  </si>
  <si>
    <t>Диекция магистральной сети</t>
  </si>
  <si>
    <t>Риск отказа контактной сети из-за выработки нормативного срока службы</t>
  </si>
  <si>
    <t>Природные влияния</t>
  </si>
  <si>
    <t>Некачественное сервисное обслуживание</t>
  </si>
  <si>
    <t>Неправильное пользование устройствами ЖАТС работниками смежных служб</t>
  </si>
  <si>
    <t>Разрушение зданий постов ЭЦ, ДЦ, ЛАЗ и т.п.</t>
  </si>
  <si>
    <t>Истечение нормативного срока службы устройств  ЖАТС (более 35лет);</t>
  </si>
  <si>
    <t>Выполнение ППР устройств ЖАТС не в полном объеме по причине недофинансирования;</t>
  </si>
  <si>
    <t>Отказ устройств вследствие неблагоприятных погодных условий</t>
  </si>
  <si>
    <t>CTR-7</t>
  </si>
  <si>
    <t xml:space="preserve">вероятность ненадлежащего исполнения налогоплательщиком налоговых обязательств, а также различное толкование норм налогового законодательства налоговыми и судебными органами. </t>
  </si>
  <si>
    <t xml:space="preserve">Коэффициент текущей ликвидности 2021 оценка
по курсу 450 (с учетом факта 1 кв.) 2,45
</t>
  </si>
  <si>
    <t>АО "НК КТЖ", Департамент тарифной политики</t>
  </si>
  <si>
    <t>Взыскание с КТЖ суммы в пользу компании Active Bay S.L. (Актив Бэй)</t>
  </si>
  <si>
    <t>Вынесение окончательного решения судом Королевства Испании не в пользу КТЖ и взыскание с КТЖ в пользу Актив Бэй суммы в размере порядка  8 700 897,31 евро (без учета процентов)</t>
  </si>
  <si>
    <t>Девальвация тенге на казахстанском/международном валютном рынке</t>
  </si>
  <si>
    <t>Ревальвация тенге на казахстанском/международном валютном рынке</t>
  </si>
  <si>
    <t xml:space="preserve"> РЕЕСТР РИСКОВ АО "НК "ҚТЖ"</t>
  </si>
  <si>
    <t>КАРТА РИСКОВ АО "НК "ҚТЖ"</t>
  </si>
  <si>
    <t>Риск заключения основного договора или возмещения инвестиций, связанный с ТОО KIF Warehouse
05.10.2018 года между ООО «KTZ Express Hong Kong Ltd.», АО «KTZ Express»,  ТОО «KIF Warehouses» подписаны Рамочное соглашение и Предварительный договор аренды складов общей площадью 25 тыс. кв.м на территории СЭЗ Хоргос – Восточные Ворота. В соответствии с подписанными обязательствами  ООО «KTZ Express Hong Kong Ltd.», а при его несостоятельности АО «KTZ Express» обязан заключить Долгосрочный договор аренды складских помещений на 7 лет, по стоимости 80 долларов США за 1 кв.метр в год.</t>
  </si>
  <si>
    <t>ЦЗД, ЦЗЛ</t>
  </si>
  <si>
    <t>Приложение 2
к решению Совета директоров акционерного 
общества «Национальная компания «Қазақстан темір жолы»
от "____" _____________ 2021 г., 
протокол №_____________ вопрос №</t>
  </si>
  <si>
    <t>ТОО "КТЖ-Грузовые перевозки"</t>
  </si>
  <si>
    <t>ТОО "КТЖ-Грузовые перевозки", АО "KTZ Express"</t>
  </si>
  <si>
    <t>расчеты экономического блока (доходники)</t>
  </si>
  <si>
    <t>Доля рынка грузовых перевозок 
2020- 99,2%,
2021- 84,48%</t>
  </si>
  <si>
    <t>Сумма дохода учтена в Бюджете ГП. Либерализация железнодорожного рынка по государственной инициативе, пилотный проект до 2025 года, расширение маршрутов с помощью электротяги</t>
  </si>
  <si>
    <t>1. Проведение опроса грузоотправителей для выявления проблемных вопросов;                                                                                                                                                                    2. Выявление  проблемных вопросов по исполнению плановых показатетелей (объемы перевозок, скорость перевозки, передача поездов по стыкам и другие).                                                                                                                                                                                                                                           3. Разработка новых нормативных актов, внесение именений в действующие для устранения проблемных вопросов.                                                                                                                                                                                                                                   4. Предложение благоприятных тарифных условий для грузоотправителей (работающих непосредственно с частными перевозчиками) с учетом скорейшего отправления однородного груза (вертушек) без задержки на станционных путях в ожидании накопления или других факторов препятствующих незамедлительной отправке с условием увеличения объемов перевозки грузов. 
5. Формирование шатл-поездов с ускоренной доставкой грузов.    
6. Предоставление клиентам доступа к информационной системе для приема и обработки заявок и перевозок грузов в on-line режиме с любого мобильного устройства.                                                                                                                                                                                                                                                                                            7. Мониторинг объемов, выполняемых частными перевозчиками, а также контроль запланированных объемов в среднесрочной переспективе</t>
  </si>
  <si>
    <t xml:space="preserve">АО "КТЖ-Грузовые перевозки"
ГППМ, ГППВ, ГПЭ, ГПВР, ГПКП, ГПМ, ГППЭ, ГППТ, ГППГ, ГПВ, ГПД, ГПАИС,  НОДГП </t>
  </si>
  <si>
    <t>стат.данные c сайта stat.kz</t>
  </si>
  <si>
    <t>Согласно справки выполнения  показателей использования грузовых поездов</t>
  </si>
  <si>
    <t>Неисполнение нормативной скорости грузового поезда               2019-48,86 км/час
2020- 48,59
2021- 49,03</t>
  </si>
  <si>
    <t>Влияние на доход не возможно учесть, в связи с несовершненством клиентской базы.</t>
  </si>
  <si>
    <t>данные маркетиноговой службы по результатам анкетирования, КПД ГП</t>
  </si>
  <si>
    <t>Влияние на доход не возможно учесть, в связи с несовершненством клиентской базы</t>
  </si>
  <si>
    <t xml:space="preserve">1.  Проведение опроса грузоотправителей для выявления проблемных вопросов по взаимодействию с участниками процесса перевозки грузов;                                                                                                                                                                                                                                                                2. Разработка и мониторинг плана мероприятий по результатам анкетирования клиентов по улучшению качества обслуживания клиентов. Информирование клиентов о реализации предложений, указанных в анкете.                                                                                                                                                                                                        
3. Улучшение программы АСУ ДКР (переход на безбумажное оформление перевозочных документов, реализация мобильного приложения АСУ ДКР);                                                                                                                                 
4. Создание роликов в социальных сетях и на сайте АО "КТЖ-Грузовые перевозки" с пошаговой инструкцией для клиентов;                                                                                                                                                                        5. Отмена повторного запроса учредительных документов у клиентов путем формирования базы по клиентам.                                                                  6. Проведение встреч (конференций с применением программ удаленного доступа) с участием грузоотправителей и грузополучателей (зерновики, угольщики) .                                                     </t>
  </si>
  <si>
    <t>1. Увеличение доли контейнеризации грузов путем проведения разъяснительной работы с грузоотправителями, формирование и укорению продвижения контейнерных поездов, установления понижающих коэффициенты к предельному уровню тарифов на услуги магистральной железнодорожной сети и локомотивной тяги.                                                                                                                                                                              2. Координация взаимодействия с владельцами подъездных путей, транспортно логистических центров по улучшению 3PL (услуга ответственного хранения, перевозка, упаковка, перегрузка, маркировка и т.д.).
3. Своевременная подача вагонов под погрузку, выгрузку.
4. Привлечение новых грузоотправителей путем размещения в свободном доступе информации о преимуществах перевозки грузов железнодорожным транспортом, тарифов на перевозки грузов, порядка предоставления заявки, предоставления благоприятных тарифных условий (в т.ч. сборы за дополнительные услуги)</t>
  </si>
  <si>
    <t>Интермодальный риск от частного сектора (основные 2 конкурента ТТТ Сервис, Дар Рэйл)</t>
  </si>
  <si>
    <t>Сумма дохода не учитывается в Бюджете ГП.                     Либерализация железнодорожного рынка по государственной инициативе, пилотный прект до 2025 года, расширение маршрутов с помощью электротяги</t>
  </si>
  <si>
    <t>1. Оптимальное направление вагонопотока с наименьшими экономическими затратами, исключающая нарушение сроков доставки;                                                                                                                                                                                              2.Увеличение участковой скорости грузовых поездов;                                                                                                                                                                        3. Своевременное рассмотрение претензий причастными структурными подразделениями.                                                                                                  4. Обновление/оздоровление тягового подвижного состава;                                                                                                                                                                           5. Уменьшение времени уборки/подачи вагонов с/на фронты погрузки;                                                                                                                                         6. Уменьшение времени переработки грузовых поездов на сортировочных станциях;                                                                                                                        7. Улучшение технического состояния магистральных и станционных путей;                                                                                                                                                                                              8.Увеличение плеч обслуживания локомотивов.                                                                                                                                              9. Уменьшение количества станций по обработке поездов</t>
  </si>
  <si>
    <t>стат.данные</t>
  </si>
  <si>
    <t>Согласно факт. данных от деп..контейнерных перевозок ГП</t>
  </si>
  <si>
    <t xml:space="preserve">1.  Проведение опроса грузоотправителей для выявления проблемных вопросов по взаимодействию с участниками процесса перевозки грузов;                                                                                                                                                                                                                                                                           2. Разработка и мониторинг плана мероприятий по результатам анкетирования клиентов по улучшению качества обслуживания клиентов. Информирование клиентов о реализации предложений, указанных в анкете.                                                                                                                                                                                                        
3. Улучшение программы АСУ ДКР (переход на безбумажное оформление перевозочных документов, реализация мобильного приложения АСУ ДКР);                                                                                                                                 
4. Сокращение простоя поездов, вагонов на станционных путях;
5. Создание роликов в социальных сетях и на сайте АО "КТЖ-Грузовые перевозки" с пошаговой инструкцией для клиентов;                                                                                                                                                                              6. Отмена повторного запроса учредительных документов у клиентов путем формирования базы по клиентам.                                                                                                     </t>
  </si>
  <si>
    <t>1. Оптимальное направление вагонопотока с наименьшими экономическими затратами, исключающая нарушение сроков доставки;                                                                                                                                                                                                                                    2.Увеличение участковой скорости грузовых поездов;                                                                                                                                                                        3. Своевременное рассмотрение претензий причастными структурными подразделениями.                                                                                                  4. Обновление/оздоровление тягового подвижного состава;                                                                                                                                                                           5. Уменьшение времени уборки/подачи вагонов с/на фронты погрузки;                                                                                                                                         6. Уменьшение времени переработки грузовых поездов на сортировочных станциях;                                                                                                                        7. Улучшение технического состояния магистральных и станционных путей;                                                                                                                                                                                              8.Увеличение плеч обслуживания локомотивов.                                                                                                                                                         9. Уменьшение количества станций по обработке поездов</t>
  </si>
  <si>
    <t>ГППМ, ГППВ, ГПЭ, ГПВР, ГПКП, ГПМ, ГППЭ, ГППТ, ГППГ, ГПВ, ГПД, ГПАИС,  НОДГП 
АО "KTZ Express"</t>
  </si>
  <si>
    <t>ГППГ, ГППВ, ГПМ, ГПВР, ГПБД, ГПТ, ГПВ, Гпрасчет, ГПД, НОДГП, ЦЖС</t>
  </si>
  <si>
    <t>Маркетинг КТЖ</t>
  </si>
  <si>
    <t xml:space="preserve">Доля КДТС на рынке перегруза,% (влияние изменения доли на доход, импорт)           </t>
  </si>
  <si>
    <t>постоянно</t>
  </si>
  <si>
    <t>отклонение по доле расходов по пороженному пробегу на 2% за 9 мес.</t>
  </si>
  <si>
    <t>Риск неполучения/ неполного получения государственнх субсидий</t>
  </si>
  <si>
    <t>Переток клиентов на автотранспорт: а) строительство и модернизация автодорог; б) развитие рынка автотранспортных услуг; в) приобретение населением собственного автотранспорта.</t>
  </si>
  <si>
    <t>Переток клиентов на авиатранспорт: а) развитие рынка и сети авиамаршрутов.</t>
  </si>
  <si>
    <t>Переток клиентов на других ж/д пассажирских перевозчиков: а) появление новых маршрутов; б) повышение ими качества обслуживания.</t>
  </si>
  <si>
    <t>Снижение качества обслуживания клиентов АО "Пассажирские перевозки".</t>
  </si>
  <si>
    <t>Постоянные опоздания поездов.</t>
  </si>
  <si>
    <t>Возврат субсидий в связи с неисполнением договорных обязательств</t>
  </si>
  <si>
    <t>6. Организация коммуникации с Заказчиком - МИИР РК.</t>
  </si>
  <si>
    <t>1. Выработка и внедрение новой сети маршрутов, в т.ч. организация эффективных маршрутов, снижение времени в пути поездов дальнего следования, организация подвязки пригородными поездами, формирование удобного графика движения поездов, обезличивание вагонов - их эффективное использование;
2. Максимальное снижение задержек поездов, в т.ч. исключение задержек, связанных с плановыми видами ремонта МЖС и станций;
3. Рассмотрение вопроса организации мультимодальных перевозок - ж/д, авто (при реализации 1 пункта);
4. Повышение качества обслуживания населения (продажа билетов, условия на вокзалах, санитарно-техническое состояние вагонов, экипировка поездов, сервисный персонал и сервисные услуги в поездах);
5. Эффективное регулирование подвижным составом, режимами продажи, тарифами, расходами и финансовым результатом на организацию маршрутов;
6. Организация коммуникации с Заказчиком - МИИР РК.</t>
  </si>
  <si>
    <t>Проведением работ по заключению дополнительных соглашений к договорам субсидирования обеспечивающее снижение штрафов за неисполнение или ненадлежащее исполнение условий договоров</t>
  </si>
  <si>
    <t xml:space="preserve">Меры по оптимизации схем курсирования оставшихся поездов, в рамках заключенных договоров, проводится работа с поставщиками по минимизации оказанных услуг и оплаты, причитающейся за их услуги. </t>
  </si>
  <si>
    <t>Аренда вагонного парка</t>
  </si>
  <si>
    <t>CTR-9</t>
  </si>
  <si>
    <t>КАТЕГОРИЯ РИСКА</t>
  </si>
  <si>
    <t>Риски, связанные с обработкой грузов на региональных терминалах</t>
  </si>
  <si>
    <t>Неисполнение нормативной скорости грузового контейнерного поезда по направлению КНР ЕС 1150 км/сут</t>
  </si>
  <si>
    <t>Снижение объемов переработки грузов</t>
  </si>
  <si>
    <t>1.Интермодальная конкуренция со стороны альтернативных видов транспорта (воздушный,автомобильный, водный транспорт). 2.Конкуренция внутримодальных рисков со стороны железнодорожного сектора других государств (современные подвижные составы российских железных дорог и порожние маршруты обратного транзита)
Риск конкуренции из-за ухудшения качества предоставляемых услуг.</t>
  </si>
  <si>
    <t>Риск увеличения доли порожнего пробега</t>
  </si>
  <si>
    <t>Снижение доходов в связи со снижением пассажирооборота из-за введения карантинных мер</t>
  </si>
  <si>
    <t>Снижение пропускной способности</t>
  </si>
  <si>
    <t/>
  </si>
  <si>
    <t>РИСК-ФАКТОРЫ 1-го УРОВНЯ</t>
  </si>
  <si>
    <t>% от присущего риска</t>
  </si>
  <si>
    <t xml:space="preserve"> - финансовая несостоятельность в процессе исполнения договорных обязательств;
- установка забракованных, запрещенных, задвоенных (двойников), не сертифицированных или контрафактных запасных частей, узлов и деталей;
- несоблюдение предельных сроков выполнения ремонтов вагонов
- неисполнение контрагентами своих обязательств по договору;
- неоплата задолженности дебитором (нарушение условий договора дебитором);
- после заключения договора поставщик не внес обеспечение исполнения договора;
- несвоеременная поставка ТРУ, некачественная поставка ТРУ, полный срыв поставки, поставка товаров, работ, услуг несоответствующих условиям договора;
- неисполнение поставщиком условий по гарантии качества товаров, работ, услуг;
- несвоевременная оплата по договору, нарушение сроков оплаты за товары, работы, услуги.
- неправомерное расторжение договора.
- изменение конъюнктуры финансовых или сырьевых рынков
-  увеличение краткосрочной деботорской задолженности дочерних организаций АО "НК "ҚТЖ";
Риск недопоставки и/или невозврата оплаченных сумм по договору финансового лизинга №88 от 25.08.2017г. между   KTZE, ЗИКСТО и БРК-Лизинг  
</t>
  </si>
  <si>
    <t>1) Общее снижение цен ны рынке ЖД перевозок. Влияние на доходные статьи
2) Повышение тарифов МЖС, ЛТ, ГК со стороны перевозчика. Влияние на расходные статьи
3) Неконкурентный тариф по отношению к прочим собственникам.  Влияние на доходные статьи</t>
  </si>
  <si>
    <t>RISK OF CARGO TURNOVER</t>
  </si>
  <si>
    <t xml:space="preserve">RISK OF PASSENGER TURNOVER
</t>
  </si>
  <si>
    <t>EPIDEMIOLOGICAL RISK
(Super Risk)</t>
  </si>
  <si>
    <t>COUNTRY RISK
  (Super Risk)</t>
  </si>
  <si>
    <t>TARIFF RISK /
PRICE RISK</t>
  </si>
  <si>
    <t>EXCHANGE RISK</t>
  </si>
  <si>
    <t>INFRASTRUCTURE RISK</t>
  </si>
  <si>
    <t>PROJECT AND INVESTMENT RISKS</t>
  </si>
  <si>
    <t>TAX RISK</t>
  </si>
  <si>
    <t>CONTRACT RISK</t>
  </si>
  <si>
    <t>CREDIT RISK</t>
  </si>
  <si>
    <t xml:space="preserve">TRAFFIC AND LABOR SAFETY RISK
</t>
  </si>
  <si>
    <t xml:space="preserve">HR RISKS
</t>
  </si>
  <si>
    <t xml:space="preserve">COMPLIANCE RISK
</t>
  </si>
  <si>
    <t>Методика VaR позволяет оценивать возможные ожидаемые потери в течение 255 дней (эквивалент 1 года) с вероятностью 99% на основе исторических данных курсов валют по отношению к тенге, изменяющихся за последний год. При этом в расчет берется чистая валютная позиция на отчетную дату. Чистая валютная позиция – это разница между монетарными статьями активов баланса ( требования) и обязательств. Расчет: Открытая валютная позиция × Стандартное отклонение за последний год при доверительном интервале 99%</t>
  </si>
  <si>
    <t>1. отсутствие современного технологического оборудования/оснастки и диагностирующих стендов для ремонта подвижного состава  (дооснащения) в производственных цехах вагоноремонтных предприятий;   
2. нехватка квалифицированных специалистов;
3. неисполнение гарантийных сроков в рамках эксплуатации на основные составные части и детали подвижного состава согласно Руководства по ремонту;     
4. несвоевременный закуп и поставка сертифицированных запасных частей и материалов, необходимых для производства плановых видов ремонта подвижного состава; 
5. неисполнение Поставщиком обязательств по договорам на выполнение плановых видов ремонта пассажирских вагонов.
6. незапланированное повышение заработной платы</t>
  </si>
  <si>
    <t>OR-8</t>
  </si>
  <si>
    <t>ТОО "КТЖ-Грузовые перевозки",АО "ВЖДО"</t>
  </si>
  <si>
    <t>ТОО "КТЖ-Грузовые перевозки"
АО "Қазтеміртранс"</t>
  </si>
  <si>
    <t>ТОО "КТЖ-Грузовые перевозки" АО "Пассажирские перевозки"</t>
  </si>
  <si>
    <t>Угроз</t>
  </si>
  <si>
    <t>Риск конкуренции со стороны частного сектора вследствие отказа государства от определения КТЖ национальным оператором транзитных перевозок</t>
  </si>
  <si>
    <t>Профицит локомотивного парка в грузовом движении</t>
  </si>
  <si>
    <t>Риск потери эксклюзивного права КТЖ на транзитные перевозки в качестве национального оператора РК</t>
  </si>
  <si>
    <t>Возникновение риска арбитражных разбирательтсв по контракту поставки восьмиосных магистральных электровозов KZ8A с компанией ALSTOM</t>
  </si>
  <si>
    <t>Риск принудительного исполнения принятых АО «KTZ Express» и ТОО "Актауский морской северный терминал" обязательств по Оффтэйк контракту.
Риск перевода обязанности АО «KTZ Express» на АО «НК «ҚТЖ», так как согласно пункту 13.2 (а) Оффтэйк контракта в случае существенного нарушения АО «KTZ Express» обязательств по Оффтэйк контракту, при наличии требования ТОО «АМСТ» права и обязательства АО «KTZ Express» по Оффтэйк контракту переводятся на АО «НК «ҚТЖ».
Риск признания кредитором факта неисполнения Оффтэйк контракт «Случаем неисполнения обязательств» / «Event of default» в соответствии с условиями Синдицированного срочного кредитного договора от от 28 июля 2015 года в обеспечение исполнение которого был заключен Оффтэйк контракт.
В соответствии с Соглашением на оказание погрузочно-разгрузочных услуг и услуг по хранению грузов в будущем №162-АО от 28.12.2015 года, подписанным между ТОО «Актауский морской северный терминалs», АО «KTZ Express», АО «НК «ҚТЖ»,  ПАО «Сбербанк России» и Inter Port Development, на общую сумму 113 млрд. тенге (контракт индексирован в долларах США). Срок оказания услуг – до исполнения обязательств. Обязательства группы КТЖ по оффтейк контракту по перевалке грузов 19,6 млн. тонн со сроком до исполнения обязательств в течение 10 лет. По Соглашению ТОО «Актауский морской северный терминал» должен оказать минимальные годовые объемы Услуг по хранению грузов, а KTZE должен осуществлять оплату за Услуги на условиях 100%-ой предоплаты. При этом у KTZE отсутствует грузовая база для исполнения обязательств по Соглашению (также имеет влияние  санкционная политика в отношении Ирана).</t>
  </si>
  <si>
    <t>ВЕРОЯТНОСТЬ  5  ВЛИЯНИЕ  5</t>
  </si>
  <si>
    <t xml:space="preserve">Ненадлежащее сопровождение номенклатурных грузов, нарушение условий перегруза грузов из вагона КНР в вагоны КЗХ на пограничной станции Достык, Алтынколь, некачественный просчет количества мест при перегрузе гузов из вагона КНР в вагоны КЗХ на пограничной станции Достык, Алтынколь, утрата, порча и повреждение вследствие крушений, аварий и пожаров
</t>
  </si>
  <si>
    <t>1. Нарушение работниками структурных подразделений (филиалов) АО «НК «ҚТЖ» норм закупок, установленных АО «Самрук-Қазына».
2. Несвоевременное проведение закупок товаров, работ, услуг организаторами закупок (структурные подразделения (филиалы) АО «НК «ҚТЖ»).
3. Зависимость от колебания закупочных цен (цен поставщиков).
4. После подведения структурными подразделениями (филиалами) АО «НК «ҚТЖ» итогов закупок потенциальный поставщик уклонился от заключения договора и после заключения договора структурными подразделениями (филиалами) АО «НК «ҚТЖ» поставщик не внес обеспечение исполнения договора.
5. Несвоевременная оплата структурными подразделениями (филиалами) АО «НК «ҚТЖ» за поставку товаров, выполнение работ, оказание услуг.
6. Ненадлежащее исполнение поставщиками договорных обязательств.</t>
  </si>
  <si>
    <t>CTR-1.1</t>
  </si>
  <si>
    <t>CTR-3.2</t>
  </si>
  <si>
    <t>CTR-5.1</t>
  </si>
  <si>
    <t>CTR-5.3</t>
  </si>
  <si>
    <t>CTR-8.1</t>
  </si>
  <si>
    <t>ВЕРОЯТНОСТЬ  5  ВЛИЯНИЕ  4</t>
  </si>
  <si>
    <t>ВЕРОЯТНОСТЬ  3  ВЛИЯНИЕ  3</t>
  </si>
  <si>
    <t>ВЕРОЯТНОСТЬ  4  ВЛИЯНИЕ  4</t>
  </si>
  <si>
    <t>ВЕРОЯТНОСТЬ  3  ВЛИЯНИЕ  5</t>
  </si>
  <si>
    <t>ВЕРОЯТНОСТЬ  4  ВЛИЯНИЕ  5</t>
  </si>
  <si>
    <t>ВЕРОЯТНОСТЬ  4  ВЛИЯНИЕ  3</t>
  </si>
  <si>
    <t>(ЛТ)Риск применения низкого унифицированного тарифа вместо высокого транзитного  на перевозки грузов из Узбекистана в страны ЕАЭС по территориии Казахстана , в связи со вступлением Узбекистана в ЕАЭС</t>
  </si>
  <si>
    <t>(МЖС) Риск применения низкого унифицированного тарифа вместо высокого транзитного  на перевозки грузов из Узбекистана в страны ЕАЭС по территориии Казахстана , в связи со вступлением Узбекистана в ЕАЭС</t>
  </si>
  <si>
    <t>КТТ+КДТС+КТЖЭкспресс</t>
  </si>
  <si>
    <t>нет резерва</t>
  </si>
  <si>
    <t>КАРТА КРИТИЧЕСКИХ РИСКОВ</t>
  </si>
  <si>
    <t>FX-2</t>
  </si>
  <si>
    <t>Валютные контракты</t>
  </si>
  <si>
    <t>Дефицит локомотивного парка в грузовом движении</t>
  </si>
  <si>
    <t>Критический износ/дефицит пассажирских вагонов</t>
  </si>
  <si>
    <t>OR-9</t>
  </si>
  <si>
    <t>PLAN 2021</t>
  </si>
  <si>
    <t>ТОО "КТЖ-Грузовые перевозки", АО "Қазтеміртранс"</t>
  </si>
  <si>
    <t>Количество брошенных поездов</t>
  </si>
  <si>
    <t>2021-2023гг.</t>
  </si>
  <si>
    <t>ФАКТОРЫ РИСКА
УРОВЕНЬ 2</t>
  </si>
  <si>
    <t>Обзор удовлетворенности клиентов 
2018-  46,8%
2019- 64,8%
2020 - 65%
2021-66%</t>
  </si>
  <si>
    <t xml:space="preserve">Доля рынка грузовых перевозок 
2018-46,5%
2019-48%
2020-51,5%
</t>
  </si>
  <si>
    <t>Снижение тарифа на регулируемые услуги, приводящее к снижению доходов  АО "НК "КТЖ</t>
  </si>
  <si>
    <t>Выполнение плана по обьемным показателям (тыс.тонн), %
Простой (в сутках) на ПМ из-за конкурентов, влияние на доход
Процент удовлетворенности клиентов, %</t>
  </si>
  <si>
    <t>Средняя техническая скорость грузового контейнерного поезда, 2018-1014 км/сут
2019-1127км/сут
2020-1155 км/сут
2021- 1150 км/сут</t>
  </si>
  <si>
    <t>Ослабление курса национальной валюты по отношению к курсу твердой валюты, в которых компания имеет долговые обязательства</t>
  </si>
  <si>
    <t xml:space="preserve"> Департамент заимствований и по работе с инвесторами, Цзайм</t>
  </si>
  <si>
    <t>I. Объективные риск-факторы, влияющие на процессы/деловые операции, подверженные влиянию коррупционных рисков:
1) отсутствие внутреннего контроля; 
2) отсутствие или недостаточная регламентация;
3) отсутствие автоматизации; 
4) несвоевременная разработка/актуализация необходимых внутренних документов;
5) наличие во внутренних документах дискреционных норм и полномочий.
II. Субъективные риск-факторы, влияющие на процессы/деловые операции, подверженные влиянию коррупционных рисков
1) корыстная финансовая мотивация работника/должностного лица;
2) отсутствие мотивации на долгосрочное пребывание в КТЖ;
3) лоббирование (продвижение личных интересов);
4) отсутствие четко выраженного негативного отношения к коррупции;
5) пренебрежение принципа неотвратимости наказания.</t>
  </si>
  <si>
    <t>Клиенты, заинтересованные стороны и рынок в целом рассматривают и воспринимают имидж компании, потенциальную потерю финансового капитала, социального капитала и / или доли рынка в результате ущерба репутации фирмы.</t>
  </si>
  <si>
    <t>Основной риск, связанный с уменьшением грузоперевозок в транзитных, экспортных, импортных и внутренних перевозках из-за интермодальной, внутримодальной и экстрамодальной конкуренции, замедления роста и спада в промышленности и бизнесе</t>
  </si>
  <si>
    <t>риск:
1) установления уполномоченным органом тарифов, не в полном объеме покрывающих экономически обоснованные расходы на осуществление деятельности по перевозке грузов железнодорожным транспортом;
2) неисполнения утвержденных тарифных смет и обусловленное с ним установление уполномоченным органом временного компенсирующего тарифа, как следствие снижение источника собственных оборотных средств, необходимых для финансирования операционной и инвестиционной деятельности;
3) сокращения доходов в связи с изменением фактической структуры грузооборота  относительно принятой при утверждении тарифов.</t>
  </si>
  <si>
    <t>(Супер Риск) Вероятность, измеряемая по появлению новых случаев заболевания / инфекции у большого числа людей в данной населенном пункте в течение короткого и быстрого периода времени, что влияет на прерывание бизнеса, замедление деловой активности и ограничение человеческой деятельности. возобновляет движение.</t>
  </si>
  <si>
    <t xml:space="preserve">Необоснованное завышение Плана расходов </t>
  </si>
  <si>
    <t>Необоснованный выбор способа закупок</t>
  </si>
  <si>
    <t>Ограничение конкурентной среды посредством установления завышенных требований к потенциальным поставщикам</t>
  </si>
  <si>
    <t>Необоснованное отклонение заявок на участие в тендере/ценовых предложений потенциальных поставщиков в целях признания закупки несостоявшейся для последующего закупа способом тендера путем проведения конкурентных переговоров</t>
  </si>
  <si>
    <t>Необоснованная отмена закупок, либо затягивания сроков проведения закупок</t>
  </si>
  <si>
    <t>Выбор поставщика, включённого в Перечень ненадёжных потенциальных поставщиков (поставщиков) Холдинга и (или) в Реестр недобросовестных участников государственных закупок и (или) в Перечень лжепредприятий</t>
  </si>
  <si>
    <t>Выбор поставщика при наличии конфликта интересов, признаков аффилированности</t>
  </si>
  <si>
    <t>Неправомерное изменение условий проекта договора/договора</t>
  </si>
  <si>
    <t>Несоответствующие условиям договора приёмка и оплата ТРУ</t>
  </si>
  <si>
    <t xml:space="preserve">Несвоевременная оплата по договору </t>
  </si>
  <si>
    <t>Непредставление/несвоевременное представление необходимой информации для формирования перечня ненадёжных потенциальных поставщиков (поставщиков) Фонда</t>
  </si>
  <si>
    <t xml:space="preserve">Установление квалификационных и иных требований, не соответствующих должности </t>
  </si>
  <si>
    <t>Упрощение процедур конкурсного отбора и найма на вакантную должность для конкретного лица</t>
  </si>
  <si>
    <t xml:space="preserve">Найм работников, ранее привлекавшихся к ответственности за коррупционные правонарушения </t>
  </si>
  <si>
    <t>Риск выплаты вознаграждения работникам, которые фактически не ведут трудовую деятельность вследствие сговора с такими работниками</t>
  </si>
  <si>
    <t xml:space="preserve">Найм работников, не соответствующих квалификационным и иным требованиям </t>
  </si>
  <si>
    <t>Риск необоснованного предоставления мер материальной (социальной) поддержки отдельным работникам вследствие сговора с такими работниками</t>
  </si>
  <si>
    <t>Риск применения дисциплинарных мер (в том числе расторжение трудовых отношений) по основаниям, не предусмотренным трудовым законодательством</t>
  </si>
  <si>
    <t>Дискриминация работников при оценке деятельности по основаниям, не относящимся к профессиональной деятельности/должностным обязанностям</t>
  </si>
  <si>
    <t xml:space="preserve">Риск принятия региональными руководителями Компании необъективных кадровых решений в части выбора финального кандидата </t>
  </si>
  <si>
    <t>Риск необоснованного выбора кандидатов для обучения в высших учебных заведениях в результате сговора с работниками</t>
  </si>
  <si>
    <t>Коррупционные риски при профессиональном развитии и обучении работников на базе Учебных центров Фцкадр (УЦ)</t>
  </si>
  <si>
    <t>Риск дарения / получения подарков, иных материальных знаков гостеприимства, которые передаются  для оказания влияния на принимаемые решения и достижение коммерческого и иного преимущества.</t>
  </si>
  <si>
    <t>Риск нецелевого использования представительских расходов, в том числе с целью оказания влияния на представителей государственных органов и других лиц</t>
  </si>
  <si>
    <t>Риск  коррупции при подаче и рассмотрении заявки для получения доступа к услугам МЖС</t>
  </si>
  <si>
    <t>Риск коррупции в части выдачи разрешительных документов на примыкание подъездных путей к магистральным и станционным путям</t>
  </si>
  <si>
    <t>Риск коррупции при согласовании предоставления местными исполнительными органами РК физическим и юридическим лицам земельных участков, граничащих с полосой отвода земель для нужд ж/д транспорта</t>
  </si>
  <si>
    <t>Риск коррупции при оказании услуг подачи-уборки грузовых вагонов</t>
  </si>
  <si>
    <t>Риск коррупции при реализация услуг пассажирских перевозок железнодорожным транспортом (бытовая коррупция при перевозке пассажиров, багажа, грузобагажа)</t>
  </si>
  <si>
    <t xml:space="preserve">Риск  коррупции и/или мошенничества при реализации проездных документов (билетов на железнодорожный транспорт) </t>
  </si>
  <si>
    <t xml:space="preserve"> Риск коррупции и/или мошенничества при реализация услуг контейнерных перевозок грузов железнодорожным транспортом и транспортно-экспедиторское обслуживание</t>
  </si>
  <si>
    <t>Риск коррупции при передаче в имущественный найм (аренду) ж/д путей, неиспользуемых при предоставлении регулируемых услуг</t>
  </si>
  <si>
    <t>Риск коррупции и/или мошенничества при реализации услуг оперирования грузовыми вагонами</t>
  </si>
  <si>
    <t>Риск коррупции при приеме и отправке грузов</t>
  </si>
  <si>
    <t>Риск коррупции при согласовании перевозок грузов</t>
  </si>
  <si>
    <t>Риск  завышения стоимости инвестиционных проектов вследствие сговора с потенциальными поставщиками</t>
  </si>
  <si>
    <t>Риск завышения стоимости объекта при сделке M&amp;A  вследствие сговора с причастными сторонами сделки</t>
  </si>
  <si>
    <t>Риск снижение стоимости реализуемого/приватизируемого объекта вследствие сговора с потенциальным приобретателем</t>
  </si>
  <si>
    <t>Риск коррупции при взаимодействии с государственными органами</t>
  </si>
  <si>
    <t>Риск подкупа иностранных должностных лиц работниками Компании или третьими лицами</t>
  </si>
  <si>
    <t>Риск сговора работников контрольно-ревизионных подразделений/органов с представителями проверяемых структурных подразделений Компании</t>
  </si>
  <si>
    <t>Риск коррупции при размещении денежных средств на счетах в банках</t>
  </si>
  <si>
    <t>Риск коррупции при привлечении заемного финансирования (займы, долговые ценные бумаги)</t>
  </si>
  <si>
    <t>Риск коррупции при размещении долговых ценных бумаг</t>
  </si>
  <si>
    <t xml:space="preserve">Риск сокрытия несчастного случая на производстве </t>
  </si>
  <si>
    <t>1) внедрение автоматизации процедуры определения маркетинговой цены;
2) внедрение автоматизированного мониторинга остатков ТМЦ для их учета при планировании закупок;
3) рекомендовать включение проверки процедуры формирования бюджета и Плана закупок ТРУ в Годовой аудиторский план СВА.</t>
  </si>
  <si>
    <t xml:space="preserve">R1.1CS1. В результате сговора с потенциальными поставщиками с целью получения от них незаконного вознаграждения или иной выгоды, в План расходов (бюджет) включаются излишние позиции, завышенные объёмы и цена, указываются неправильные классификаторы.      </t>
  </si>
  <si>
    <t xml:space="preserve"> ОТЧЕТ по результатам оценки коррупционных рисков АО «НК «ҚТЖ» и его дочерних организаций за 2020 год</t>
  </si>
  <si>
    <t>Возможные индикаторы:
1) нарушение установленного порядка определения маркетинговой цены;
2) закупка ТРУ по завышенной цене;
3) остатки ТМЦ не учитываются при планировании закупок;
4) отсутствие норм расхода на отдельные виды сырья и материалов, запасных частей, топлива; 
5) отсутствие резерва ТМЦ;
6) приобретение ТРУ сверх фактической потребности;
7) приобретение товаров и их не использование в производстве;
8) закупка ТРУ, не включённых в План закупок ТРУ;
9) необоснованное списание ТМЦ.</t>
  </si>
  <si>
    <t xml:space="preserve">R1.2CS1. В результате сговора с потенциальными поставщиками, аффилированными с представителем Компании, или выплачивающего ему незаконное вознаграждение или предлагающего иную выгоду, планируется упрощённый способ закупки, предпочтительный для реализации коррупционной схемы, например, безосновательно определяется способ закупок из одного источника, вместо электронных закупок с применением торгов на понижение.
R1.2CS2. Дробление суммы закупки на более мелкие в целях упрощения способа закупки, например способом ценовых предложений для конкретного поставщика, аффилированного с представителем Компании, или выплачивающего ему незаконное вознаграждение или предлагающего иную выгоду.  </t>
  </si>
  <si>
    <t>R1.3CS1. Ограничение конкуренции путем включения, в техническую спецификацию таких характеристик закупаемых ТРУ, которые могут быть приобретены только у одного потенциального поставщика, аффилированного с представителем Компании, или выплачивающего ему незаконное вознаграждение или предлагающего иную выгоду.
R1.3CS2. Ограничение конкуренции путем установления необоснованных требований к потенциальным поставщикам с целью привлечь конкретного потенциального поставщика, аффилированного с представителем Компании, или выплачивающего ему незаконное вознаграждение, предлагающего иную выгоду.
R1.3CS3. Ограничение конкуренции путем установления заниженной стоимости ТРУ, их сроков поставки/выполнения/оказания и оплаты, не привлекательной для добросовестных участников, с целью привлечь конкретного поставщика, аффилированного с представителем Компании, или выплачивающего ему незаконное вознаграждение, предлагающего иную выгоду.</t>
  </si>
  <si>
    <t>R1.4CS1. В результате сговора с потенциальным поставщиком, аффилированным с представителем Компании, или выплачивающего ему незаконное вознаграждение или предлагающего иную выгоду необоснованно отклоняются тендерные заявки/ценовые предложения потенциальных поставщиков в целях признания закупки несостоявшейся для последующего закупа способом тендера путем проведения конкурентных переговоров.</t>
  </si>
  <si>
    <t xml:space="preserve">R1.5CS1. В результате сговора с потенциальными поставщиками с целью получения от них незаконного вознаграждения или иной выгоды, Компанией отменяются процедуры закупки для проведения повторной процедуры закупки. Сведения о поступивших заявках передаются «своему» потенциальному поставщику и помогают ему выиграть повторную закупку. 
R1.5CS2. Несвоевременное проведение процедуры закупок, путём их затягивания для конкретного поставщика, аффилированного с представителем Компании, или выплачивающего незаконное вознаграждение / предлагающего иную выгоду. </t>
  </si>
  <si>
    <t>R1.6CS1. В результате сговора с потенциальными поставщиками с целью получения от них незаконного вознаграждения или иной выгоды, проводится закупка у потенциального поставщика, включённого в Перечень ненадёжных потенциальных поставщиков Фонда и (или) в Реестр недобросовестных участников государственных закупок и (или) в Перечень лжепредприятий.</t>
  </si>
  <si>
    <t>R1.7CS1. В результате сговора с потенциальными поставщиками с целью получения от них незаконного вознаграждения или иной выгоды, производится выбор поставщика, аффилированного с представителем Компании или имеющий признаки конфликта интересов.</t>
  </si>
  <si>
    <t>R1.8.CS1. Необоснованное изменение условий заключенного договора через заключение дополнительных соглашений, для увеличения выгоды поставщика, аффилированного с представителем Компании, или выплачивающего ему незаконное вознаграждение или предлагающего иную выгоду.</t>
  </si>
  <si>
    <t>R1.9CS1. В результате сговора с потенциальными поставщиками с целью получения от них незаконного вознаграждения или иной выгоды, представители Компании подписывают акты приёмки ТРУ без фактического выполнения поставки ТРУ, либо не качественной поставки ТРУ, либо подписания акта приёмки ТРУ задним числом, либо с иными нарушениями условий договора.
R1.9CS2. В нарушение порядка, определенного условиями заключенного договора, проведение Компанией оплаты поставщику, аффилированному с представителем Компании, или выплачивающему ему незаконное вознаграждение или предлагающего иную выгоду.</t>
  </si>
  <si>
    <t>R1.10CS1. Нарушение сроков оплаты по договору для целей получения сумм штрафных санкций за просрочку оплаты в пользу поставщика, аффилированному с представителем Компании, или выплачивающему ему незаконное вознаграждение или предлагающего иную выгоду.</t>
  </si>
  <si>
    <t>R1.11CS1. В результате сговора с потенциальными поставщиками (поставщиком) с целью получения от них незаконного вознаграждения или иной выгоды, представители Компании не направляют либо не своевременно предоставляют в Фонд информацию для включения потенциальных поставщиков (поставщиков), допустивших нарушения, являющиеся основаниями для включения в Перечень ненадёжных потенциальных поставщиков Фонда.</t>
  </si>
  <si>
    <t xml:space="preserve">R2.1CS1. Оказание содействия в установлении таких квалификационных и иных требований, которым бы соответствовал конкретный кандидат на вакантную должность в результате сговора с третьими лицами, аффилированными с  представителем Компании, или выплачивающего ему незаконное вознаграждение / предлагающего иную выгоду. </t>
  </si>
  <si>
    <t>Возможные индикаторы R1.2CS1.:
1) большинство закупок осуществляется способом из одного источника;
2) наличие аффилированности потенциальных поставщиков между собой, и/или между представителями Компании и поставщиком;
3) малая доля электронных закупок способами запроса ценовых предложений или тендера с применением торгов на понижение.
Возможные индикаторы R1.2CS2. :
1) наличие большого количества договоров на поставку однородных ТРУ, заключённых с одним поставщиком в относительно короткий промежуток времени.</t>
  </si>
  <si>
    <t>Возможные индикаторы R1.3CS1.:
1) содержание в технической спецификации дискриминирующего условия;
2) выбор поставщика без надлежащей проверки на наличие конфликта интересов и благонадёжность;
3) не размещение проекта тендерной документации на веб-сайте Компании / Фонда для обсуждения;
4) наличие жалоб на ограничение конкуренции.
Возможные индикаторы R1.3CS2.:
1) наличие жалоб на ограничение конкуренции;
2)неоднократные победы конкретного поставщика в течение длительного времени.
Возможные индикаторы R1.3CS3.:
1) установление низкой цены, непривлекательной для потенциальных поставщиков (например, часть работ выполняется собственными силами заказчика);
2) короткий срок для исполнения договора;
3) большая сумма обеспечения заявки.</t>
  </si>
  <si>
    <t>Возможные индикаторы:
1) отсутствие предварительного квалификационного отбора среди поставщиков;
2) ) большинство закупок способом тендера путем проведения конкурентных переговоров осуществлены в результате (по основанию) несостоявшихся закупок;
3) наличие необоснованных отклонений потенциальных поставщиков по формальным признакам;
4) неоднократное признание победителем закупки конкретного потенциального поставщика в течение длительного времени.</t>
  </si>
  <si>
    <t>Возможные индикаторы R1.5CS1.:
1) наличие жалоб и фактов необоснованной отмены закупок; 
2)  наличие аффилированности потенциальных поставщиков между собой, и/или между представителями Компании и поставщиком;
3) факты проведения закупок с нарушением установленных требований Стандарта закупок Фонда.
Возможные индикаторы R1.5CS2.:
1) наличие расхождений между планируемыми и фактическими сроками проведения закупок;
2) неадекватные сроки и причины задержек на этапах проведения закупок.</t>
  </si>
  <si>
    <t>Возможные индикаторы:
1) поставщик состоит в Перечне ненадёжных потенциальных поставщиков Фонд и (или) в Реестре недобросовестных участников государственных закупок и (или) в Перечне лжепредприятий;
2) отсутствие предварительного квалификационного отбора среди поставщиков;
3) наличие необоснованных отклонений потенциальных поставщиков по формальным признакам.</t>
  </si>
  <si>
    <t>Возможные индикаторы:
1) наличие конфликта интересов, признаков аффилированности поставщика с представителями Компании;
2) отсутствие предварительного квалификационного отбора среди поставщиков;
3) наличие необоснованных отклонений потенциальных поставщиков по формальным признакам.</t>
  </si>
  <si>
    <t>Возможные индикаторы:
1) наличие изменений и дополнений к договору закупки ТРУ на дополнительные суммы, не предусмотренные договором;
2) увеличение стоимости договора без увеличении объёма ТРУ;
3) увеличение сроков поставки ТРУ;
4) осуществление оплаты без подтверждения поставки ТРУ;
5) наличие аффилированного с представителем Компании.</t>
  </si>
  <si>
    <t>Возможные индикаторы R1.9CS1.:
1) наличие фактов подписаний актов приёмки некачественных ТРУ (контрафактного товара), а также на основании несоответствующих (поддельных) документов; 
2) наличие фактов подписания актов приёмки ТРУ задним числом.
Возможные индикаторы R1.9CS2.:
1) наличие фактов оплаты за ТРУ при отсутствии необходимого пакета документов, подтверждающих поставку ТРУ; 
2) наличие фактов заключения дополнительных соглашений к договорам, которыми изменен порядок оплаты по договору в пользу поставщика.</t>
  </si>
  <si>
    <t>Возможные индикаторы:
1) наличие фактов необоснованной просрочки оплаты за поставленные ТРУ;
2) отсутствие графика платежей по договорам;
3) наличие просроченной кредиторской задолженности.</t>
  </si>
  <si>
    <t>Возможные индикаторы:
1) наличие фактов предоставления потенциальным поставщиком недостоверной информации и/или ложных сведений об отсутствии конфликта интересов;
2) наличие жалоб на нарушения поставщиком своих обязательств;
3) наличие вступившего в законную силу решения (постановления) суда, установившего факт неисполнения или ненадлежащего исполнения договора о закупках.</t>
  </si>
  <si>
    <t>Возможные индикаторы:
1) несоответствие квалификации принятого работника, установленным в описании должности критериям и требованиям для конкретной позиции/должности в Компании;
2) необоснованное заключение о несоответствии кандидатов установленным критериям для конкретной позиции/должности в Компании с целью ограничения конкуренции и выборе конкретного лица;
3) отсутствие надлежащей проверки кандидатов на наличие аффилированности/конфликта интересов с представителями Компании.</t>
  </si>
  <si>
    <t xml:space="preserve">R2.2CS1. Оказание содействия в упрощении процедур конкурсного отбора и найма на вакантную должность для конкретного лица вследствие сговора с третьими лицами, аффилированными с представителем Компании, или выплачивающего ему незаконное вознаграждение/ предлагающего иную выгоду.
R2.2CS2. Ограничение прав внешних кандидатов на участие в конкурсе на вакантные руководящие должности путем приема ранее не работавших в Компании третьих лиц на технические специальности и дальнейшего перевода их в ЦА на руководящие позиции как «переведенные работники внутри группы Компании» вследствие сговора с третьими лицами, аффилированными с представителем Компании, или выплачивающего ему незаконное вознаграждение/предлагающего иную выгоду.
R2.2CS3. Прием третьих лиц  на временно свободную вакансию с последующим переводом на постоянную работу без участия в конкурсном отборе с оформлением как «переведенные работники внутри группы Компании» вследствие сговора с третьими лицами, аффилированными с представителем Компании, или выплачивающего ему незаконное вознаграждение/ предлагающего иную выгоду. </t>
  </si>
  <si>
    <t>R2.4CS1. Оказание содействия в приёме на работу кандидатов, которые ранее привлекались к ответственности за коррупционные правонарушения вследствие сговора с третьими лицами, аффилированными с представителем Компании, или выплачивающего ему незаконное вознаграждение/предлагающего иную выгоду</t>
  </si>
  <si>
    <t>Возможные индикаторы:
1) прием на работу работника, в отношении которого имеется информация о вовлечении его в коррупционную деятельность или экономические преступления;
2) отсутствие процедуры проверки благонадежности кандидата на вакантную должность.</t>
  </si>
  <si>
    <t>1. Транзитная конкурения. Комбинированный маршрут "Китай-Монголия-Россия/ЕС" 
2. Конкуренция со стороны соседних государств. 
3. Ценовой демпинг со стороны других жд администраций, частных перевозчиков. 
4. Ухудшение финансово-экономической обстановки в мире. 
5. Общемировой кризис.  
6. Задержка грузов на ст.Достык и ст.Алтынколь  
7. Отток клиентов на другие виды транспорта
8.  Отсутствие гибкой ценовой политики                                                                                                              9. Ограниченность  направлений перевозки грузов                                                                                                 10. Нехватка квалифицированных спецалистов                                                                                           11. Запрет на перевозки грузов в страны, внесенные в санкционный список                                                        12. Установление конкурентами цен ниже рыночных                                                                                       13. Внешние факторы повышения цен</t>
  </si>
  <si>
    <t xml:space="preserve">Ухудшение финансово-экономической обстановки в мире. Общемировой кризис.Форс-мажор. Введение черезвычайного положения из-за распространения пандемии. (запрет на экспорт груза; ограничение погрузки; падение деловой активности из-за остановки предприятий. Закрытие производственных объектов, ограничение приема поездов КНР. Аварии на объектах добычи полезных ископаемых.)/Нарушение стандартов обслуживания. Неэффективный процесс привлечения и удержания клиентов.  (несвоевременное выставление финансово-расчетных документов, несвоевременная выдача разрешительных телерамм, несвоевременное рассмотрение претензий. Неотвеченные звонки.) </t>
  </si>
  <si>
    <t>1. Конкуренция со стороны соседних государств. Ценовой демпинг со стороны других жд администраций. Профицит на территории соседних государств
2. Развитие автомобильных сетей на территории РК.Снижение тарифов на перевозки автотранспортом
3. Появление частных перевозчиков на территории РК
4. Регистрация новых авиаперевозчиков. 
5. Использование  вагонов собственников РЖД, следующих через\с территории РК из-под выгрузки</t>
  </si>
  <si>
    <t>1. Нарушение сроков доставки, несвоевременная подача/уборка с/на п/путей
2. Занятость станционных путей станций и других жда, низкая пропускная способность, техническое состояние пути
3. Время проведения "окон"
4. Несвоевременное оформление по регулировочному заданию
5. Несвоевременное оформление вагонов и выдача разрешающих телеграмм на экспорт
6. Несвоевременная передача и развоз местного груза
7. Отсутствие локомотивной тяги у перевозчика
8. Скопление груженных вагонов (грузов)</t>
  </si>
  <si>
    <t>1. Ухудшение финансово-экономической обстановки в мире. Общемировой кризис. Форс-мажор. Введение черезвычайного положения из-за распространения пандемии. (запрет на экспорт груза; ограничение погрузки; падение деловой активности из-за остановки предприятий. Закрытие производственных объектов, ограничение приема поездов КНР.
2. Аварии на объектах добычи полезных ископаемых.
3. Нарушение стандартов обслуживания. Неэффективный процесс привлечения и удержания клиентов.
4. Несвоевременное выставление финансово-расчетных документов, несвоевременная выдача разрешительных телерамм, несвоевременное рассмотрение претензий. Неотвеченные звонки.Неполное взыскание доходов от оперирования вагонами. Превышение порожнего пробега. Несоответствие технического состояния.</t>
  </si>
  <si>
    <t>Ситуация  на приграничных станциях с КНР остается сложной.  Из-за жёстких ограничительных антиковидных мер соседняя страна не принимает груженые вагоны. Растет  количество брошенных поездов, что негативно сказывается на пропускной  способности магистральной сети Казахстана.</t>
  </si>
  <si>
    <t>Риск появления на рынке новых частных перевозчиков в связи с выдачей лицензии перевозчика порядка 30 организациям Министерством индустрии и инфраструктурного Развития РК.</t>
  </si>
  <si>
    <t>Риск ухудшения качества предоставляемых услуг.</t>
  </si>
  <si>
    <t>Риск несвоевременной подачи/уборки вагонов, риск длительного рассмотрения претензий/жалоб.</t>
  </si>
  <si>
    <t>1. Снижение времени обработки поезда на станциях.
2. Время проведения "окон".
3. Техническое состояние пути.</t>
  </si>
  <si>
    <t>Обзор удовлетворенности клиентов 
2018-  46,8%
2019- 64,8%
2020 - 65%
2021 - 66%</t>
  </si>
  <si>
    <t>Доля рынка грузовых перевозок 
2019-98,29%
2020-98,29%
2021-93,2%</t>
  </si>
  <si>
    <t>Неисполнение нормативной скорости грузового поезда
2019-48,86 км/час
2020- 48,59 км/час
2021- 49,03 км/час</t>
  </si>
  <si>
    <t>Возможные индикаторы R2.2CS1.:
1) объявление о наличии вакансии не размещено на веб-сайте Компании или иных информационных источниках; 
2) прием на работу работника без прохождения всех этапов конкурсного отбора; 
3) прием на работу работников без надлежащей его проверки на наличие аффилированности / конфликта интересов с представителем Компании.
Возможные индикаторы R2.2CS2.:
1) стаж работы переведенных лиц в группе Компании составляет менее 1 года; 
2) отсутствие надлежащей проверки кандидатов на наличие аффилированности/конфликта интересов с представителями Компании; 
3) не рассмотрение кандидатов из числа кадрового резерва. 
Возможные индикаторы R2.2CS3.:
1) срок приема на временную вакансию и перевода на постоянную должность составляет 1-2 дня;
2) отсутствие прохождения конкурса внутренними кандидатами, имеющих стаж работы в группе Компании менее 3-х месяцев.</t>
  </si>
  <si>
    <t>Недостаточно эффективная система регулирования со стороны центрального аппарата и отсутствие долгосрочного видения по развитию Филиала, при условии ежегодного роста объемов перевозок через станцию Достык, а также отсутствие должной работы с собственником активов АО «KTZ Express» по модернизации производственных мощностей Филиала повлияли на недополучение доходов и высокую степень износа основных средств, машин и механизмов, в том числе:
1) отсутствует Долгосрочный план мероприятий по обновлению производственных активов Филиала, а также ремонту и замене оборудования для перегруза;
2) капитальный ремонт и замена оборудования осуществляется только в рамках поддержки текущих мощностей терминалов в рабочем состоянии;
3) отсутствие Стратегии развития АО «Кедентранссервиса» прямо влияет на показатели долгосрочного планирования в Компании;
4) имеет место упущенная выгода и экономические потери в результате не проведённой работы по капитальному ремонту производственных мощностей Филиала</t>
  </si>
  <si>
    <t>Коэффициент технической готовности, %
Процент использования ПМ, %  (влияние)</t>
  </si>
  <si>
    <t>1. Оптимальное направление вагонопотока с наименьшими экономическими затратами, исключающая нарушение сроков доставки;
2.Увеличение участковой скорости грузовых контейнерных поездов;
3. Обновление/оздоровление тягового подвижного состава;
4. Улучшение технического состояния магистральных и станционных путей</t>
  </si>
  <si>
    <t>1. Увеличение доли контейнеризации грузов путем проведения разъяснительной работы с грузоотправителями, формирование и укорению продвижения контейнерных поездов, установления понижающих коэффициенты к предельному уровню тарифов на услуги магистральной железнодорожной сети и локомотивной тяги;
2. Координация взаимодействия с владельцами подъездных путей, транспортно логистических центров по улучшению 3PL (услуга ответственного хранения, перевозка, упаковка, перегрузка, маркировка и т.д.);
3. Привлечение новых грузоотправителей путем размещения в свободном доступе информации о преимуществах перевозки грузов железнодорожным транспортом, тарифов на перевозки грузов, порядка предоставления заявки, предоставления благоприятных тарифных условий (в т.ч. сборы за дополнительные услуги)</t>
  </si>
  <si>
    <t>Департамент корпоративного развития и управления активами</t>
  </si>
  <si>
    <t>2021-2022</t>
  </si>
  <si>
    <t xml:space="preserve">R2.3CS1. Оказание содействия в приёме на работу кандидатов, несоответствующих квалификационным и иным требованиям вследствие сговора с третьими лицами, аффилированными с представителем Компании, или выплачивающего ему незаконное вознаграждение/предлагающего иную выгоду. </t>
  </si>
  <si>
    <t>R2.5CS1. Фиктивное трудоустройство третьих лиц, в результате сговора с которыми представители Компании выплачивают им заработную плату и иные выплаты с целью получения от них незаконного вознаграждения или иную выгоду. 
R2.5CS2. Выплаты вознаграждения работникам, которые фактически не осуществляют / временно не осуществляют  трудовую деятельность (лист по временной нетрудоспособности) вследствие сговора с работниками и извлечения личной выгоды
R2.5CS3. Необоснованное начисление и выплаты вознаграждения должностному лицу/работнику путем злоупотребления служебным положением и извлечения личной выгоды.</t>
  </si>
  <si>
    <t xml:space="preserve">R2.6.CS1. В результате сговора с работниками с целью получения от них незаконного вознаграждения или иную выгоду, представители Компании устанавливают доплаты к должностным окладам «за расширение зон обслуживания», которые начисляются за функции, которые уже предусмотрены в должностных инструкциях или непосредственно связаны с исполнением должностных инструкций.
R2.6.CS2. Оказание фиктивной материальной помощи социального характера без ведома работников вследствие сговора между представителями Компании и извлечения личной выгоды. </t>
  </si>
  <si>
    <t xml:space="preserve">R2.7CS1. Выбор работника для обучения по программе «Магистратура» и «Докторантура» и на прохождение стажировки, аффилированного с представителем Компании, или выплачивающего ему незаконное вознаграждение/предлагающего иную выгоду.  </t>
  </si>
  <si>
    <t xml:space="preserve">R2.8CS1. Применение дисциплинарного взыскания по основаниям, не предусмотренным трудовым законодательством может являться инструментом давления на работника с целью увольнения их в интересах третьих лиц.    </t>
  </si>
  <si>
    <t>R2.9.CS1. Дискриминация работника при оценке его деятельности и результативности по основаниям, не относящимся к профессиональной деятельности/должностным обязанностям.</t>
  </si>
  <si>
    <t>Возможные индикаторы:
1) увольнение по основаниям, не предусмотренным законом;
2) увольнение по основанию, которое не имело место в действительности;
3) указание иного основания увольнения, чем то, которое имело место в действительности;
4) увольнение без надлежащего документального оформления дисциплинарных проступков и грубого нарушения трудовых обязанностей (прогула, появления в нетрезвом состоянии, нарушения правил безопасности, хищения и т.п.).</t>
  </si>
  <si>
    <t>Возможные индикаторы: 
1) несоответствие выбранного работника установленным критериям и требованиям Компании для участия в программе «Магистратура» и «Докторантура» и прохождение стажировки;
2) отсутствие процедуры проверки аффилированности и наличия конфликта интересов кандидатов для участия в обучающей программе с представителями Компании;
3) недостаточная прозрачность процедур отбора кандидатов;
4) отсутствие решения Комиссии по присуждению гранта на обучение;
5) присуждение гранта на обучение работнику, который увольняется с Компании.</t>
  </si>
  <si>
    <t>Возможные индикаторы:
1) отсутствие информации о работниках в документах, связанных с исполнением работ (наряд на выполнение работ, журналах инструктажа и т.д.);
2) отсутствие надлежащей проверки на наличие родственных связей между работниками Компании.</t>
  </si>
  <si>
    <t xml:space="preserve">Возможные индикаторы: 
1) несоответствие заработной платы работника штатному расписанию или уровню заработной платы работника, занимающего аналогичную должность/позицию;
2) отсутствие информации, подтверждающих прохождение кандидатом процедур отбора и найма;
3) начисление заработной платы лицам, фактически не работавшим, а также выплате незаконных премиальных вознаграждений;
4) наличие признаков «мертвых душ» (отсутствие отпусков, больничных, командировок и т.д.).
</t>
  </si>
  <si>
    <t>Возможные индикаторы:
1) прием на работу работника без проведения конкурсного отбора;
2) наличие несоответствий принятого на работу работника установленным квалификационным требованиям (описание должности) и иным требованиям;
3) отсутствие анализа соответствия принимаемого работника установленным квалификационным требованиям (описание должности) и иным требованиям, в т.ч. подлинность дипломов о высшем образовании;
4) не рассмотрение кандидатов из числа кадрового резерва;
5) отсутствие надлежащей проверки кандидатов на наличие аффилированности/конфликта интересов с представителями Компании.</t>
  </si>
  <si>
    <t>Возможные индикаторы:
1)  несоблюдение принципа стандартного распределения в карте талантов либо дисбаланс при формировании сводного рейтинга;
2)  наличие жалоб и обращений со стороны работников на дискриминацию при оценке его деятельности по основаниям, не относящимся к профессиональной деятельности/должностным обязанностям.</t>
  </si>
  <si>
    <t xml:space="preserve">R2.10.CS1. Выбор финального кандидата исходя из рекомендации руководителя регионального структурного подразделения, в котором образовалась вакансия в результате получения незаконного вознаграждения. </t>
  </si>
  <si>
    <t>Жалобы на несправедливый выбор кандидатов.</t>
  </si>
  <si>
    <t>R2.11.CS1. Получение незаконного вознаграждения или иной выгоды членами экзаменационной комиссии с целью принятия положительного решения, если  слушатель по итогам экзамена / тестирования не набрал проходного количества баллов.
R2.11.CS2. В результате сговора с работником с целью получения незаконного вознаграждения или иной выгоды ответственные лица УЦ неправомерно освобождают  слушателей от занятий с сохранением командировочных расходов.
R2.11.CS3. С целью получения незаконного вознаграждения или иной выгоды ответственные лица УЦ незаконно выдают свидетельства, удостоверения об окончании курсов профессиональной подготовки / повышения квалификации лицам, не проходившим обучение.</t>
  </si>
  <si>
    <t>Возможные индикаторы:
1) наличие жалоб от работников;
2) отсутствие первичных документов по прохождению обучения.</t>
  </si>
  <si>
    <t>R3.1CS1. Предоставление работниками Компании в качестве подарка деловым партнерам, контрагентам, третьим лицам, включая государственных служащих, наличных денежных средств или иных видов подарков, запрещенных внутренними документами Компании с целью оказания влияния на принятие решения в пользу Компании.
R3.1CS2. Получение работниками Компании в качестве подарка от деловых партнеров, контрагентов, третьих лиц, наличных денежных средств или иных видов подарков, запрещенных внутренними документами Компании с целью оказания влияния на принятие решения в пользу дарителя.</t>
  </si>
  <si>
    <t>Возможные индикаторы:
1) жалобы по «горячей линии»;
2) пронос подарков в офисные помещения.</t>
  </si>
  <si>
    <t>R3.2.CS1. Использование средств, выделенных на представительские расходы, работниками Компании, имеющими право распоряжения ими, в личных целях.
R3.2.CS2. Выделение Компанией средств на представительские расходы с целью воздействия на представителей государственных органов и других лиц, чтобы данные лица в силу занимаемой ими должности могли обеспечить Компании определенные выгоды или предоставить ей защиту.</t>
  </si>
  <si>
    <t>Возможные индикаторы:                                                                                                                                                                                                                                                                                                                                                                                                                                                                  1) отсутствие лимитов и документального подтверждения расходов;
2) наличие в отчетных документах Компании расходов, которые нарушают нормы этичного ведения бизнеса или действующего законодательства; 
3) превышение плановой стоимости представительского мероприятия;
4) наличие запросов на возмещение расходов по представительскому мероприятию при отсутствии информации о целях и результатах мероприятия, а также точных данных об участниках данного мероприятия.</t>
  </si>
  <si>
    <t xml:space="preserve">R4.1.CS1. В результате сговора с потребителями предоставляемых услуг с целью получения от них незаконного вознаграждения или иную выгоду, представители ЦЖС обеспечивают таким потребителям приоритетное положение перед другими участниками (оказываются услуги вне очереди и т.д.) при предоставлении доступа к МЖС.
R4.1.CS2. В результате сговора с потенциальными потребителями услуг (клиентами) с целью получения от них незаконного вознаграждения или иную выгоду, представителями ЦЖС предоставляется доступ на МЖС без заключения соответствующих договоров.  </t>
  </si>
  <si>
    <t>Возможные индикаторы R4.1.CS1.:
1) наличие необоснованных согласований или необоснованных отказов в оказании услуги по предоставлению доступа на МЖС;
2) наличие жалоб от потребителей услуг по предоставлению доступа на МЖС;
3) отсутствие прозрачности процесса предоставления доступа на МЖС;
4) наличие аффилированности между представителями Компании и потребителем услуг по предоставлению доступа на МЖС;
5) отсутствие контрольных проверок за процессом предоставления доступа на МЖС (рассмотрения заявки для получения доступа к услугам магистральной железнодорожной сети и подъездных путей).
Возможные индикаторы R4.1.CS2.:   
1) отсутствие договоров с клиентами, которым оказаны услуги по предоставлению доступа на МЖС;
2) наличие расхождений между объемом услуг заключенных договоров и фактическим объемом предоставленных услуг по предоставлению доступа на МЖС; 
3) отсутствие первичных документов по оказанным услугам по предоставлению доступа на МЖС;
4) отсутствие контрольных проверок за процессом оказания услуг по предоставлению доступа на МЖС.</t>
  </si>
  <si>
    <t xml:space="preserve">R4.2CS1. Представители ЦЖС при рассмотрении материалов на выдачу технических условий на примыкание подъездных путей к магистральным и станционным путям, предоставляют необоснованные технические условия или отдают предпочтения таким лицам, от которых получают незаконное вознаграждение / иную выгоду, либо наоборот необоснованно затягивают сроки рассмотрения или отказывают лицам, с которыми они не вступали в сговор, принуждают к заключению договоров на проектирование с аффилированными лицами.           </t>
  </si>
  <si>
    <t>Возможные индикаторы:
1) наличие нарушений установленного порядка выдачи технических условий на примыкание подъездных путей;
2) отсутствие прозрачности процесса выдачи технических условий на примыкание подъездных путей;
3) наличие аффилированности между представителями ЦЖС и получателем разрешения;
4) отсутствие контрольных проверок за процессом выдачи технических условий на примыкание подъездных путей.</t>
  </si>
  <si>
    <t>R4.3CS1. Представители ЦЖС при рассмотрении материалов на предоставление местными исполнительными органами РК физическим и юридическим лицам земельных участков, граничащих с полосой отвода, выдают необоснованные согласования и отдают предпочтение таким лицам, от которых они получают незаконное вознаграждение или иную выгоду, либо наоборот необоснованно отказывают лицам, с которыми они в сговор не вступили.</t>
  </si>
  <si>
    <t>Возможные индикаторы:
1) наличие нарушений установленного порядка согласования ЦЖС предоставления земельных участков, граничащих с полосой отвода земель для нужд ж/д транспорта;
2) наличие необоснованного заключения ЦЖС, направленного в местный исполнительный орган о согласовании или необоснованного отказа в согласовании предоставления земельных участков, граничащих с полосой отвода земель для нужд ж/д транспорта;
3) отсутствие контрольных проверок за процессом согласования предоставлений земельных участков, граничащих с полосой отвода земель для нужд железнодорожного транспорта.</t>
  </si>
  <si>
    <t>R4.4CS1. Представители ГП при рассмотрении заявки на подачу-уборку грузовых вагонов выделяют маневровые локомотивы и отдают предпочтение таким грузоотправителям / грузополучателям, от которых они получают незаконное вознаграждение или иную выгоду за ускорение, либо наоборот необоснованно отказывают грузоотправителям/ грузополучателям, с которыми в сговор не вступили.
R4.4CS2. Представители ГП при рассмотрении трехсторонних соглашений между ГП, грузополучателем и ветвевладельцем на подачу-уборку грузовых вагонов, необоснованно отказывают в подписании грузополучателям, не имеющим свои подъездные пути и складские помещения в подписании указанного трехстороннего Соглашения на подачу-уборку грузовых вагонов на подъездной путь ветвевладельца, выбранного грузоотправителем / грузополучателем с целью принуждения заключения соглашения с ветвевладельцем, с которым они вступили в сговор и получают незаконное вознаграждение или иную выгоду.
R4.4.CS3. В результате сговора с потенциальными потребителями услуг (клиентами) с целью получения от них незаконного вознаграждения или иную выгоду, представителями ГП организуется предоставление услуг на подачу-уборку грузовых вагонов без заключения соответствующих договоров.</t>
  </si>
  <si>
    <t>Возможные индикаторы R4.4CS1., R4.4CS2.:
1) наличие жалоб от потребителей услуг по подаче-уборке грузовых вагонов;
2) наличие простоев вагонов на станционных и подъездных путях в ожидании подачи-уборки грузовых вагонов.
Возможные индикаторы R4.4.CS3.:
1) отсутствие договоров с клиентами, которым оказаны услуги по подаче-уборке грузовых вагонов;
2) наличие расхождений между объемом услуг заключенных договоров и фактическим объемом предоставленных услуг по подаче-уборке грузовых вагонов;
3) отсутствие первичных документов по оказанным услугам по подаче-уборке грузовых вагонов.</t>
  </si>
  <si>
    <t>R4.5CS1. В результате сговора с потенциальными пассажирами и с целью получения от них незаконного вознаграждения, работники поездных бригад (проводники, начальники поездов) осуществляют безбилетный провоз пассажиров.
R4.5CS2. В результате сговора с лицом, желающим отправить неоформленный багаж, грузобагаж,  работник поездной бригады с целью получения незаконного вознаграждения осуществляет приемку и провоз неоформленного багажа, грузобагажа.
R4.5.CS2. В результате сговора между нарядчиком и проводником за определенное вознаграждение, нарядчиком регулируется норма работы проводников путем внесения в журнал часов работы (выезда по маршруту) проводника по собственному усмотрению в нарушение утвержденного графика выезда проводников.</t>
  </si>
  <si>
    <t>Возможные индикаторы R4.5CS1., R4.5CS2.:                                                                                                                                                                                                                                                                                                                                                                                                                                                                 1) отсутствие в свободной продаже проездных документов (билетов);
2) наличие жалоб от потребителей услуг;
3) наличие актов о нарушениях порядка перевозки пассажиров.
Возможные индикаторы R4.5CS3.:
1) недоработка/переработка часов;
2) нарушения утвержденного графика работы и отдыха поездных бригад;
3) отсутствие рапорта за прогул, листов по временной нетрудоспособности, о трудовом отпуске и отпуске без сохранения заработной платы.</t>
  </si>
  <si>
    <t>R4.6CS1. В результате сговора с перекупщиками билетов с целью получения от них незаконного вознаграждения или иную выгоду, представители ПП (билетные кассиры) обеспечивают дефицит билетов в билетных кассах/электронных ресурсах, в результате чего перекупщик получает возможность осуществить перепродажу ж/д билетов третьим лицам по завышенной цене.  
Перекупщики заранее выкупают билеты на фиктивных пассажиров или билеты на группу лиц. Далее перекупщики ищут на ж/д вокзале клиентов и договариваются о цене (гораздо выше номинальной стоимости). Затем осуществляется возврат заранее выкупленных билетов и оформляется билет на реального пассажира. При возврате билета в системе «АСУ-Экспресс» открывается доступ к покупке билета на освободившееся место, билет на которое с помощью работника билетных касс приобретается перекупщиком. Для этого нужна согласованная работа двух касс: первый кассир осуществляет возврат билета, второй кассир «ловит» освободившееся место.</t>
  </si>
  <si>
    <t>Возможные индикаторы:
1) отсутствие в свободной продаже проездных документов (билетов);
2) наличие жалоб от потребителей услуг  по вопросу перепродажи билетов;
3) наличие актов о нарушениях порядка реализации билетов на ж/д транспорт.</t>
  </si>
  <si>
    <t>R4.7CS1. В результате сговора с потребителями предоставляемых АО «KTZE» услуг (клиентами) с целью получения от них незаконного вознаграждения или иной выгоды, представители АО «KTZE» при организации контейнерных перевозок умышленно занижают стоимость оказываемых услуг (устанавливают минимальный тариф).
R4.7CS2. Вопреки условиям договора работники KTZE организуют оказание услуг без получения предоплаты от потребителей предоставляемых услуг (клиентов), аффилированных с должностными лицами и работниками KTZE, и/или выплачивающих им незаконные вознаграждения и/или иную выгоду.
R4.7.CS3. В результате сговора с потенциальными потребителями услуг (клиентами) с целью получения от них незаконного вознаграждения или иную выгоду, представителями KTZE организуется предоставление услуг контейнерных перевозок грузов ж/д  транспортом  и транспортно-экспедиторское обслуживание без заключения соответствующих договоров.</t>
  </si>
  <si>
    <t>Возможные индикаторы R4.7CS1.:
1) наличие большого количества договоров с одним клиентом;
2) наличие договоров, в которых установлен минимальный тариф;
3) отсутствие оригиналов документов по исполнению договора;
4) наличие аффилированности между представителями KTZE и клиентом;
5) необоснованный рост дебиторской задолженности.
Возможные индикаторы R4.7CS2.:
1) наличие дополнительных соглашений  к Договору  с  изменениями условий договора в пользу клиента;
2) оказание услуг без предоплаты, предусмотренной договором;
3) оказание услуг клиентам при  наличии у них непогашенной задолженности за ранее оказанные услуги;
4) несвоевременное оформление и подписание первичных документов по исполнению договора;
5)  отсутствие оригиналов документов по исполнению договора;
6) необоснованный рост дебиторской задолженности.
Возможные индикаторы R4.7CS3.:
1) отсутствие договоров с клиентами, которым оказаны услуги контейнерных перевозок грузов ж/д транспортом и транспортно-экспедиторское обслуживание;
2) необоснованный рост дебиторской задолженности.</t>
  </si>
  <si>
    <t>R4.8CS1. В результате сговора с потребителями предоставляемых КТТ услуг (клиентами) с целью получения от них незаконного вознаграждения или иную выгоду, представители КТТ при организации ж/д перевозок умышленно занижают стоимость оказываемых услуг (устанавливают минимальный тариф).
R4.8CS2. В результате сговора с потребителями предоставляемых КТТ услуг (клиентами) с целью получения от них незаконного вознаграждения или иную выгоду, оказание услуг осуществляется без получения 100% предоплаты.
R4.8.CS3. В результате сговора с потенциальными потребителями услуг (клиентами) с целью получения от них незаконного вознаграждения или иную выгоду, представителями KTТ организуется предоставление услуг по оперированию грузовыми вагонами без заключения договоров.</t>
  </si>
  <si>
    <t>Возможные индикаторы R4.8CS1.:
1) наличие большого количества договоров с одним клиентом, в которых установлен минимальный тариф;
2) наличие договоров, в которых установлен минимальный тариф;
3) отсутствие оригиналов документов по исполнению договора;
4) необоснованный рост дебиторской задолженности.
Возможные индикаторы R4.8CS2.:
1) оказание услуг осуществляется без предоплаты, предусмотренной договором;
2) оказание услуг клиентам при наличии у них непогашенной задолженности за ранее оказанные услуги;
3) несвоевременное оформление и подписание первичных документов по исполнению договора;
4) отсутствие оригиналов документов по исполнению договора;
5) необоснованный рост дебиторской задолженности.
Возможные индикаторы R4.8CS3.:
1) отсутствие договоров с клиентами, которым оказаны услуги по оперированию грузовыми вагонами;
2) необоснованный рост дебиторской задолженности.</t>
  </si>
  <si>
    <t xml:space="preserve">R4.9.CS1. Представители ЦЖС/ГП при предоставлении в аренду подъездных путей, неиспользуемых при предоставлении регулируемых услуг отдают неправомерное предпочтение таким лицам, от которых они получают незаконное вознаграждение / иную выгоду, либо наоборот необоснованно затягивают сроки рассмотрения заявки или отказывают лицам, с которыми они в сговор не вступали.   </t>
  </si>
  <si>
    <t>Возможные индикаторы:                                                                                                                                                                                                                                                                                                                                                                                                                                                               1) наличие нарушений установленного порядка передачи  в аренду подъездных путей, неиспользуемых при предоставлении регулируемых услуг;
2) отсутствие прозрачности процесса предоставления в аренду подъездных путей, неиспользуемых при предоставлении регулируемых услуг;
3) отсутствие контрольных проверок за процессом передачи в аренду подъездных путей, неиспользуемых при предоставлении регулируемых услуг.</t>
  </si>
  <si>
    <t>Возможные индикаторы:
1) наличие нарушений установленного порядка передачи  в аренду подъездных путей, неиспользуемых при предоставлении регулируемых услуг;
2) отсутствие прозрачности процесса предоставления в аренду подъездных путей, неиспользуемых при предоставлении регулируемых услуг;
3) отсутствие контрольных проверок за процессом передачи в аренду подъездных путей, неиспользуемых при предоставлении регулируемых услуг.</t>
  </si>
  <si>
    <t xml:space="preserve">R4.10.CS1. Представители ГП в сговоре с грузоотправителем, от которого получают незаконное вознаграждение / иную выгоду, принимают и отправляют грузы, не соответствующие параметрам, заявленным в ж/д накладной.  </t>
  </si>
  <si>
    <t>Возможные индикаторы:                                                                                                                                                                                                                                                                                                                                                                                                                                                               1) наличие жалоб от грузотправителей/грузополучателей;
2) отсутствие контрольных проверок за процессом приема и отправки грузов.</t>
  </si>
  <si>
    <t>R4.10.CS1. Ответственные лица ГП создают условия для коррупционных проявлений путем безосновательного отклонения заявок грузоотправителей, которое приводит к простою вагонов и предъявлению штрафных санкций со стороны собственников вагонов.</t>
  </si>
  <si>
    <t>R5.1CS1. Сговор с третьими лицами, аффилированными с представителем Компании или выплачивающими ему  незаконное вознаграждение/предлагающими иную выгоду с целью финансирования экономически необоснованного инвестиционного проекта.</t>
  </si>
  <si>
    <t>Возможные индикаторы:
1) решение о финансировании инвестиционного проекта было принято вопреки экспертному заключению заинтересованных структурных подразделений; 
2) решение о финансировании инвестиционного проекта было принято на закрытом заседании Инвестиционного комитета; 
3) нарушение процедуры мониторинга исполнения проекта.</t>
  </si>
  <si>
    <t>R5.2CS1. Сговор с третьими лицами, аффилированными с представителем Компании или выплачивающими ему  незаконное вознаграждение/предлагающими иную выгоду с целью завышения стоимости объекта при M&amp;A сделки или изменении доли участия/пакета акций в уставном капитале Компании и иных юридических лиц.</t>
  </si>
  <si>
    <t>Возможные индикаторы:
1) отсутствие независимой оценки активов при сделках M&amp;A под контролем Совета директоров; 
2) наличие аффилированности между сторонами сделки M&amp;A.</t>
  </si>
  <si>
    <t>R5.3CS1. Сговор с третьими лицами, аффилированными с представителем Компании или выплачивающими ему  незаконное вознаграждения/предлагающими иную выгоду с целью реализации/приватизации непрофильных активов на нерыночных условиях.</t>
  </si>
  <si>
    <t xml:space="preserve">Возможные индикаторы:
1) отсутствие независимой оценки реализуемых активов или проведение такой оценки с существенными нарушениями; 
2) привлечение третьих лиц в качестве агентов/посредников для осуществления сделки, размер вознаграждения которых существенно отличается от стандартного для аналогичных сделок Компании; 
3) наличие аффилированности между сторонами сделки по реализации актива Компании. </t>
  </si>
  <si>
    <t>R7.1.CS1. Подкуп представителей уполномоченного государственного органа представителями Компании с целью привлечения государственного финансирования (в том числе субсидий и налоговых льгот), а также с целью обоснования  и утверждения тарифов на регулируемые услуги Компании.
R7.1.CS2. Подкуп представителей уполномоченного государственного органа представителями Компании с целью получения лицензий, сертификатов, разрешений, патентов и т.п. Компанией.
R7.1.CS3. Подкуп представителей уполномоченных органов представителями Компании при рассмотрении законопроектов с целью лоббирования  интересов Компании.
R7.1.CS4. Подкуп представителей государственных органов представителями Компании  при проведении проверок (проверки Налогового комитета, Счетного комитета, Транспортной прокуратуры и др.) с целью сокрытия фактов нарушений /уклонения от уплаты штрафов.
R7.1.CS5. Подкуп представителей государственных органов работниками Компании/  третьими лицами, представляющими интересы Компании при проведении  претензионно-исковой работы с целью получения положительного решения суда.</t>
  </si>
  <si>
    <t>Возможные индикаторы:
1) наличие нарушений установленного порядка получения государственного финансирования и утверждения тарифов;
2) наличие нарушений установленного порядка получения лицензий, сертификатов, разрешений, патентов и т.п.;
3) отсутствие внутреннего документа, регламентирующего порядок взаимодействия Компании с государственными органами;
4) отсутствие чёткого обоснования сумм государственного финансирования (в том числе субсидий и налоговых льгот);
5) отсутствие чёткого обоснования сумм тарифов, выделения субсидий и налоговых льгот;
6) отсутствие прозрачности процесса взаимодействия Компании с государственными органами.</t>
  </si>
  <si>
    <t>R8.1CS1. Подкуп иностранных должностных лиц представителями Компании/третьими лицами, представляющими интересы Компании с целью воздействия на иностранных должностных лиц, чтобы данные лица в силу занимаемой ими должности могли обеспечить Компании определённые выгоды или предоставить защиту.</t>
  </si>
  <si>
    <t>Возможные индикаторы:
1) наличие необоснованно частого взаимодействия представителей Компании с иностранным должностным лицом;
2) отсутствие прозрачности процесса взаимодействия Компании с иностранными должностными лицами.</t>
  </si>
  <si>
    <t>R9.1CS1. Сговор представителей контрольно-ревизионных подразделений  с проверяемыми подразделениями Компании с целью сокрытия выявленных фактов несоответствий и нарушений и  получения от них незаконного вознаграждения или иной выгоды.</t>
  </si>
  <si>
    <t>Возможные индикаторы:
1) Отсутствие в отчётах контрольно-ревизионных подразделений/органов АО «НК «ҚТЖ» несоответствий и нарушений, а также виновных лиц.</t>
  </si>
  <si>
    <t xml:space="preserve">R10.1.CS1. . Сговор с представителями банка второго уровня РК/иностранного банка, аффилированными с представителем Компании, или выплачивающими ему незаконное вознаграждение/предлагающими иную выгоду при выборе  банка для размещения денежных средств/закупки зарплатного проекта с целью получения личной выгоды.    </t>
  </si>
  <si>
    <t>Возможные индикаторы:
1) выбор банка без надлежащего сравнительного анализа предлагаемых банками условий;
2) отсутствие надлежащей процедуры мониторинга кредитного рейтинга банка;
3) отсутствие надлежащей процедуры принятия органами Компании решения о размещении денежных средств в банках.</t>
  </si>
  <si>
    <t>R10.2.CS1. Сговор с представителями банка второго уровня РК/иностранного банка/финансового института, аффилированными с представителем Компании, или выплачивающими ему незаконное вознаграждение/предлагающими иную выгоду при выборе финансового учреждения для привлечения Компанией займа с целью получения личной выгоды.</t>
  </si>
  <si>
    <t>Возможные индикаторы:
1) выбор банка/института развития без надлежащего сравнительного анализа предлагаемых банками/институтами развития условий предоставления займа и/или выбор малоизвестного банка и/или не имеющего кредитного рейтинга и/или с негативной репутацией;
2) отсутствие надлежащей процедуры мониторинга рейтинга банка/института развития;
3) отсутствие надлежащей процедуры принятия органами Компании решения о привлечении займа.</t>
  </si>
  <si>
    <t xml:space="preserve">R10.3.CS1. Сговор с представителями с представителями организаций, оказывающих финансовые и юридические консультационные услуги, аффилированными с представителем Компании, или выплачивающими ему незаконное вознаграждение/предлагающими иную выгоду по вопросам организации размещения долговых ценных бумаг Компании, с целью получения личной выгоды. </t>
  </si>
  <si>
    <t>Возможные индикаторы:
1) выбор организации, оказывающей финансовые/юридические консультационные услуги по вопросам организации размещения долговых ценных бумаг, не имеющей достаточного опыта в аналогичных сделках или на аналогичных рынках капитала;
2) отсутствие надлежащей процедуры мониторинга рейтинга организаций, оказывающей финансовые/юридические консультационные услуги;
3) отсутствие надлежащей процедуры принятия органами АО «НК «ҚТЖ» решения о выборе организации, оказывающей финансовые/юридические консультационные услуги.</t>
  </si>
  <si>
    <t xml:space="preserve">R11.1.CS1. С целью извлечения личной выгоды и иных преимуществ, руководители региональных подразделений Компании скрывают факт производственного травматизма/несчастного случая в сговоре с работниками или третьими лицами.                     </t>
  </si>
  <si>
    <t xml:space="preserve">Возможные индикаторы:
1) наличие жалоб со стороны работников либо третьих лиц;
2) письма и акты реагирования уполномоченного органа в области охраны труда;
3) необоснованная выплата заработной платы работникам Компании. </t>
  </si>
  <si>
    <t xml:space="preserve">Подписание руководителями региональных подразделений Компании при приеме на работу или продолжении трудовых отношений антикоррупционных ограничений, а также обязательств должностных лиц и работников следовать  и неукоснительно соблюдать антикоррупционное законодательство РК и Политику противодействия коррупции </t>
  </si>
  <si>
    <t>CRR-2</t>
  </si>
  <si>
    <t>CRR-3</t>
  </si>
  <si>
    <t>CRR-4</t>
  </si>
  <si>
    <t>CRR-5</t>
  </si>
  <si>
    <t>CRR-6</t>
  </si>
  <si>
    <t>CRR-7</t>
  </si>
  <si>
    <t>CRR-8</t>
  </si>
  <si>
    <t>CRR-9</t>
  </si>
  <si>
    <t>CRR-10</t>
  </si>
  <si>
    <t>CRR-11</t>
  </si>
  <si>
    <t>Необоснованное завышение Плана расходов</t>
  </si>
  <si>
    <t>Несвоевременная оплата по договору</t>
  </si>
  <si>
    <t>Установление квалификационных и иных требований, не соответствующих должности</t>
  </si>
  <si>
    <t>Найм работников, не соответствующих квалификационным и иным требованиям</t>
  </si>
  <si>
    <t>Найм работников, ранее привлекавшихся к ответственности за коррупционные правонарушения</t>
  </si>
  <si>
    <t>Риск принятия региональными руководителями Компании необъективных кадровых решений в части выбора финального кандидата</t>
  </si>
  <si>
    <t>Риск  коррупции и/или мошенничества при реализации проездных документов (билетов на железнодорожный транспорт)</t>
  </si>
  <si>
    <t>Риск коррупции и/или мошенничества при реализация услуг контейнерных перевозок грузов железнодорожным транспортом и транспортно-экспедиторское обслуживание</t>
  </si>
  <si>
    <t>Риск сокрытия несчастного случая на производстве</t>
  </si>
  <si>
    <t>Коррупционные риски в сфере закупок</t>
  </si>
  <si>
    <t>Коррупционные риски в сфере управления персоналом</t>
  </si>
  <si>
    <t>Коррупционные риски в сфере дарения/принятия подарков, представительских рассходов</t>
  </si>
  <si>
    <t>Коррупционные риски в сфере оказания услуг</t>
  </si>
  <si>
    <t>Коррупционные риски в сфере инвестиционной деятельности, приватизации и реализации активов</t>
  </si>
  <si>
    <t>Коррупционные риски при взаимодействии с государственными органами</t>
  </si>
  <si>
    <t>Коррупционные риски при взаимодействии с иностранными должностными лицами и третьими лицами</t>
  </si>
  <si>
    <t>Коррупционные риски сговора работников контрольно ревизионных подразделений с проверяемыми структурными подразделениями, дочерними и зависимыми организациями</t>
  </si>
  <si>
    <t>Коррупционные риски при взаимодействии с финансовыми организациями</t>
  </si>
  <si>
    <t>Коррупционные риски в сфере охраны труда и техники безопасности</t>
  </si>
  <si>
    <t>Коррупционные риски в сфере дарения/принятия подарков, представительских расходов</t>
  </si>
  <si>
    <t>Коррупционные риски сговора работников контрольно-ревизионных подразделений с проверяемыми структурными подразделениями, дочерними и зависимыми организациями</t>
  </si>
  <si>
    <t>ПРАВОВОЙ РИСК</t>
  </si>
  <si>
    <t>Водопад внутри респ оборот</t>
  </si>
  <si>
    <t>ПЛАН @Risk</t>
  </si>
  <si>
    <t>Водопад импорт</t>
  </si>
  <si>
    <t>Водопад экспорт</t>
  </si>
  <si>
    <t>Водопад транзит</t>
  </si>
  <si>
    <t>СТРАТЕГИЧЕСКИЙ РИСК</t>
  </si>
  <si>
    <t>ТЕХНОЛОГИЧЕСКИЕ РИСКИ</t>
  </si>
  <si>
    <t>РИСКИ НИОКР</t>
  </si>
  <si>
    <t>КЛИМАТИЧЕСКИЕ РИСКИ</t>
  </si>
  <si>
    <t>РИСКИ КОРПОРАТИВНОГО УПРАВЛЕНИЯ</t>
  </si>
  <si>
    <t>Риски предъявления судебных исков</t>
  </si>
  <si>
    <t>стоп</t>
  </si>
  <si>
    <t>Снижение конкурентоспособности железнодорожного транспорта вследствие отставания от технического и технологического
развития других видов транспорта</t>
  </si>
  <si>
    <t>Недостаточный уровень внедрения и использования современных научно-технических разработок</t>
  </si>
  <si>
    <t>Недостаточный уровень кооперации с зарубежными лидерами в области развития и использования инновационных
технологий в сфере железнодорожного машиностроения</t>
  </si>
  <si>
    <t>Отставание ликвидации ограничений смежных видов транспорта (мощностей портов, складских терминалов) от реализации
инвестиционной программы или программы развития компании</t>
  </si>
  <si>
    <t>Неудовлетворение потребностей рынка грузовых перевозок вследствие неэффективной работы парка грузовых вагонов</t>
  </si>
  <si>
    <t>Существенное изменение структуры грузооборота по типам грузов и направлениям относительно прогнозируемых значений</t>
  </si>
  <si>
    <t>Риски, связанные с изменением физических параметров климата</t>
  </si>
  <si>
    <t>Недостаток инвестиций в развитие инфраструктуры</t>
  </si>
  <si>
    <t>ЭКОЛОГИЧЕСКИЕ И КЛИМАТИЧЕСКИЕ РИСКИ</t>
  </si>
  <si>
    <t>Не укомплектованность штата,  работников связанных с движением поездов и инспекторов по охране труда,</t>
  </si>
  <si>
    <t>Профицит вагонного парка в грузовом движении</t>
  </si>
  <si>
    <t>OR-10</t>
  </si>
  <si>
    <t>Income of intra-republican cargo turnover</t>
  </si>
  <si>
    <t>Income of freight turnover from exports</t>
  </si>
  <si>
    <t>Income of freight turnover from imports</t>
  </si>
  <si>
    <t>Income of transit cargo turnover</t>
  </si>
  <si>
    <t>RISK OF PASSENGER TURNOVER</t>
  </si>
  <si>
    <t>WAGON OPERATING</t>
  </si>
  <si>
    <t>Нарушения Трудового кодекса Республики Казахстан</t>
  </si>
  <si>
    <t>eng</t>
  </si>
  <si>
    <t>Intermodal risk from the private sector (main 2 competitors are TTT Service, Dar Rail, possibly up to 8 private carriers)</t>
  </si>
  <si>
    <t>Decrease in demand from shippers (Kz)</t>
  </si>
  <si>
    <t xml:space="preserve">Intermodal competition from alternative modes of transport (air, road, water transport) (Kz)
</t>
  </si>
  <si>
    <t xml:space="preserve">Standard speed of cargo delivery, 330 km / day
</t>
  </si>
  <si>
    <t>PLAN</t>
  </si>
  <si>
    <t>PLAN @Risk</t>
  </si>
  <si>
    <t>Decreased demand from import shippers</t>
  </si>
  <si>
    <t>(A) Intermodal competition from alternative modes of transport (air, road, water transport) (imp)</t>
  </si>
  <si>
    <t xml:space="preserve">(P) Standard delivery speed, 220 km / day (imp)
</t>
  </si>
  <si>
    <t>Decreased demand from export shippers</t>
  </si>
  <si>
    <t>Competition of intra-modal risks from the railway sector of other states (modern rolling stock of Russian railways and empty return transit routes) (exp)</t>
  </si>
  <si>
    <t>Intermodal competition from alternative modes of transport (air, road, water transport) (exp)</t>
  </si>
  <si>
    <t>Standard speed of cargo delivery, 220 km / day (exp)</t>
  </si>
  <si>
    <t xml:space="preserve">(A) Intermodal competition from alternative modes of transport (air, road, water transport) (tran)
</t>
  </si>
  <si>
    <t>Risk of competition due to deterioration in the quality of services provided</t>
  </si>
  <si>
    <t>Private sector competition risk</t>
  </si>
  <si>
    <t>Standard speed of cargo delivery, 220 km / day (tran)</t>
  </si>
  <si>
    <t>Failure to comply with the standard speed of a freight container train 1150 km / day</t>
  </si>
  <si>
    <t>ФАКТОРЫ РИСКА�УРОВЕНЬ 2</t>
  </si>
  <si>
    <t>ФАКТОРЫ РИСКА �УРОВЕНЬ 3</t>
  </si>
  <si>
    <t>0</t>
  </si>
  <si>
    <t>02</t>
  </si>
  <si>
    <t>1</t>
  </si>
  <si>
    <t>0,5</t>
  </si>
  <si>
    <t>0,3</t>
  </si>
  <si>
    <t>03</t>
  </si>
  <si>
    <t>04</t>
  </si>
  <si>
    <t>05</t>
  </si>
  <si>
    <t>Риски доходов внутриреспубликанского грузооборота, млн.тнг</t>
  </si>
  <si>
    <t>Риски доходов грузооборота экспорта, млн.тнг</t>
  </si>
  <si>
    <t>Риски доходов грузооборота импорта, млн.тнг</t>
  </si>
  <si>
    <t>Риски доходов транзитного грузооборота, млн.тнг</t>
  </si>
  <si>
    <t>Extension of the temporary ban on receiving cargo in the PRC</t>
  </si>
  <si>
    <t>Risks of income of import cargo turnover, million tenge</t>
  </si>
  <si>
    <t>Income risks of intra-republican cargo turnover, KZT mln</t>
  </si>
  <si>
    <t>Risks of income of export cargo turnover, million tenge</t>
  </si>
  <si>
    <t>Income risks of transit cargo turnover, KZT mln</t>
  </si>
  <si>
    <t>INHERENT RISKS</t>
  </si>
  <si>
    <t>ПРИСУЩИЕ РИСКИ</t>
  </si>
  <si>
    <t>ОСТАТОЧНЫЕ РИСКИ</t>
  </si>
  <si>
    <t>RESIDUAL RISKS</t>
  </si>
  <si>
    <t>Доход от грузооборота</t>
  </si>
  <si>
    <t>Доход от оперирования</t>
  </si>
  <si>
    <t>Доход от пассажирских перевозок</t>
  </si>
  <si>
    <t>ПЛАН 2021</t>
  </si>
  <si>
    <t>ПЛАН @RISK</t>
  </si>
  <si>
    <t>PLAN 2021 @RISK</t>
  </si>
  <si>
    <t>Увеличение закупочной стоимости рельс поставщиком ТОО "Актюбинский рельсо-балочный завод"</t>
  </si>
  <si>
    <t xml:space="preserve">Риск невозврата инвестиций вложенных при выкупе доли участия в уставном капитале ТОО «KIF Warehouses»  ввиду первоначальной независимой оценки доли выкупа. </t>
  </si>
  <si>
    <t>ПЛАН 6 мес</t>
  </si>
  <si>
    <t>ФАКТ 6 мес</t>
  </si>
  <si>
    <t>Риск конкуренции от крупных компаний и частного сектора (основные конкуренты: ТОО «KTZE-Khorgos Gateway», ТОО «Евротранзит – КТС» по ст.Алтынколь;  ТОО «Tengri Dostyk», ТОО "Достык Транс Терминал", ТОО "DOSTYK CARGO SERVICE" по ст.Достык)</t>
  </si>
  <si>
    <t>Угроза</t>
  </si>
  <si>
    <t xml:space="preserve">Влияние снижения доли рынка ПРР на доходность             </t>
  </si>
  <si>
    <t xml:space="preserve">Доля КДТС на рынке переработки вагонов, 4,8%   Доля КДТС на рынке переработки контейнеров, 37% </t>
  </si>
  <si>
    <t xml:space="preserve">Снижение объемов переработки грузов </t>
  </si>
  <si>
    <t xml:space="preserve">Влияние увеличения объемов по ПРР на доходность             </t>
  </si>
  <si>
    <t xml:space="preserve"> Процент удовлетворенности клиентов по ПРР,  % Влияние факта сезонности на объемы, %          Простой спец.техники, убытки, млн.тенге      
</t>
  </si>
  <si>
    <t xml:space="preserve">1) Доля на рынке по перегрузу на ст. Достык и Алтынколь в 2 полугодии 2021г.: контейнеры - 38%, вагоны  - 47%; 2) уменьшение доли на рынке произошло по причине деятельности альтернативного перегрузочного терминала ТОО «Dostyk Cargo service». </t>
  </si>
  <si>
    <t xml:space="preserve">Плановые показатели по выручке  исполнены на 104%, план по операционной прибыли выполнен на 154%  выполнение объемов по перегрузу вагонов сложилось на уровне 362 тыс. тонн, по отношению к плану рост на +3% (за счет увеличения объема перегруза вагонов по станции Алтынколь в связи с ростом рынка вагонов), по перегрузу контейнеров объёмы выполнены на уровне планового показателя и составили 151 тыс. ДФЭ. 
Выручка по данному виду деятельности составила 5 370 млн. тенге, перевыполнение планового уровня на +4%, за счет роста объёмов в тоннаже и сезонного взимания сборов за крепление контейнеров по станции Бесколь, не предусмотренного планом продаж.
</t>
  </si>
  <si>
    <t xml:space="preserve">Текущая загруженность перегрузочных площадок составляет по контейнерам 79% и вагонам 11% по ст. Достык и по контейнерам 11% и вагонам 8% по ст. Алтынколь.Текущая загруженность перегрузочных площадок составляет по контейнерам 79% и вагонам 11% по ст. Достык и по контейнерам 11% и вагонам 8% по ст. Алтынколь. Справочно: неиспользованные мощности площадок Общества на станции Достык превышают 12 000 ДФЭ в месяц, перегрузочная мощность ПМ 4А станции Достык составляет 1000 контейнеров (ДФЭ) в сутки при бесперебойной подаче вагонов на терминал (11 поездов\сут.).
Мощность контейнерного терминала по станции Алтынколь составляет 1500 контейнеров в ДФЭ в сутки при фактической среднесуточной загруженности - 1 поезд или 73 контейнера (при бесперебойной подаче вагонов на терминал (в сутки 15 поездов). 
В связи с прекращением эксплуатации с 07 августа 2020 года перегрузочного места ПМ4Б на станции Достык возникает риск потери дохода Общества в 2021 году оценочно в 1 313 млн. тенге. 
При этом, за счет переориентации объема перегруза контейнеров на перегрузочное место ПМ 4А (открытого типа) доход в 2020 году составил 2 724 млн. тенге, ч к 2019 году показывает рост +1 189 млн. тенге или +77%.
В случае прекращения эксплуатации перегрузочного места ПМ5 с июля 2021 года возникает риск потери дохода Общества в 2021 году оценочно в размере 114 млн. тенге.
</t>
  </si>
  <si>
    <t>Доля на рынке по терминальным услугам в РК – 35% по контейнерам и 6,3% по вагонам. По вагонам по сравнению с 2020 годом произошло снижение доли на -6%. Объёмные показатели по переработке вагонов составили 657 тыс. тонн, неисполнение планового уровня на (-15%), также на снижение объёмов повлияло падение рынка к плану на (-41%), что отрицательно сказалось на исполнение показателей по выручке</t>
  </si>
  <si>
    <t xml:space="preserve">Письмом от 13.05.2021 года в адрес АО «НК «КТЖ» и АО «ФНБ «Самрук Казына» от ТОО "Актюбинский рельсобалочный завод« направлено уведомление об увеличении цен на сырье и о возможности индексации цен с привязкой к курсу доллара США либо повышения цены с 1 июля текущего года.
Сырьем для производства рельс Р65 типа ДТ350 является непрерывнолитая заготовка, цены на которую зависят от котировок квадрата FOB Черное море, формируемых на открытом рынке. С прошлого года произошел существенный рост на квадратную заготовку с 411USD/т в сентябре 2020 года, т.е на 33,6% до 549USD/т в декабре 2020 года, 13.05.2021 года цена на квадрат поднялась до 735USD/т или на 33% с конца 2020г.
</t>
  </si>
  <si>
    <t xml:space="preserve">Предпосылки к нарушениям безопасности движения 
</t>
  </si>
  <si>
    <t>Риск неполучения/ неполного получения государственных субсидий</t>
  </si>
  <si>
    <t>ЦИП, ГП</t>
  </si>
  <si>
    <t>Применение навигационных пломб</t>
  </si>
  <si>
    <t>STR-2</t>
  </si>
  <si>
    <t>Информационная безопасность (Утечка конфиденциальной информации Компании), в том числе в связи с передачей коммерческих электронных документов и сведений в навигационную пломбу</t>
  </si>
  <si>
    <t>Application of navigation seals</t>
  </si>
  <si>
    <t>EPIDEMIOLOGICAL RISK</t>
  </si>
  <si>
    <t>TARIFF RISK/PRICE RISK</t>
  </si>
  <si>
    <t>TRAFFIC AND LABOR SAFETY RISK</t>
  </si>
  <si>
    <t>HR RISKS</t>
  </si>
  <si>
    <t>REPUTATION RISK</t>
  </si>
  <si>
    <t>PLAN 6mnth</t>
  </si>
  <si>
    <t>FACT 6 mnth</t>
  </si>
  <si>
    <t>Income of freight turnover</t>
  </si>
  <si>
    <t>ФАКТОРЫ РИСКА
УРОВЕНЬ 3</t>
  </si>
  <si>
    <t>ФАКТОРЫ РИСКА
УРОВЕНЬ 4</t>
  </si>
  <si>
    <t>1. Дефицит маневровых и поездных  локомотивов. Риск своевременной доставки грузов, а также своевременности  подачи и уборки вагонов по заявке клиента;                                                   2. Несохранность перевозимых грузов;                                                    3. Длительные сроки оформления документов и доставки груза.                         4. Риск длительного рассмотрения претензий/жалоб</t>
  </si>
  <si>
    <t>данные маркетиноговой службы по результатам анкетирования, КПД ГП.      информация от ЦМТ</t>
  </si>
  <si>
    <t>Изменение структуры грузов</t>
  </si>
  <si>
    <t>1. Нарушение цепочки поставок;                                    2. Мировой рост цен на зерно</t>
  </si>
  <si>
    <t>Интермодальная конкуренция со стороны альтернативных видов транспорта (воздушный,автомобильный, водный транспорт)</t>
  </si>
  <si>
    <t>1. Короткие плечи обработки поездов;</t>
  </si>
  <si>
    <t xml:space="preserve">1. Проведение осмотра поездов на промежуточных станциях;                                                                                2. Наличие морально и физически изношенного подвижного состава;                  3. Отсутствие централизованной системы технического контроля состояния подвижного состава.  </t>
  </si>
  <si>
    <t xml:space="preserve">2.  Длительное время проведения "окон" (от 4 до 10 часов) </t>
  </si>
  <si>
    <t>1. Отсутствие профилактических "окон" (1 час на двухпутных участках, 2 часа на однопутных участках);                                                       2. Сокращение штата путейских работников.</t>
  </si>
  <si>
    <t xml:space="preserve">3. Низкая пропускная способность некоторых участков сети; </t>
  </si>
  <si>
    <t>1. Хаотичное движение порожних вагонов;                                                    2. Низкий тариф на превозку порожнего вагона к ставкам за простой на станционных путях;             3. Отсутствие предузловых станций для скрещения и обгона поездов;                                                         4. Восстановление вторых путей (Никельтау-Кандыагаш);                        5. Строительство 2 путей (Арыс-Сексеул, Тобол-Кандыагаш, Кандыагаш-АтырауАрыс-Сексеул, Тобол-Кандыагаш, Кандыагаш-Атырау);                                                   6. Строительство соединительного участка Айсары – Чкалово-Кокшетау                                                                                    7. Удлинение премоотправочных путей на некоторых станциях;                                      8. Строительство и модернизация раздельных пунктов и станций.</t>
  </si>
  <si>
    <t>4. Изменение технологии формирования поездов</t>
  </si>
  <si>
    <t>1. Снижение струй из-за вхождения на рынок частных перевозчиков, приводящая к увеличению простоя вагонов на станциях по формированию сборных поездов;                                                    2. Закрытие крупных производств в восточном регионе страны, приведшая к необходимости передачи групп вагонов для формирования/ расформирования  сборных поездов в направлении Семея и Усть-Каменогорска и увеличению времени ожидания вагонов для формирования сборных поездов;                                                   3. Формирование графика движения поездов без учета необходимости формирования/расформирования на сортировочных станциях.</t>
  </si>
  <si>
    <t xml:space="preserve">1.  Проведение опроса грузоотправителей для выявления проблемных вопросов по взаимодействию с участниками процесса перевозки грузов;                                                                                                                                                                                                                                                                   2. Разработка и мониторинг плана мероприятий по результатам анкетирования клиентов по улучшению качества обслуживания клиентов. Информирование клиентов о реализации предложений, указанных в анкете.                                                                                                                                                                                                        
3. Улучшение программы АСУ ДКР (переход на безбумажное оформление перевозочных документов, реализация мобильного приложения АСУ ДКР);                                                                                                                                 
4. Создание роликов в социальных сетях и на сайте ТОО "КТЖ-Грузовые перевозки" с пошаговой инструкцией для клиентов;                                                                                                                                                                          5. Отмена повторного запроса учредительных документов у клиентов путем формирования базы по клиентам.                                                                  6. Проведение встреч (конференций с применением программ удаленного доступа) с участием грузоотправителей и грузополучателей (зерновики, угольщики) .                                                                                                                                                                   7. Проведение мониторинга строительства альтернативных участков железных дорог в обход Казахстана;                                                                                                                 8. Проведение мониторинга государственной поддержки перевозки грузов на дальние расстояния внутри государства;                         9. Проведение встреч (конференций с применением программ удаленного доступа) с участием работников соседниж ЖДА;    10. Увеличение процента вакцинированных сотрудников:                                                                                                                                        11. Разработка и реализация программы контейнеризации грузов;                                                                                                                        12. Привлечение локомотивов сторонних организаций;                                                                                                                                                    13. Применение локомобилей для подачи/уюорки групп вагонов с выставочных путей станции до горузоплучателей.                 14. Заключение соглашений о совместном сотрудничестве с владельцами терминалов и подъездных путей;                                 15. Запуск электронной площадки торговли комлексной услуги по перевозке грузов.                                                                                </t>
  </si>
  <si>
    <t xml:space="preserve">1. Оптимальное направление вагонопотока с наименьшими экономическими затратами, исключающая нарушение сроков доставки;                                                                                                                                                                                                                            2.Увеличение участковой скорости грузовых поездов;                                                                                                                                                                                     3. Создание централизованной системы технического контроля состояния подвижного состава.                                                                      4. Своевременное рассмотрение претензий причастными структурными подразделениями.                                                                                                  5. Обновление/оздоровление тягового подвижного состава;                                                                                                                                                                           6. Уменьшение времени уборки/подачи вагонов с/на фронты погрузки;                                                                                                                                         7. Уменьшение времени переработки грузовых поездов на сортировочных станциях;                                                                                                                        8. Улучшение технического состояния магистральных и станционных путей;                                                                                                                                                                                              9.Увеличение плеч обслуживания локомотивов и грузовых вагонов.                                                                                                                                                   10. Уменьшение количества станций по обработке поездов:  Восстановление предузловых станций для скрещения и обгона поездов;                                                                                                                                                                                                                                       11. Восстановление вторых путей (Никельтау-Кандыагаш);                                                                                                                                              12. Строительство 2 путей (Арыс-Сексеул, Тобол-Кандыагаш, Кандыагаш-АтырауАрыс-Сексеул, Тобол-Кандыагаш, Кандыагаш-Атырау);                                                                                                                                                                                                            13.. Строительство соединительного участка Айсары – Чкалово-Кокшетау                                                                                                           14. Удлинение премоотправочных путей на некоторых станциях;                                                                                                                           15. Строительство и модернизация раздельных пунктов и станций;                                                                                                                                   16.. Внесение изменений в правила фиормирования графика движения поездов на участках МЖС с малыми грузопотоками;  17. Увеличение тарифа на перевозку порожних вагонов:                                                                                                                                                18. Восстановление предузловых станций для скрещения и обгона поездов;                                                                                                                      19. Доработка АСУ ДКР в части планирования перевозки порожних вагонов при условии наличия заявок грузоотправителей;                                                                                                                                                      20. Содержание штата путейских рабочих согласно объемов работ;                                                                                                                               21. Изменение технологии содержания пути в части проведения профилактических "окон";                                                                                      22. Разработка методики формирования графика движения поездов с учетом формирования сборных поездов в условиях малых струй;                                                                                                                                                                                                                                    23. Удлинение плеч обслуживания поездов;                                                                                                                                                                           24. Формирование ускоренных и длиносоставных поездов;                                                                                                                           25. Привлечение локомотивов сторонних организаций;                                                                                                                                                     26. Применение локомобилей для подачи/уюорки групп вагонов с выставочных путей станции до горузоплучателей. </t>
  </si>
  <si>
    <t>СТОИМОСТЬ МЕРОПРИЯТИЯ</t>
  </si>
  <si>
    <t xml:space="preserve">Риск ухудшения качества предоставляемых услуг </t>
  </si>
  <si>
    <t>1. Дальнейшее развитие ситуации с COVID 19. Появление новых штаммов                                                       2. Низкие темпы вакцинации;                                3. Снижение объемов производства;                                           4. Введение ограничений в связи с пандемией</t>
  </si>
  <si>
    <t xml:space="preserve">1. Риски цены на нефть;                                  2. Неравномерное восстановление мировой экономики;                                    3. Изменение базовой ставки НБ РК;                                                         4. Долгосрочная инфляция;                        5. Отсутствие восстановления частного потребления; </t>
  </si>
  <si>
    <t>Обзор удовлетворенности клиентов 
2018-  46,8%                                       2019- 64,8%                                          2020 - 65%                                      2021-66%</t>
  </si>
  <si>
    <t>1. Нехватка грузовых вагонов;                                           2. Неблагоприятные тарифные условия (в т.ч. сборы за дополнительные услуги);                                                       3. Длительные процедуры по оформлению перевозочных документов;                                                                          4. Несвоевременная доставка вагонов на станцию назначения;                                                                  5. Несвоевременная подача вагонов в связи с нехваткой маневровых локомотивов на отдаленных грузовых станциях.</t>
  </si>
  <si>
    <t>1. Снижение удельных затрат топлива на 1 ткм.;                                                          2. Строительство скоростных автомобильных дорог;                                 3. Увеличение грузоподъемности автомобилей до 50 тонн;                                      4. Наличие доступных информационных систем о предложениях по перевозке груза;                                               5. Простота заключения договора;                                         6. Развитие сети ТЛЦ.</t>
  </si>
  <si>
    <t>публикации в СМИ</t>
  </si>
  <si>
    <t xml:space="preserve">Доля рынка грузовых перевозок 
2018-46,5%                              2019-48%
2020-51,5%
</t>
  </si>
  <si>
    <t>1. Отсутствие профилактических "окон" (1 час на двухпутных участках, 2 часа на однопутных участках);                                                       2. Сокращение штата путейских работников;</t>
  </si>
  <si>
    <t>1. Хаотичное движение порожних вагонов;                                                    2. Низкий тариф на превозку порожнего вагона к ставкам за простой на станционных путях;             3. Восстановление предузловых станций для скрещения и обгона поездов;                                                        4. Восстановление вторых путей (Никельтау-Кандыагаш);                        5. Строительство 2 путей (Арыс-Сексеул, Тобол-Кандыагаш, Кандыагаш-АтырауАрыс-Сексеул, Тобол-Кандыагаш, Кандыагаш-Атырау);                                                   6. Строительство соединительного участка Айсары – Чкалово-Кокшетау                                                                                    7. Удлинение премоотправочных путей на некоторых станциях;                                      8. Строительство и модернизация раздельных пунктов и станций.</t>
  </si>
  <si>
    <t>1. Снижение струй из-за вхождения на рынок частных перевозчиков, приводящая к увеличению простоя вагонов на станциях по формированию сборных поездов;                       2. Закрытие крупных производств в восточном регионе страны, приведшая к необходимости передачи групп вагонов для формирования/ расформирования  сборных поездов в направлении Семея и Усть-Каменогорска и увеличению времени ожидания вагонов для формирования сборных поездов;                                      3. Формирование графика движения поездов без учета необходимости формирования/расформирования на сортировочных станциях.</t>
  </si>
  <si>
    <t xml:space="preserve">1.  Проведение опроса грузоотправителей для выявления проблемных вопросов по взаимодействию с участниками процесса перевозки грузов;                                                                                                                                                                                                                                                                   2. Разработка и мониторинг плана мероприятий по результатам анкетирования клиентов по улучшению качества обслуживания клиентов. Информирование клиентов о реализации предложений, указанных в анкете.                                                                                                                                                                                                        
3. Улучшение программы АСУ ДКР (переход на безбумажное оформление перевозочных документов, реализация мобильного приложения АСУ ДКР);                                                                                                                                 
4. Создание роликов в социальных сетях и на сайте ТОО "КТЖ-Грузовые перевозки" с пошаговой инструкцией для клиентов;                                                                                                                                                                          5. Отмена повторного запроса учредительных документов у клиентов путем формирования базы по клиентам.                                                                  6. Проведение встреч (конференций с применением программ удаленного доступа) с участием грузоотправителей и грузополучателей (зерновики, угольщики) .                                                                                                                                                                     7. Проведение мониторинга строительства альтернативных участков железных дорог в обход Казахстана;                                                                                                                 8. Проведение мониторинга государственной поддержки перевозки грузов на дальние расстояния внутри государства;                               9. Проведение встреч (конференций с применением программ удаленного доступа) с участием работников соседниж ЖДА;    10. Увеличение процента вакцинированных сотрудников:                                                                                                                                        11. Разработка и реализация программы контейнеризации грузов;                                                                                                                          12. Привлечение локомотивов сторонних организаций;                                                                                                                                                        13. Применение локомобилей для подачи/уюорки групп вагонов с выставочных путей станции до горузоплучателей.                 14. Заключение соглашений о совместном сотрудничестве с владельцами терминалов и подъездных путей;                                 15. Запуск электронной площадки торговли комлексной услуги по перевозке грузов.                                                                                </t>
  </si>
  <si>
    <t xml:space="preserve">1. Оптимальное направление вагонопотока с наименьшими экономическими затратами, исключающая нарушение сроков доставки;                                                                                                                                                                                                                            2.Увеличение участковой скорости грузовых поездов;                                                                                                                                                                                     3. Создание централизованной системы технического контроля состояния подвижного состава.                                                                       4. Своевременное рассмотрение претензий причастными структурными подразделениями.                                                                                                  5. Обновление/оздоровление тягового подвижного состава;                                                                                                                                                                           6. Уменьшение времени уборки/подачи вагонов с/на фронты погрузки;                                                                                                                                         7. Уменьшение времени переработки грузовых поездов на сортировочных станциях;                                                                                                                        8. Улучшение технического состояния магистральных и станционных путей;                                                                                                                                                                                              9.Увеличение плеч обслуживания локомотивов и грузовых вагонов.                                                                                                                                                   10. Уменьшение количества станций по обработке поездов:  Восстановление предузловых станций для скрещения и обгона поездов;                                                                                                                                                                                                                                 11. Восстановление вторых путей (Никельтау-Кандыагаш);                                                                                                                                    12. Строительство 2 путей (Арыс-Сексеул, Тобол-Кандыагаш, Кандыагаш-АтырауАрыс-Сексеул, Тобол-Кандыагаш, Кандыагаш-Атырау);                                                                                                                                                                                                             13. Строительство соединительного участка Айсары – Чкалово-Кокшетау                                                                                                                   14. Удлинение премоотправочных путей на некоторых станциях;                                                                                                                                 15. Строительство и модернизация раздельных пунктов и станций;                                                                                                                        16.. Внесение изменений в правила фиормирования графика движения поездов на участках МЖС с малыми грузопотоками;  17. Увеличение тарифа на перевозку порожних вагонов:                                                                                                                                               18. Восстановление предузловых станций для скрещения и обгона поездов;                                                                                                             19. Доработка АСУ ДКР в части планирования перевозки порожних вагонов при условии наличия заявок грузоотправителей;                                                                                                                                                      20. Содержание штата путейских рабочих согласно объемов работ;                                                                                                                           21. Изменение технологии содержания пути в части проведения профилактических "окон";                                                                                    22. Разработка методики формирования графика движения поездов с учетом формирования сборных поездов в условиях малых струй;                                                                                                                                                                                                                              23. Удлинение плеч обслуживания поездов;                                                                                                                                                                        24. Формирование ускоренных и длиносоставных поездов;                                                                                                                           25. Привлечение локомотивов сторонних организаций;                                                                                                                                                 26. Применение локомобилей для подачи/уюорки групп вагонов с выставочных путей станции до горузоплучателей. </t>
  </si>
  <si>
    <t xml:space="preserve">Риск конкуренции из-за ухудшения качества предоставляемых услуг 
</t>
  </si>
  <si>
    <t>1. Дальнейшее развитие ситуации с COVID 19. Появление новых штаммов                                                          2. Низкие темпы вакцинации;               3. Снижение объемов производства;                                                     4. Введение ограничений в связи с пандемией</t>
  </si>
  <si>
    <t xml:space="preserve">1. Риски цены на нефть;                              2. Неравномерное восстановление мировой экономики;                                    3. Изменение базовой ставки НБ РК;                                                          4. Долгосрочная инфляция;                      5. Отсутствие восстановления частного потребления; </t>
  </si>
  <si>
    <t xml:space="preserve">Риск появления на рынке новых частных перевозчиков в связи с выдачей лицензии перевозчика Министерством индустрии и инфраструктурного Развития РК более 45 организациям </t>
  </si>
  <si>
    <t>1. Низкие квалификационные требования к получателям лицензии.                                                                  2. Продвижение интересов олигархических структур;                                                       3. Создание картелей в составе перевозчика, владельцев вагонов и грузоотправителей</t>
  </si>
  <si>
    <t>Внутримодальные риски от конкуренции со стороны железнодорожного сектора других государств (современные подвижные составы российских железных дорог и порожние маршруты обратного транзита)</t>
  </si>
  <si>
    <t>1. Незначительное количество современных грузовых вагонов (нагрузка на ось 25 тн., крытых вагоновкрытых вагонов с верхними загрузочными люками, вместимостью  свыше 138 м3, зерновозов свыше 100 м3, длинобазные фитинговые вагоны);                                                                          2. Отсутствие вагонов в зависимости от сезона;                                                                                    3. Сокращение количества специализированных вагонов (думпкаров, изотермическиз вагонов, вагонов-рефрижераторов).</t>
  </si>
  <si>
    <t>1. Демпинг цен российскими операторами вагонов;                          2. Рост стоимости аренды вагонов.</t>
  </si>
  <si>
    <t>1. Снижение удельных затрат топлива на 1 ткм.;                                                       2. Строительство скоростных автомобильных дорог;                             3. Увеличение грузоподъемности автомобилей до 50 тонн;                                      4. Наличие доступных информационных систем о предложениях по перевозке груза;                                               5. Простота заключения договора;                                         6. Развитие сети ТЛЦ.</t>
  </si>
  <si>
    <t>1. Снижение струй из-за вхождения на рынок частных перевозчиков, приводящая к увеличению простоя вагонов на станциях по формированию сборных поездов;                       2. Закрытие крупных производств в восточном регионе страны, приведшая к необходимости передачи групп вагонов для формирования/ расформирования  сборных поездов в направлении Семея и Усть-Каменогорска и увеличению времени ожидания вагонов для формирования сборных поездов;                                                        3. Формирование графика движения поездов без учета необходимости формирования/расформирования на сортировочных станциях.</t>
  </si>
  <si>
    <t xml:space="preserve">Доля рынка грузовых перевозок 
2018-46,5%                      2019-48%
2020-51,5%
</t>
  </si>
  <si>
    <t xml:space="preserve">1. На станции Достык с 10.06.2021г. начато производство перегруза грузов/контейнеров в перегрузочном терминале ТОО «ДостыкТранс Терминал». Согласно оперативным данным в июне 2021 года на перегрузочном терминале ТОО «ДостыкТранс Терминал» перегружено 2681 контейнеров, фронт ДТТ позволяет принять и перегрузить целый контейнерный поезд. 
2. Плановые показатели незначительно снизились на -2,4% за счет уменьшения доли на -13% по причине деятельности альтернативного перегрузочного терминала ТОО «Dostyk Cargo service».  Доля ТОО «Dostyk Cargo service» выросла с 10,6%  до 22,2% по сравнению с прошлым годом.                                                                                                                                                                                                                                                 а) факты недособросовестной конкуренции, ценовой демпинг со стороны третьих лиц, тарифы МТТ (международный железнодорожный транспортный тариф)
б) понижение цен на рынке аналогичных услуг:
- на перегруз грузов, перевозимые насыпью и навалом во всех типах вагонов (кроме крытых). 
- на перегруз грузов, перевозимые насыпью и навалом в крытых вагонах
- на перегруз грузов, перевозимые в пакетах
- на перегруз грузов, перевозимые в таре, в упаковке или штучные
- на перегруз грузов, в таре, в упаковке или штучные с числом мест 1000 и более
- на перегруз крупнотоннажных контейнеров                                                                                                  
3. Высокая тарифная ставка в сравнении с конкурентами                
4. Увеличение расходов соиполнителей (услугодателей)      </t>
  </si>
  <si>
    <t>1. Несвоевременное обеспечение порожними вагонами по широкой колее со стороны КТТ. 
2. Дефицит фитинговых платформ с деревянными полами (по погрузке обороудования, техники)   
3. Задержка перегружаемых вагонов по техническим причинам                                                                                                                       
4. Задержка перегруза из-за несвоевременной подачи и уборки вагонов на перегрузочные места под погрузку и выгрузку                                                                                                                                                                                                                                                                       5. Нехватка погрузочно-разгрузочной техники                                                                                           
6. Неудовлетворительный клиентский сервис (порча грузов).                                                               
7. Задержка процесса во время сложных метеорологических условиях                 
8. Задержки в оформлении документов клиентов по зявкам                                                      
9. Инфраструктурное ограничение станций и терминалов                                                                                                 
10. Отсутствие вежливости работников при переговорах с клиентами                                        
11. Длительное рассмотрение обращений клиентов по проблемным вопросам          
12.Отсутствие квалифицированных кадров                 
13. Переток груза со ст. Достык на ст.Алтынколь из-за простоя             
14. Недостаточно эффективная система регулирования со стороны центрального аппарата и отсутствие долгосрочного видения по развитию Филиала, при условии ежегодного роста объемов перевозок через станцию Достык, а также отсутствие должной работы с собственником активов АО «KTZ Express» по модернизации производственных мощностей на ст. Алтынколь (контейнерная площадка-козловые краны) оказывают влияние на недополучение доходов и высокую степень износа основных средств, машин и механизмов</t>
  </si>
  <si>
    <t xml:space="preserve">Необходимость увеличения перегрузочных мощностей на ст. Достык и Алтынколь (износ 51%, реконструкция перегрузочных площадок и обновление погрузочной техники)
1. Недостаточные объемы инвестиций на модернизацию/обновления перегрузочной техники и технических средств
2. Не своевременная поставка перегрузочной техники согласно инвестиционной программы.
3. Не проведение капитального ремонта перегрузочной техники с истекшим сроком службы                                                                                                                                                                                                                                                                                                                                                                                       4. Отсутствие  обеспечения необходимыми запасными частями и материалами перегрузочной техники и механизмов (простой). Несвоевременная поставка реквизитов крепления и ТМЦ.                                                                        
5. Неэффективное использование перегрузочной техники и технических средств (простой).
6.  Случаи списания техники по техническому состоянию                                                                                                                    
7. Случаи повышения закупочных цен на комплектующие, аренду, ремонт и т.д.                                                                                                         
8. Аварийное состояние зданий и сооружений перегрузочных мест.  Неисправность перегрузочной техники и механизмов;                                                                                                          
9. Низкоквалифицированный персонал;                                                                                             
10. Нарушение условий охраны труда и техники безопасности.                                                                                               
11. Несвоевременное проведение весенних и осенних комиссионных осмотров зданий и сооружений перегрузочных мест, ж/д подъездных путей;                              
12. Отсутствие постоянного контроля за выполнением технического обслуживания перегрузочной техники и механизмов;
13. Отсутствие или несвоевременное межсезонные технические обслуживания и обеспечения необходимыми запасными частями и материалами перегрузочной техники и механизмов;
14. Отсутствие технических занятий по качественному перегрузу и сохранности грузов.     
15.  Нехватка порожних вагонов под перегруз                                                                                                   
16.  Несвоевременная организация подачи/уборки вагонов с перегрузочных мест станцией                                                       
</t>
  </si>
  <si>
    <t xml:space="preserve">                                                                                                                                                                                                                                                                                                                                                                                                                                      1. Завышенные тарифы в сравнении с конкурентами, в том числе за счет АО «Центр транспортного сервиса" по КФ Астана                                                                                                                                                                                                                                                                                                                                                                2. Отсутствие таможенного представителя, в том числе инспектора фито-санитарного осмотра                                                                                                                                                                                                                                                                                                                                                                         3. Отсутствие возможности филиалам самостоятельно предоставлять льготы  клиентам для оперативного обслуживания                                                                                                                                                                                                                                                                          4.Неудовлетворительный клиентский сервис из-за плохой инфраструктуры терминалов (склады, дороги территории).                                                                                                                                                        5. Снижение цен на рынке аналогичных услуг конкурирующими терминалами:                                                                                                                                                                                                                                                                                                                                                                                                 
- на услуги по терминальной обработке вагонов
- на услуги по терминальной обработке контейнеров  
6.    Отток клиентов к другим услугодателям                                              
7.Увеличение/уменьшение доли рынка по ПРР                                                                   
8. Увеличение расходов соиполнителей (услугодателей)                                                                              </t>
  </si>
  <si>
    <t xml:space="preserve">По деятельности терминалов План по выручке от деятельности терминалов не исполнен на -31%, в основном, за счет снижения переработки вагонов в тоннаже на -18%, в следствии снижения обьемов рынка и доли Общества (сказалось снижение объемов импорта из КНР вследствие карантина). Также на снижение доходов и объёмов повлиял сход вагонов на КФ Алматы-1 в период с 24.02.2021 г. по 17.03.2021 г. (доля Алматы-1 в структуре доходов КДТС от терминальной деятельности составляет 21 %). Условные потери доходов на КФ Алматы-1 за период схода составили 42 млн. тенге.                                 
1. Увеличение времени обработки вагонов на станциях перед подачей на терминалы                                                                                                                                                                              
2. Уменьшение объемов прибытия вагонов, контейнеров на терминалы                                                                                                                           
3. Несвоевременная подача/уборка вагонов на терминалы, перестановка вагонов по фронтам погрузки/выгрузки                                                                                                                                      4. Увеличение прибытия вагонов с легковесными грузами (малый тоннаж).                     
5. Недостатчные объемы инвестиций на модернизацию/обновления погрузочной техники.
6. Не своевременная поставка погрузочной техники согласно инвестиционной программы.                                                                                                                                                                                                                                                                                                                                                           7. Непроведение капитального ремонта погрузочной техники с истекшим сроком службы
8. Списание техники по техническому состоянию                                                                                                                                                                                                                                                                                                                                                                                                                                                           9. Нехватка квалифицированных спецалистов                                                
10. Несоответствие СВХ требованиям таможенного кодекса РК                                                           
11. Сезонность обработки грузов                                                                                                                                                                                                                                                                                                                                                                                        </t>
  </si>
  <si>
    <t xml:space="preserve">Факт выручки по деятельности терминалов составил 1 779 млн. тенге, что ниже по отношению к плану на (-22%) при плане 2 281 млн.тенге . Фактическая среднесуточная загруженность терминальной сети составляет: 34% по переработке контейнеров; 45% по переработке неконтейнерных грузов (вагонов). </t>
  </si>
  <si>
    <t>КДТС -2179млн</t>
  </si>
  <si>
    <t>Риски экспедирования грузов</t>
  </si>
  <si>
    <t>Риск невыделения потребных дополнительных субсидий предусмотренных программой 015 "Субсидирование железнодорожных пассажирских перевозок по социально значимым межобластным сообщениям"</t>
  </si>
  <si>
    <t>Дефицит средств в Республиканском бюджете</t>
  </si>
  <si>
    <t>Внутриреспубликанские пассажирские перевозки</t>
  </si>
  <si>
    <t>Международные пассажирские перевозки</t>
  </si>
  <si>
    <t>Введение временного запрета на прием груза в КНР</t>
  </si>
  <si>
    <t>ТОО «КТЖ-Грузовые перевозки» вынужденно ввел запрет на перевозку  грузов в направлении станции Достык далее КНР</t>
  </si>
  <si>
    <t>Риски оплаты штрафов за неисполнение регуляторных требований</t>
  </si>
  <si>
    <t>RP-3</t>
  </si>
  <si>
    <t>Риск несвоевременного предоставления финансовой отчетности</t>
  </si>
  <si>
    <t xml:space="preserve">1. Сокращение сроков формирования финансовой отчетности Единственным акционером.
2. Отсутствие должного взаимодействия бухгалтерских служб с причастными департаментами, структурными подразделениями и дочерними компаниями АО «НК «ҚТЖ», Департаментом бухгалтерского учета.
3. Медленное формирование форм финансовой отчетности и загрузка файлов в системы SAP BW и SAP BPC, системные ошибки в SAP BPC и сбой связи между локальными сетями АО «НК «ҚТЖ» и Единственного акционера. Нестабильность работы автоматизированных систем затрудняет и замедляет процесс формирования финансовой отчетности.
4. Несвоевременное предоставление внутригрупповых форм финансовой отчетности ЦФО и дочерними организациями АО «НК «ҚТЖ», а также аудированной финансовой отчетности дочерними организациями. </t>
  </si>
  <si>
    <t>1) Обеспечение бесперебойной работы информационных систем, используемых бухгалтерскими службами дочерних организаций АО "НК"КТЖ", ЦФО и Департамента бухгалтерского учета при формировании и подготовке консолидированной и отдельной финансовой отчетности Компании;  
2) Предоставление методологических консультаций и письменных разъяснений, проведение семинаров для сотрудников ЦФО и дочерних организаций АО «НК «ҚТЖ»;
3) Подготовка финансовой отчетности в соответствии со сроками, установленными Правилами подготовки и  формирования финансовой и оперативной  управленческой отчетности АО "НК "ҚТЖ"; 
4) Своевременное согласование проекта консолидированной и отдельной финансовой отчетности с причастными департаментами Компании; 
5) Своевременное предоставление внешним аудиторам информации, необходимой для своевременного выпуска аудиторского отчета, в соответствии с Регламентом подготовки отдельной и консолидированной финансовой отчетности АО "НК "ҚТЖ" и взаимодействия с внешними аудиторами;
6) Своевременное предоставление дочерними организациями и ЦФО внутригрупповых форм в Департамент бухгалтерского учета в соответствии со сроками предоставления внутригрупповых форм финансовой отчетности ЦФО и дочерними организациями, утвержденных Заместителем Председателя Правления по финансам АО "НК "ҚТЖ".</t>
  </si>
  <si>
    <t>RP-4</t>
  </si>
  <si>
    <t xml:space="preserve">Риск несоблюдения норм законодательства Республики Казахстан </t>
  </si>
  <si>
    <t>Несвоевременное размещение по раскрытию информации на интернет -ресурсе депозитария финансовой отчетности отчетов об итогах размещения акций Компании и сведений об аффилированных лицах</t>
  </si>
  <si>
    <t>Предписание, наложение административных взысканий</t>
  </si>
  <si>
    <t>Контроль и ежеквартальный мониторинг исполнения мероприятий по раскрытию информации</t>
  </si>
  <si>
    <t>РИСК ПАССАЖИРООБОРОТА</t>
  </si>
  <si>
    <t>- (ХХХ) млн. Тенге</t>
  </si>
  <si>
    <t>Дополнительные  нагрузки на работников</t>
  </si>
  <si>
    <t xml:space="preserve">Нестабильность интернет-ресурсов </t>
  </si>
  <si>
    <t xml:space="preserve">Некорректное и/или несвоевременное отражение бухгалтерских записей в учетной системе;                                           Неправильное исчисление налогов и других обязательных платежей в бюджет;                                                  Несвоевременное представление налоговой отчетности в налоговые органы;                                                   Несвоевременное и/или некорректное предоставления структурными подразделениями Компании документов (правоудостоверяющих, разрешительных, расчетов, договоров, актов, технических паспортов и других), сведений и информации, необходимых для исчисления налогов и других обязательных платежей в бюджет. </t>
  </si>
  <si>
    <t>Отсутствие материальной заинтересованности работников, осуществление сверхурочной работы в будние дни, работа в выходные и праздничные дни;                                               
Отсутствие автоматизации некоторых процессов ведения налогового учета.</t>
  </si>
  <si>
    <t>Загруженность Кабинета налогоплательщика в отчетные периоды и сбои в информационных системах, приводящие к несвоевременному представлению налоговой отчетности в налоговые органы.</t>
  </si>
  <si>
    <t>Недоимка по налогам и платежам в бюджет, начисление пени и штрафных санкций</t>
  </si>
  <si>
    <t>Методологические консультации и разъяснения (устные и письменные) по вопросам ведения налогового учета;                      Своевременное предоставление структурными подразделениями первичных документов и информациии для налогообложения; Постоянное взаимодействие со структурными подразделениями;                                                                                                                                                                                                                         Проведение и участие в семинарах, обучениях по вопросам изменений в налоговом законодательстве Республики Казахстан;                                                  Мониторинг изменений налогового законодательства Республики Казахстан;
Соблюдение Налоговой учетной политики АО «НК «ҚТЖ»;                                                                                                Правильное и своевременное отражение бухгалтерских записей в учетной системе;                                                                                                 Правильное исчисление налогов и других обязательных платежей в бюджет;                                                                                                                                                                                 Соблюдение сроков предоставления налоговой отчетности в налоговые органы установленных налоговым законодательством Республики Казахстан;                                                                                                                                                                                                                                                                                                                                                                                                                                                      Проведение внутренних налоговых проверок структурных подразделений филиала АО «НК «ҚТЖ» - «Многофункциональный центр обслуживания»;                                                                                                                                                                      Проверка на ежедневной основе наличия налоговой задолженности на лицевых счетах в Кабинете налогоплательщика по регистрационному учету налогоплательщика, а также по месту нахождения объектов налогообложения.
Автоматизация и роботизация  процессов ведения налогового учета.Интеграция с государственными базами данных.</t>
  </si>
  <si>
    <t>Моральное и материальное поощрение работников, осуществляющих сверхурочную работу в будние дни, работу в выходные и праздничные дни; автоматизация процессов ведения налогового учета; увеличение штата работников по ведению налогового учета.</t>
  </si>
  <si>
    <t>Заблаговременное представление налоговой отчетности в налоговые органы через Кабинет налогоплательщика.</t>
  </si>
  <si>
    <t xml:space="preserve">Взыскание с Общества более 50% сумм по решениям судов от общей суммы всех исковых требований предъявляемых к Обществу </t>
  </si>
  <si>
    <t xml:space="preserve">Несоблюдение и/или нарушение требований законодательства Республики Казахстан структурными подразделениями, филиалами, дочерними организациями </t>
  </si>
  <si>
    <t>Рост убытков. Ухудшение деловой репутации</t>
  </si>
  <si>
    <t>Мероприятия, направленные на снижение нарушений требований законодательства Республики Казахстан.                                                                                   Мероприятия направленные на исполнение договорных обязательств.</t>
  </si>
  <si>
    <t xml:space="preserve">Риск снижения тарифов на услуги МЖС при применении временных понижающих коэффициентов
</t>
  </si>
  <si>
    <t xml:space="preserve"> От применения Унифицированных тарифов на указанный выше объем прогнозируемых транзитных перевозок в Узбекистан выпадающие доходы АО «НК «ҚТЖ» составят ~ 52,2 млрд. тенге. </t>
  </si>
  <si>
    <t>Регулируемый тариф на услуги локомотивной тяги</t>
  </si>
  <si>
    <t>- ХХХ млн. Тенге</t>
  </si>
  <si>
    <t>"Департамент тарифной политики ТОО ""КТЖ-Грузовые перевозки"",
 Департамент тарифной политики АО ""НК ""ҚТЖ"</t>
  </si>
  <si>
    <t>1. Повышение квалификации работников занятых закупками.
2. Ведение учета и статистики по нарушениям.
3. Разработка мер по регулярным нарушениям с целью усовершенствования бизнес процессов. Постоянное информирование о нарушениях норм закупок с целью избежания повторных нарушений.
4. Обеспечение на постоянной основе контроля и мониторинг проводимых закупок товаров, работ и услуг на предмет соответствия внутренним локальным актам предприятия, а также документам АО «Самрук-Казына» в области закупок.</t>
  </si>
  <si>
    <t>Не исполнения Плана мероприятий по реализации Стратегии развития АО "НК "КТЖ" до 2029 года</t>
  </si>
  <si>
    <t>Выпонение Плана мероприятий по реализации Стратегии развития</t>
  </si>
  <si>
    <t>до 2029 года</t>
  </si>
  <si>
    <t>Отчет о реализации Стратегии развития</t>
  </si>
  <si>
    <t>Не исполнения Плана мероприятий по ЦЕЛИ №1
"Вывод Компании из зоны финансового риска и обеспечение финансовой устойчивости".</t>
  </si>
  <si>
    <t xml:space="preserve">1. Отсутствие заинтересованности и вовлеченности руководителей структурных подразделений АО "НК "КТЖ" и руководства дочерних организаций АО "НК "КТЖ". 
2. Страновой риск из-за изменения внешних политических / экономических условий, санкций или других ограничений. </t>
  </si>
  <si>
    <t>Не исполнения Плана мероприятий по ЦЕЛИ №2
"Повышение эффективности Компании".</t>
  </si>
  <si>
    <t xml:space="preserve">1. Риск ухудшения качества предоставляемых услуг.
2. Коррупционная составляющая. 
3. Эпидемиологические факторы.
4. Страновой риск из-за изменения внешних политических / экономических условий, санкций или других ограничений. </t>
  </si>
  <si>
    <t>Не исполнения Плана мероприятий по ЦЕЛИ №3
"Повышение удовлетворенности клиентов".</t>
  </si>
  <si>
    <t xml:space="preserve">1. Не предоставления качественных безопасных и доступных услуг по перевозке грузов и пассажиров.
2. Не компетентность сотрудников.  
3. Воздействия природых явлений, сторонних лиц на безопасность и качественность оказания улуг по перевозке грузов и пассажиров. </t>
  </si>
  <si>
    <t>Не исполнения Плана мероприятий по ЦЕЛИ №4
"Гарантирование безопасности движения поездов".</t>
  </si>
  <si>
    <t>1. Не реализация Плана мероприятий, направленного на достижение условий нулевого травматизма.
2. Несоблюдение работниками производства техники безопасности.  
3. Воздействия природых явлений, сторонних лиц на безопасность инфраструктуры и движения поездов.</t>
  </si>
  <si>
    <t>Не исполнения Плана мероприятий по ЦЕЛИ №5
"Обеспечение устойчивого развития Компании".</t>
  </si>
  <si>
    <t>1. Снижение социальной стабильности и развития кадрового потенциала.
2. Несоблюдения работниками техники безопасности на рабочих местах.  
3. Несоблюдение экологического законодательства.
Превышение предельно-допустимой концентрации эмиссиии в окружающую среду при нарушениях требований в части содержания и обслуживания подвижного состава и объектов инфраструктуры.
4. Страновой риск из-за изменения внешних политических / экономических условий, санкций или других ограничений.</t>
  </si>
  <si>
    <t>ЦКР, причастные  СП, ДЗО</t>
  </si>
  <si>
    <t xml:space="preserve">Рост негативной информации в СМИ и социальных сетях в случаях возникновения нестандартных ситуаций, чрезвычайных происшествий на железнодорожном транспорте.
Негативные публикации в СМИ и социальных сетях о фактах некачественного оказания услуг в сфере железнодорожных грузовых перевозок. 
Негативные публикации в СМИ и социальных сетях о фактах отсутствия комфортных условий в поездах, некачественном оказании услуг в сфере пассажирских перевозок.
Неинформированность  и/или дезинформированность населения о деятельности Компании.
Несвоевременное реагирование на негативные комментарии, не предоставление ответов на обращения граждан  через социальные сети. 
</t>
  </si>
  <si>
    <t xml:space="preserve">Оперативная подготовка,  распространение  официальных информационных сообщений о нестандартных ситуациях, чрезвычайных происшествиях на железнодорожном транспорте.
Подготовка и размещение на корпоративном веб-сайте, в СМИ и социальных сетях официального ответа от имени Компании. Размещение позитивного контента в СМИ, социальные медиа. 
Официальное заявление  (опровержение) для СМИ (пресс-релиз).  Работа с  редакторами и корреспондентами  по принципу обратной связи-фидбэк. Координация работы по поддержке корпоративного web-сайта компании. 
 Электронный учет входящих и исходящих писем, обеспечение своевременного предоставления ответов на обращения граждан. 
</t>
  </si>
  <si>
    <t>ЦБА</t>
  </si>
  <si>
    <t>Риск отзыва сертификата соотвествия требованиям международных стандартов на  которые сертифицирована Компания.</t>
  </si>
  <si>
    <t>до конца года</t>
  </si>
  <si>
    <t>Отчет, представленный   органом по сертификации по итогам  инспекционного аудита</t>
  </si>
  <si>
    <t>Невыполнение требований  нормативных правовых актов РК, внутренних актов  Компании, международных стандартов ISO 9001, 14001, 50001, 45001</t>
  </si>
  <si>
    <t>Срыв проведения ежегодного внешнего аудита</t>
  </si>
  <si>
    <t>1.  Нарушение инструкции обновления лицензионного программного обеспечения;   
2.  Использование нелицензионного программного обеспечения</t>
  </si>
  <si>
    <t>ЦЗИ</t>
  </si>
  <si>
    <t>Департамент управления портфелем проектов</t>
  </si>
  <si>
    <t>Финансовая модель проекта</t>
  </si>
  <si>
    <t>Влияние на стоимость Компании</t>
  </si>
  <si>
    <t>уровень воды в порту Актау</t>
  </si>
  <si>
    <t>Риск падения уровня Каспийского моря</t>
  </si>
  <si>
    <t>Снижение эксплуатационных возможностей портовых причалов, судоходных путей, портовых акваторий, гидротехнических сооружений и безопасности мореплавания.</t>
  </si>
  <si>
    <t xml:space="preserve">1) проведение мероприятий по дноуглублению;
2) промер глубин (батиметрия)
</t>
  </si>
  <si>
    <t xml:space="preserve">1. Риск потопов, размытия дорожного полотна, искусственных сооружений и других объектов инфраструктуры
2. Риск повреждения объектов инфраструктуры вследсвие сильной жары/сильного мороза, а также засухи в регионах
3. Риск изменения структуры и объемов груза вследствие природных катаклизмов, связанных с изменением климата
</t>
  </si>
  <si>
    <t>Нагрузка от подвижного состава.
Контактная усталость металла рельсов.</t>
  </si>
  <si>
    <t>Рельсы;
Шпалы;
Скрепления;
Переводные брусья;
Противоугоны;
Стрелочные переводы;
Глухие пересечения;
Балластный слой.
Отсутствие бесстыкового пути;
Экстренные торможения подвижного состава;
Сверхнормативные нагрузки от подвижного состава.</t>
  </si>
  <si>
    <t>Технический паспорт ПЧ, анализ эксплуатационной деятельности</t>
  </si>
  <si>
    <t>в течение года</t>
  </si>
  <si>
    <t>превентивный, детективный</t>
  </si>
  <si>
    <t>1. Проведение капитального ремонта пути, ежегодно в объёме не менее 582,53 км, ориентировочно на сумму 94 млрд. 493 млн тг, в результате повышается скорости движения.
2. Своевременное планирование профильного шлифования рельсов на основании диагностирования фактического состояния продольного и поперечного профилей головки рельсов с применением путевой машины Атлас ежегодно в объеме не менее 1000 км, ориентировочно на сумму 141 млн тг.
3. Текущее содержание пути.</t>
  </si>
  <si>
    <t>ЦП</t>
  </si>
  <si>
    <t>Нагрузка от подвижного состава.
Усталостные деформации металла.
Разрушение бетона,
Механические повреждения конструкций сооружений.</t>
  </si>
  <si>
    <t>Климатические условия (влажность, кислотность среды);
Температурный режим (резкие перепады температуры);</t>
  </si>
  <si>
    <t>1. Проведение капитального ремонта искусственных сооружений для продления срока службы с установленными скоростями движения поездов, ежегодно не менее 14 шт., ориентировочно на сумму 1 501 млн тг
2. Своевременное обеспечение закупа качественных материалов для текущего ремонта ИССО согласно утверждённых норм расхода, ежегодно ориентировочно на сумму не менее 350 млн тг</t>
  </si>
  <si>
    <t>Риск выдачи ограничения скорости по отступлениям текущего содержания пути</t>
  </si>
  <si>
    <t>Нагрузка от подвижного состава (прежде всего вертикальной статической и динамической составляющей, а также продольных и поперечных горизонтальных сил), где в результате ограничивается скорости движения до проведения работ в рамках текущего содержания пути.</t>
  </si>
  <si>
    <t>Износ верхнего строения пути.
Износ искусственных сооружений.
Недостаточное качество работ по содержанию пути.
Недостаточное качество материалов для работ по содержанию пути.
Нехватка квалифицированных кадров для работ по содержанию пути.
Нанесение нежелательного ущерба из-за несоблюдения скоростного режима.</t>
  </si>
  <si>
    <t>Технический паспорт ПЧ, анализ эксплуатационной деятельности, Техническое оснащение сети и основные показатели эксплуатационной работы (данные Совета по ж. д .транспорту)</t>
  </si>
  <si>
    <t>Своевременное и качественное обеспечение материалами верхнего строения пути согласно утверждённых норм расхода, ежегодно ориентировочно на сумму не менее 20 000 млн тг.</t>
  </si>
  <si>
    <t>Выполнение ППР устройств электроснабжения не в полном объеме по причине недофинансирования.</t>
  </si>
  <si>
    <t>Истечение нормативного срока службы оборудования тяговых подстанций (25 лет):
— со сроком службы свыше 25 лет — 39 ед.;
— двойное превышение срока службы (свыше 50 лет) — 18 ед.
Социальное недовольство нетяговых потребителей в случае отказа оборудования.</t>
  </si>
  <si>
    <t>Дистанции электроснабжения</t>
  </si>
  <si>
    <t>Эксплуатация оборудования и устройства с истекшим сроком службы: 
— тяговые, силовые трансформаторы — 135 ед. (76 %).
Кол-во случаев НБД за период:
2017 г. — 2 ед.;
2018 г. — 2 ед.;
2019 г. — 8 ед.;
2020 г. — 3 ед..</t>
  </si>
  <si>
    <t xml:space="preserve">В период 2021-2025 гг. планируется обновление оборудования тяговых подстанций на сумму 21 516,9 млн тг, планом капитальных вложений на 2021-2025 гг. предусмотрен закуп и монтаж:
— тяговых трансформаторов 110-220 кВ, 33 ед., на сумму 11 060,5 млн тг, в т. ч.:
110 кВ: 3 ед., на сумму 929,8 млн тг; 220 кВ: 30 ед., на сумму 10 130,7 млн тг;
— трансформаторов тока 110-220 кВ, 161 ед., на сумму 900,7 млн тг, в т. ч.:
110 кВ: 54 ед, на сумму 244,3 млн тг, 220 кВ: 107 ед., на сумму 656,4 млн тг;
— трансформаторов напряжения 110-220 кВ, 96 ед., на сумму 	506,2 млн тг, в т. ч.: 
110 кВ: 48 ед., на сумму 219,9 млн тг, 220 кВ: 48 ед., на сумму 286,3 млн тг;
— ж. д. силовых трансформаторов ,77 ед., на сумму 439,7 млн тг, в т. ч.:
— ограничителей перенапряжения 110-220 кВ,	 164 ед., на сумму 423,6 млн тг, в т. ч.:
110 кВ: 62 ед., на сумму 114,7 млн тг, 220 кВ: 102 ед., на сумму 	308,9 млн тг;
— элегазовых выключателей 220 кВ, 38 ед., на сумму 1 415,0 млн тг;
— разъединителей 110-220 кВ, 48 ед., на сумму 547,6 млн тг, в т. ч.:
110 кВ: 18 ед., на сумму 152,9 млн тг, 220 кВ: 30 ед., 394,7 млн тг;
— аккумуляторных батарей с зарядным устройством, 17 ед., на сумму 378,5 млн тг, в т. ч.:
420 Ач: 13 ед., на сумму 247,7 млн тг, 800 Ач: 4 ед. на сумму 130,8 млн тг; 
— дизель-генераторов, 19 ед., на сумму 557,2 млн тг;
— распредустройств, 17 ед., на сумму 5 243,7 млн тг, в т. ч.:
БМЗ-27,5 кВ: 9 ед., на сумму 5 043,7 млн тг, КРУ 27,5 кВ: 8 ед., на сумму 200,0 млн тг. </t>
  </si>
  <si>
    <t xml:space="preserve">Истечение нормативного срока службы узлов и деталей контактной подвески (30-50 лет), со сроком службы свыше 30 лет -8 776,5 км; </t>
  </si>
  <si>
    <t>Эксплуатация узлов и деталей контактной подвески (30-50 лет), со сроком службы свыше 30 лет (8 776,5 км).
Кол-во случаев НБД за период:
2017 г. — 17 ед.;
2018 г. — 23 ед.;
2019 г. — 41 ед.;
2020 г. — 39 ед..</t>
  </si>
  <si>
    <t>Выделение достаточного финансирования для закупа материалов согласно утвержденнных норм расхода.
Выполнение в 2021-2025 гг. рекомендаций, выданных по результатам ежегодного проведения независимой организацией специального обследования опорного хозяйства, деталей и узлов контактной сети, в целях снижения уровня риска:
— арматура (детали контактной сети) — 818,2 млн тг; 
— изоляторы — 1 388,7 млн. тг; 
— провода — 1 260,6 млн тг.
Итого: 3 467,5 млн тг.</t>
  </si>
  <si>
    <t>Старение устройств ЖАТС.</t>
  </si>
  <si>
    <t>1. Дефицит денежных средств на текущее содержание и обновление устройств;
2. Прекращение выпуска оборудования заводами-изготовителями;
3. Отсутствие современных аналогов необходимых для замены невыпускаемых, или их дороговизна;
4. Истечение нормативного срока службы устройств ЖАТС (35 лет).</t>
  </si>
  <si>
    <t>1. Нарушение норм содержания устройств;
2. Нарушение ППР, некачественное выполнение ГТП</t>
  </si>
  <si>
    <t>1. Недостаточная квалификация обслуживающего персонала;
2. Отсутствие автотранспорта, ССПС, инструментов, измерительных приборов, запасных частей;
3. Несвоевременное предоставление технологических окон особенно на поездонапряженных участках, станциях с большой маневровой работой;
4. Отсутствие контроля руководителями среднего звена, руководителями дистанций, Департамента;
5. Отсутствие нормативно-технической документации (при наличии методик отсутствует технологический процесс на данный вид работ, либо техкарты в ШЧ).
6. Неукомплектованность штатом;
7. Недостаточная квалификация обслуживающего персонала;
8. Неправильная транспортировка приборов;
9. Отсутствие инструментов, измерительных приборов, запасных частей, смазывающих материалов;
10. Отвлечение эксплуатационного штата от основной деятельности.</t>
  </si>
  <si>
    <t>Влияние сторонних организаций, лиц (порыв кабеля, повреждение устройств, хищения и т. д.)</t>
  </si>
  <si>
    <t>1. Отсутствие предупреждающих знаков, указателей объектов (трасса кабеля, указатели габаритных полос, вешки на напольном оборудовании и т. п.); 2.Отсутствие антивандальных приспособлений, особенно на устройствах расположенных удаленно от населенных пунктов;
3. Несоблюдение требований габаритов, глубины залегания при укладке в грунт, установке оборудования;
4.Неосведомленность физических и юридических лиц имеющих в наличии землеройную технику;
5. Неосведомленность физических и юридических лиц, детей о последствиях нанесения ущерба;
6. Некачественная работа (отсутствие работы) с органами власти по организации рейдов в пункты приема металла, поимке преступников и возмещению ущерба;
7. Нарушение требований предписаний, технических условий физическими и юридическими лицами.</t>
  </si>
  <si>
    <t>Обледенение воздушной линии;
Гроза;
Шквальный ветер;
Наводнения и т. д.</t>
  </si>
  <si>
    <t>1. Дефицит бюджета;
2. Длительность процедур подготовки и согласования тендерной документации;
3. Отсутствие центров компетенции, недостаточная квалификация работников.</t>
  </si>
  <si>
    <t>1. Нарушение требований ПТЭ, ИСИ, ИДП, местных инструкций, ТРА станций, должностных инструкций.
2. Недостаточное обладание техническими знаниями работников, участвующих в организации движения поездов.
3. Человеческий фактор.</t>
  </si>
  <si>
    <t>1. Несвоевременное проведение обследования зданий и помещений;
2. Отсутствие капитального ремонта зданий с нулевой остаточной стоимостью.
3. Отсутствие специализированных бригад по содержанию зданий.
4. Природные и техногенные воздействия (ураган, землетрясение, паводок, взрыв и т. п.).
5. Истечение нормативного срока службы зданий (более 30 лет).</t>
  </si>
  <si>
    <t>Доля устройств ЖАТС с истекшим сроком службы по отношению к общему количеству эксплуатируемых устройств ЖАТС.</t>
  </si>
  <si>
    <t>Частота отказов</t>
  </si>
  <si>
    <t>Количество зарегистированных случаев нарушений требований НТД</t>
  </si>
  <si>
    <t>Ущерб от общей суммы задержки поездов составило 25 % или 3 млн тг.</t>
  </si>
  <si>
    <t>Риск хищения, порыва кабеля.</t>
  </si>
  <si>
    <t>Неприведение заземлений в соответствие с требованиями НТД (в 2021 г. требуется произвести закуп необходимых материалов на сумму 106,4 млн тг).</t>
  </si>
  <si>
    <t>Невыделение необходимых средств для проведения сервисного обслуживания устройств при плане на 2021 г. 3 072,5 млн тг.</t>
  </si>
  <si>
    <t>Требуется капитальный ремонт зданий в количестве 508 ед., на сумму 11 360 млн тг.</t>
  </si>
  <si>
    <t>1. Анализ технического состояния устройств с составлением потребности в обновлении.
2. Разработка производственных программ по обновлению устройств в соответствии с Технической политикой ЦШ, ЦЖС.
3. Корректировка плана закупа с учетом производственных программ.
4. Обоснование потребности в дополнительных денежных средствах в соответствии с производственными программами.
5. Вынесение вопросов на рассмотрение Руководства Компании.
6. Принятие решения о выделении дополнительных денежных средств.
7. Поиск альтернативных решений по замене не выпускаемого оборудования на современные аналоги (замена реле НР на НМШ, прожекторных светофоров на светодиодные системы и т. п.).
8. Эксплуатационные испытания, внедрение современного оборудования;
Для полной модернизации устройств ЖАТC требуется 382 000 млн тг.</t>
  </si>
  <si>
    <t>1. Анализ отказов устройств из-за нарушения ППР, некачественного выполнения ГТП с определением коренных причин;
2. Обучение эксплуатационного штата с отрывом (дор. тех. школы, ЦТТ, учебный центр ст. Сороковая) и без отрыва от производства (проведение инструктажей, технические занятия, показательные окна в ШЧ);
3. Периодическая аттестация и проверка знаний эксплуатационного штата;
4. Включение в бюджет проектов по закупку автотранспорта, ССПС, инструментов, измерительных приборов, запасных частей, запасных частей. ;
5. Выделение дополнительного штата на сезонные работы (летне-путевые работы);
6. Включение в смету капитального ремонта пути выполнение подрядными организациями работ по выносу кабеля, отключению и замене дроссельных перемычек;
7. Составление ежемесячного плана-графика проведения технологических «окон», согласованного НЖС, утвержденного НОД;
8. Осуществление проверок согласно нормативов по обеспечению безопасности руководителей среднего звена, руководителей ШЧ, ЦШ;
9. Организация технических аудитов;
10. Актуализация, разработка и тиражирование НТД (разработка технологических карт, процессов на данный вид работ);
11. Приведение штата к расчету норматива численности;
12. Изготовление специальных ящиков для транспортировки приборов; 
13. Оборудование автомашин стеллажами для приборов.</t>
  </si>
  <si>
    <t>Установка предупреждающих знаков, указателей объектов (трасса кабеля, указатели габаритных полос, вешки на напольном оборудовании и т.п.) Установка дополнительных устройств защиты, применение современных технологий видеонаблюдения, оповещения и сигнализации, замена на оборудование из высокопрочных материалов (светодиодные модули, акустические извещатели и т.п.) и скрытых от взора (подземные муфты СЦБС, МВС, МВР и т.п.) 1. Обеспечение специальной техникой и приспособлениями (траншеекопатели, ямобуры и т.п.)
2. обучение эксплуатационного штата без отрыва от производства (проведение инструктажей, технические занятия, обучение) 1. Обеспечение специальной техникой и приспособлениями (траншеекопатели, ямобуры и т.п.)
Проведение совместно с правоохранительными органами занятий в школах и учебных заведениях по вопросам хищения и порчи оборудования ж.д. автоматики и связи. Обеспечение работы с органами власти по организации рейдов в пункты приема металла, поимке преступников и возмещению ущерба, участие в проведении Круглых столов с правоохранительными органами, разработка и исполнение совместных мероприятий</t>
  </si>
  <si>
    <t>1. Перевод воздушных линий на кабельные в соответствии с производственной программой ЦШ;
2. Выполнение мероприятий по защите устройств от атмосферных и телекоммуникационных перенапряжений (заземление устройств, вынос в кабельные ящики элементов защиты, применение современных элементов защиты, выполнение всех каскадов защиты и т. п.) 
3. Своевременное определение опасных мест, подверженных затоплению, разработка планов-мероприятий по водоборьбе, выполнение водоотводных каналов, подъемка устройств и т. д.</t>
  </si>
  <si>
    <t>1. Планирование объемов в соответствии с дефектными актами дистанций;
2. Выполнение регламентных работ силами ЦШЛ, ШЧ;
3. Обоснование потребности в выделении денежных средств;
4. Качественное формирование объемов работ по сервисному обслуживанию;
5. Качественная проработка тендерной документации с причастными структурными подразделениями, защита бюджета;
6. Требование от разработчиков систем создания Центров компетенции в РК;
7. Повышения уровня грамотности, обучение работников ЦШЛ, ШЧ;
8. Переработка нормативной документации по обслуживанию микропроцессорных устройств; 
9. Приобретение средств измерения и запасных частей.</t>
  </si>
  <si>
    <t xml:space="preserve">1. Обучение эксплуатационного штата с отрывом и без отрыва от производства (проведение инструктажей, технические занятия, показательные окна в ШЧ); 
2. Периодическая аттестация и проверка знаний эксплуатационного штата.
3. Мониторинг и анализ возникновения причин отказов
4. Поиск новых методов выполнения технологического процесса, минимизирующиг участие производственного персонала </t>
  </si>
  <si>
    <t>1. Проведение анализа по объектам, расположенных в зонах наиболее подверженных природным и техногенным ???
2. Выделение бюджета для проведения обследования зданий и разработки ПСД и проведение ремонтных работ или работ по реконструкции зданий.
3. Выполнение СМР согласно разработанных ПСД.
4. Пересмотр нормативных документов.
5. Строительство новык капитальных строений или зданий модульного типа.
6. Перенос оборудования ЖАТС из аварийных зданий в новые здания или здания модульного типа.
7. Разработка и выполнение мероприятий направленных на снижения уровня воздействия природных и техногенных воздействий.
8. Строительство новых объектов в соответствии с строительными нормами, с учетом их географического расположения.</t>
  </si>
  <si>
    <t>Риски перевалки грузов на морских портах</t>
  </si>
  <si>
    <t>Влияние:(-195,53млн) Порт Курык + (-1562млн)Порт Актау
Вероятность средняя 58% и 62%</t>
  </si>
  <si>
    <t>1. Проведение мероприятий по привлечению дополнительных объемов грузов.
2. Проработка вопроса привлечения частных иранских судоходных компаний, не вошедших в черный список OFAC, в том числе, других частных судоходных компаний, имеющие суда под флагом РФ, в целях перевозки казахстанского зерна в направлении Ирана ввиду отсутствия отечественных судов на данном маршруте.
3.Проработка вопроса замещения другими видами груза</t>
  </si>
  <si>
    <t xml:space="preserve">Интермодальная конкуренция со стороны альтернативных маршрутов (железнодорожный и автомобильный транспорт)
Внутренняя конкуренция со стороны ТОО "Актауский морской северный терминал". 
Технические проблемы на АНПЗ
Увеличение времени обработки грузов в связи с требованием таможенных органов о проведении дополнительных процедур в целях снижения вероятности прохождения контрабандных грузов через государственную границу до 50 % (сканирование контейнеров с использованием МИДК) </t>
  </si>
  <si>
    <t>АМТП, Порт Курык</t>
  </si>
  <si>
    <t>Потеря конкурентных преимуществ</t>
  </si>
  <si>
    <t>Снижение объемов перевозки</t>
  </si>
  <si>
    <t>Утечка коммерческой информации</t>
  </si>
  <si>
    <t>Необходимость содержания дополнительного штата сотрудников</t>
  </si>
  <si>
    <t>Обеспечение информационной безопасности</t>
  </si>
  <si>
    <t xml:space="preserve">Необходимость доработки информационных систем, включая интеграцию с информационными системами национального оператора навигационных пломб и таможенных органов                          </t>
  </si>
  <si>
    <t xml:space="preserve">ЦЗД, ЦЗЦ, ЦЗЛ
</t>
  </si>
  <si>
    <t>Риск реализации новых значимых/низкорентабельных/непрофильных проектов без соответствующих решений органов Компании и Фонда</t>
  </si>
  <si>
    <t>Неправильное исчисление и несвоевременная уплата налогов и других обязательных платежей в бюджет</t>
  </si>
  <si>
    <t>STTR-1</t>
  </si>
  <si>
    <t>STTR-2</t>
  </si>
  <si>
    <t>STTR-3</t>
  </si>
  <si>
    <t>CGR-1</t>
  </si>
  <si>
    <t>CLR-1</t>
  </si>
  <si>
    <t>CLR-2</t>
  </si>
  <si>
    <t>JR-1</t>
  </si>
  <si>
    <t>Снижение тарифа на доступ к магистральной железнодорожной сети</t>
  </si>
  <si>
    <t>Снижение уполномоченным органом утвержденного тарифа до истечения его срока действия в случае увеличения объемов предоставляемых регулируемых услуг (по итогам отчетного года), установленных по результатам рассмотрения уполномоченным органом отчета об исполнении тарифной сметы на регулируемые услуги АО «НК «ҚТЖ».
В случае увеличения утверждённых объёмов предоставляемых регулируемых услуг, КРЕМ МНЭ РК осуществляется изменение (снижение) тарифа до истечения его срока действия.</t>
  </si>
  <si>
    <t>Судебные процессы между ЦЖС и КРЕМ по поводу изменений в методике расчета ТС в прошлом.</t>
  </si>
  <si>
    <t>Неисполнение статей затрат тарифной сметы более чем на пять процентов</t>
  </si>
  <si>
    <t>Неисполнение статей затрат тарифной сметы более чем на пять процентов от утвержденных уполномоченным органом размеров влечет за собой применение компенсирующего тарифа на сумму неисполнения.
В случае допущения данного риска ожидаемые потери составят 197,5 млн тг.</t>
  </si>
  <si>
    <t>Данные по размеру рисков будут сформированы по итогам 9-ти месяцев 2021 года.</t>
  </si>
  <si>
    <t>Неисполнение статей затрат тарифной сметы более чем на 5 %</t>
  </si>
  <si>
    <t xml:space="preserve">Заявление об изменении утвержденной тарифной сметы без повышения тарифа направляется до 1 ноября текущего календарного года согласно Правил формирования тарифов от 19 ноября 2019 года за № 90.
Тарифная смета на регулируемые услуги МЖС , утверждена КРЕМ на период 2021-2025 гг. за № 70-ОД от 27.11.2020 г., разница в доходах по регулируемым услугам (экспорт, импорт, внутреннее сообщение) между планируемым в ТС на услуги МЖС и утвержденным СД —
— грузооборот тарифный (регулируемый):
утв. ТС — 191 299 млн т км,
утв. СД — 195 667 млн т км (разница в 4 368 млн т км);
— доходы:
утв. ТС — 325,1 млн тг,
утв. СД — 331,1 млн тг (разница в 6,0 млн тг).
</t>
  </si>
  <si>
    <t>В случае неисполнения утверждённых КРЕМ МНЭ РК тарифной сметы по регулируемой услуге МЖС, улномоченным органом будет применён компенсирующий тариф на сумму неисполнения.
Снижение операционного дохода Компании как следствие принятого решения уполномоченным органом об утверждении временного компенсирующего тарифа на услуги для возмещения потребителям убытков, причинённых Компанией. При этом заявление об изменении утвержденной тарифной сметы без повышения тарифа направляется до 1 ноября текущего календарного года согласно Правил формирования тарифов от 19 ноября 2019 года № 90. Данные по размеру рисков будут сформированы по итогам 9-ти мес. 2021 года.
Тарифная смета на регулируемые услуги МЖС , утверждены КРЕМ на период 2021-2025 годы 27.11.2020 года № 70-ОД.
При выполнении элемента «материалы» на 94 % , превышающая 5 % сумма компенсирующего тарифа составит 166,5 тыс. тенге, т. е. 1 % невыполнения дает 166,5 тыс. тенге.
План ТС по материалам 16,7 млн. тг.</t>
  </si>
  <si>
    <t>1. Подача заявления об изменении утвержденной тарифной сметы без повышения тарифа до 1 ноября текущего календарного года.</t>
  </si>
  <si>
    <t>1. Актуализация локальных актов Компании в пределах компетенции Департамента, экспертиза локальных актов Компании.                                                                                                  
2. Мониторинг выполнения плана корректирующих действий, плана по выполнению рекомендаций и анализа результативности выполненых мероприятий по устранению несоответствий и рекомендаций, выявленных по итогам предыдущего внешнего аудита.                                                                                     
3. Планирование обучения работников Департамента по вопросам интегрированной системы менеджмента  (подача заявки на обучение, формирование списков на обучение, рассмотрение и согласование протокола выбора провайдера).                                                          
4. Проведение обучающих мероприятий (тренингов/семинаров/вебинаров) с работниками структурных подразделений по интегрированной системе менеджмента.
5. Проведение внутреннего аудита в структурных подразделениях Компании.</t>
  </si>
  <si>
    <t>1. Своевременная подача заявки на включение в План развития и План закупок Компании.              
2. Проведение работ по закупке услуг по проведению инспекционного аудита АО «НК «ҚТЖ».                                                                                                                                        
3. Организация проведения инспекционного  аудита на соответствие требованиям международных стандартов  ISO 9001:2015, ISO 14001:2015, ISO 45001:2018, ISO 50001:2018 ( в том числе взаимодействие с органом по сертификации в части согласования плана аудита).</t>
  </si>
  <si>
    <t>Обязательное навешивание/снятие работниками перевозчика на станциях электронных навигационных пломб при перевозке грузов железнодорожным транспортом, их документальное оформление, что повлечет увеличение технологического и коммерческого времени на обработку поездов</t>
  </si>
  <si>
    <t>Снижение количества обрабатываемых поездов</t>
  </si>
  <si>
    <t>1. Подготовка и внесение в государственные органы РК предложений по проектам Соглашения о применении навигационных пломб в ЕАЭС для отслеживания перевозок, актов ЕЭК и соглашения операторов пломб, отвечающие интересам Компании, участие в переговорных процессах на площадках ЕЭК, государственных органов, НПП РК по обсуждению указанных проектов;
2. Включение расходов за использование пломб в тариф на перевозку груза (дополнительные сборы)</t>
  </si>
  <si>
    <t>ДО</t>
  </si>
  <si>
    <t>ЦКР</t>
  </si>
  <si>
    <t>ДО и филиалы</t>
  </si>
  <si>
    <t>ТОО "КТЖ-Грузовые перевозки", АО "Пассажирские перевозки", Дирекция магистральной сети</t>
  </si>
  <si>
    <t>1. Предоставление некорректной/неполной, недостоверной, несвоевременной информации и первичных документов причастными департаментами филиалу АО "НК "ҚТЖ"- "Многофункциональный центр обслуживания" (далее - ЦФО) и дочерним компаниям АО «НК «ҚТЖ», Департаменту бухгалтерского учета. 
2. Некорректное отражение операций ЦФО и дочерними компаниями АО «НК «ҚТЖ» в бухгалтерских системах.
3. Несоответствие финансовой отчетности учетным принципам и МСФО.
4. Текучесть профессиональных кадров из-за того, что установленная фактическая заработная плата специалистов, задействованных в формировании финансовой отчетности АО «НК «КТЖ», не соответствует уровню заработной платы аналогичных специалистов на рынке труда, а также ухудшение состояния здоровья сотрудников и психологического климата в коллективе в связи со сверхурочной работой в будние дни, работой в выходные и праздничные дни. 
5. Сокращение сотрудников Департамента бухгалтерского учета.
6. Отсутствие материальной заинтересованности работников, осуществление сверхурочной работы в будние дни, работа в выходные и праздничные дни;                                               
7. Недостаточный уровень знаний, навыков у специалистов структурного подразделения ЦФО, в дочерних компаниях АО «НК «ҚТЖ», Департамента бухгалтерского учета.
8. Отсутствие процесса взаимозаменяемости кадров в бухгалтерских службах структурного подразделения и дочерних компаниях АО «НК «ҚТЖ», Департаменте бухгалтерского учета.
9. Недостаточные объемы памяти и мощности сервера хранения данных. Потеря информации и данных с сервера, замедление процесса формирования финансовой отчетности.
10. Сбой транзакционных систем и SAP BW.
11. Некорректный перенос данных из системы Фаворит, 1:С в систему SAP дочерними компаниями  АО «НК «ҚТЖ». 
12. Искажение информации при применении ручных расчетов.</t>
  </si>
  <si>
    <t>1) Соблюдение Учетной политики ЦФО и ДО.
2)  Анализ и идентификация новых МСФО, и мониторинг изменений для отражения в финансовой отчетности Компании; 
3)  Согласование проекта финансовой отчетности Компании с причастными департаментами Компании; 
4)  Предоставление бухгалтерским службам ЦФО и ДО методологических консультаций и письменных разъяснений по сложным нестандартным операциям;
5)  Соблюдение ЦБУХ, бухгалтерскими службами ЦФО и ДО  Правил подготовки и формирования финансовой и оперативной управленческой отчетности АО «НК «ҚТЖ»;
6)  Обсуждение нестандартных операций,  новых требований МСФО и изменений в формате финансовой отчетности с внешними аудиторами в рамках формировании финансовой отчетности;
7)  Рассмотрение существенных допущений и нестандартных операций и проекта финансовой отчетности с Комитетом по аудиту АО "НК "КТЖ";
8)  Заполнение чек-листа по МСФО к финансовой отчетности для целей корректного формирования, а также для предоставления внешним аудиторам;
9)  Повышение квалификации работников Цбух, бухгалтерских служб ЦФО и ДО;
10) Повышение заработной платы сотрудникам, задействованным в формировании финансовой отчетности;
11) Моральное и материальное поощрение работников, осуществляющих сверхурочную работу в будние дни, 
работу в выходные и праздничные дни;
12)  Увеличение штата специалистов по МСФО в ЦБУХ и ДО;
13)  Соответствующие мероприятия по сокращению времени формирования форм финансовой отчетности и загрузки данных в систему SAP BW.
14)  Оптимизация и актуализация пакета внутригрупповых форм финансовой отчетности.
15)  Увеличение объема памяти и мощности сервера хранения данных;
16)  Своевременное и корректное предоставление внутригрупповых форм финансовой отчетности ДО и ЦФО.</t>
  </si>
  <si>
    <t>Нарушение сроков предоставления финансовой отчетности:
1) через ЦЖС в Комитет по регулированию естественных монополий Министерства национальной экономики Республики Казахстан, 
2) через ЦИО в Национальный банк РК, 
3) через Цзайм в АО "Казахстанская фондовая биржа" и Депозитарий финансовой отчетности при Министерстве финансов РК (квартальные отчеты), 
4) в Депозитарий финансовой отчетности при Министерстве финансов РК (годовой отчет), 
5) в Комитет по статистике Министерства экономики РК,
6) размещение на корпоративном сайте, 
7) Единственному Акционеру,
8) внутренним и внешним пользователям.</t>
  </si>
  <si>
    <t>JR</t>
  </si>
  <si>
    <t>STTR</t>
  </si>
  <si>
    <t>CLR</t>
  </si>
  <si>
    <t>CGR</t>
  </si>
  <si>
    <t>Существенное изменение структуры грузооборота по типам грузов и направлениям относительно прогнозируемых значений.</t>
  </si>
  <si>
    <t>Риски переходного периода (связанные с изменением регулирования, технологий, рынков);
Риски, связанные с изменением физических параметров климата</t>
  </si>
  <si>
    <t>Снижение конкурентоспособности железнодорожного транспорта вследствие отставания от технического и технологического 
развития других видов транспорта;
Недостаточный уровень внедрения и использования современных научно-технических разработок;
Недостаточный уровень кооперации с зарубежными лидерами в области развития и использования инновационных 
технологий в сфере железнодорожного машиностроения.</t>
  </si>
  <si>
    <t>Отставание ликвидации ограничений смежных видов транспорта (мощностей портов, складских терминалов) от реализации 
инвестиционной программы или программы развития компании;
Неудовлетворение потребностей рынка грузовых перевозок вследствие неэффективной работы парка грузовых вагонов.</t>
  </si>
  <si>
    <t>Изменения в законах и нормативных актах будут влиять на деятельность и подвергаться юридическим санкциям, финансовому изъятию и убыткам, с которыми сталкивается организация, если она не действует в соответствии с законами и правилами, внутренними политиками или предписанными передовыми методами</t>
  </si>
  <si>
    <t>TECR</t>
  </si>
  <si>
    <t>RDR</t>
  </si>
  <si>
    <t xml:space="preserve">03 августа 2021 года подписан протокол урегулирования спорных вопросов.  
14 октября 2021 года подписано дополнительное соглашение №23 к Долгосрочному договору и 27 октября 2021 года произведена оплата авансового платежа за партию 4.
Вышеуказанным дополнительным соглашением Сторонами были достигнуты следующие договоренности:
- поставка модифицированная модель грузовых электровозов;
- снижение обязательств по off-take контракту на 140 млрд.тенге;
- снижение стоимости модифицированных электровозов по партии 6 на 10%;
- снижение стоимости сервисного обслуживания новых электровозов на 10%;
- предоставление со стороны ЭКЗ (Alstom) для КТЖ «купон» на 6 млрд. тенге для дополнительных работ, оказываемых Alstom;
- снижение размера первоначального авансового платежа с 5% до 2%;
- за нарушение сроков поставки электровозов 3 партии удержана пеня в размере 1,57 млрд тенге. ЭКЗ (Alstom) соглашается с удержанным ранее штрафом за просрочку поставки локомотивов в размере 1,57 млрд. тенге;
- снижение объема закупаемых локомотивов с 421 до 369 единиц (исключена поставка локомотивов по партии 5 в количестве 50 едини и по партии 6 - 2 единицы).
         </t>
  </si>
  <si>
    <t>Проведена работа с грузоотправителями по возврату вагонов на станцию погрузки. В результате чего снижено количество брошенных вагонов.
Во время действия запрета ТОО «КТЖ-Грузовые перевозки» планирует передать китайской стороне брошенные поезда и зерновозы. 
Также будут приниматься меры по передаче крытых вагонов с зерном. Вопрос о введении запрета в течение недели был обсуждён с грузоотправителями, экспортерами на площадках НПП РК «Атамекен»,  Министерства индустрии и инфраструктурного развития Республики Казахстан (МИИР РК).  Данная меры была инициирована бизнесом. 
Для снижения нагрузки станции Достык в части передачи грузов в КНР в период пандемии, проведена работа с грузоотправителями по отправке грузов через ст. Алтынколь.  Для снижения простоя зерновозов в ожидании принятия КНР реализованы мероприятия в части перехода погрузки груза «зерно» с вагонов зерновозов на контейнера. 
Ввиду сложившейся ситуацией АО «НК «ҚТЖ» вынуждено приняло ограничительные меры на погрузку и транзит грузов.</t>
  </si>
  <si>
    <t>RP-5</t>
  </si>
  <si>
    <t>Департамент экономики и планирования</t>
  </si>
  <si>
    <t>Риск несвоевременного утверждения Бизнес-плана</t>
  </si>
  <si>
    <t xml:space="preserve">1. Сокращение сроков формирования Бизнес-плана Единственным акционером.
2. Отсутствие должного взаимодействия экономичсеких служб с причастными департаментами, структурными подразделениями и дочерними компаниями АО «НК «ҚТЖ», Департаментом экономики и планирования.
3. Несвоевременное предоставление внутригрупповых форм СП и ДЗО. </t>
  </si>
  <si>
    <t>1) Предоставление методологических консультаций и письменных разъяснений для работником СП и ДЗО;
2) Своевременное предоставление ДЗО и СП внутригрупповых форм в Департамент экономики и планирования в соответствии с установленными сроками;
3) Подготовка Бизнес-плана в соответствии со сроками, установленными Корпоративным стандартом по стратегическому и бизнес планированию в группе компаний АО «Самрук-Қазына» (решение Правления АО «Самрук-Қазына» от 07.10.2021г. протокол №45/21);
4) Своевременное вынесение на заседание Правления АО "НК "ҚТЖ" (одобрение Бизнес-плана); 
5) Своевременное вынесение на заседание Совета директоров АО "НК "ҚТЖ"(утверждение Бизнес-плана).</t>
  </si>
  <si>
    <t>ЦЭП, причастные СП, ДЗО</t>
  </si>
  <si>
    <t>STTR-4</t>
  </si>
  <si>
    <t>Риски, связанные с выбором стратегического партнера для организации производства пассажирских вагонов на базе ТОО «Вагоностроительный завод «Тұлпар»</t>
  </si>
  <si>
    <t>Уплата штрафных санкций АО "АМТП" и увеличение расходов при расторжении контракта с DP World</t>
  </si>
  <si>
    <t>CCR-11</t>
  </si>
  <si>
    <t>ПП</t>
  </si>
  <si>
    <t>КТЖЭ</t>
  </si>
  <si>
    <t>ЦДАЦ</t>
  </si>
  <si>
    <t>Подверждение соотвествия системы управления Компании требованиям международных стандартов на  которые сертифицирована Компания.</t>
  </si>
  <si>
    <t xml:space="preserve">Риск реализации новых низкорентабельных/непрофильных проектов без соответствующих решений органов Компании и Фонда </t>
  </si>
  <si>
    <t>Запрет на реализацию новых нерентабельных/низкорентабельных/непрофильных инвестиционных проектов</t>
  </si>
  <si>
    <t xml:space="preserve">Электровозы 
За нарушение сроков поставки электровозов 3 партии удержана пеня в размере 1,57 млрд тенге.  3.08.2021 г. подписан протокол урегулирования спорных вопросов. 01.10. 2021 года в г. Нур-Султан с Alstom подписано дополнительное соглашение №23 закрепляющее следующие обязательства:
-уменьшение объемов закупаемого количества грузовых электровозов на 52 единицы;
- будет поставлена более современная и востребованная модель грузового  электровоза;
- снижение обязательств по долгосрочному договору на 140 млрд. тенге;
- стоимость новых электровозов снижена на 10%;
- стоимость сервисного обслуживания новых электровозов снижена на 10%;
- ЭКЗ (Alstom) предоставляет КТЖ «купон» на 6 млрд. тенге для дополнительных работ, оказываемых Alstom;
- размер первоначального авансового платежа снижен с 5% до 2%;
- экономический эффект для КТЖ от всех достигнутых договоренностей составит порядка 197 млрд. тенге.
27.10.2021 года произведена предоплата Партии 4 за локомотивы серии KZ4AТ №41-95 и KZ8A №101-150.
В связи с реорганизацией ТОО «КТЖ-ГП» путем выделения дочерней организации АО «НК «ҚТЖ» в лице ТОО «КТЖ-ПЛ» на основании решения Правления АО «НК «ҚТЖ» от 28 июня 2021 года (протокол № 02/22), в стадии согласования дополнительное соглашение №24 по разделению объемов договора.
Тепловозы
Провести совещания с компанией «Транспортейшн Глоубэл Эл-Эл-Си» по приобретению локомотивов в соответствии с плановой потребностью. Работникам ГП провести анализ эффективности привлечения третьих лиц к перевозкам грузов на определенных участках. Привести мероприятия по замещению локомотивами Товарищества на участках, обслуживаемыми третьими лицами. В частности замена локомотивов СКД-9С ТОО «ТТТ Сервис»       6 локомотивами ТЭ33 на участке «Достык-Алашанькоу».
</t>
  </si>
  <si>
    <t>Планируется реализация доли КТТ в КВК в период 2021-2022 годы</t>
  </si>
  <si>
    <t>Общая сумма задолженности составляет 8 907 414 тыс. тенге на 01.11.2021г. Начислен резерв 100%</t>
  </si>
  <si>
    <t>ТОО "КТЖ-Грузовые перевозки", АО "Пассажирские перевозки"</t>
  </si>
  <si>
    <t xml:space="preserve">ТОО "КТЖ-Грузовые перевозки"
</t>
  </si>
  <si>
    <t>ЦЗ-1</t>
  </si>
  <si>
    <t>ЦЗ-1, ЦЗИ</t>
  </si>
  <si>
    <t xml:space="preserve">ЦЗ-1, ЦЗИ
</t>
  </si>
  <si>
    <t>ЦКС, ЦКБ</t>
  </si>
  <si>
    <t>Приложение 2 
к решению Правления акционерного общества 
«Национальная компания «Қазақстан темір жолы»
от "____" _____________ 2021 г., 
протокол №_________ вопрос № ___</t>
  </si>
  <si>
    <t>Проведение мониторинга всей дебиторской задолженности с целью выявления проблемной задолженности и проведения своевременной работы по ее погашению. Заслушивание информации по проблемной дебиторской задолженности у руководства Компании.
Среднее значение на 01.10.2021</t>
  </si>
  <si>
    <t>ЦЗ-1, ЦЗД</t>
  </si>
  <si>
    <t>ЦЗД, ЦЗ-1</t>
  </si>
  <si>
    <t>ЦЗ-1
ЦЗД</t>
  </si>
  <si>
    <t>Отвлечение собственных средств и/или привлечение заемных средств на низкорентабельные и непрофильные проекты. Недофинансирование проектов, направленных на обеспечение безопасности движения поездов, поддержание текущей деятельности в бесперебойном режиме. Увеличение долга Компании, обесценение активов, нарушение финансовых ковенантов.</t>
  </si>
  <si>
    <t>1. Обеспечение соблюдения требований Корпоративных стандартов инвестиционной деятельности и проектов АО "Самрук-Казына" и АО "НК "КТЖ" в части запрета на реализацию низкорентабельных/непрофильных без получения соответствующей рекомендации Инвестиционно-стратегического комитета АО "Самрук-Казына" и решения Совета директоров АО "НК "КТЖ"
2. Признание расходов на реализацию проекта в качестве прочих распределений Единственному акционеру. 3. Обращение в Правительство РК о выделении средств Республиканского бюджета.</t>
  </si>
  <si>
    <t>ЦФО, ЦБН</t>
  </si>
  <si>
    <t>Риск отзыва сертификата соответствия требованиям международных стандартов на  которые сертифицирована Компания.</t>
  </si>
  <si>
    <t xml:space="preserve">В целях снижения убытков реализуются мероприятия по постоянному поиску клиентов для загрузки рефконтейнеров. </t>
  </si>
  <si>
    <t xml:space="preserve">Уплата штрафных санкций АО "KTZ Expess" по договору с DP World </t>
  </si>
  <si>
    <t>Риск реализации новых низкорентабельных/непрофильных проектов без соответствующих решений органов Компании и Фонда</t>
  </si>
  <si>
    <t>Нестабильность интернет-ресурсов</t>
  </si>
  <si>
    <t>Риск несоблюдения норм законодательства Республики Казахстан</t>
  </si>
  <si>
    <t>Взыскание с Общества более 50% сумм по решениям судов от общей суммы всех исковых требований предъявляемых к Обществу</t>
  </si>
  <si>
    <t>Интермодальная конкуренция со стороны альтернативных маршрутов (железнодорожный и автомобильный транспорт)
Внутренняя конкуренция со стороны ТОО "Актауский морской северный терминал". 
Технические проблемы на АНПЗ
Увеличение времени обработки грузов в связи с требованием таможенных органов о проведении дополнительных процедур в целях снижения вероятности прохождения контрабандных грузов через государственную границу до 50 % (сканирование контейнеров с использованием МИДК)</t>
  </si>
  <si>
    <t>Истечение нормативного срока службы узлов и деталей контактной подвески (30-50 лет), со сроком службы свыше 30 лет -8 776,5 км;</t>
  </si>
  <si>
    <t>Риск невозврата инвестиций вложенных при выкупе доли участия в уставном капитале ТОО «KIF Warehouses»  ввиду первоначальной независимой оценки доли выкупа.</t>
  </si>
  <si>
    <t>Некорректное и/или несвоевременное отражение бухгалтерских записей в учетной системе;                                           Неправильное исчисление налогов и других обязательных платежей в бюджет;                                                  Несвоевременное представление налоговой отчетности в налоговые органы;                                                   Несвоевременное и/или некорректное предоставления структурными подразделениями Компании документов (правоудостоверяющих, разрешительных, расчетов, договоров, актов, технических паспортов и других), сведений и информации, необходимых для исчисления налогов и других обязательных платежей в бюджет.</t>
  </si>
  <si>
    <t>1. Сокращение сроков формирования финансовой отчетности Единственным акционером.
2. Отсутствие должного взаимодействия бухгалтерских служб с причастными департаментами, структурными подразделениями и дочерними компаниями АО «НК «ҚТЖ», Департаментом бухгалтерского учета.
3. Медленное формирование форм финансовой отчетности и загрузка файлов в системы SAP BW и SAP BPC, системные ошибки в SAP BPC и сбой связи между локальными сетями АО «НК «ҚТЖ» и Единственного акционера. Нестабильность работы автоматизированных систем затрудняет и замедляет процесс формирования финансовой отчетности.
4. Несвоевременное предоставление внутригрупповых форм финансовой отчетности ЦФО и дочерними организациями АО «НК «ҚТЖ», а также аудированной финансовой отчетности дочерними организациями.</t>
  </si>
  <si>
    <t>1. Сокращение сроков формирования Бизнес-плана Единственным акционером.
2. Отсутствие должного взаимодействия экономичсеких служб с причастными департаментами, структурными подразделениями и дочерними компаниями АО «НК «ҚТЖ», Департаментом экономики и планирования.
3. Несвоевременное предоставление внутригрупповых форм СП и ДЗО.</t>
  </si>
  <si>
    <t>Несоблюдение и/или нарушение требований законодательства Республики Казахстан структурными подразделениями, филиалами, дочерними организациями</t>
  </si>
  <si>
    <t>ТОО КТЖ-ГП: 
1) Интермодальный риск от частного сектора (основные 2 конкурента ТТТ Сервис, Дар Рэйл).  Выпадающие доходы АО «НК «ҚТЖ» составят ~ 9 468 млн.тенге.
2) Введение временного запрета на прием груза в КНР. Выпадающие доходы АО «НК «ҚТЖ» составят ~ 21 816 млн.тенге.</t>
  </si>
  <si>
    <t>КТТ: 
1. Интермодальная конкуренция со стороны альтернативных видов транспорта (воздушный,автомобильный, водный транспорт). 
2.Конкуренция внутримодальных рисков со стороны железнодорожного сектора других государств (современные подвижные составы российских железных дорог и порожние маршруты обратного транзита).
3. Риск конкуренции из-за ухудшения качества предоставляемых услуг.
4. Снижение оборачиваемости вагонов в оперировании (Нарушения сроков доставки и подачи/уборки /превышение оборота).</t>
  </si>
  <si>
    <t>КДТС: 
1. Риск конкуренции на рынке услуг по терминальной обработке грузов. Влияние снижения доли рынка ПРР на доходность.
2. Снижение объемов переработки грузов. Влияние увеличения объемов по ПРР на доходность</t>
  </si>
  <si>
    <t>Интермодальная конкуренция со стороны альтернативных маршрутов (железнодорожный и автомобильный транспорт)
Внутренняя конкуренция со стороны ТОО "Актауский морской северный терминал". 
Технические проблемы на АНПЗ
Увеличение времени обработки грузов в связи с требованием таможенных органов о проведении дополнительных процедур в целях снижения вероятности прохождения контрабандных грузов через государственную границу до 50 %</t>
  </si>
  <si>
    <t>более 10 000 млн. тнг</t>
  </si>
  <si>
    <t>Риск на стадии оценки</t>
  </si>
  <si>
    <t>По расходным договорам в иностранной валюте</t>
  </si>
  <si>
    <t>Дефолт контрагентов либо дефолт банка-контрагента. Изменение конъюнктуры финансовых рынков.</t>
  </si>
  <si>
    <t>Это среднее значение просроченной ДЗ за последние 3 года. Дефолт контрагента, 
Неисполнение контрагентами договорных обязательств.</t>
  </si>
  <si>
    <t>Потеря доходов в результате снижения пассажиропотока.
Переток клиентов на авто, авиатранспорт
Снижение качества обслуживания клиентов АО "Пассажирские перевозки"</t>
  </si>
  <si>
    <t>1. Предложение тарифных условий в соответствии с тарифами МТТ и ЕТТ
2. Анализ изменения условий на рынке перегруза для оперативного реагирования. Мониторинг доли рынка компании
3. Поэтапное внедрение CRM (модуль "Заключение договоров")</t>
  </si>
  <si>
    <t xml:space="preserve">Обществом продолжается реализация проекта «Повышение эффективности деятельности терминалов» в рамках программы АО «НК «КТЖ» «Цифровая трансформация». В этих целях в текущем году уже внедрен «Тарифный калькулятор» (его функционал будет доработан с интеграцией CRM системой и Личным Кабинетом), запущен call-center (94-26-26), введен новый корпоративный сайт.До конца 2021 года для удобства клиентов и повышения прозрачности деятельности планируется внедрить CRM  платформу и Личный кабинет Клиента </t>
  </si>
  <si>
    <t>1. Капитальный ремонт крупногабаритной площадки ГУ Алтынколь                                                                                                                  1.1. Договор о закупке работ                                                                                                                     1.2. Акт выполненных работ                                                                                                                  2. Техническое обслуживание и ремонт (краны, погрузчики,  автотранспорт, спец.техника и др.)                                                                                                                          2.1. Договор о закупке работ                                                                                                                   2.2. Акт выполненных работ                                                                            3. Техническое обслуживание и ремонт трансформаторных подстанции                                                                                          3.1. Договор о закупке работ                                                                          3.2. Акт выполненных работ</t>
  </si>
  <si>
    <t>КП,КМТП</t>
  </si>
  <si>
    <t>КМТП,КМ</t>
  </si>
  <si>
    <t>Кинвест,КТ,КМТС</t>
  </si>
  <si>
    <t xml:space="preserve">1.1., 2.1., 3.1. - 2 квартал 2022г.                           1.2., 2.2., 3.2. - 4 квартал 2022г.                                    </t>
  </si>
  <si>
    <t>1. Рассмотрение заявок клиентов на тарифном комитете по предоставлению льготных условий в соответствии с нормативными актами компании в целях увеличения объемов и доходов компании
2. Постоянный мониторинг изменения условий на рынке перегруза для оперативного реагирования. Мониторинг доли рынка
3. Поэтапное внедрение CRM (модуль "Заключение договоров")</t>
  </si>
  <si>
    <t>1. По мере поступления заявок
2. Ежевратально
3. 1-2 квартал 2022</t>
  </si>
  <si>
    <t>1. Соблюдение и контроль технического состояния подъездных путей.
2. Проведение регулярного (ежемесячного) мониторинга объемных показателей погрузки и выгрузки вагонов и контейнеров (соответствие суточным нормам).
3. Ведение работы с работниками  АО "КТЖ-ГП" в части своевременной подачи вагонов под погрузку-выгрузку на подъездные пути.                                                                                                                                                                   4.Проведение инструктажей, тех. занятий ответственными работниками филиалов АО "Кедентранссервис".
5. Взаимодействие с причастными структурными подразделениями Общества по эффективной организации производственного процесса терминальной деятельности.
6.Соблюдение требований уполномоченного органа при работе с СВХ.
7. Ремонт складов и погрузочной техники</t>
  </si>
  <si>
    <t>КТП,КМ</t>
  </si>
  <si>
    <t>На постоянной основе</t>
  </si>
  <si>
    <t>1. Взаимодействие с ДО АО НК КТЖ по недопущению внутрихолдинговой конкуренции 
2. Заявка на предоставление скидок к тарифу МЖС по определенным маршрутам;
3. Консолидация (сбор, хранение и анализ данных по клиентам) в информационной системе (CRM, ИРС-Перевозки, 1С Бухгалтерия) для повышения операционной эффективности маркетинга и продаж</t>
  </si>
  <si>
    <t>1. Мониторинг порожних пробегов;                                                                                                                                                
2. Разработка эффективных логистических схем для минимизации порожнего пробега;                          
3. Организация обратной загрузки платформ.</t>
  </si>
  <si>
    <t>КЛ,КП</t>
  </si>
  <si>
    <t>1. По мере необходимости
2. По мере необходимости
2. На постоянной основе</t>
  </si>
  <si>
    <t>КЛ,КТО</t>
  </si>
  <si>
    <t>1. На постоянной основе
2. На постоянной основе
3. На постоянной основе</t>
  </si>
  <si>
    <t>Подготовка и внесение в государственные органы РК предложений по реализации Соглашения о применении навигационных пломб в ЕАЭС для отслеживания перевозок, в части подготовки проектов документов ЕЭК, а также национального уровня при необходимости, отвечающих интересам Компании; Участие в переговорных процессах на площадках ЕЭК, государственных органов, НПП РК по обсуждению указанных проектов</t>
  </si>
  <si>
    <t>Истечение нормативного срока службы узлов и деталей контактной подвески (30—50 лет):
со сроком службы свыше 30 лет — 8 776,5 км.
Общая протяженность контактной сети — 12 187 км.</t>
  </si>
  <si>
    <t>LEGAL RISK</t>
  </si>
  <si>
    <t>STRATEGIC RISK</t>
  </si>
  <si>
    <t>ENVIRONMENTAL AND CLIMATE RISKS</t>
  </si>
  <si>
    <t>CORPORATE GOVERNANCE RISKS</t>
  </si>
  <si>
    <t>TECHNOLOGICAL RISKS</t>
  </si>
  <si>
    <t>R&amp;D RISKS</t>
  </si>
  <si>
    <t>RISK CATEGORY</t>
  </si>
  <si>
    <t>IMPACT (+/-)</t>
  </si>
  <si>
    <t>EXPECTED LOSS (-) /PROFIT (+)</t>
  </si>
  <si>
    <t>% of inherent risk</t>
  </si>
  <si>
    <t>Residual risk</t>
  </si>
  <si>
    <t>RISK FACTORS  LEVEL 1</t>
  </si>
  <si>
    <t>Comments and justifications for assessing the probability and impact</t>
  </si>
  <si>
    <t>INTRA-REPUBLICAN CARGO TURNOVER</t>
  </si>
  <si>
    <t>Risks associated with operating freight wagons</t>
  </si>
  <si>
    <t>TRANSIT CARGO TURNOVER</t>
  </si>
  <si>
    <t>Risks associated with handling cargo at regional terminals</t>
  </si>
  <si>
    <t>EXPORT CARGO TURNOVER</t>
  </si>
  <si>
    <t>IMPORT CARGO TURNOVER</t>
  </si>
  <si>
    <t>The risk of losing the exclusive right of KTZ to transit traffic as the national operator of the Republic of Kazakhstan</t>
  </si>
  <si>
    <t>Assessment to be carried out later</t>
  </si>
  <si>
    <t>Risk of arbitration under the contract for the supply of eight-axle mainline electric locomotives KZ8A with ALSTOM</t>
  </si>
  <si>
    <t>Balance of assets and liabilities</t>
  </si>
  <si>
    <t>The VaR methodology allows estimating possible expected losses within 255 days (equivalent to 1 year) with a probability of 99% based on historical data of exchange rates against tenge, changing over the last year. The calculation takes into account the net foreign exchange position at the reporting date. The net foreign exchange position is the difference between the monetary items of balance sheet assets (claims) and liabilities. Calculation: Open Currency Position × Standard Deviation for the Last Year at a Confidence Interval of 99%</t>
  </si>
  <si>
    <t>Operation of wagons, fitting platforms</t>
  </si>
  <si>
    <t>The amount of lost income, million tenge</t>
  </si>
  <si>
    <t>Passenger turnover</t>
  </si>
  <si>
    <t>Risk of enforcement of contracts</t>
  </si>
  <si>
    <t>Payment of penalties and increase in costs upon termination of a contract with DP World</t>
  </si>
  <si>
    <t>Bankruptcy and non-repayment of receivables of LLP "Kazakhstan Carriage Building Company"</t>
  </si>
  <si>
    <t>Failure to fulfill the contractual (contractual) obligations of ZIKSTO to the Company</t>
  </si>
  <si>
    <t>Failure to fulfill the contract for the supply of electric locomotives and components by the supplier EKZ LLP, sub-suppliers ALSTOM, CJSC TMH</t>
  </si>
  <si>
    <t>Inadequate fulfillment of contractual obligations for the supply of diesel locomotives of Transportation Global EL-Si LLP</t>
  </si>
  <si>
    <t>Regulated tariff of the main railway network</t>
  </si>
  <si>
    <t>Regulated tariff for locomotive traction</t>
  </si>
  <si>
    <t>Tariff price risk for the carriage component (carriage handling)</t>
  </si>
  <si>
    <t>Loss of temporarily free funds during placement (in long-term financial instruments) in second-tier banks</t>
  </si>
  <si>
    <t>Non-return of receivables (Formation of troubled receivables)</t>
  </si>
  <si>
    <t>Failure to fulfill obligations to repay bank loans.</t>
  </si>
  <si>
    <t>Risk of non-receipt / incomplete receipt of government subsidies</t>
  </si>
  <si>
    <t>Refund of subsidies in connection with non-fulfillment of contractual obligations</t>
  </si>
  <si>
    <t>Decrease in passenger traffic</t>
  </si>
  <si>
    <t>Social discontent on the part of workers</t>
  </si>
  <si>
    <t>Интермодальная конкуренция со стороны альтернативных видов транспорта (воздушный,автомобильный, водный транспорт)
Доля рынка грузовых перевозок  2018-46,5%, 2019-48%, 2020-51,5%</t>
  </si>
  <si>
    <t>Интермодальная конкуренция со стороны альтернативных видов транспорта (воздушный,автомобильный, водный транспорт) +7 782 млн тнг
Нормативная скорость доставки груза, 220 км/сут -113млн тнг
Неисполнение нормативной скорости грузового контейнерного поезда по направлению КНР ЕС 1150 км/сут -1690млн тнг</t>
  </si>
  <si>
    <t>Риск увеличения доли порожнего пробега -41 млн тнг</t>
  </si>
  <si>
    <t>Risks associated with transshipment activities at interstate docking station</t>
  </si>
  <si>
    <t>Risks of cargo transshipment at seaports</t>
  </si>
  <si>
    <t>Freight Forwarding Risks</t>
  </si>
  <si>
    <t>LLP "KTZ-Freight transportation": 
1) Intermodal risk from the private sector (the main 2 competitors are TTT Service, Dar Rail). Shortfall in income of NC KTZ JSC will amount to ~ 9,468 million tenge.
2) The introduction of a temporary ban on the receipt of goods in the PRC. Shortfall in income of NC KTZ JSC will amount to ~ 21,816 million tenge.</t>
  </si>
  <si>
    <t>JSC "Kaztemirtrans": 
1. Intermodal competition from alternative modes of transport (air, road, water transport).
2. Competition of intramodal risks from the railway sector of other countries (modern rolling stock of Russian railways and empty return transit routes).
3. The risk of competition due to deterioration in the quality of services provided.
4. Decreased turnover of wagons in operation (violations of the terms of delivery and delivery / cleaning / excess turnover).</t>
  </si>
  <si>
    <t>Intermodal competition from alternative routes (rail and road)
Internal competition from Aktau Marine Northern Terminal LLP.
Technical problems at the Atyrau refinery
Increase in cargo processing time due to the requirement of customs authorities to carry out additional procedures in order to reduce the likelihood of smuggled goods passing through the state border to 50%</t>
  </si>
  <si>
    <t>LLP "KTZ-Freight transportation": 
Intermodal competition from alternative modes of transport (air, road, water transport)
Freight transportation market share 2018-46.5%, 2019-48%, 2020-51.5%</t>
  </si>
  <si>
    <t>LLP "KTZ-Freight transportation": 
Intermodal competition from alternative modes of transport (air, road, water transport) +7,782 million tenge
Regulatory speed of cargo delivery, 220 km / day - 113 million tenge
Failure to comply with the standard speed of a freight container train in the direction of China EU 1150 km / day -1690 million tenge</t>
  </si>
  <si>
    <t>The risk of an increase in the share of empty runs -41 million tenge</t>
  </si>
  <si>
    <t>1) General price reduction in the railway transportation market. Impact on income items
2) Increasing the tariffs of MZHS, LT, GK by the carrier. Impact on expenditure items
3) Non-competitive tariff in relation to other owners. Impact on income items</t>
  </si>
  <si>
    <t>Under expenditure contracts in foreign currency</t>
  </si>
  <si>
    <t>Сontracts in foreign currency</t>
  </si>
  <si>
    <t>Default of counterparties or default of the counterparty bank. Changes in financial market conditions.</t>
  </si>
  <si>
    <t>This is the average value of overdue receivables for the last 3 years. counterparty default,
Non-fulfillment by contractors of contractual obligations.</t>
  </si>
  <si>
    <t>Loss of income as a result of reduced passenger traffic.
Transfer of customers to cars, air transport
Decrease in the quality of customer service of Passenger Transportation JSC</t>
  </si>
  <si>
    <t>Риск выплаты штрафов при расторжении договоров</t>
  </si>
  <si>
    <t>Violations of the Labor Code of the Republic of Kazakhstan</t>
  </si>
  <si>
    <t>The risk of paying fines when terminating contracts</t>
  </si>
  <si>
    <t>Payment of advance payments unsecured by a bank guarantee or insurance policy to potentially unscrupulous suppliers</t>
  </si>
  <si>
    <t xml:space="preserve">
Increase in the purchase price of rails by the supplier Aktobe Rail and Beam Plant LLP</t>
  </si>
  <si>
    <t>The total amount of debt is 8,907,414 thousand tenge as of 11/01/2021. 100% reserve accrued</t>
  </si>
  <si>
    <t>Percentage of non-development of investment projects to the plan, %</t>
  </si>
  <si>
    <t>Provision of advance payments to counterparties/suppliers without a bank guarantee/insurance policy</t>
  </si>
  <si>
    <t>На 31.12.2021 обязателсьва составили 3,9 млрд тенге</t>
  </si>
  <si>
    <t>РИСКИ САНКЦИЙ И ОГРАНИЧЕНИЙ</t>
  </si>
  <si>
    <t>SRR</t>
  </si>
  <si>
    <r>
      <t xml:space="preserve">РИСКИ САНКЦИЙ И ОГРАНИЧЕНИЙ
</t>
    </r>
    <r>
      <rPr>
        <sz val="24"/>
        <rFont val="Times New Roman"/>
        <family val="1"/>
        <charset val="204"/>
      </rPr>
      <t>(Super Risk)</t>
    </r>
  </si>
  <si>
    <t>Снижение кредитного рейтинга</t>
  </si>
  <si>
    <t>Влияние на пассажирооборот</t>
  </si>
  <si>
    <t>Влияние на репутацию</t>
  </si>
  <si>
    <t xml:space="preserve">По предварительным данным Узбекистан планирует присоединиться к Договору о ЕАЭС с 2021 года. Наиболее чувствительными последствиями для Казахстана при вступлении Узбекистана в ЕАЭС будет потеря возможности применения транзитного тарифа на перевозки в/из Узбекистана в страны ЕАЭС и переход к применению унифицированного тарифа. Доля транзитных перевозок в/из Узбекистана составляет порядка 34% от общего объема. Провозные платежи за перевозки, осуществляемые транзитом по территории Казахстана, на участках от стыковых станций с Россией до стыковых станций с Узбекистаном будут рассчитываться по Унифицированному тарифу. В настоящее время данные перевозки осуществляются по ставкам транзитного тарифа, уровень которого выше Унифицированного в среднем в 4 раза. От применения Унифицированных тарифов на указанный выше объем прогнозируемых транзитных перевозок в Узбекистан выпадающие доходы АО «НК «ҚТЖ» составят ~ 49714 млн. тенге. </t>
  </si>
  <si>
    <t>Снижение заявок по маршрутам КНР-ЕС-КНР и КНР-Иран-КНР на 13% в марте и на 17% в апреле</t>
  </si>
  <si>
    <t>Переориентация транзитного маршрута через ТМТМ</t>
  </si>
  <si>
    <t>Перевыполнение плана по экспорту за январь-апрель на 9,3%</t>
  </si>
  <si>
    <t>Влияние санкций на КТЖ в связи с российско-украинским конфликтом</t>
  </si>
  <si>
    <t xml:space="preserve">Freight transportation, mln KZT
</t>
  </si>
  <si>
    <t>Passenger transportation, mln KZT</t>
  </si>
  <si>
    <t>Wagon operating, mln KZT</t>
  </si>
  <si>
    <t xml:space="preserve">Риски, сввязанные с вводом санкций и ограничений на физических, юридических лиц, нерезидентов других стран, с которомы Группа имеет хозяйственно-экономические и другие отношения или сотрудничество, включая но не ограничичваясь меры нетарифного регулирования, </t>
  </si>
  <si>
    <t>Влияние на маршрут КНР-ЕС-КНР</t>
  </si>
  <si>
    <t>Влияние на грузооборот (CTR-4)</t>
  </si>
  <si>
    <t>Влияние на маршрут КНР-РФ-КНР</t>
  </si>
  <si>
    <t>Влияние на маршрут Дальний Восток - ЦА</t>
  </si>
  <si>
    <t>Снижение привлекательности Северного маршрута
Операционные риски ТМТМ
Операционные риски Южного маршрута</t>
  </si>
  <si>
    <t>Доход от грузооборота, млн. тнг</t>
  </si>
  <si>
    <t>Доход от оперирования, млн. тнг</t>
  </si>
  <si>
    <t>Доход от пассажирских перевозок, млн. тнг</t>
  </si>
  <si>
    <t>Дохот от грузооборота ГП, млн. тнг</t>
  </si>
  <si>
    <t>Увеличение базовой ставки НБ РК до 14,5% и увеличение ключевой ставки ЦБ РФ до 20% приведет к у</t>
  </si>
  <si>
    <t>МАКРО РИСК (Super Risk)</t>
  </si>
  <si>
    <t>Обесценение активов</t>
  </si>
  <si>
    <t>MR-1</t>
  </si>
  <si>
    <t>MR-2</t>
  </si>
  <si>
    <t>MR-3</t>
  </si>
  <si>
    <t>MR-4</t>
  </si>
  <si>
    <t>РИСКИ САНКЦИЙ И ОГРАНИЧЕНИЙ (Super Risk)</t>
  </si>
  <si>
    <t>IRR-1</t>
  </si>
  <si>
    <t>АНГЛИЙСКИЙ ВАРИАНТ</t>
  </si>
  <si>
    <t>РУССКИЙ ВАРИАНТ</t>
  </si>
  <si>
    <t>ОТОБРАЖЕНИЕ В ГРАФИКАХ</t>
  </si>
  <si>
    <t>ГРАФИКИ ДЛЯ ОТЧЕТА</t>
  </si>
  <si>
    <t>ПЕРЕКЛЮЧЕНИЕ ЯЗЫКА (АНГЛ)</t>
  </si>
  <si>
    <t>Факт/План</t>
  </si>
  <si>
    <t>Факт/План@Risk</t>
  </si>
  <si>
    <t>Доход Внутриреспубликанский оборот</t>
  </si>
  <si>
    <t>Доход Экспорт</t>
  </si>
  <si>
    <t>Доход Импорт</t>
  </si>
  <si>
    <t>Доход Транзит</t>
  </si>
  <si>
    <t>Доход терминальная деятельность</t>
  </si>
  <si>
    <t>Доход экспедирование</t>
  </si>
  <si>
    <t>Доход морских портов (АМТП и Курык)</t>
  </si>
  <si>
    <t>РИСКИ САНКЦИЙ И ОГРАНИЧЕНИЙ
(Super Risk)</t>
  </si>
  <si>
    <t>Факт /План</t>
  </si>
  <si>
    <t>Факт /План@Risk</t>
  </si>
  <si>
    <t>Субсидии пассажирских перевозок</t>
  </si>
  <si>
    <t>Субсидирование займов</t>
  </si>
  <si>
    <t>Income terminal activity</t>
  </si>
  <si>
    <t>Income forwarding</t>
  </si>
  <si>
    <t>Income of seaports (AMTP and Kuryk)</t>
  </si>
  <si>
    <t>Passenger subsidies</t>
  </si>
  <si>
    <t>Loan subsidies</t>
  </si>
  <si>
    <t>КАРТА КРИТИЧЕСКИХ КАТЕГОРИЙ РИСКОВ АО "НК "ҚТЖ"</t>
  </si>
  <si>
    <t>THR</t>
  </si>
  <si>
    <t>JFJ</t>
  </si>
  <si>
    <t>JE</t>
  </si>
  <si>
    <t>"MACRO RISK</t>
  </si>
  <si>
    <t>"RISKS OF SANCTIONS AND RESTRICTIONS</t>
  </si>
  <si>
    <t>INTEREST RISK</t>
  </si>
  <si>
    <t>ЭКОЛОГИЧЕСКИЕ И КЛИМАТИЧЕСКИЕ РИСКИ (ESG)</t>
  </si>
  <si>
    <t>В кредитном портфеле КТЖ имеется доля долга в иностранной валюте (USD, EUR, CHF).</t>
  </si>
  <si>
    <t>В этой связи, ослабление/укрепление национальной вылюты оказывает влияние на финансовую деятельность КТЖ.</t>
  </si>
  <si>
    <t>Согласно кредитному портфелю на 01.09.22г.</t>
  </si>
  <si>
    <t>Прорабатываются различные варианты высвобождения обязательств по данным гарантиям.</t>
  </si>
  <si>
    <t>Увеличение расходов по процентам на новые займы, а также текущие займы (с плавающей ставкой) в тенге.</t>
  </si>
  <si>
    <t>В кредитном портфеле имееются локальные облигации в размере 118,9 млрд. тенге с плавающей ставкой финансирования.
В этой связи, увеличение процентной ставки национального банка автоматически приведет к росту затрат по обслуживанию займа.</t>
  </si>
  <si>
    <t>В зависимости от рыночных условий, КТЖ будет рассмотрены возможные варианты финансирования, в том числе:
- на международных ранках;
- государственная поддержка.</t>
  </si>
  <si>
    <t>ЦЗЦ-1</t>
  </si>
  <si>
    <t>РИСКИ КОРПОРАТИВНОГО УПРАВЛЕНИЯ (ESG)</t>
  </si>
  <si>
    <t>HR РИСКИ (ESG)</t>
  </si>
  <si>
    <t xml:space="preserve">1.Мониторинг и анализ исполнения Плана мероприятий по реализации Стратегии развития АО «НК «ҚТЖ» до 2029 года по итогам 2022 года.
2.Реформирование системы тарифного регулирования на локомотивную тягу: разработка новой методологии расчета тарифов на услуги локомотивной тяги с целью исключения кросс-субсидирования перевозок низкодоходных грузов за счет высокодоходных грузов, разделение тарифов по типу тяги (электровозная и тепловозная) и переработки вагонов в пути следования, а также других технологических параметров.  
3.Получение финансовой поддержки от Правительства: получение от Правительства ниже рыночной ставки средств на снижение доли долговых обязательств в "твердой" валюте путем рефинансирования за счет привлечения обязательств в казахстанских тенге.
</t>
  </si>
  <si>
    <t>1.Мониторинг и анализ исполнения Плана мероприятий по реализации Стратегии развития АО «НК «ҚТЖ» до 2029 года по итогам 2022 года.
2.Совершенствование системы управления безопасностью перевозочного процесса.
3.Реализация Плана мероприятий, направленного на достижение условий нулевого травматизма.</t>
  </si>
  <si>
    <t xml:space="preserve">1.Мониторинг и анализ исполнения Плана мероприятий по реализации Стратегии развития АО «НК «ҚТЖ» до 2029 года по итогам 2022 года.
2.Реализация Плана мероприятий по совершенствованию системы корпоративного управления: будет продолжена работа  по повышению эффективности  Совета директоров и исполнительного органа, эффективности системы управления рисками, внутреннего контроля, устойчивого развития и прозрачности деятельности.
3.Повышение социальной стабильности и развития кадрового потенциала: сохранение уровня социальной стабильности персонала в позитивной зоне. </t>
  </si>
  <si>
    <t xml:space="preserve">По предварительным данным Узбекистаном прорабатывается присоединение к Договору о ЕАЭС. Наиболее чувствительными последствиями для Казахстана при вступлении Узбекистана в ЕАЭС будет потеря возможности применения транзитного тарифа на перевозки в/из Узбекистана в страны ЕАЭС и переход к применению унифицированного тарифа. Провозные платежи за перевозки, осуществляемые транзитом по территории Казахстана, на участках от стыковых станций с Россией до стыковых станций с Узбекистаном будут рассчитываться по Унифицированному тарифу. В настоящее время данные перевозки осуществляются по ставкам транзитного тарифа, уровень которого выше Унифицированного в среднем в 4 раза. От применения Унифицированных тарифов на указанный выше объем прогнозируемых транзитных перевозок в Узбекистан выпадающие доходы АО «НК «ҚТЖ» составят ~50 644,06 млн. тенге. </t>
  </si>
  <si>
    <t>С целью поддержки экономики РК, связанной с ухудшением конъюнктуры на внешнем или внутреннем рынках сбыта товара потребителя КРЕМ  может принять решение об установлении ВПК к тарифам на услуги МЖС при перевозке грузов жд транспортом. К примеру по итогам 2018 года выпадающие доходы от применения ВПК к тарифам на услуги МЖС при перевозке концентрата железорудного и окатышей железорудных составили - 1,07 млрд. тенге. Вместе с тем, в 2019, 2020 и 2021 годах ВПК к тарифам на услуги МЖС при перевозке грузов жд транспортом не устанавливался. В случае повторного наступления данного риска ожидаемые потери оцениваются по факту 2018 года на уровне  ~ 1 070,23 млн. тенге.</t>
  </si>
  <si>
    <t>PIR-4</t>
  </si>
  <si>
    <t>Риски, свзяанные с реализацией проекта Достык-Мойынты</t>
  </si>
  <si>
    <t>Увеличение ставки финансирования НБ РК 8%</t>
  </si>
  <si>
    <t>Риски удорожания проекта</t>
  </si>
  <si>
    <t>Риски не выхода на проектную мощность (согласно ТЭО проект позволит увеличить пропускную способность до 60 пар поездов в сутки)</t>
  </si>
  <si>
    <t>Снижение грузопотока по маршруту КНР-ЕС-КНР
Развитие альтернативных маршрутов
Эскалация российско-украинского конфликта</t>
  </si>
  <si>
    <t>Цтех</t>
  </si>
  <si>
    <t>Риск не выполнения утвержденных мероприятий энергосбережения по результату проведенного энергоаудита;</t>
  </si>
  <si>
    <t>1) Несвоевременное внесение заявки в бюджет закупок;                                                                        2) Риск признания тенедерных процедур несостоявшимся по причине  некорректно-составленной технической спецификации</t>
  </si>
  <si>
    <t>1) Отзыв сертификата ISO 50001:2018
2) Увеличение затрат на приобретение топливно-энергетических ресурсов;                                                                     3) Репутационный риск для компании</t>
  </si>
  <si>
    <t>В соответствии с утвержденным планом мероприятий энергосбережения по результату проведенного энергоаудита своевременно осуществлять подачу заявки на включение в бюджет закупок расходы на реализацию</t>
  </si>
  <si>
    <t>Цтех, структурные подразделения , за кем закреплено внедрение мероприятий</t>
  </si>
  <si>
    <t xml:space="preserve">РИСКИ ПАССАЖИООБОРОТА </t>
  </si>
  <si>
    <t>несвоевременное проведение закупочных процедур и заключение договора</t>
  </si>
  <si>
    <t>Отказ/сбой систем жизнеобеспечения</t>
  </si>
  <si>
    <t>1.Прекращение/перебои подачи  электроэнергии. 
2. Нарушение температурного режима в системе кондиционирования. 
3. Угроза возгорания (Пожар). 
4. Порыв воды в гермозоне  
5.  Истечение нормативного срока службы
6. Риск выхода из строя оборудования, обеспечивающего бесперебойное электроснабжение IT- систем</t>
  </si>
  <si>
    <t>Неисполнение плана по расходу ТЭР
риск снижения энергорезультативности согласно Руководству по системе энергоменеджмента
риск снижения оснащенности энергоэффекитвными техническими средствами</t>
  </si>
  <si>
    <t xml:space="preserve">Сбой/останов серверной инфраструктуры    </t>
  </si>
  <si>
    <t>1. Несвоевременное заключение договоров на тех.поддержку серверного оборудования и ЛПО.  
2. Останов и сбой операционных систем, выход из строя сервера/дисковой подсистемы/ленточных библиотек.       
3. Недостаточные мощности серверных платформ.  
4. Отсутствие среды разработки и тестирования для ИС
5.  Расходы на ремонт и техническое обслуживание
6.  Истечение нормативного срока службы оборудования
7.  Выход из строя диского массива HP 3PAR 7200 на сервере ФКС "Мобиус"</t>
  </si>
  <si>
    <t xml:space="preserve">1. Некорректные действия администратора   или обслуживающего персонала. 
2. Неверная оценка критичности и актуальности данных 
3. Эксплуатация обрудования и устройства с истекщим сроком службы
3. Ежегодная эскалация цены (стоимость запасных частей; колебание курсов валют; индекс потребительских цен)  </t>
  </si>
  <si>
    <t xml:space="preserve">Сбой/останов сетевой инфраструктуры </t>
  </si>
  <si>
    <t xml:space="preserve">1. Выход из строя оборудования или одного из компонентов оборудования (устаревшее оборудование, отсутствие полноценного резерва, нарушения в процессе эксплуатации оборудования СПД);     
2. Несвоевременная пролонгация договоров по сопровождения и аренде оборудования. 
3. Несанкционированный доступ к оборудованию как со стороны внутренних, так и внешних злоумышленников (Оборудование установлено в помещениях не предназначенных для серверного и коммуникационного оборудования. Помещения принадлежат другим структурным подразделениям КТЖ и АО ГП)                                         </t>
  </si>
  <si>
    <t xml:space="preserve">1. Ошибка системы.  
2.Неверная оценка критичности и актуальности данных </t>
  </si>
  <si>
    <t xml:space="preserve">Отказ/Сбой корпоративных систем </t>
  </si>
  <si>
    <t xml:space="preserve">1. Сбой программного обеспечения корпоративных ИС. 
2. Несвоевременное заключение договоров на закуп/тех.поддержку/развитие ИС и ЛПО
3. Некорректные действия администратора ИС. </t>
  </si>
  <si>
    <t xml:space="preserve">1. Вирусные атаки;   
2. Неверная оценка критичности и актуальности данных 
3. Ошибка системы. </t>
  </si>
  <si>
    <t>Отказ/сбой/отсутствие право владения информационными системами, используемыми в перевозочном процессе Компании</t>
  </si>
  <si>
    <t>Отказ/сбой/отсутствие право владения автоматизированной системы оперативного управления перевозками (АСОУП)</t>
  </si>
  <si>
    <t xml:space="preserve">1.ИС разработаны сторонними организациями в РК и РФ. Отсутствие программных (исходных) кодов может привести к негативным влияниям на безопасную экслуатацию ИС.
2. Некорректное  исполнение должностных обязанностей ответственных специалистов.
3. Ошибка системы. 
4.Устаревшие ИС, подлежащие замене.
5. Вирусные атаки;   
</t>
  </si>
  <si>
    <t>Отказ/сбой/отсутствие право владения диалоговой информационной системы контроля оперативных работ (ДИСКОР)</t>
  </si>
  <si>
    <t xml:space="preserve">1.ИС разработаны сторонними организациями в РК и РФ. Отсутствие программных (исходных) кодов может привести к негативным влияниям на безопасную экслуатацию ИС.
2. Отсутствие техподдержки системы, корректировки ПО, устранение ошибок по возможности осуществляется специалистами отдела.
3. Ошибка системы. 
4.Устаревшие ИС, подлежащие замене.
5. Вирусные атаки;   
</t>
  </si>
  <si>
    <t>Отказ/сбой/отсутствие право владения ЕК ИОДВ (Единый комплекс интегрированной обработки дорожной ведомости)</t>
  </si>
  <si>
    <t xml:space="preserve">1.ИС разработаны сторонними организациями в РК и РФ. Отсутствие программных (исходных) кодов может привести к негативным влияниям на безопасную экслуатацию ИС.
2. Некорректное  исполнение должностных обязанностей ответственных специалистов.
3. Ошибка системы. 
4.Устаревшие ИС, подлежащие замене.
5. Вирусные атаки;   
6.Отсутствие методик формирования статистической отчетности ЕК ИОДВ.
7.Несвоевременное удаление/блокирование прав доступа пользователей группы АО «НК «ҚТЖ» к информационным системам группы компаний АО «НК «ҚТЖ». Несанкционированный вход в домен с учетной записи уволенного работника.
8. Передаточные FAV-файлы для загрузки в SAP формируются в файлы текстового формата и не имеют какой-либо защиты от несанкционированных изменений.
9.В результате отсутствия автоматизации имеются риски некорректного выставления счетов за услуги предоставления информации экспедиторам из ЕК ИОДВ.
10. Предоставление ТОО «LogiSoft» информации в отношении железнодорожных перевозок третьих лиц по ненадлежаще оформленным доверенностям.
11. Разглашение конфиденциальной информации неавторизованным пользователям (сторонним организациям).
12. Оказание информационных услуг из системы ЕК ИОДВ без предоплаты.
13. Помещение, в котором находится сервер ЕК ИОДВ, не в полной мере соответствует Стандарту информационной безопасности АО «Самрук-Казына».
14. ЕК ИОДВ не в полной мере соответствует требованиям, установленным для критически важных объектов информационно-коммуникационной инфраструктуры.
В 2021 году с целью оптимизация и систематизация информационных систем, за счет замены разрозненных систем АСОУП, АСУ Станции Узел, АСУ СТ ЦИТ Транс и частично ДИСКОР, а так же ЕК ИОДВ Компанией разработан бизнес-план по внедрению АС "Перевозки". Стоимость проекта оценена в размере 1 628 110 тыс.тенге. В связи с тем, что значимость вышеуказанных ИС и АСУ в перевозочном процессе оценивается равной, то оценка влияния от реализации риска принимается путем равномерного распределения расходов на замену основных ИС (АСУОП, ЕК ИОДВ, АСУ Станция Узел, АСУ СТ ЦИТ) с корректировкой на инфляцию (по данным НБ РК годовая инфляция составляет 12%).
</t>
  </si>
  <si>
    <t>Отказ/сбой/отсутствие право владения автоматизированной системы интегрированной обработки маршрута машиниста (АС ИОММ)</t>
  </si>
  <si>
    <t xml:space="preserve">1.ИС разработаны сторонними организациями в РК и РФ. Отсутствие программных (исходных) кодов может привести к негативным влияниям на безопасную экслуатацию ИС.
2. Некорректное  исполнение должностных обязанностей ответственных специалистов.
3. Ошибка системы. 
4.Устаревшие ИС, подлежащие замене.
5. Вирусные атаки;   </t>
  </si>
  <si>
    <t>Отказ/сбой/отсутствие право владения фискализированной компьютерной системой  «Мобиус» (ФКС «Мобиус»)</t>
  </si>
  <si>
    <t xml:space="preserve">1. Фискальная компьютерная система «Мобиус» предназначена для управления продажами электронных билетов и контроля посадки пассажиров. Взаимодействует с АСУ "Экспресс-3". В период с 2013 года по 2020 год заключены договора с ТОО "Инстант Пейментс", ТОО "Zerek Systems" на общую сумму -  1 468 млн.тенге (на (усовершенствование программно-технического комплекса АСУ «Экспресс», о закупках лицензионного программного обеспечения, лицензионный договор на использование программного обеспечения, расширение функционала электронного билета, о закупке услуг по оказанию инжиниринговых услуг по сопровождению программного обеспечения комплекса фискального электронного билета «Mobius», «на оказание инжиниринговых услуг по сопровождению программного обеспечения комплекса фискального электронного билета «Mobius», услуги по техническому сопровождению интегрированного в системе «Мобиус» Центра мгновенных уведомлений АО «НК «ҚТЖ» (ЦМУ).
2. В случае сбоя или остановки ФКС "Мобиус" Компания несет репутационные риски.
3. Сбой или остановка ФКС "Мобиус" может привести к потере клиентских данных.
4. Серверы находятся на балансе у сторонней компании ТОО «Zerek Systems», но физически расположены в АО «НК «КТЖ».
5. Нерациональное использование средств в связи с дублированием функционала в ИС ҚТЖ, включая ФКС "Мобиус", что влечет реализацию риска завышения бюджета проекта при внедрении ИТ-систем.
6. В настоящее время проводятся мероприятия, направленные на заключение договора о безвозмездной передаче АО "НК "ҚТЖ" прав владения модулей ФКС "Мобиус". </t>
  </si>
  <si>
    <t xml:space="preserve">Неудовлетворенность клиентов при получении ИТ услуг </t>
  </si>
  <si>
    <t xml:space="preserve">1. Некачественное/несвоевременного предоставление ИТ услуг
2. Отсутствие единой диспетчерской службы Service Desk
3. Продолжительное время реагирования ИТ службы на заявку
</t>
  </si>
  <si>
    <t xml:space="preserve"> Некорректные действия оператора</t>
  </si>
  <si>
    <t xml:space="preserve">Риск поступления претензии от собственника АСУ ДКР в части использования АСУ ДКР. </t>
  </si>
  <si>
    <t>ICR - 7</t>
  </si>
  <si>
    <t xml:space="preserve">Недостаточная зрелость процесса управления ЛПО IBM
</t>
  </si>
  <si>
    <t>Недостаточная зрелость процесса управления ПО Microsoft</t>
  </si>
  <si>
    <t xml:space="preserve">Недостаточная зрелость процесса управления ПО Oracle
</t>
  </si>
  <si>
    <t>ICR-8</t>
  </si>
  <si>
    <t xml:space="preserve"> Риски информационной безопасности</t>
  </si>
  <si>
    <t>1. Использование устаревшей версии операционной системы и программного обеспечения на серверах. 
2. Неиспользование рекомендованных производителем настроек ПО. 
3. Несоответствие групповых политик с политикой Компании в области ИБ</t>
  </si>
  <si>
    <t>1.Обеспечить бесперебойное гарантированное электропитание. 
2. Закуп/замена системы бесперебойного питания  
3. Периодическое проведение профилактических работ систем бесперебойного питания и кондиционирования  
4. Ежемесячное тестирование и мониторинг оборудования в круглосуточном режиме работы сменным персоналом   
5. Своевременный контроль за первичными средствами пожаротушения (огнетушители)
6. Соблюдение правила санкционированного контроля доступа                                                                                                                                                                                                                                                                               
Своевременное заключение договоров на закуп/тех.поддержку/тех.обслуживание кондиционирования, АУГПТ и пожаро-охраной сигнализации.    
Переход на современные и эффективные источники бесперебойного питания, учитывающие технологический цикл IT оборудования в целом, -  полная замена физически изношенной и морально устаревшей системы гарантированного электроснабжения ИБП EATON, так как на эту систему отсутствует запасные части, что приводит к сложностям и значительным расходам на сопровождение системы и удержания её в рабочем состоянии.
предлагается приобретение и установка следующего оборудования:
∙ Источники бесперебойного питания в количестве 2-х единиц, мощностью 200 кВА каждый работающие в параллель по схеме (N +1) в комплекте с периферийными устройствами и аккумуляторами с резервом по времени 30 минут, взамен существующих ИБП EATON;
∙ Замена отработавших свой эксплуатационный ресурс аккумуляторных батарей в кол-ве 288 ед. на ИБП АРС Galaxy.</t>
  </si>
  <si>
    <t xml:space="preserve">Своевременное заключение договоров; на поддержку/тех.обслуживание серверного оборудования/на сопровождение ОС платформы System z
Обновление микрокодов серверного оборудования. Резервирование сопровождаемого ПО 
Поддержка в актуальном состоянии  нормативно-технической  документации, описывающей технологические переходы в аварийных ситуациях  (регламенты взаимодействия, инструкции и т.д.). 
Перевод задач ИС на арендованные облачные платформы с более высокими характеристиками
Курсы повышения квалификации, технические занятия и обучение специалистов
Проведение профилактических работ
Миграция серверов ФКС "Мобиус" на инфрастрктуру АО "Транстелеком", в ходе миграции обновляются версии ОС и SQL.               </t>
  </si>
  <si>
    <t>Своевременная пролонгация договоров по сопровождению и аренде оборудования (вынесение данных закупок на первоочередные)/заключение договоров на закуп/тех.поддержку/аренду оборудования.
Своевременный контроль по срокам гарантийного обслуживания оборудования
Настройка систем мониторинга доступности сети Интернет/канала связи, проведение оперативных работ с Провайдером  (SLA) 
Поддержка в актуальном состоянии нормативно-технической  документации, описывающей технологические переходы в аварийных ситуациях  (схемы, регламенты взаимодействия, инструкции и т.д.)   
Проведение технической учебы, обучение специалистов на сертифицированных курсах.</t>
  </si>
  <si>
    <t>Предварительная проверка изменений и корректировок ПО, получаемых от разработчика, в тестовой системе.
После тщательной проверки, производить подключения изменений и корректировок ПО в промышленную систему.      
Обеспечение оперативного восстановления работоспособности ИС. 
Резервирование, мониторинг выполнения резервных копий, принятие оперативных мер при аварийных завершениях при копировании базы данных.   
Ежегодные мероприятия по повышению квалификации IТ-персонала: специализированные курсы IТ; курсы от разработчиков ИС.</t>
  </si>
  <si>
    <t xml:space="preserve">1 Завершение перехода в АСОУП-2, либо привлечение отечественных разработчиков или найм ИТ специалистов в ҚТЖ для разработки аналогичных производственных ИС с уловием передачи право владения ҚТЖ (в случае привлечения внешнего поставщика услуг).
2.Проведение обучение со специалистами отделов согласно плану техническмх занятий.
3.Уведомление разработчиков ИС об ошибке. Получение корректировок и их установка в ИС.
4.Рассмотрение создания новых аналогичных систем в составе инициаруемых ЦДАЦ проектов.
5.Работа по списку уязвимостей ИС, представленные ЦКБ. .
6. Предоставление на еженедельной основе отчета по доступности ИС в Фонд.
</t>
  </si>
  <si>
    <t>1. Каждое полугодие добавляется в план организационных мероприятий, направленных на обеспечение непрерывности функционирования 
информационной системы ДИСКОР</t>
  </si>
  <si>
    <t xml:space="preserve">1.Проведение обучение со специалистами отделов согласно плану техническмх занятий.
2.Уведомление разработчиков ИС об ошибке. Получение корректировок и их установка в ИС.
3. Предоставление на еженедельной основе отчета по доступности ИС в Фонд.
</t>
  </si>
  <si>
    <t>1. При формировании технического задания на внедрение ИТ систем проводить анализ функционала действующих и/или внедряемых ИТ-решений, с целью исключения дублирующих функций в ИС.</t>
  </si>
  <si>
    <t xml:space="preserve">Проведение опроса удовлетворенности клиентов ИТ услуг
Улучшение качества предоставлению ИТ-услуг
Создание единой диспетчерской службы Service Desk
Фиксированное время реакции и обработки обращений (SLA)
Повышение квалификации сотрудников ИТ блока Компании
Рассмотрение возможности передачи первой линии поддержки  в аутсорсинг
Своевременное исполнение договорных обязательств с клиентами
</t>
  </si>
  <si>
    <t>Заключение договора тех поддержки с правом пользования АСУ ДКР</t>
  </si>
  <si>
    <t>Регламентировать и внедрить процессы по управлению активами;
Провести собственную инвентаризацию используемого в Компании ЛПО;
Приобретение ПО по учету количества лицензий по группе компаний Общества;
Определить и обеспечить стандартизацию устанавливаемого ПО;
Обеспечить поэтапный переход на более оптимальные модели лицензирования; 
Своевременный сбор данных по потребностям в ЛПО по группе компаний Общества;
Заключение договоров на приобретение ЛПО в соответствии с потребностью.</t>
  </si>
  <si>
    <t xml:space="preserve">Провести работы по устранению уязвимостей на сервере Интранет-портала.
</t>
  </si>
  <si>
    <t>1,2,3,6 пункты мероприятий ответственные начальник отдела АСОУП-Корошкевич Е.Н.</t>
  </si>
  <si>
    <t>начальник отдела Ягофарова В.Н.</t>
  </si>
  <si>
    <t xml:space="preserve">начальник отдела ВСФО (ИОДВ)-Мкртчян С.А., </t>
  </si>
  <si>
    <t>начальник отдела ПТС( ИОММ) - Икебаева Б.Ж.</t>
  </si>
  <si>
    <t>начальник отделаСЭБ - Канатулы А.</t>
  </si>
  <si>
    <t>начальник отдела АСУ ДКР Бектемиров Д.</t>
  </si>
  <si>
    <t xml:space="preserve">Департамент по управлению активами и ресурсами </t>
  </si>
  <si>
    <t>ICR-6</t>
  </si>
  <si>
    <t>ICR-7</t>
  </si>
  <si>
    <t>ICR-9</t>
  </si>
  <si>
    <t>ICR-10</t>
  </si>
  <si>
    <t>KPI 2023 ЦЕЛЬ</t>
  </si>
  <si>
    <t>1. На постоянной основе/в период заключения договоров
2. Ежевратально
3. 1-2 квартал 2023</t>
  </si>
  <si>
    <t>2023 год</t>
  </si>
  <si>
    <t>SR-1</t>
  </si>
  <si>
    <t>SR-2</t>
  </si>
  <si>
    <t>SR-3</t>
  </si>
  <si>
    <t>1.Мониторинг и анализ исполнения Плана мероприятий по реализации Стратегии развития АО «НК «ҚТЖ» до 2029 года по итогам 2022 года.
2.Повышение удовлетворенности клиентов за счет предоставления качественных безопасных и доступных услуг по перевозке грузов и пассажиров.</t>
  </si>
  <si>
    <t xml:space="preserve">1.Мониторинг и анализ исполнения Плана мероприятий по реализации Стратегии развития АО «НК «ҚТЖ» до 2029 года по итогам 2022 года.
2.Мероприятия по развитию транзита.
3.Повышение эффективности грузовых перевозок: снижение расходов на услугу по хранению и экипировки дизельным топливом, оптимизация численности, оптимизация расходов сервисного обслуживания локомотивов, и другие мероприятия в т.ч. в рамках Программы Трансформации.
4.Повышение эффективности МЖС: автоматизация процессов обслуживания инфраструктуры, внедрение цифровизации и прочие мероприятия.
</t>
  </si>
  <si>
    <t>LTIF - Коэффициент частоты регистрируемых происшествий с потерей рабочего времени, чел/час</t>
  </si>
  <si>
    <t>Приписка объемов выполненных работ при проведении капитального ремонта ОС и магистральной железнодорожной сети и т.д.
Необоснованное списание ТМЦ и ОС, растрата ТМЦ и ОС;
Превышение должностных полномочий. 
Халатное и формальное проведение инвентаризации ТМЦ и ОС.</t>
  </si>
  <si>
    <t xml:space="preserve">Контроль соблюдения нормативных документов АО "НК "КТЖ" Контроль объема выполненных работ при проведении капитального ремонта ОС и магистральной железнодорожной сет и т.д.согласно утвержденной сметы.
При проведении плановой инвентаризации ТМЦ и ОС в состав комиссии включать представитетелей от других структурных подразделений, дочерних организаций.
При выявлении фактов мошенничества привлекать к ответственности членов инвентаризационных комиссий структурных подразделений, дочерних организаций.
Выборочно проводить видеосъемку проводимой инвентаризации. 
Внедрить автоматизированную систему складского учета ТМЗ. 
СВА взять на контроль фактическое проведение инвентаризации. </t>
  </si>
  <si>
    <t>Письмо от органа по сертификации об отзыва сертификато соотвествия</t>
  </si>
  <si>
    <t>Служба корпоративной безопасности, Структурные подразделения, Дочерние организации</t>
  </si>
  <si>
    <t xml:space="preserve">1. Повышение уровня культуры безопасности движения (2022-2023 годы объявлены "Год развития Культуры безопасности движения") .                                                                                                                                                 
1.1. обучение и повышение квалификации персонала                                                                                                                                                               1.2. профессиональный отбор кадров                                
1.3. контроль за соблюдением персоналом требований технологических процессов                                             
1.4. контроль за своевременным устранением выявленных несоответствий                                                             
1.5. мотивация работников предотвративших нарушения безопасности движения                                                        
1.6. совершенствование нормативно технической документации                                                                                                                                          1.7. контроль исполнения намеченных мероприятий по безопасности движения и их эффективности                                                                        2. Повышение уровня надежности подвижного состава и технических средств.                                                     
2.1. контроль за сроками и видами проведения ремонта, технического обслуживания                                                      
2.2. контроль за выполнением графика технологических процессов  </t>
  </si>
  <si>
    <t>По результатам расследования нарушений безопасности движения проведены совещания с рассмотрением обстоятельств и причин нарушений с участием причастных участников перевозочного процесса. На основании выявленных коренных причин возникновения нарушений разрабатываются корректирующие мероприятия по недопущению нарушений безопасности движения.</t>
  </si>
  <si>
    <t>13 апреля 2022 года подписано дополнительное соглашение к Кредитному договору, согласно которому платежи осуществляются в российских рублях и местом проведения арбитражных разбирательств определен Гонконгский международных арбитражный центр («HKIAC»). 17 мая 2022 года подписано Дополнительное соглашение о внесении изменений в Кредитный договор, согласно которому: 1) осуществлена  конвертация суммы остатка ссудной задолженности по кредитному договору на дату конвертации (включая сумму основного обязательства, текущих процентов, просроченных процентов, а также всех дополнительных обязательств) с долларов США на российские рубли (эквивалент в рублях РФ) по курсу Банка России на дату конвертации; 2) увеличен срок финансирования займа с 120 месяцев до 165 месяцев (до 28.04.2029 г.); 3) изменен график платежей; 4) утверждена фиксированная базовая ставка с даты конвертации на уровне 17,3% (с оплатой 2% годовых ежемесячно, 15,3% в конце срока займа); утверждена фиксированная льготная ставка с даты конвертации на уровне - 7% (с оплатой 2% годовых ежемесячно, 5% в конце срока займа) при условии: отсутствиия просрочки по основному долгу и вознаграждению более 10 дней; дополнительной оплаты основного долга $2 млн. в 2022 году, последующие года по $3 млн. в рублях по курсу конвертации; оплаты основного долга в размере 12,2% (15 000 000 долларов США) от остатка задолженности на дату конвертации; ежемесячного направления свободных денежных средств, полученных от операционной деятельности, в счет погашения основной задолженности: - $2 млн. в 2022 году;
- по $3 млн. ежегодно, с 2023г. по 2028г. 5) погашение основного долга осуществляется ежеквартально.
30.06.2022г. было проведено рефинансирование основного долга (далее - ОД) на сумму 128,8 млн. долларов США в Сбербанке по курсу 51,158 рублей за 1 доллар США, который составил 6,3 млрд. RUB, на следующих основных условиях:
Базовая ставка - 17,3% льготная ставка - 7%. Ежемесячно к оплате 2% годовых, оплата разницы будет осуществлена в конце срока займа. Условия льготной ставки: отсутствие просрочки по ОД и %, оплата 28.12.2022г. ОД на сумму $15 млн. либо до 15.11.2022г. заключить оффтейк или иные соглашения с клиентами с коэффициентом покрытия долга (DSCR) не менее 0,9, которые подлежат пролонгации на 12 месяцев ежегодно. Ежемесячное направление всех свободных денежных средств от операционной деятельности, в счет погашения ОД на сумму $2 млн. в 2022 году, по $3 млн. ежегодно, с 2023г по 2028г.</t>
  </si>
  <si>
    <t>По итогам 9 месяцев 2022 года сдано в аренду 7 тыс кв м.
EBITDA составила 33,4 млн тг.
В 2023 году планируется увеличить площадь аренды до 14 тыс кв м</t>
  </si>
  <si>
    <t>Привлечение объемов для получения доходов для обслуживание займа по Кредитному договору.</t>
  </si>
  <si>
    <t>1. Индикатор МЗП
2019-2021 - 42 500тнг
2022 - 60 000тнг (+41%)
2023 - 70 000тнг (+17%)
2. Негативные публикации в СМИ</t>
  </si>
  <si>
    <t>РИСК НЕВЫДЕЛЕНИЯ СУБСИДИЙ</t>
  </si>
  <si>
    <t>Субсидии по % ставке ПЛ</t>
  </si>
  <si>
    <t>Субсидии по % ставке КТЖ</t>
  </si>
  <si>
    <t>Субсидии РБ и МИО на пассажирские перевозки</t>
  </si>
  <si>
    <t>Субсидии на реализацию Национального Проекта "Сильные регионы - драйвер развития страны"</t>
  </si>
  <si>
    <t>Субсидии на проект Достык - Мойынты</t>
  </si>
  <si>
    <t>Субсидии на проект обводная Алматы</t>
  </si>
  <si>
    <t>Наименование</t>
  </si>
  <si>
    <t>Утв. План (24.05.2022)</t>
  </si>
  <si>
    <t>Оценка</t>
  </si>
  <si>
    <t>Проект</t>
  </si>
  <si>
    <t>План @RISK</t>
  </si>
  <si>
    <t>Выручка, в т.ч.:</t>
  </si>
  <si>
    <t xml:space="preserve">  Грузовые перевозки, в т.ч.</t>
  </si>
  <si>
    <t>внутри республики</t>
  </si>
  <si>
    <t>экспорт</t>
  </si>
  <si>
    <t>импорт</t>
  </si>
  <si>
    <t>транзит</t>
  </si>
  <si>
    <t>хеджирование</t>
  </si>
  <si>
    <t>прочие доходы от грузовых перевозок</t>
  </si>
  <si>
    <t xml:space="preserve">  Пассажирские перевозки </t>
  </si>
  <si>
    <t xml:space="preserve">  Субсидии</t>
  </si>
  <si>
    <t xml:space="preserve">  Прочие (ПВД, реализация ТМЗ, штрафы и др.)</t>
  </si>
  <si>
    <t>Себестоимость</t>
  </si>
  <si>
    <t>Валовый доход</t>
  </si>
  <si>
    <t>Общие и административные расходы</t>
  </si>
  <si>
    <t>Операционная прибыль</t>
  </si>
  <si>
    <t>Финансовые расходы (% по заимствованиям)</t>
  </si>
  <si>
    <t>Прочие доходы/расходы</t>
  </si>
  <si>
    <t>Сальдо курсовой разницы</t>
  </si>
  <si>
    <t>Доля прибыли по методу долевого участия</t>
  </si>
  <si>
    <t>КПН</t>
  </si>
  <si>
    <t>Чистая прибыль</t>
  </si>
  <si>
    <t>Доля меньшинства</t>
  </si>
  <si>
    <t>Чистая прибыль (относящаяся к акционеру)</t>
  </si>
  <si>
    <t xml:space="preserve">EBITDA* </t>
  </si>
  <si>
    <t>EBITDA margin</t>
  </si>
  <si>
    <t>Себестоимость по Плану развития 1 373 667млн. тенге</t>
  </si>
  <si>
    <t>Цзайм</t>
  </si>
  <si>
    <t>Цсоц</t>
  </si>
  <si>
    <t>ТОО "КТЖ-ГП", KTZE</t>
  </si>
  <si>
    <t>ЦКБ</t>
  </si>
  <si>
    <t>SBR-1</t>
  </si>
  <si>
    <t>SBR-2</t>
  </si>
  <si>
    <t>SBR-3</t>
  </si>
  <si>
    <t>SBR-4</t>
  </si>
  <si>
    <t>ПЛ</t>
  </si>
  <si>
    <r>
      <t>1. Увеличение доли контейнеризации грузов путем проведения разъяснительной работы с грузоотправителями, формирование и укорению продвижения контейнерных поездов, установления понижающих коэффициенты к предельному уровню тарифов на услуги магистральной железнодорожной сети и локомотивной тяги.</t>
    </r>
    <r>
      <rPr>
        <sz val="18"/>
        <color rgb="FF7030A0"/>
        <rFont val="Times New Roman"/>
        <family val="1"/>
        <charset val="204"/>
      </rPr>
      <t xml:space="preserve">             </t>
    </r>
    <r>
      <rPr>
        <sz val="18"/>
        <rFont val="Times New Roman"/>
        <family val="1"/>
        <charset val="204"/>
      </rPr>
      <t xml:space="preserve">                                                                                                                                                                 2. Координация взаимодействия с владельцами подъездных путей, транспортно логистических центров по улучшению 3PL (услуга ответственного хранения, перевозка, упаковка, перегрузка, маркировка и т.д.).
3. Своевременная подача вагонов под погрузку, выгрузку.
4. Привлечение новых грузоотправителей путем размещения в свободном доступе информации о преимуществах перевозки грузов железнодорожным транспортом, тарифов на перевозки грузов, порядка предоставления заявки, предоставления благоприятных тарифных условий (в т.ч. сборы за дополнительные услуги)</t>
    </r>
  </si>
  <si>
    <r>
      <t>в течени</t>
    </r>
    <r>
      <rPr>
        <sz val="18"/>
        <rFont val="Times New Roman"/>
        <family val="1"/>
        <charset val="204"/>
      </rPr>
      <t>е</t>
    </r>
    <r>
      <rPr>
        <sz val="18"/>
        <color theme="1"/>
        <rFont val="Times New Roman"/>
        <family val="1"/>
        <charset val="204"/>
      </rPr>
      <t xml:space="preserve"> года</t>
    </r>
  </si>
  <si>
    <t>Введение вторичных санкций на Компанию</t>
  </si>
  <si>
    <t>Увеличение базовой ставки Национального банка Республики Казахстан до 16%</t>
  </si>
  <si>
    <t>Риск незапланированного увеличения ФОТ+15% с 465 910 млн.тенге</t>
  </si>
  <si>
    <t>(+2% от дохода в доле) х бюджет на 2023 г (перевозка грузов, багажа, грузобагажа во внутриреспубликанском сообщении).              Грузоотправитель из-за низкого качества обслуживания клиентов, высокой скорости тарификации</t>
  </si>
  <si>
    <t>0,6% (разница между плановой и фактической скоростью) х бюджет на 2023 г (перевозка грузов, багажа, грузобагажа во внутриреспубликанском сообщении).</t>
  </si>
  <si>
    <t xml:space="preserve">(+2% от дохода в доле) х бюджет на 2023 г (перевозка грузов, багажа, грузобагажа в импортном сообщении).              </t>
  </si>
  <si>
    <t>0,6% (разница между плановой и фактической скоростью) х бюджет на 2023 г (перевозка грузов, багажа, грузобагажа в импортном сообщении).</t>
  </si>
  <si>
    <t xml:space="preserve">(+2% от дохода в доле) х бюджет на 2023 г (перевозка грузов, багажа, грузобагажа в экспортном сообщении).              </t>
  </si>
  <si>
    <t>0,6% (разница между плановой и фактической скоростью) х бюджет на 2023 г (перевозка грузов, багажа, грузобагажа в экспортном сообщении).</t>
  </si>
  <si>
    <t xml:space="preserve">(+2% от дохода в доле) х бюджет на 2023г (перевозка грузов, багажа, грузобагажа в транзитном сообщении).              </t>
  </si>
  <si>
    <t>0,6% (разница между плановой и фактической скоростью) х бюджет на 2023 г (перевозка грузов, багажа, грузобагажа в транзитном сообщении).</t>
  </si>
  <si>
    <t>4,5% (разница между плановой и средне исторической скоростью) х бюджет на 2023 г (перевозка грузов, багажа, грузобагажа в транзитном сообщении).</t>
  </si>
  <si>
    <t xml:space="preserve">По письму ЦМТ о введении запретных мер на прием грузов в КНР рассчитан ущерб АО "НК "КТЖ" в размере 2 424 млн. тнг сроком на 1 мес. Влияние риска увеличено на 2 месяца - возможное ухудшение эпидемиологической ситуации в КНР и РК.  </t>
  </si>
  <si>
    <t xml:space="preserve">Возможно снижение объема перевозок с участием железных дорог Казахстана и Украины через сухопутные погранпереходы на 2 272 тыс. тонн, в том числе казахстанский экспорт на Украину 1587 тыс. тонн, импорт в Казахстан из Украины 136 тыс. тонн, транзит по территории Казахстана из/в/через Украину 550 тыс. тонн за год.
В 1 квартале 2022 года были введены санкции против Российской Федерации, в связи с вторжением на территорию Украины, при этом на РЖД санкции не введены (в части операционной деятельности по перевозкам). </t>
  </si>
  <si>
    <t>Ориентировочно потери на 2023г могут составить 7,2 млрд. тенге до конца года по маршруту из/в/через Украину</t>
  </si>
  <si>
    <t>ЦРКП</t>
  </si>
  <si>
    <t>Департамент тарифной политики АО "НК "ҚТЖ", Департамент тарифной политики  Дирекции магистральной сети</t>
  </si>
  <si>
    <t>Департамент тарифной политики  Дирекции магистральной сети, Департамент тарифной политики АО "НК "ҚТЖ"</t>
  </si>
  <si>
    <t>ГПБЭ</t>
  </si>
  <si>
    <t>Загрязнение окружающей среды</t>
  </si>
  <si>
    <t xml:space="preserve">Допуск сверхнормативных выбросов без разрешений на эмиссии.  Рост объема использования топливно-энергетических ресурсов.
Нарушение требований законодательства Республики Казахстан и других, применимых к деятельности ГП требований в области охраны окружающей среды, включая нормы международного права и требований международного стандарта ISO 14001. </t>
  </si>
  <si>
    <t xml:space="preserve">информационная система «Производственная безопасность» модули «Внутрений контроль» и "Экология"
</t>
  </si>
  <si>
    <t>Изменения экологического законодательства</t>
  </si>
  <si>
    <t xml:space="preserve">1.  Не своевременная идентификация и актуализация требований экологического законодательства;                                
2. Неисполнение требований международного стандарта ISO 2001 и 14001;                                                                                 3. Не соответствия условий хранения различных видов отходов законодательным требованиям. </t>
  </si>
  <si>
    <t xml:space="preserve">информационная система «Производственная безопасность» модули «Экология» и "Внутренний контроль"
</t>
  </si>
  <si>
    <t>ЦЖС, ГПБД, ГПТП</t>
  </si>
  <si>
    <t>Влияние изменения климата из-за глобального потепления</t>
  </si>
  <si>
    <t>1. Изменение структуры доходов от вида груза;                     
2. Снижение скорости перевозки;                                              3. Снижение перерабатывающей способности станций.</t>
  </si>
  <si>
    <t xml:space="preserve">информационная система «Производственная безопасность» модуль «Экология» 
</t>
  </si>
  <si>
    <t>Риск воздействия погодных условий</t>
  </si>
  <si>
    <t>1. Снижение перерабатывающей способности станций;                                                          2. Снижение скорости поездов;                                                                    3. Перерывы движения при производстве  путевых работ по очистке или разрядке пути</t>
  </si>
  <si>
    <t xml:space="preserve">информационная система «Производственная безопасность» модуль «Экология» и "Внутренний контроль" 
</t>
  </si>
  <si>
    <t>1) Полное обеспечение структурных подразделений ГП площадками для временного хранения отходов                                                                        2) Обеспечение структурных подразделений ГП контейнерами для раздельного сбора отходов;
3) Своевременное заключение договоров и вывоз и утилизацию отходов. 
4) Перевод котлов на твердом топливе на электрический вид отопления:                                                                                                                      5) Проведение капитального ремонта изношенных тракционных путей;
6) Проведение качественного ТО и КР подвижного состава (тепловозы, цистерны);
7) Автоматизация расчетных данных проектов нормативов ПДВ путем доработки в ИС ПБ модуля "Экологическая безопасность":
8) Ликвидация исторических отходов (НОДГП-4).
9) Пропаганда экологической безопасности в Обществе (проведение месячников, конкурсов и т.д.). 
10) Приобретние химико-аналитической лаборатории в Компании.                                                                                                                                       11) Разработка и реализация плана мероприятий, направленных на улучшение экологической ситуации и сокращение объемов эмиссии в окружающую среду  
12) Своевременная реализация отходов, подлежащих повторному использованию и переработке макулатуры, пластика, стекла, отработанные шины, аккумуляторов, списанной оргтехники.
13) Своевременное заключение договоров на товары, работы и услуги по природоохранной деятельности.                                                                                                                                     
14) Не допускать секвестирование бюджета, направленного на соблюдение экологического законодательства РК 
15) Реализация мер по минимизиации потребления материальных и энергетических ресурсов; 
16) Проведение капитального ремонта пыле-газоочистных сооружений.                                                               17) Охрана атмосферного воздуха. Проведение мероприятий направленных на снижение выбросов, предусмотренных проектом нормативов предельно допустимых выбросов загрязняющих веществ в атмосферу, путем внедрения очистительных систем, ликвидации источников выбросов и т.д.;
18) Охрана водных ресурсов. Проведение мероприятий по предотвращению негативного воздействия накопителей сточных вод на окружающую среду, рекультивации земель после прекращения эксплуатации накопителей, вводу в эксплуатацию (реконструкция) очистных сооружений, внедрению установок оборотного и повторного использования воды, строительству нефтеловушек, флотаторных установок, установке сливных лотков с нефтесборниками, предусмотренных проектом нормативов предельно допустимых сбросов в окружающую среду;
19) Охрана земельных ресурсов. Проведение мероприятий по вывозу производственных отходов, очистке территории от нефтепродуктов и других отходов производства, срезке замазученного грунта, оборудованию площадок для хранения металлолома и других отходов, сдаче отходов на переработку, посадке деревьев и кустарников;</t>
  </si>
  <si>
    <t xml:space="preserve"> 1. Разработка и корректировка нормативной технической документации (проектов нормативов эмиссий, оценки воздействия на окружающую среду, программ производственного экологического контроля, паспортов опасных отходов и других нормативных документов, необходимых в соответствии с экологическим законодательством Республики Казахстан);                                                                                                                 2. Получение необходимых нормативных и разрешительных документов в сфере охраны окружающей среды.                                                                                                                                                             
3. Обучение специалистов, занятых природоохранной деятельностью. 
4. Представление в установленном порядке в соответствующие территориальные государственные уполномоченные органы  отчетов, предусмотренных законодательством Республики Казахстан об охране окружающей среды</t>
  </si>
  <si>
    <t>осуществление контроля за учетом потребления природных ресурсов;
за количеством выбросов (сбросов) загрязняющих веществ в 
окружающую среду, снижением объемов эмиссий вредных веществ за счет 
применения очистительных систем и их совершенствования с целью повышения 
эффективности очистки</t>
  </si>
  <si>
    <t>1. Проведение оценки технического состояния строений и подвижного состава;                                                                                             2. Своевременное проведение ремонта зданий и сооружений;                                                                                                                            3. Монтаж заборов вдоль путей для задержки снега;                                                                                                                                                    4. Проведение дополнительного закрепления контейнеров.</t>
  </si>
  <si>
    <t>ESG-1</t>
  </si>
  <si>
    <t>ESG-2</t>
  </si>
  <si>
    <t>ESG-3</t>
  </si>
  <si>
    <t>ESG-4</t>
  </si>
  <si>
    <t>ESG-5</t>
  </si>
  <si>
    <t>ESG-6</t>
  </si>
  <si>
    <t>ESG-7</t>
  </si>
  <si>
    <t>ЦЗ-2</t>
  </si>
  <si>
    <t>ГРУЗООБОРОТ (млн.ткм)</t>
  </si>
  <si>
    <t>Транзит в контейнерах, тыс. ДФЭ</t>
  </si>
  <si>
    <t>ПАССАЖИРООБОРОТ (млн.пкм)</t>
  </si>
  <si>
    <t>Прирост выручки</t>
  </si>
  <si>
    <t>Прирост объема ДФЭ</t>
  </si>
  <si>
    <t>Прирост транзита</t>
  </si>
  <si>
    <t>Департаменте технической политики</t>
  </si>
  <si>
    <t>Департамент технической политики</t>
  </si>
  <si>
    <t xml:space="preserve">1. Бытовая коррупция и мошенничество при приеме на работу
2.Предоставление кандидатами недостоверных данных по образованию  </t>
  </si>
  <si>
    <t>1.	Мониторинг соблюдения требований к поиску и подбору персонала на вакантные должности, поиск и подбор, на которые осуществляется HR-службами филиалов АО «НК «ҚТЖ» и ДО
Проведение анкетирования кандидатов на занятие вакантных должностей с фокусом на прозрачность проведения конкурсных процедур, в т.ч. на наличие коррупционной составляющей;
2. Направление на ежеквартальной основе по вновь принятым работникам Компании запросы в образовательные учреждения для подтверждения подлинности документов об образовании, предоставленных вновь принятыми работниками при трудоустройстве в Компанию;
Проведение на постоянной основе семинаров и иных мероприятий по противодействию коррупции среди ответственных работников, занятых в процессе подбора и найма персонала.</t>
  </si>
  <si>
    <t>ICR- 6</t>
  </si>
  <si>
    <t>ICR - 8</t>
  </si>
  <si>
    <t xml:space="preserve">1. В период с 07.06.2021 года по 17.06.2021 года совместной комиссией в составе представителей Комитета по информационной безопасности МЦРИАП РК, КНБ РК и АО «Государственная техническая служба» проведена проверка АО «НК «ҚТЖ» на предмет соблюдения требований нормативных правовых актов РК в области информатизации. 
 В результате проверки составлен акт о результатах проверки, протокол об административном правонарушении и предписание об устранении нарушений, в которых зафиксировано 2 нарушения из 19 вопросов проверочного листа:
-отсутствие аутентификации (вход с логином и паролем) у пользователей в критических информационных системах (АСОУП, АСУ Экспресс, ИОДВ, ИОММ), а также на служебном ноутбуке заместителя директора филиала АО «НК «КТЖ» ЦДАЦ Нургалиева Н.Ж. в нарушение пункта 46 Постановления Правительства РК от 20 декабря 2016 года №832 (далее – Постановление).  
-установка программы ZOOM в нарушение подпункта 5 пункта 128 Постановления.
2. В период с 02.08.2021 года по 12.08.2021 года Комитетом по информационной безопасности МЦРИАП РК проведена проверка в АО «НК «ҚТЖ» - «Актюбинское отделение магистральной сети» на предмет соблюдения требований нормативных правовых актов РК в области информатизации. 
В результате проверки составлен акт о результатах проверки, предписание об устранении нарушений, в которых зафиксировано 4 нарушения из 24 вопросов проверочного листа:
-использование программы ZOOM и иностранных почтовых сервисов (Mail.ru) в нарушение подпункта 5 пункта 128 Постановления Правительства РК от 20 декабря 2016 года №832 (далее – Постановление).  
-отсутствие системы контроля общего доступа входа в серверное помещении (СКУД) в нарушение подпункта 4 пункта 155 Постановления.
-отсутствие системы видеонаблюдения в серверном помещении в  нарушение подпункта 4 пункта 154 Постановления.
-отсутствие системы пожаротушения в серверном помещении в нарушение пункта 160 Постановления.
3. Комитет по информационной безопасности МЦРИАП РК на основании письма КНБ  РК (№А/5/2/46208 от 13.10.2021 года) привлек АО «НК «ҚТЖ» к административной ответственности  за не исполнение пункта 50-1  Единых требований в области информационно-коммуникационных технологий и обеспечения информационной безопасности, утвержденных ПП РК №832 от 20 декабря 2016 года в части отсутствия подключения  к оперативному центру информационной безопасности у систем Микропроцессорной диспетчерской централизации (ДЦ Неман, ДЦ Юг, ДС Диалог, АС ДЦ, МПЦ Ebilock-950, МПЦ-2, СИРДП-Е, ЭЦ-МПК). </t>
  </si>
  <si>
    <t xml:space="preserve">Разработать дорожную карту по исполнению требований нормативных правовых актов РК в области информатизации с тиражированием задач в региональных подразделениях. 
Провести пилот отечественных программ для проведения конференций с последующим внедрением в эксплуатацию наиболее соответствующего решения;
При реализации ИТ проектов строго руководствоваться требованиями информационной безопасности. 
Необходимо продолжить проработку вопроса с АО «Транстелеком» по количеству и расположению предлагаемого к внедрению решения IDS;
Подключить IDS к действующему оперативному центру информационной безопасности АО «Транстелеком» с последующей организацией передачи информации о событиях сегмента АСУ ТП в Национальный координационный центр информационной безопасности
Направить предложения по внесению изменений в действующее законодательство в части организации мониторинга и защиты информации АСУ ТП АО «НК «ҚТЖ» в Комитет по информационной безопасности МЦРИАП РК.
</t>
  </si>
  <si>
    <t>ICR-11</t>
  </si>
  <si>
    <t>Риски утечки конфиденциальной информации Компании</t>
  </si>
  <si>
    <t>"Посредством системы предотвращения от утечек информации (DLP) по группе компаний АО «НК «ҚТЖ» фиксируется несанкционированная пересылка конфиденциальной информации (коммерческая тайна, персональные данные) за периметр корпоративной сети передачи данных АО «НК «ҚТЖ». 
По зафиксированным фактам выявленных нарушений в адрес руководителей структурных подразделений и дочерних организаций АО «НК «ҚТЖ» направляются письма о необходимости проведения разбирательств. Ведется учет с целью выявления рецидива (повторных отправок пользователем). 
Основные причины:
- использование работниками СП/ДО внешних почтовых сервисов (“mail.ru”, “gmail.com” и др.) для отправки информации, принадлежащей группе компаний   АО «НК «ҚТЖ»;
- открытые  USB порты на персональных компьютерах работников группы компаний АО «НК «ҚТЖ»;
- ненадлежащее исполнение условий договора поставщиками услуг и заказчиком (КТЖ);
- недостаточная осведомленность работников СП/ДО группы компаний АО «НК «ҚТЖ» о требованиях Правил сохранности коммерческой тайны и конфиденциальной информации в АО «НК «ҚТЖ», НПА в области защиты персональных данных и GDPR; 
- не заключение Соглашений о конфиденциальности и не подписание актов приема-передачи К/КТ; 
- отсутствие логов с систем; - несвоевременная актуализация ВНД по защите персональных данных; 
- уязвимости на сайтах Компании, связанных с выгрузкой персональных данных"</t>
  </si>
  <si>
    <t xml:space="preserve">Проведен семинар-инструктаж для специалистов ИТ-Блока по вопросам информационной безопасности, а также разъяснение порядка рассмотрения заявок в системе GLPI. В рамках мониторинга событий информационной безопасности ЦКБ еженедельно направляет в структурные подразделения и дочерние организации Общества информацию о многочисленных запросах (обращений) с личных устройств удаленного доступа работников Компании к вредоносным адресам Интернета. В первом квартале т.г. направлено 21 уведомлений о реализованных инцидентах.
Ежемесячно производится рассылка (посредством электронной почты) об угрозах информационной безопасности с рекомендациями по недопущению их реализации.
Провести проверку наличия конфиденциальной информации Компании в даркнете. 
В 3  квартале 2022 года проведена актуализация данных об ИТ-активах в специализированной системе IRP на основании реестров информационных активов, полученных от структурных подразделений в соответствии с требованиями Правил идентификации, классификации и маркировки активов по группе компаний АО «НК «ҚТЖ», утверждённых приказом от 05.05.2022г. №322-ЦЗ.
Работниками отдела  КИЗ ЦДАЦ  проводятся регулярные работы по настройке политик на программно-аппаратном комплексе.
В АО «НК «ҚТЖ» на серверах антивирусного ПО настроен в автоматическом режиме запуск задач по обновлению сигнатурных баз каждые 1-4 часа. 
В группе компаний АО «НК «ҚТЖ» разработан перечень разрешенных портов, протоколов и служб сервисов. На регулярной основе проводится проверка внешних сервисов на соответствие перечню. 
</t>
  </si>
  <si>
    <t>Некорректное оформление приказов личного состава, наложения дисциплинарного взыскания (предоставление отпуска, прием, перевод, расторжение трудового договора и т.д.)</t>
  </si>
  <si>
    <t>Реализация программ обучения для работников HR служб
Централизация кадрового делопроизводства на базе филиала ЦФО</t>
  </si>
  <si>
    <t>1. Непланомерные действия по высвобождению персонала в связи с оптимизация численности
2. Требования по повышению заработной платы в связи с ростом размера минимальной заработной платы, цен на продукты и услуги первой необходимости</t>
  </si>
  <si>
    <t xml:space="preserve">1. Реализация мероприятий по Программе социально-ответственного высвобождения персонала
2. Индексация заработной платы работников основного производственного персонала в зависимости от финансовых возможностей Компании,  охват 70% основного производственного персонала премированием за выполнение показателей эффективности с применением КТУ. 
</t>
  </si>
  <si>
    <t xml:space="preserve"> - запрет на экспорт груза «Лом черных металлов», ограничение погрузки на Достык в связи с большим скоплением вагонов на стыковой станции;
-падение деловой активности из-за остановки предприятий во всех сферах деятельности, связанного с распространением пандемии вируса COVID-19;
- запрет на экспорт на прием к перевозке продовольственных товаров и сельскохозяйственных товаров (гречка, сахар, картофель, лук, семена подсолнечника, масло подсолнечное, крупа гречневая мука, капуста, морковь, мягкая пшеница и мн.др), запрещённых к вывозу с территории РК.
Падение внешнеторговых оборотов ввиду закрытия границ КНР  в рамках борьбы с коронавирусом COVID-19  </t>
  </si>
  <si>
    <t>Рецессия экономики европейских стран</t>
  </si>
  <si>
    <t xml:space="preserve">С целью снижение негативного влияния девальвации тенге, КТЖ проводится работа по уменьшению доли долга в твердой валюте.
Планируется рефинансирование имеющихся обязательств в иностранной валюте за счет привлечения финансирования в тенге
В 2022 году погашены следующие обязательства:
 CHF185 млн. (эквивалентно 83 млрд. тенге);
 RUB 19,4 млрд. (эквивалентно 94 млрд. тенге);
 RUB 15,0 млрд. (эквивалентно 108 млрд. тенге).
</t>
  </si>
  <si>
    <t>1. Износ ВСП по состоянию на:
01.01.2018 г. — 61,5 %;
01.01.2019 г. — 59,0 %;
01.01.2020 г. — 54,95 %;
01.01.2021 г. — 54,8 %;
01.01.2022г.---- 56,5%
2. Негодность шпал 2022— 4 009,7тыс штук.</t>
  </si>
  <si>
    <t>1. Износ исскуственных сооружений по состоянию на: 1. Износ ИССО по состоянию на:
01.01.2018 г. — 57,2 %;
01.01.2019 г. — 64,0 %;
01.01.2020 г. — 61,5 %;
01.01.2021 г. — 60,3 %;
01.01.2022г.- 50,65%
2. Наличие дефектов 3-ей категории — 375 шт.</t>
  </si>
  <si>
    <t>1. Низкие квалификационные требования к получателям лицензии.
2. Несоответствие содержания штата нормативам численности;
3. Недоборосовестная конкуренция в части трансфертного ценообразования; 
4. Отсутствие доступной информации о тарифах частных перевозчиков;
5. Демпинг цен частными перевозчиками.
6. Отсутствие  сопряженных информационных систем;
7. Наличие устаревших типов локомотивов у ЧП. 
8. Высокая оплата труда у частных перевозчиков; 
9. Отток высококвалифицированных специальстов в частный сектор; длительные сроки согласования проектов и документов
10. Отсутствие коммерческого блока, подразделений по информатизации и техническому развитию в ГП; 
11. Неполноценный маркетинговый блок ГП;
12. Длительные бюрократические процедуры согласования документов;</t>
  </si>
  <si>
    <t>1. Дефицит маневровых и поездных  локомотивов. Риск своевременной доставки грузов, а также своевременности  подачи и уборки вагонов по заявке клиента;  
2. Несохранность перевозимых грузов;
3. Длительные сроки оформления документов и доставки груза.
4. Риск длительного рассмотрения претензий/жалоб</t>
  </si>
  <si>
    <t>1. Дальнейшее развитие ситуации с COVID 19. Появление новых штаммов
2. Низкие темпы вакцинации;
3. Снижение объемов производства;
4. Введение ограничений в связи с пандемией.</t>
  </si>
  <si>
    <t>1. Нехватка грузовых вагонов; 
2. Неблагоприятные тарифные условия (в т.ч. сборы за дополнительные услуги);
3. Длительные процедуры по оформлению перевозочных документов;
4. Несвоевременная доставка вагонов на станцию назначения;
5. Несвоевременная подача вагонов в связи с нехваткой маневровых локомотивов на малодеятельных грузовых станциях.</t>
  </si>
  <si>
    <t xml:space="preserve">1. Риски повышения цены на нефть; 
2. Неравномерное восстановление мировой экономики;
3. Изменение базовой ставки НБ РК;
4. Долгосрочная инфляция;
5. Отсутствие восстановления частного потребления; </t>
  </si>
  <si>
    <t>1. Нарушение цепочки поставок;
2. Мировой рост цен на зерно</t>
  </si>
  <si>
    <t>1. Снижение удельных затрат топлива на 1 ткм.;
2. Строительство скоростных автомобильных дорог;
3. Увеличение грузоподъемности автомобилей до 50 тонн;
4. Наличие доступных информационных систем о предложениях по перевозке груза;
5. Простота заключения договора;
6. Развитие сети ТЛЦ.</t>
  </si>
  <si>
    <t xml:space="preserve">1. Проведение осмотра поездов на промежуточных станциях;
2. Наличие морально и физически изношенного подвижного состава;
3. Отсутствие централизованной системы технического контроля состояния подвижного состава.  </t>
  </si>
  <si>
    <t>Влияние на маршрут КНР-ЦА</t>
  </si>
  <si>
    <t>Развитие альтернативных маршрутов</t>
  </si>
  <si>
    <t>1250 тыс ДФЭ</t>
  </si>
  <si>
    <t>1080 тыс. ДФЭ</t>
  </si>
  <si>
    <t>Риски санкций и ограничений (влияние на маршруты)</t>
  </si>
  <si>
    <t xml:space="preserve">По состоянию на 01.01.2023г. потребность в капитальном ремонте пути составляет 2 520 км.
В 2023 г. запланирован капремонт пути в объеме 567 км на сумму 105 мрд. 214 млн. 986 тыс.тг (стоимость ремонта 1 км составляет 187,236 млн тг).
При этом максимальный возможный объем капитального ремонта пути составляет 567 км ежегодно с учетом пропускной способности МЖС.
</t>
  </si>
  <si>
    <t>По программе инвестиционного бюджета на 2023 год запланирован капитальный ремонт 15 ИССО на общую сумму 4 мрд 42 млн 106 тыс тг).
При этом максимальный возможный объем капитального ремонта пути составляет 20 мостов ежегодно с учетом пропускной способности МЖС.
Расчет влияния следующий: разница между возможным и годовым объемом умноженная на стоимость 1 моста (20–15)×150 млн тг=750 млн тг</t>
  </si>
  <si>
    <t xml:space="preserve">1. В 2022 г. выдано длительнодействующих органичений скорости 3455 мест; 
2. Ограничена скорость диагностическими средствами 7770 км, закрыто движение на 1306 км;
</t>
  </si>
  <si>
    <t xml:space="preserve">В 2022 гг. по причинам отказа в работе оборудования и устройств тяговых подстанций допущено  случаев НБД, при этом задержано 6 поездов на среднюю итоговую сумму 0,3 млн тг.
Данные по доле устройств с истекшим нормативным сроком службы:
— измерительные трансформаторы 555 ед. (38 %); 
— выключатели 1279 ед. (75 %); 
— разрядники, ОПН (110-220 кВ) 289шт (56 %);
— релейная защита 847 ед. (67 %); 
— аккумуляторные батареи 12 ед. (18 %).
При выходе из строя тупиковой тяговой подстанции (либо двух подряд) движение поездов будет переведено с электротяги поездов на теплотягу.
Согласно плана потребности обновления оборудования по тяговым подстанциям на период 2021-2025 гг. составляет 20 696 млн тг (для полного обновления оборудования по тяговым подстанциям необходимо более 70 000 млн тг). </t>
  </si>
  <si>
    <t>В 2022 г. по причинам отказа в работе устройств электроснабжения допущено 4 случаев НБД, при этом задержано 54 поездов на среднюю итоговую сумму 1,2 млн тг.
Также в 2022 г. допущено повреждение 18 токоприемников на среднюю итоговую сумму 67,8 млн тг.
Итоговый ущерб за задержку поездов и повреждения токоприемников в 2022 г. составил 69 млн тг.
При отказе в работе устройств контактной сети движение поездов на электрифицированном участке будет остановлено до полного востановления контактной сети. Потребность в финансировании для обновления оборудования и устройств контактной сети составляет 109 524 млн тг.</t>
  </si>
  <si>
    <t xml:space="preserve">Вероятность риска при невыделении необходимого бюджета на обновление устройств ЖАТС при плане на 2022 г.:
— по инвестиционному бюджету на модернизацию устройств ЖАТC 5 000,0 млн тг;
— по эксплуатационному бюджету 4 000,0 млн тг.
Таким образом ущерб за 10 месяцев 2022 г составил: задержано 957 поездов на 627.8 часа на сумму 18 315 709 млн тг. </t>
  </si>
  <si>
    <t>Факт по хищению за 9 мес 2022г. ЦП, ЦШ, ЦЭ,ЦПС, ЦЖС</t>
  </si>
  <si>
    <t xml:space="preserve">Риск невозврата инвестиций, вложенных в уставный капитал ТОО «АМСТ» ввиду реализации риска обращения взыскания на принадлежащую  АО "KTZ Express " долю (30%) в уставном капитале ТОО "АМСТ", находящуюся в залоге у ПАО «Сбербанк» в соответствии с договором залога долей участия от 28.01.2016 г. </t>
  </si>
  <si>
    <t>Соглашение на оказание погрузочно-разгрузочных услуг и услуг по хранению грузов в будущем №162-АО от 28.12.2015 г. (далее - Оффтэйк контракт) было подписано между ТОО "Актауский морской северный терминал" (далее  - ТОО "АМСТ"), АО "KTZ Express" (далее - KTZE) , АО "НК "ҚТЖ" (далее - КТЖ),  ПАО "Сбербанк России" и Inter Port Development на общую сумму 175 000 млн. тенге (из расчета 430 тенге за 1 доллар США). Срок оказания услуг – до исполнения обязательств. Обязательства группы КТЖ по Оффтэйк контракту:  перевалка  19,6 млн. тонн грузов со сроком до исполнения обязательств в течение 10 лет. По Оффтэйк контракту ТОО «АМСТ» должен оказать минимальные годовые объемы Услуг по хранению грузов, а KTZE должен осуществлять оплату за Услуги на условиях 100%-ой предоплаты. При этом у KTZE отсутствует грузовая база для исполнения обязательств по Оффтэйк контракту.
Риск перевода обязанности АО «KTZ Express» на АО «НК «ҚТЖ».
Согласно пункту 13.2 (а) Оффтэйк контракта в случае существенного нарушения АО «KTZ Express» обязательств по Оффтэйк контракту, при наличии требования ТОО «АМСТ» права и обязательства АО «KTZ Express» по Оффтэйк контракту переводятся на АО «НК «ҚТЖ».
Риск признания кредитором факта неисполнения Оффтэйк контракт «Случаем неисполнения обязательств» / «Event of default» в соответствии с условиями Синдицированного срочного кредитного договора от 28 июля 2015 года в обеспечение исполнение которого был заключен Оффтэйк контракт.</t>
  </si>
  <si>
    <t>Уплата штрафных санкций АО "KTZ Expess" и АО "АМТП" по договору с DP World</t>
  </si>
  <si>
    <t>АО "KTZ Expess" и АМТП</t>
  </si>
  <si>
    <t>По состоянию на 01.01.2023г. потребность в капитальном ремонте пути составляет 2 520 км.
В 2023 г. запланирован капремонт пути в объеме 567 км на сумму 105 мрд. 214 млн. 986 тыс.тг (стоимость ремонта 1 км составляет 187,236 млн тг).
При этом максимальный возможный объем капитального ремонта пути составляет 567 км ежегодно с учетом пропускной способности МЖС.</t>
  </si>
  <si>
    <t>Риск увеличения стоимости рельс
Цена 2022г. - 500тыс. тг за рельсу</t>
  </si>
  <si>
    <t xml:space="preserve"> - финансовая несостоятельность в процессе исполнения договорных обязательств;
- установка забракованных, запрещенных, задвоенных (двойников), не сертифицированных или контрафактных запасных частей, узлов и деталей;
- несоблюдение предельных сроков выполнения ремонтов вагонов
- неисполнение контрагентами своих обязательств по договору;
- неоплата задолженности дебитором (нарушение условий договора дебитором);
- после заключения договора поставщик не внес обеспечение исполнения договора;
- несвоеременная поставка ТРУ, некачественная поставка ТРУ, полный срыв поставки, поставка товаров, работ, услуг несоответствующих условиям договора;
- неисполнение поставщиком условий по гарантии качества товаров, работ, услуг;
- несвоевременная оплата по договору, нарушение сроков оплаты за товары, работы, услуги.
- неправомерное расторжение договора.
- изменение конъюнктуры финансовых или сырьевых рынков
-  увеличение краткосрочной деботорской задолженности дочерних организаций АО "НК "ҚТЖ";
</t>
  </si>
  <si>
    <r>
      <t xml:space="preserve">Риск недопоставки и/или невозврата оплаченных сумм по договору финансового лизинга </t>
    </r>
    <r>
      <rPr>
        <b/>
        <sz val="18"/>
        <rFont val="Times New Roman"/>
        <family val="1"/>
        <charset val="204"/>
      </rPr>
      <t>№88 от 25.08.2017г.</t>
    </r>
    <r>
      <rPr>
        <sz val="18"/>
        <rFont val="Times New Roman"/>
        <family val="1"/>
        <charset val="204"/>
      </rPr>
      <t xml:space="preserve"> между   KTZE, ЗИКСТО и БРК-Лизинг
Риск недопоставки и/или невозврата оплаченных сумм по договору купли-продажи вагонов-платформ </t>
    </r>
    <r>
      <rPr>
        <b/>
        <sz val="18"/>
        <rFont val="Times New Roman"/>
        <family val="1"/>
        <charset val="204"/>
      </rPr>
      <t>№285/180/1-КП</t>
    </r>
    <r>
      <rPr>
        <sz val="18"/>
        <rFont val="Times New Roman"/>
        <family val="1"/>
        <charset val="204"/>
      </rPr>
      <t xml:space="preserve"> от 30.11.2020 г. в рамках сделки между АО "KTZ Express", АО "ЗИКСТО" и АО «ФРП». 
</t>
    </r>
  </si>
  <si>
    <t>Риск увеличения длины изношенных путей</t>
  </si>
  <si>
    <t>Выделение достаточного финансирования на капитальный ремонт
Недопущение резкого роста стоимости материалов и услуг</t>
  </si>
  <si>
    <t>Риски принудительного исполнения принятых АО «KTZ Express» обязательств.
Подписано проектное соглашение № 24-СП-Z/05 от 16.05.2017 между АО «БРК», АО «МАА», ТОО «AMG" и АО «KTZ Express». АО «KTZ Express» обязуется оказать финансовую поддержку заемщику (МАА) в случае неспособности Заемщика обслужить договор финансирования перед банком. 
В случае отсутствия возможности погашения займа АО «БРК» будет востребована гарантия АО «НК «КТЖ».</t>
  </si>
  <si>
    <t xml:space="preserve">Продолжение необходимых работ по скорейшему расторжению договора.
Принимая во внимание финансовую нагрузку при постоянно низком уровне доходов СЭЗ "Хоргос-Восточные ворота", с DP World достигнута договорённость приостановления Договора и выплат по нему на 3 года (с 01.01.2019 г. по 31.12.2021 г.). Дополнительное соглашение подписано 23.07.2020 г. Однако, с  января 2022 г. по дату окончания договора у группы КТЖ возникает приостановленное обязательство по оплате вознаграждения DP World по договору ~ 3,7 млн. долл. США.С декабря 2021 года ведутся переговоры с DP World по вопросу расторжения консультационного договора. Проводится работа по анализу эффективности оказанных DP World услуг. 
</t>
  </si>
  <si>
    <t>19.09.2016г. между XINJIANG KTZ INTERNATIONAL LOGISTICS Co. LTD и Unit 45 B.V. заключено Соглашение по операционной обработке рефрижераторных контейнеров, в соответствии с которым арендованы контейнеры в количестве 230 единиц, срок аренды 9 лет и 4 месяца, стоимость аренды составляет 27 долл. США в сутки за единицу. На 30.09.22г. обязательство XINJIANG KTZ INTERNATIONAL LOGISTICS Co. LTD перед Unit 45  по аренде 230 рефконтейнеров составляет 3,91 млрд. тенге</t>
  </si>
  <si>
    <t>Письмом АО «Банк Развития Казахстана» от 04.07.2021 № 1730 в адрес АО «Международный аэропорт Астана» и АО"НК"КТЖ" уведомило о просроченной задолженности и в случае неисполнения  АО «Международный аэропорт Астана» обязательств в срок до 19 апреля 2021 года, АО «Банк Развития Казахстана» примет все меры, предусмотренные условиями договора финансирования, включая обращение взыскания в рамках гарантии КТЖ. 
В связи с неспособностью обслуживание займа АО «МАА» данный вопрос рассматривается АО «ФНБ «Самрук-Казына»  и МИИР) .Терминал в последующем планируют передать АО «МАА» в доверительное управление.
Работа по исключению из проектного соглашения АО «KTZ Express» и ТОО "Пассажирские локомотивы" приостановлена в связи с отсутсвием согласия от АО «Банк Развития Казахстана».  Аэропорту Астаны в настоящее время не обслуживает займ 22,5 млрд тг и выносит данный вопро на Совет по транспорту при Премьер-Министре РК (Аэропорт Астаны предлагает вариант при котором АО "Самрук-Казына" выкупит акции аэропорта на сумму займа, аэропорт погасит займ ). В целях снижения убытков предусмотрено мероприятие - своевременная подготовка материалов и согласование вопроса возможности  исключения АО "KTZ Express" из проектного соглашения.
В связи с неспособностью обслуживание займа АО «МАА» данный вопрос рассматривается АО «ФНБ «Самрук-Казына»  и МИИР).</t>
  </si>
  <si>
    <t>В ноябре 2013 г. заключен договор с компанией DP World на оказание консультационных услуг на управление СЭЗ "Хоргос-Восточные ворота", срок действия договора 10 лет (по 2023 г.). Стоимость услуг на момент заключения договора составляла 4 млн. долл. США ежегодно. С 2018 г. стоимость услуг DP World по договору была снижена до 2 млн.дол. США ежегодно.
Сумма договора по АО КТЖЭкспресс = 2 млн. долларов США (Сумма признанного оценочного обяз-ва по КТЖЭ на 30.09.2022 = 1.80 млрд.тенге)
Сумма договора по АО АМТП = 3,66 млн. долларов США</t>
  </si>
  <si>
    <r>
      <rPr>
        <b/>
        <sz val="18"/>
        <rFont val="Times New Roman"/>
        <family val="1"/>
        <charset val="204"/>
      </rPr>
      <t>Договор от№88 от 25.08.2017г</t>
    </r>
    <r>
      <rPr>
        <sz val="18"/>
        <rFont val="Times New Roman"/>
        <family val="1"/>
        <charset val="204"/>
      </rPr>
      <t xml:space="preserve">. - 30.11.2020 г. между АО "KTZ Express" и АО "ЗИКСТО" было заключено Соглашение об урегулировании спора (конфликта) в порядке медиации №12-С. В рамках указанного Соглашения достигнута договоренность по возмещению АО "ЗИКСТО" 10,2 млрд. тенге, при этом будут выплачены вознаграждения, выплаченные за недопоставленные фитинговые платформы 2565 тыс. тенге. Наблюдается снижение риска в связи с подписанием медиативного соглашения, в соответствии с которой АО "ЗИКСТО" обязуется произвести возврат 10,2 млрд. тенге за недопоставленные фитинговые платформы с марта 2021 г. по декабрь 2022 г. Исполнение обязательств по возврату средств в рамках медиативного соглашения исполняется АО «ЗИКСТО» в срок:  АО "KTZ Express" - 289 млн. тенге (февраль); АО «ФРП» - 80 млн. тенге (март), 152 млн. тенге (апрель), 152 млн. тенге (май), 917 млн. тенге (июнь), 152 млн. тенге (июль), 152 млн. тенге (август), 977,5 млн. тенге (сентябрь) .), 152 млн.тенге (октябрь 2021г.), 152 млн.тенге (ноябрь 2021г.), 977,5 млн.тенге (декабрь 2021г.), 144 млн.тенге (январь 2022г.) , 144 млн.тенге (февраль 2022г.), 1 252,2 млн. тенге (март 2022г.), 144 млн.тенге (апрель 2022г.).
По состоянию на конец сентября банковские счета АО «ЗИКСТО» были заблокированы ввиду наличия уголовных расследований. Срок возобновления оплаты обязательств по медиативному соглашению не определен.
</t>
    </r>
    <r>
      <rPr>
        <b/>
        <sz val="18"/>
        <rFont val="Times New Roman"/>
        <family val="1"/>
        <charset val="204"/>
      </rPr>
      <t>Договор от №285/180/1-КП от 30.11.2020г. -</t>
    </r>
    <r>
      <rPr>
        <sz val="18"/>
        <rFont val="Times New Roman"/>
        <family val="1"/>
        <charset val="204"/>
      </rPr>
      <t xml:space="preserve"> Риск снижается в связи с проведением корпоративных процедур, которые предусматривают согласование и обоснование увеличения цены за единицу, на вагоны в количестве 383 ед. из числа не поставленных вагонов в количестве 766 ед., в установленном порядке.
Дорожная карта по изменению параметров инвестиционного проекта «Приобретение 2000ед. фитинговых платформ» утверждена Генеральным директором АО «KTZ Express»  08.08.2022 года.
Договором предусмотрена поставка 2000 ед. вагонов.
Принято  от АО «ЗИКСТО» - 1 234 ед. вагонов.
Недопоставка по итогам 3 кв. 2022 года – 766 ед. вагонов на общую сумму 17 676 982 000 тенге без НДС.
При заключении дополнительного соглашения к договору общая стоимость вагонов увеличится на 4 824 465 628 тенге без НДС.
Итого  принято  1 234 фитинговых платформ </t>
    </r>
  </si>
  <si>
    <t>Риски, связанные с договором поставки пассажирских вагонов Stadler Rail AG</t>
  </si>
  <si>
    <t>Ц, ЦЗ-1</t>
  </si>
  <si>
    <t>АО "Пассажирские перевозки",АО "Қазтеміртранс"</t>
  </si>
  <si>
    <t>Сбой/останов серверной инфраструктуры</t>
  </si>
  <si>
    <t>Сбой/останов сетевой инфраструктуры</t>
  </si>
  <si>
    <t>Отказ/Сбой корпоративных систем</t>
  </si>
  <si>
    <t>Неудовлетворенность клиентов при получении ИТ услуг</t>
  </si>
  <si>
    <t>Риски информационной безопасности</t>
  </si>
  <si>
    <t>- запрет на экспорт груза «Лом черных металлов», ограничение погрузки на Достык в связи с большим скоплением вагонов на стыковой станции;
-падение деловой активности из-за остановки предприятий во всех сферах деятельности, связанного с распространением пандемии вируса COVID-19;
- запрет на экспорт на прием к перевозке продовольственных товаров и сельскохозяйственных товаров (гречка, сахар, картофель, лук, семена подсолнечника, масло подсолнечное, крупа гречневая мука, капуста, морковь, мягкая пшеница и мн.др), запрещённых к вывозу с территории РК.
Падение внешнеторговых оборотов ввиду закрытия границ КНР  в рамках борьбы с коронавирусом COVID-19</t>
  </si>
  <si>
    <t>Возможно снижение объема перевозок с участием железных дорог Казахстана и Украины через сухопутные погранпереходы на 2 272 тыс. тонн, в том числе казахстанский экспорт на Украину 1587 тыс. тонн, импорт в Казахстан из Украины 136 тыс. тонн, транзит по территории Казахстана из/в/через Украину 550 тыс. тонн за год.
В 1 квартале 2022 года были введены санкции против Российской Федерации, в связи с вторжением на территорию Украины, при этом на РЖД санкции не введены (в части операционной деятельности по перевозкам).</t>
  </si>
  <si>
    <t>Риск невозврата инвестиций, вложенных в уставный капитал ТОО «АМСТ» ввиду реализации риска обращения взыскания на принадлежащую  АО "KTZ Express " долю (30%) в уставном капитале ТОО "АМСТ", находящуюся в залоге у ПАО «Сбербанк» в соответствии с договором залога долей участия от 28.01.2016 г.</t>
  </si>
  <si>
    <t xml:space="preserve">Риск недопоставки и/или невозврата оплаченных сумм по договору финансового лизинга №88 от 25.08.2017г. между   KTZE, ЗИКСТО и БРК-Лизинг
Риск недопоставки и/или невозврата оплаченных сумм по договору купли-продажи вагонов-платформ №285/180/1-КП от 30.11.2020 г. в рамках сделки между АО "KTZ Express", АО "ЗИКСТО" и АО «ФРП». 
</t>
  </si>
  <si>
    <t>1) фиксация цен в Евро в договорах на поставку и техническое обслуживание вагонов, которая с ослаблением курса тенге приведет к росту цены вагона и технического обслуживания, что увеличит долговую нагрузку  АО «Пассажирские перевозки» и негативно повлияет на финансовую устойчивость; 
 2) недостаточное выделение средств на приобретение и эксплуатацию пассажирских вагонов из республиканского бюджета на весь жизненный цикл проекта и невозможности финансировать проект из собственных средств со стороны АО «НК «ҚТЖ»;</t>
  </si>
  <si>
    <t>1. Выход из строя оборудования или одного из компонентов оборудования (устаревшее оборудование, отсутствие полноценного резерва, нарушения в процессе эксплуатации оборудования СПД);     
2. Несвоевременная пролонгация договоров по сопровождения и аренде оборудования. 
3. Несанкционированный доступ к оборудованию как со стороны внутренних, так и внешних злоумышленников (Оборудование установлено в помещениях не предназначенных для серверного и коммуникационного оборудования. Помещения принадлежат другим структурным подразделениям КТЖ и АО ГП)</t>
  </si>
  <si>
    <t>1. Сбой программного обеспечения корпоративных ИС. 
2. Несвоевременное заключение договоров на закуп/тех.поддержку/развитие ИС и ЛПО
3. Некорректные действия администратора ИС.</t>
  </si>
  <si>
    <t>Риск поступления претензии от собственника АСУ ДКР в части использования АСУ ДКР.</t>
  </si>
  <si>
    <t>1. В период с 07.06.2021 года по 17.06.2021 года совместной комиссией в составе представителей Комитета по информационной безопасности МЦРИАП РК, КНБ РК и АО «Государственная техническая служба» проведена проверка АО «НК «ҚТЖ» на предмет соблюдения требований нормативных правовых актов РК в области информатизации. 
 В результате проверки составлен акт о результатах проверки, протокол об административном правонарушении и предписание об устранении нарушений, в которых зафиксировано 2 нарушения из 19 вопросов проверочного листа:
-отсутствие аутентификации (вход с логином и паролем) у пользователей в критических информационных системах (АСОУП, АСУ Экспресс, ИОДВ, ИОММ), а также на служебном ноутбуке заместителя директора филиала АО «НК «КТЖ» ЦДАЦ Нургалиева Н.Ж. в нарушение пункта 46 Постановления Правительства РК от 20 декабря 2016 года №832 (далее – Постановление).  
-установка программы ZOOM в нарушение подпункта 5 пункта 128 Постановления.
2. В период с 02.08.2021 года по 12.08.2021 года Комитетом по информационной безопасности МЦРИАП РК проведена проверка в АО «НК «ҚТЖ» - «Актюбинское отделение магистральной сети» на предмет соблюдения требований нормативных правовых актов РК в области информатизации. 
В результате проверки составлен акт о результатах проверки, предписание об устранении нарушений, в которых зафиксировано 4 нарушения из 24 вопросов проверочного листа:
-использование программы ZOOM и иностранных почтовых сервисов (Mail.ru) в нарушение подпункта 5 пункта 128 Постановления Правительства РК от 20 декабря 2016 года №832 (далее – Постановление).  
-отсутствие системы контроля общего доступа входа в серверное помещении (СКУД) в нарушение подпункта 4 пункта 155 Постановления.
-отсутствие системы видеонаблюдения в серверном помещении в  нарушение подпункта 4 пункта 154 Постановления.
-отсутствие системы пожаротушения в серверном помещении в нарушение пункта 160 Постановления.
3. Комитет по информационной безопасности МЦРИАП РК на основании письма КНБ  РК (№А/5/2/46208 от 13.10.2021 года) привлек АО «НК «ҚТЖ» к административной ответственности  за не исполнение пункта 50-1  Единых требований в области информационно-коммуникационных технологий и обеспечения информационной безопасности, утвержденных ПП РК №832 от 20 декабря 2016 года в части отсутствия подключения  к оперативному центру информационной безопасности у систем Микропроцессорной диспетчерской централизации (ДЦ Неман, ДЦ Юг, ДС Диалог, АС ДЦ, МПЦ Ebilock-950, МПЦ-2, СИРДП-Е, ЭЦ-МПК).</t>
  </si>
  <si>
    <t>1. Бытовая коррупция и мошенничество при приеме на работу
2.Предоставление кандидатами недостоверных данных по образованию</t>
  </si>
  <si>
    <t>Допуск сверхнормативных выбросов без разрешений на эмиссии.  Рост объема использования топливно-энергетических ресурсов.
Нарушение требований законодательства Республики Казахстан и других, применимых к деятельности ГП требований в области охраны окружающей среды, включая нормы международного права и требований международного стандарта ISO 14001.</t>
  </si>
  <si>
    <t>1.  Не своевременная идентификация и актуализация требований экологического законодательства;                                
2. Неисполнение требований международного стандарта ISO 2001 и 14001;                                                                                 3. Не соответствия условий хранения различных видов отходов законодательным требованиям.</t>
  </si>
  <si>
    <t>Категория риска</t>
  </si>
  <si>
    <t>Фактор риска</t>
  </si>
  <si>
    <t>Вероятность</t>
  </si>
  <si>
    <t>Влияние, млн. тнг</t>
  </si>
  <si>
    <t>Остаточный риск, млн. тнг</t>
  </si>
  <si>
    <t>Ожидаемые потери, млн. тнг</t>
  </si>
  <si>
    <t>Названия строк</t>
  </si>
  <si>
    <t>Общий итог</t>
  </si>
  <si>
    <t>Сумма по полю Ожидаемые потери, млн. тнг</t>
  </si>
  <si>
    <t>1. Риск отсутствия бюджетного финансирования на приобретение вагонов;
2. Риск несоблюдения выплаты по установленному порядку авансирования поставки вагонов;
3. Риск невозврата авансовых платежей и размера штрафных санкций;
4. Риск повышения стоимости при выборе Индекса для проведения ежегодной индексации стоимости вагонов и их ТО;
5. Риск увеличения индекса PPI;
6. Риск отсутствия бюджетного финансирования в рамках дополнительного субсидирования;
7. Риск разрыва ликвидности (кредитный риск);
8. Риск по валютному соотношению;
9. Риск снижения требования к банковской гарантии;
10. Риск невыполнения условий приобретения стратегических запасных частей, ремонтного оборудования и специальных инструментов и строительства ПТО на ст. Алматы; 
11. Риск предъявления исков/судебных разбирательств;
12. Репутационный риск;
13. Риск неисполнения обязательств.</t>
  </si>
  <si>
    <t xml:space="preserve">
Риск невозврата авансовых платежей и размера штрафных санкций. 
(в соответствии с подпунктом 12.4.1. пункта 12.4. договора купли-продажи железнодорожных пассажирских вагонов от 13 декабря 2022 года №194/ЦЛ, предоплата в размере 40 млрд. тенге 23 декабря 2022 года размещена на банковском счете эскроу в АО «Народный Банк Казахстана»;. предоплата 122 млрд. тенге планируется в июне 2023 года). 
</t>
  </si>
  <si>
    <t>Уровень базовой инфляции на 2023 год является 5%</t>
  </si>
  <si>
    <t>Доля расходов, подверженных инфляции = 699 млрд, с учетом рисков инфляции может составить 757 млрд. = разница 88 млрд тнг</t>
  </si>
  <si>
    <t>КДТС:
1. Доля КДТС на рынке перегруза,% (влияние изменения доли на доход, импорт).
2. Выполнение плана по обьемным показателям (тыс.тонн), %
3. Простой (в сутках) на ПМ из-за конкурентов, влияние на доход 
4. Коэффициент технической готовности, %     Ожидаемые потери могут составить -999 млн.тенге.</t>
  </si>
  <si>
    <t>ТОО КТЖ-ГП: 
1) Интермодальный риск от частного сектора (основные 2 конкурента ТТТ Сервис, Дар Рэйл, возможно до 8 частных перевозчиков).  Выпадающие доходы АО «НК «ҚТЖ» составят ~14 453 млн.тенге.
2) Интермодальная конкуренция со стороны альтернативных видов транспорта (воздушный,автомобильный, водный транспорт). Доля рынка грузовых перевозок 
Ожидаемые потери (возможности) составят + 4 086 млн.тенге.
3) Нормативная скорость доставки груза, 330 км/сут. Неисполнение нормативной скорости грузового поезда - 2019-48,86 км/час, 2020- 48,59 км/час, 2021- 49,03 км/час. Ожидаемые потери составят -152 млн.тенге.</t>
  </si>
  <si>
    <t>1) (МЖС) Риск применения низкого унифицированного тарифа вместо высокого транзитного  на перевозки грузов из Узбекистана в страны ЕАЭС по территориии Казахстана , в связи со вступлением Узбекистана в ЕАЭС. Выпадающие доходы АО «НК «ҚТЖ» составят ~50 644 млн тнг
2) Риск снижения тарифов на услуги МЖС при применении временных понижающих коэффициентов. В случае допущения данного риска ожидаемые потери составят -1 070 млн тнг
3) Снижение тарифа на доступ к магистральной железнодорожной сети. В случае реализации данного риска ожидаемые потери составят -6 548 млн тнг
4) Неисполнение статей затрат тарифной сметы более чем на пять процентов.  В случае реализации данного риска ожидаемые потери составят -182 млн тнг.</t>
  </si>
  <si>
    <t>1) (ЛТ)Риск применения низкого унифицированного тарифа вместо высокого транзитного  на перевозки грузов из Узбекистана в страны ЕАЭС по территориии Казахстана , в связи со вступлением Узбекистана в ЕАЭС. Выпадающие доходы АО «НК «ҚТЖ» составят ~ 50 644 млн тнг</t>
  </si>
  <si>
    <t>Уровень базовой инфляции согласно Плану развития на 2023 год является 5%, прогноз с учетом рисков оценивается на уровне 17,5%.
Себестоимость по Плану развития 1 373 667млн. тенге, доля расходов, подверженных инфляции = 699 млрд, с учетом рисков инфляции может составить 757 млрд. = разница 88 млрд тнг</t>
  </si>
  <si>
    <t>Риск незапланированного увеличение ФОТ+15% с 465 млрд. тенге до 534 млрд. тенге</t>
  </si>
  <si>
    <t>Риск невозврата авансовых платежей и размера штрафных санкций. 
(в соответствии с подпунктом 12.4.1. пункта 12.4. договора купли-продажи железнодорожных пассажирских вагонов от 13 декабря 2022 года №194/ЦЛ, предоплата в размере 40 млрд. тенге 23 декабря 2022 года размещена на банковском счете эскроу в АО «Народный Банк Казахстана»;. предоплата 122 млрд. тенге планируется в июне 2023 года).</t>
  </si>
  <si>
    <t>1) Риск принудительного исполнения принятых АО «KTZ Express» и ТОО "Актауский морской северный терминал" обязательств по Оффтэйк контракту. Риск перевода обязанности АО «KTZ Express» на АО «НК «ҚТЖ». Вероятность реализации - 40% , влияние - 9 817 млн. тнг.
2) Риск принудительного исполнения Offtake-контрактов, связанных с Unit 45 B.V. Вероятность реализации - 95,5% , влияние - 936 млн. тнг.
3) Риски принудительного исполнения принятых АО «KTZ Express» обязательств связанны с АО «Международный аэропорт Астана». Вероятность реализации - 60% , влияние - 4 500 млн. тнг.</t>
  </si>
  <si>
    <t>Сумма договора по АО КТЖЭкспресс = 2 млн. долларов США (Сумма признанного оценочного обяз-ва по КТЖЭ на 30.09.2022 = 1.80 млрд.тенге)
Сумма договора по АО АМТП = 3,66 млн. долларов США</t>
  </si>
  <si>
    <t>Риск недопоставки и/или невозврата оплаченных сумм по договору финансового лизинга №88 от 25.08.2017г. между   KTZE, ЗИКСТО и БРК-Лизинг
Риск недопоставки и/или невозврата оплаченных сумм по договору купли-продажи вагонов-платформ №285/180/1-КП от 30.11.2020 г. в рамках сделки между АО "KTZ Express", АО "ЗИКСТО" и АО «ФРП</t>
  </si>
  <si>
    <t>Риск реализован в 2021 году. Произошел существенный рост до 500 тыс. тнг за рельсу. Возможна реализация риска в 2023 году.</t>
  </si>
  <si>
    <t>ВЕРОЯТНОСТЬ  5  ВЛИЯНИЕ  6</t>
  </si>
  <si>
    <t>ВЕРОЯТНОСТЬ  5  ВЛИЯНИЕ  7</t>
  </si>
  <si>
    <t>ВЕРОЯТНОСТЬ  5  ВЛИЯНИЕ  8</t>
  </si>
  <si>
    <t>ВЕРОЯТНОСТЬ  5  ВЛИЯНИЕ  9</t>
  </si>
  <si>
    <t>ВЕРОЯТНОСТЬ  5  ВЛИЯНИЕ  10</t>
  </si>
  <si>
    <t>Увеличение расходов по  процентам на новые займы, а также текущие займы (с плавающей ставкой) в тенге и рублях</t>
  </si>
  <si>
    <t>Приложение 1 
к решению Совета директоров акционерного общества 
«Национальная компания «Қазақстан темір жолы»
от "____" _____________ 2023 г., 
протокол №_________ вопрос № ___</t>
  </si>
  <si>
    <t>Приложение 2 
к решению Совета директоров акционерного общества 
«Национальная компания «Қазақстан темір жолы»
от "____" _____________ 2023 г., 
протокол №_________ вопрос № ___</t>
  </si>
  <si>
    <t>RESIDUAL RISK</t>
  </si>
  <si>
    <t>RISKS OF SANCTIONS AND RESTRICTIONS (Super Risk)</t>
  </si>
  <si>
    <t>MACRO RISK (Super Risk)</t>
  </si>
  <si>
    <t>RISK OF NON-ALLOCATION OF SUBSIDIES</t>
  </si>
  <si>
    <t>ENVIRONMENTAL AND CLIMATE RISKS (ESG)</t>
  </si>
  <si>
    <t>CORPORATE GOVERNANCE RISKS (ESG)</t>
  </si>
  <si>
    <t>LLP "KTZ-Freight transportation": 
1) Intermodal risk from the private sector (the main 2 competitors are TTT Service, Dar Rail, possibly up to 8 private carriers). The shortfall in income of NC KTZ JSC will amount to ~ 14 453 million tenge.
2) Intermodal competition from alternative modes of transport (air, road, water transport). Expected losses (opportunities) will be + 4,086 million tenge.
3) Regulatory speed of cargo delivery, 330 km/day. Failure to comply with the standard speed of a freight train - 2019-48.86 km/h, 2020- 48.59 km/h, 2021- 49.03 km/h. Expected losses will be -152 million tenge.</t>
  </si>
  <si>
    <t>JSC "Kedentransservice":
1. The share of KDTS in the transshipment market,% (the impact of changes in the share on income, imports).
2. Implementation of the plan in terms of volume indicators (thousand tons),%
3. Downtime (in days) at PM due to competitors, impact on income
4. Technical readiness coefficient, % Expected losses may amount to -999 million tenge.</t>
  </si>
  <si>
    <t>JSC "Kedentransservice": 
1. The risk of competition in the market for terminal cargo handling services. The impact of the decline in the market share on profitability.
2. Reducing the volume of cargo handling. Impact of increasing LDP volumes on profitability</t>
  </si>
  <si>
    <t>Hyperinflation rate</t>
  </si>
  <si>
    <t>The core inflation rate according to the Development Plan for 2023 is 5%, the risk-adjusted forecast is estimated at 17.5%.
Cost under the Development Plan 1,373,667 mln. tenge, the share of expenses subject to inflation = 699 billion, taking into account inflation risks, it could be 757 billion = difference 88 billion tenge</t>
  </si>
  <si>
    <t>1) The risk of applying a low unified tariff instead of a high transit tariff for the transportation of goods from Uzbekistan to the EAEU countries through the territory of Kazakhstan, in connection with Uzbekistan's accession to the EAEU. Shortfall in income of NC KTZ JSC will amount to ~ 50,644 million tenge
2) The risk of reducing tariffs for the services of the MHC when applying temporary reduction factors. If this risk is assumed, the expected losses will amount to -1070 million tenge
3) Reducing the tariff for access to the main railway network. If this risk materializes, the expected losses will amount to - 6,548 million tenge
4) Non-fulfillment of cost items of the tariff estimate by more than five percent. If this risk materializes, the expected losses will amount to-182 million tenge.</t>
  </si>
  <si>
    <t>1) The risk of using a low unified tariff instead of a high transit one for the transportation of goods from Uzbekistan to the EAEU countries through the territory of Kazakhstan, in connection with Uzbekistan's accession to the EAEU. Shortfall in income of NC KTZ JSC will amount to ~ 50,644 million tenge</t>
  </si>
  <si>
    <t>Risk of drop in the level of the Caspian Sea</t>
  </si>
  <si>
    <t>Reducing the operational capabilities of port berths, shipping lanes, port water areas, hydraulic structures and navigation safety.</t>
  </si>
  <si>
    <t>"Loss of revenue as a result of reduced passenger traffic.</t>
  </si>
  <si>
    <t>According to financial report 01/09/2022</t>
  </si>
  <si>
    <t>Risk of unplanned payroll increase +15% from 465 billion tenge to 534 billion tenge</t>
  </si>
  <si>
    <t>Risks related to the Stadler Rail AG passenger coach supply contract</t>
  </si>
  <si>
    <t>The risk of non-return of advance payments and the amount of penalties.
(in accordance with subparagraph 12.4.1. of paragraph 12.4. of the agreement for the sale and purchase of railway passenger cars dated December 13, 2022 No. 194 / TsL, an advance payment in the amount of 40 billion tenge on December 23, 2022 was placed on an escrow bank account with Halyk Bank JSC Kazakhstan”; prepayment of 122 billion tenge is planned for June 2023).</t>
  </si>
  <si>
    <t>1) The risk of enforcement of obligations assumed by KTZ Express JSC and Aktau Marine Northern Terminal LLP under the Offtake contract. The risk of transferring the obligation of KTZ Express JSC to NC KTZ JSC. Probability of implementation - 40%, impact - 9,817 million tenge.
2) Risk of enforcement of Offtake contracts related to Unit 45 B.V. Probability of implementation - 95.5%, impact - 936 million tenge.
3) The risks of enforcement of obligations assumed by KTZ Express JSC are associated with Astana International Airport JSC. Probability of implementation - 60%, impact - 4,500 million tenge.</t>
  </si>
  <si>
    <t>The amount of the contract for JSC KTZhEkspress = 2 million US dollars (Amount of recognized estimated liability for KTZhE as of September 30, 2022 = 1.80 billion tenge)
The amount of the contract for ASTP JSC = 3.66 million US dollars</t>
  </si>
  <si>
    <t>Risk of underdelivery and/or non-return of paid amounts under financial leasing agreement No. 88 dated 08/25/2017. between KTZE, ZIKSTO and BRK-Leasing
Risk of underdelivery and/or non-return of paid amounts under the agreement for the sale and purchase of flat cars No. 285/180/1-KP dated November 30, 2020 as part of a transaction between KTZ Express JSC, ZIKSTO JSC and FRP JSC</t>
  </si>
  <si>
    <t>The risk is realized in 2021. There was a significant increase to 500 thousand tenge per rail. It is possible that the risk will materialize in 2023.</t>
  </si>
  <si>
    <t>Residual Risk</t>
  </si>
</sst>
</file>

<file path=xl/styles.xml><?xml version="1.0" encoding="utf-8"?>
<styleSheet xmlns="http://schemas.openxmlformats.org/spreadsheetml/2006/main" xmlns:mc="http://schemas.openxmlformats.org/markup-compatibility/2006" xmlns:x14ac="http://schemas.microsoft.com/office/spreadsheetml/2009/9/ac" mc:Ignorable="x14ac">
  <numFmts count="75">
    <numFmt numFmtId="44" formatCode="_-* #,##0.00\ &quot;₸&quot;_-;\-* #,##0.00\ &quot;₸&quot;_-;_-* &quot;-&quot;??\ &quot;₸&quot;_-;_-@_-"/>
    <numFmt numFmtId="164" formatCode="_-* #,##0_-;\-* #,##0_-;_-* &quot;-&quot;_-;_-@_-"/>
    <numFmt numFmtId="165" formatCode="_-* #,##0.00_-;\-* #,##0.00_-;_-* &quot;-&quot;??_-;_-@_-"/>
    <numFmt numFmtId="166" formatCode="_-* #,##0.00\ _₽_-;\-* #,##0.00\ _₽_-;_-* &quot;-&quot;??\ _₽_-;_-@_-"/>
    <numFmt numFmtId="167" formatCode="_-* #,##0.00_р_._-;\-* #,##0.00_р_._-;_-* &quot;-&quot;??_р_._-;_-@_-"/>
    <numFmt numFmtId="168" formatCode="#,##0.0"/>
    <numFmt numFmtId="169" formatCode="#,##0_ ;\-#,##0\ "/>
    <numFmt numFmtId="170" formatCode="0.0%"/>
    <numFmt numFmtId="171" formatCode="_-* #,##0\ _₽_-;\-* #,##0\ _₽_-;_-* &quot;-&quot;??\ _₽_-;_-@_-"/>
    <numFmt numFmtId="172" formatCode="#,##0\ _₽"/>
    <numFmt numFmtId="173" formatCode="_-* #,##0&quot;р.&quot;_-;\-* #,##0&quot;р.&quot;_-;_-* &quot;-&quot;&quot;р.&quot;_-;_-@_-"/>
    <numFmt numFmtId="174" formatCode="_-* #,##0.00&quot;р.&quot;_-;\-* #,##0.00&quot;р.&quot;_-;_-* &quot;-&quot;??&quot;р.&quot;_-;_-@_-"/>
    <numFmt numFmtId="175" formatCode="#,##0_);\(#,##0\);#,##0_);@_)"/>
    <numFmt numFmtId="176" formatCode="0,"/>
    <numFmt numFmtId="177" formatCode="General_)"/>
    <numFmt numFmtId="178" formatCode="#,##0.0_);\(#,##0.0\)"/>
    <numFmt numFmtId="179" formatCode="&quot;$&quot;#,##0.0_);[Red]\(&quot;$&quot;#,##0.0\)"/>
    <numFmt numFmtId="180" formatCode="#\ ##0_.\ &quot;zі&quot;\ 00\ &quot;gr&quot;;\(#\ ##0.00\z\і\)"/>
    <numFmt numFmtId="181" formatCode="#\ ##0&quot;zі&quot;00&quot;gr&quot;;\(#\ ##0.00\z\і\)"/>
    <numFmt numFmtId="182" formatCode="_-&quot;$&quot;* #,##0.00_-;\-&quot;$&quot;* #,##0.00_-;_-&quot;$&quot;* &quot;-&quot;??_-;_-@_-"/>
    <numFmt numFmtId="183" formatCode="0.0%;\(0.0%\)"/>
    <numFmt numFmtId="184" formatCode="\60\4\7\:"/>
    <numFmt numFmtId="185" formatCode="_(&quot;$&quot;* #,##0_);_(&quot;$&quot;* \(#,##0\);_(&quot;$&quot;* &quot;-&quot;_);_(@_)"/>
    <numFmt numFmtId="186" formatCode="_(* #,##0.0_);_(* \(#,##0.0\);_(* &quot;-&quot;?_);_(@_)"/>
    <numFmt numFmtId="187" formatCode="_(&quot;$&quot;* #,##0.00_);_(&quot;$&quot;* \(#,##0.00\);_(&quot;$&quot;* &quot;-&quot;??_);_(@_)"/>
    <numFmt numFmtId="188" formatCode="* \(#,##0\);* #,##0_);&quot;-&quot;??_);@"/>
    <numFmt numFmtId="189" formatCode="&quot;$&quot;#,##0_);[Red]\(&quot;$&quot;#,##0\)"/>
    <numFmt numFmtId="190" formatCode="&quot;$&quot;#,\);\(&quot;$&quot;#,##0\)"/>
    <numFmt numFmtId="191" formatCode="[$-409]d\-mmm\-yy;@"/>
    <numFmt numFmtId="192" formatCode="[$-409]d\-mmm;@"/>
    <numFmt numFmtId="193" formatCode="* #,##0_);* \(#,##0\);&quot;-&quot;??_);@"/>
    <numFmt numFmtId="194" formatCode="&quot;$&quot;#,##0_);\(&quot;$&quot;#,##0\)"/>
    <numFmt numFmtId="195" formatCode="_([$€-2]* #,##0.00_);_([$€-2]* \(#,##0.00\);_([$€-2]* &quot;-&quot;??_)"/>
    <numFmt numFmtId="196" formatCode="_(#,##0;\(#,##0\);\-;&quot;  &quot;@"/>
    <numFmt numFmtId="197" formatCode="&quot;$&quot;#,##0\ ;\-&quot;$&quot;#,##0"/>
    <numFmt numFmtId="198" formatCode="&quot;$&quot;#,##0.00\ ;\(&quot;$&quot;#,##0.00\)"/>
    <numFmt numFmtId="199" formatCode="#,##0.00&quot; $&quot;;[Red]\-#,##0.00&quot; $&quot;"/>
    <numFmt numFmtId="200" formatCode="_(* #,##0,_);_(* \(#,##0,\);_(* &quot;-&quot;_);_(@_)"/>
    <numFmt numFmtId="201" formatCode="_-* #,##0\ _đ_._-;\-* #,##0\ _đ_._-;_-* &quot;-&quot;\ _đ_._-;_-@_-"/>
    <numFmt numFmtId="202" formatCode="\(#,##0.0\)"/>
    <numFmt numFmtId="203" formatCode="#,##0\ &quot;?.&quot;;\-#,##0\ &quot;?.&quot;"/>
    <numFmt numFmtId="204" formatCode="0%_);\(0%\)"/>
    <numFmt numFmtId="205" formatCode="_-* #,##0\ _$_-;\-* #,##0\ _$_-;_-* &quot;-&quot;\ _$_-;_-@_-"/>
    <numFmt numFmtId="206" formatCode="&quot;$&quot;#,\);\(&quot;$&quot;#,\)"/>
    <numFmt numFmtId="207" formatCode="\+0.0;\-0.0"/>
    <numFmt numFmtId="208" formatCode="\+0.0%;\-0.0%"/>
    <numFmt numFmtId="209" formatCode="&quot;$&quot;#,##0"/>
    <numFmt numFmtId="210" formatCode="#\ ##0&quot;zі&quot;_.00&quot;gr&quot;;\(#\ ##0.00\z\і\)"/>
    <numFmt numFmtId="211" formatCode="#\ ##0&quot;zі&quot;.00&quot;gr&quot;;\(#\ ##0&quot;zі&quot;.00&quot;gr&quot;\)"/>
    <numFmt numFmtId="212" formatCode="_(* #,##0_);_(* \(#,##0\);_(* &quot;-&quot;??_);_(@_)"/>
    <numFmt numFmtId="213" formatCode="0.000"/>
    <numFmt numFmtId="214" formatCode="0.0000"/>
    <numFmt numFmtId="215" formatCode="#,##0&quot;р.&quot;;[Red]\-#,##0&quot;р.&quot;"/>
    <numFmt numFmtId="216" formatCode="#,##0.00&quot;р.&quot;;[Red]\-#,##0.00&quot;р.&quot;"/>
    <numFmt numFmtId="217" formatCode="_-* #,##0_р_._-;\-* #,##0_р_._-;_-* &quot;-&quot;_р_._-;_-@_-"/>
    <numFmt numFmtId="218" formatCode="0.0_)"/>
    <numFmt numFmtId="219" formatCode="_(* #,##0.0_);_(* \(#,##0.00\);_(* &quot;-&quot;??_);_(@_)"/>
    <numFmt numFmtId="220" formatCode="#,##0.000_);\(#,##0.000\)"/>
    <numFmt numFmtId="221" formatCode="&quot;р.&quot;#,\);\(&quot;р.&quot;#,##0\)"/>
    <numFmt numFmtId="222" formatCode="&quot;error&quot;;&quot;error&quot;;&quot;OK&quot;;&quot;  &quot;@"/>
    <numFmt numFmtId="223" formatCode="dd\-mmm\-yyyy"/>
    <numFmt numFmtId="224" formatCode="#,##0_);\(#,##0\);&quot;- &quot;;&quot;  &quot;@"/>
    <numFmt numFmtId="225" formatCode="#,##0.0000_);\(#,##0.0000\);&quot;- &quot;;&quot;  &quot;@"/>
    <numFmt numFmtId="226" formatCode="#,##0.0;\(#,##0.0\)"/>
    <numFmt numFmtId="227" formatCode="_-* #,##0\ &quot;€&quot;_-;\-* #,##0\ &quot;€&quot;_-;_-* &quot;-&quot;\ &quot;€&quot;_-;_-@_-"/>
    <numFmt numFmtId="228" formatCode="0.0\ &quot;x&quot;"/>
    <numFmt numFmtId="229" formatCode="_ * #,##0_ ;_ * \-#,##0_ ;_ * &quot;-&quot;??_ ;_ @_ "/>
    <numFmt numFmtId="230" formatCode="\g\ \=\ 0.0%;\g\ \=\ \-0.0%"/>
    <numFmt numFmtId="231" formatCode="0.0\x\ "/>
    <numFmt numFmtId="232" formatCode="&quot;р.&quot;#,\);\(&quot;р.&quot;#,\)"/>
    <numFmt numFmtId="233" formatCode="&quot;р.&quot;#,;\(&quot;р.&quot;#,\)"/>
    <numFmt numFmtId="234" formatCode="#,##0;\(#,##0\)"/>
    <numFmt numFmtId="235" formatCode="_-* #,##0.00\ _T_L_-;\-* #,##0.00\ _T_L_-;_-* &quot;-&quot;??\ _T_L_-;_-@_-"/>
    <numFmt numFmtId="236" formatCode=";;&quot;zero&quot;;&quot;  &quot;@"/>
    <numFmt numFmtId="237" formatCode="_-* #,##0.00\ _?_-;\-* #,##0.00\ _?_-;_-* &quot;-&quot;??\ _?_-;_-@_-"/>
  </numFmts>
  <fonts count="318">
    <font>
      <sz val="11"/>
      <color theme="1"/>
      <name val="Calibri"/>
      <family val="2"/>
      <charset val="204"/>
      <scheme val="minor"/>
    </font>
    <font>
      <sz val="11"/>
      <color theme="1"/>
      <name val="Calibri"/>
      <family val="2"/>
      <charset val="204"/>
      <scheme val="minor"/>
    </font>
    <font>
      <b/>
      <sz val="11"/>
      <color theme="1"/>
      <name val="Times New Roman"/>
      <family val="1"/>
      <charset val="204"/>
    </font>
    <font>
      <b/>
      <sz val="10"/>
      <color theme="1"/>
      <name val="Times New Roman"/>
      <family val="1"/>
      <charset val="204"/>
    </font>
    <font>
      <sz val="11"/>
      <color theme="1"/>
      <name val="Times New Roman"/>
      <family val="1"/>
      <charset val="204"/>
    </font>
    <font>
      <sz val="9"/>
      <color indexed="81"/>
      <name val="Tahoma"/>
      <family val="2"/>
      <charset val="204"/>
    </font>
    <font>
      <b/>
      <sz val="9"/>
      <color indexed="81"/>
      <name val="Tahoma"/>
      <family val="2"/>
      <charset val="204"/>
    </font>
    <font>
      <b/>
      <sz val="14"/>
      <color theme="1"/>
      <name val="Times New Roman"/>
      <family val="1"/>
      <charset val="204"/>
    </font>
    <font>
      <sz val="11"/>
      <name val="Times New Roman"/>
      <family val="1"/>
      <charset val="204"/>
    </font>
    <font>
      <b/>
      <sz val="20"/>
      <color theme="1"/>
      <name val="Times New Roman"/>
      <family val="1"/>
      <charset val="204"/>
    </font>
    <font>
      <sz val="20"/>
      <color theme="1"/>
      <name val="Times New Roman"/>
      <family val="1"/>
      <charset val="204"/>
    </font>
    <font>
      <b/>
      <sz val="26"/>
      <color theme="4" tint="-0.499984740745262"/>
      <name val="Times New Roman"/>
      <family val="1"/>
      <charset val="204"/>
    </font>
    <font>
      <b/>
      <sz val="36"/>
      <color theme="4" tint="-0.499984740745262"/>
      <name val="Times New Roman"/>
      <family val="1"/>
      <charset val="204"/>
    </font>
    <font>
      <b/>
      <sz val="11"/>
      <color theme="4" tint="-0.499984740745262"/>
      <name val="Times New Roman"/>
      <family val="1"/>
      <charset val="204"/>
    </font>
    <font>
      <b/>
      <sz val="14"/>
      <color theme="8" tint="-0.499984740745262"/>
      <name val="Times New Roman"/>
      <family val="1"/>
      <charset val="204"/>
    </font>
    <font>
      <b/>
      <sz val="20"/>
      <color theme="5" tint="-0.499984740745262"/>
      <name val="Times New Roman"/>
      <family val="1"/>
      <charset val="204"/>
    </font>
    <font>
      <b/>
      <sz val="20"/>
      <color theme="8" tint="-0.499984740745262"/>
      <name val="Times New Roman"/>
      <family val="1"/>
      <charset val="204"/>
    </font>
    <font>
      <b/>
      <sz val="20"/>
      <color theme="9" tint="-0.499984740745262"/>
      <name val="Times New Roman"/>
      <family val="1"/>
      <charset val="204"/>
    </font>
    <font>
      <b/>
      <sz val="14"/>
      <color theme="0" tint="-4.9989318521683403E-2"/>
      <name val="Times New Roman"/>
      <family val="1"/>
      <charset val="204"/>
    </font>
    <font>
      <b/>
      <sz val="12"/>
      <color theme="0" tint="-4.9989318521683403E-2"/>
      <name val="Times New Roman"/>
      <family val="1"/>
      <charset val="204"/>
    </font>
    <font>
      <sz val="14"/>
      <color theme="1"/>
      <name val="Times New Roman"/>
      <family val="1"/>
      <charset val="204"/>
    </font>
    <font>
      <sz val="11"/>
      <color theme="0"/>
      <name val="Calibri"/>
      <family val="2"/>
      <charset val="204"/>
      <scheme val="minor"/>
    </font>
    <font>
      <sz val="16"/>
      <color theme="1"/>
      <name val="Times New Roman"/>
      <family val="1"/>
      <charset val="204"/>
    </font>
    <font>
      <b/>
      <sz val="16"/>
      <color theme="1"/>
      <name val="Times New Roman"/>
      <family val="1"/>
      <charset val="204"/>
    </font>
    <font>
      <b/>
      <sz val="36"/>
      <color indexed="8"/>
      <name val="Times New Roman"/>
      <family val="1"/>
      <charset val="204"/>
    </font>
    <font>
      <sz val="20"/>
      <color indexed="8"/>
      <name val="Times New Roman"/>
      <family val="1"/>
      <charset val="204"/>
    </font>
    <font>
      <b/>
      <sz val="20"/>
      <color indexed="8"/>
      <name val="Times New Roman"/>
      <family val="1"/>
      <charset val="204"/>
    </font>
    <font>
      <sz val="16"/>
      <color indexed="8"/>
      <name val="Times New Roman"/>
      <family val="1"/>
      <charset val="204"/>
    </font>
    <font>
      <b/>
      <sz val="16"/>
      <color indexed="8"/>
      <name val="Copperplate Gothic Light"/>
      <family val="2"/>
    </font>
    <font>
      <b/>
      <sz val="14"/>
      <name val="Times New Roman"/>
      <family val="1"/>
      <charset val="204"/>
    </font>
    <font>
      <b/>
      <sz val="24"/>
      <name val="Times New Roman"/>
      <family val="1"/>
      <charset val="204"/>
    </font>
    <font>
      <b/>
      <sz val="24"/>
      <color theme="1"/>
      <name val="Times New Roman"/>
      <family val="1"/>
      <charset val="204"/>
    </font>
    <font>
      <b/>
      <sz val="14"/>
      <color indexed="8"/>
      <name val="Times New Roman"/>
      <family val="1"/>
      <charset val="204"/>
    </font>
    <font>
      <b/>
      <sz val="16"/>
      <color indexed="8"/>
      <name val="Times New Roman"/>
      <family val="1"/>
      <charset val="204"/>
    </font>
    <font>
      <b/>
      <sz val="22"/>
      <name val="Times New Roman"/>
      <family val="1"/>
      <charset val="204"/>
    </font>
    <font>
      <sz val="11"/>
      <color rgb="FF9C6500"/>
      <name val="Calibri"/>
      <family val="2"/>
      <charset val="204"/>
      <scheme val="minor"/>
    </font>
    <font>
      <sz val="22"/>
      <color theme="1"/>
      <name val="Times New Roman"/>
      <family val="1"/>
      <charset val="204"/>
    </font>
    <font>
      <b/>
      <sz val="16"/>
      <color theme="1"/>
      <name val="Copperplate Gothic Light"/>
      <family val="2"/>
    </font>
    <font>
      <sz val="15"/>
      <color theme="1"/>
      <name val="Times New Roman"/>
      <family val="1"/>
      <charset val="204"/>
    </font>
    <font>
      <sz val="14"/>
      <color theme="1"/>
      <name val="Calibri"/>
      <family val="2"/>
      <charset val="204"/>
      <scheme val="minor"/>
    </font>
    <font>
      <b/>
      <sz val="16"/>
      <color theme="4" tint="-0.499984740745262"/>
      <name val="Copperplate Gothic Light"/>
      <family val="2"/>
    </font>
    <font>
      <sz val="12"/>
      <color theme="1"/>
      <name val="Times New Roman"/>
      <family val="1"/>
      <charset val="204"/>
    </font>
    <font>
      <b/>
      <sz val="12"/>
      <color theme="8" tint="-0.499984740745262"/>
      <name val="Times New Roman"/>
      <family val="1"/>
      <charset val="204"/>
    </font>
    <font>
      <sz val="11"/>
      <color theme="8" tint="-0.499984740745262"/>
      <name val="Times New Roman"/>
      <family val="1"/>
      <charset val="204"/>
    </font>
    <font>
      <sz val="12"/>
      <color theme="4" tint="-0.499984740745262"/>
      <name val="Times New Roman"/>
      <family val="1"/>
      <charset val="204"/>
    </font>
    <font>
      <b/>
      <sz val="18"/>
      <color theme="0" tint="-4.9989318521683403E-2"/>
      <name val="Times New Roman"/>
      <family val="1"/>
      <charset val="204"/>
    </font>
    <font>
      <b/>
      <sz val="24"/>
      <color theme="8" tint="-0.499984740745262"/>
      <name val="Times New Roman"/>
      <family val="1"/>
      <charset val="204"/>
    </font>
    <font>
      <sz val="20"/>
      <color theme="2" tint="-0.749992370372631"/>
      <name val="Times New Roman"/>
      <family val="1"/>
      <charset val="204"/>
    </font>
    <font>
      <sz val="16"/>
      <color theme="8" tint="-0.499984740745262"/>
      <name val="Times New Roman"/>
      <family val="1"/>
      <charset val="204"/>
    </font>
    <font>
      <b/>
      <sz val="16"/>
      <color theme="1"/>
      <name val="Calibri"/>
      <family val="2"/>
      <charset val="204"/>
      <scheme val="minor"/>
    </font>
    <font>
      <b/>
      <sz val="16"/>
      <color theme="0"/>
      <name val="Times New Roman"/>
      <family val="1"/>
      <charset val="204"/>
    </font>
    <font>
      <b/>
      <sz val="20"/>
      <color theme="1"/>
      <name val="Calibri"/>
      <family val="2"/>
      <charset val="204"/>
      <scheme val="minor"/>
    </font>
    <font>
      <b/>
      <sz val="14"/>
      <color theme="1"/>
      <name val="Calibri"/>
      <family val="2"/>
      <charset val="204"/>
      <scheme val="minor"/>
    </font>
    <font>
      <i/>
      <sz val="12"/>
      <color theme="1"/>
      <name val="Calibri"/>
      <family val="2"/>
      <charset val="204"/>
      <scheme val="minor"/>
    </font>
    <font>
      <sz val="10"/>
      <color theme="4" tint="-0.499984740745262"/>
      <name val="Times New Roman"/>
      <family val="1"/>
      <charset val="204"/>
    </font>
    <font>
      <sz val="11"/>
      <color theme="1"/>
      <name val="Calibri"/>
      <family val="2"/>
      <scheme val="minor"/>
    </font>
    <font>
      <i/>
      <sz val="16"/>
      <color theme="5" tint="-0.499984740745262"/>
      <name val="Times New Roman"/>
      <family val="1"/>
      <charset val="204"/>
    </font>
    <font>
      <b/>
      <sz val="22"/>
      <color theme="8" tint="-0.499984740745262"/>
      <name val="Times New Roman"/>
      <family val="1"/>
      <charset val="204"/>
    </font>
    <font>
      <sz val="9"/>
      <color theme="4" tint="-0.499984740745262"/>
      <name val="Times New Roman"/>
      <family val="1"/>
      <charset val="204"/>
    </font>
    <font>
      <sz val="12"/>
      <color indexed="81"/>
      <name val="Tahoma"/>
      <family val="2"/>
      <charset val="204"/>
    </font>
    <font>
      <sz val="12"/>
      <name val="Times New Roman"/>
      <family val="1"/>
      <charset val="204"/>
    </font>
    <font>
      <sz val="14"/>
      <color indexed="81"/>
      <name val="Tahoma"/>
      <family val="2"/>
      <charset val="204"/>
    </font>
    <font>
      <b/>
      <sz val="12"/>
      <color theme="5" tint="-0.499984740745262"/>
      <name val="Times New Roman"/>
      <family val="1"/>
      <charset val="204"/>
    </font>
    <font>
      <b/>
      <sz val="16"/>
      <color theme="9" tint="-0.499984740745262"/>
      <name val="Times New Roman"/>
      <family val="1"/>
      <charset val="204"/>
    </font>
    <font>
      <b/>
      <sz val="14"/>
      <color indexed="81"/>
      <name val="Tahoma"/>
      <family val="2"/>
      <charset val="204"/>
    </font>
    <font>
      <sz val="11"/>
      <color theme="4" tint="-0.499984740745262"/>
      <name val="Times New Roman"/>
      <family val="1"/>
      <charset val="204"/>
    </font>
    <font>
      <i/>
      <sz val="16"/>
      <color theme="8" tint="-0.499984740745262"/>
      <name val="Times New Roman"/>
      <family val="1"/>
      <charset val="204"/>
    </font>
    <font>
      <sz val="14"/>
      <name val="Times New Roman"/>
      <family val="1"/>
      <charset val="204"/>
    </font>
    <font>
      <sz val="26"/>
      <color theme="4" tint="-0.499984740745262"/>
      <name val="Times New Roman"/>
      <family val="1"/>
      <charset val="204"/>
    </font>
    <font>
      <b/>
      <sz val="22"/>
      <color theme="1"/>
      <name val="Calibri"/>
      <family val="2"/>
      <charset val="204"/>
      <scheme val="minor"/>
    </font>
    <font>
      <b/>
      <sz val="18"/>
      <color theme="1"/>
      <name val="Calibri"/>
      <family val="2"/>
      <charset val="204"/>
      <scheme val="minor"/>
    </font>
    <font>
      <b/>
      <sz val="14"/>
      <color theme="9" tint="-0.499984740745262"/>
      <name val="Times New Roman"/>
      <family val="1"/>
      <charset val="204"/>
    </font>
    <font>
      <sz val="16"/>
      <name val="Times New Roman"/>
      <family val="1"/>
      <charset val="204"/>
    </font>
    <font>
      <b/>
      <sz val="16"/>
      <name val="Times New Roman"/>
      <family val="1"/>
      <charset val="204"/>
    </font>
    <font>
      <b/>
      <sz val="20"/>
      <name val="Times New Roman"/>
      <family val="1"/>
      <charset val="204"/>
    </font>
    <font>
      <b/>
      <i/>
      <sz val="16"/>
      <name val="Times New Roman"/>
      <family val="1"/>
      <charset val="204"/>
    </font>
    <font>
      <sz val="10"/>
      <color theme="1"/>
      <name val="Times New Roman"/>
      <family val="1"/>
      <charset val="204"/>
    </font>
    <font>
      <sz val="20"/>
      <name val="Times New Roman"/>
      <family val="1"/>
      <charset val="204"/>
    </font>
    <font>
      <sz val="24"/>
      <name val="Times New Roman"/>
      <family val="1"/>
      <charset val="204"/>
    </font>
    <font>
      <i/>
      <sz val="20"/>
      <color theme="8" tint="-0.499984740745262"/>
      <name val="Times New Roman"/>
      <family val="1"/>
      <charset val="204"/>
    </font>
    <font>
      <b/>
      <sz val="28"/>
      <name val="Times New Roman"/>
      <family val="1"/>
      <charset val="204"/>
    </font>
    <font>
      <b/>
      <sz val="12"/>
      <color indexed="81"/>
      <name val="Tahoma"/>
      <family val="2"/>
      <charset val="204"/>
    </font>
    <font>
      <b/>
      <sz val="22"/>
      <color indexed="8"/>
      <name val="Times New Roman"/>
      <family val="1"/>
      <charset val="204"/>
    </font>
    <font>
      <b/>
      <sz val="20"/>
      <color indexed="8"/>
      <name val="Copperplate Gothic Light"/>
      <family val="2"/>
    </font>
    <font>
      <b/>
      <sz val="20"/>
      <color theme="2" tint="-0.749992370372631"/>
      <name val="Times New Roman"/>
      <family val="1"/>
      <charset val="204"/>
    </font>
    <font>
      <b/>
      <sz val="14"/>
      <color theme="4" tint="-0.499984740745262"/>
      <name val="Times New Roman"/>
      <family val="1"/>
      <charset val="204"/>
    </font>
    <font>
      <sz val="10"/>
      <name val="Arial Cyr"/>
      <charset val="204"/>
    </font>
    <font>
      <b/>
      <sz val="28"/>
      <color theme="1"/>
      <name val="Calibri"/>
      <family val="2"/>
      <charset val="204"/>
      <scheme val="minor"/>
    </font>
    <font>
      <sz val="8"/>
      <name val="Calibri"/>
      <family val="2"/>
      <charset val="204"/>
      <scheme val="minor"/>
    </font>
    <font>
      <b/>
      <sz val="20"/>
      <name val="Copperplate Gothic Light"/>
      <family val="2"/>
    </font>
    <font>
      <b/>
      <sz val="18"/>
      <color theme="1"/>
      <name val="Times New Roman"/>
      <family val="1"/>
      <charset val="204"/>
    </font>
    <font>
      <sz val="22"/>
      <color theme="1"/>
      <name val="Calibri"/>
      <family val="2"/>
      <charset val="204"/>
      <scheme val="minor"/>
    </font>
    <font>
      <b/>
      <sz val="14"/>
      <name val="Copperplate Gothic Light"/>
      <family val="2"/>
    </font>
    <font>
      <b/>
      <sz val="14"/>
      <color rgb="FF000000"/>
      <name val="Copperplate Gothic Light"/>
      <family val="2"/>
    </font>
    <font>
      <b/>
      <sz val="16"/>
      <color rgb="FF000000"/>
      <name val="Copperplate Gothic Light"/>
      <family val="2"/>
    </font>
    <font>
      <b/>
      <sz val="22"/>
      <color theme="1"/>
      <name val="Calisto MT"/>
      <family val="1"/>
    </font>
    <font>
      <b/>
      <sz val="16"/>
      <color theme="1"/>
      <name val="Calisto MT"/>
      <family val="1"/>
    </font>
    <font>
      <sz val="16"/>
      <color theme="1"/>
      <name val="Copperplate Gothic Light"/>
      <family val="2"/>
    </font>
    <font>
      <sz val="20"/>
      <color indexed="8"/>
      <name val="Copperplate Gothic Light"/>
      <family val="2"/>
    </font>
    <font>
      <sz val="14"/>
      <color rgb="FF000000"/>
      <name val="Copperplate Gothic Light"/>
      <family val="2"/>
    </font>
    <font>
      <sz val="20"/>
      <color theme="1"/>
      <name val="Copperplate Gothic Light"/>
      <family val="2"/>
    </font>
    <font>
      <sz val="14"/>
      <color theme="1"/>
      <name val="Copperplate Gothic Light"/>
      <family val="2"/>
    </font>
    <font>
      <sz val="20"/>
      <name val="Copperplate Gothic Light"/>
      <family val="2"/>
    </font>
    <font>
      <sz val="14"/>
      <name val="Copperplate Gothic Light"/>
      <family val="2"/>
    </font>
    <font>
      <b/>
      <sz val="16"/>
      <name val="Copperplate Gothic Light"/>
      <family val="2"/>
    </font>
    <font>
      <b/>
      <sz val="24"/>
      <color indexed="8"/>
      <name val="Times New Roman"/>
      <family val="1"/>
      <charset val="204"/>
    </font>
    <font>
      <b/>
      <sz val="11"/>
      <color rgb="FF000000"/>
      <name val="Times New Roman"/>
      <family val="1"/>
      <charset val="204"/>
    </font>
    <font>
      <b/>
      <sz val="14"/>
      <color rgb="FF000000"/>
      <name val="Times New Roman"/>
      <family val="1"/>
      <charset val="204"/>
    </font>
    <font>
      <b/>
      <sz val="12"/>
      <color theme="1"/>
      <name val="Times New Roman"/>
      <family val="1"/>
      <charset val="204"/>
    </font>
    <font>
      <b/>
      <i/>
      <sz val="24"/>
      <color theme="9" tint="-0.499984740745262"/>
      <name val="Calibri"/>
      <family val="2"/>
      <charset val="204"/>
      <scheme val="minor"/>
    </font>
    <font>
      <b/>
      <i/>
      <sz val="24"/>
      <color theme="3"/>
      <name val="Calibri"/>
      <family val="2"/>
      <charset val="204"/>
      <scheme val="minor"/>
    </font>
    <font>
      <b/>
      <i/>
      <sz val="24"/>
      <color rgb="FF7030A0"/>
      <name val="Calibri"/>
      <family val="2"/>
      <charset val="204"/>
      <scheme val="minor"/>
    </font>
    <font>
      <b/>
      <i/>
      <sz val="24"/>
      <color theme="5" tint="-0.499984740745262"/>
      <name val="Calibri"/>
      <family val="2"/>
      <charset val="204"/>
      <scheme val="minor"/>
    </font>
    <font>
      <b/>
      <i/>
      <sz val="12"/>
      <color theme="8" tint="-0.499984740745262"/>
      <name val="Times New Roman"/>
      <family val="1"/>
      <charset val="204"/>
    </font>
    <font>
      <b/>
      <sz val="14"/>
      <color rgb="FFFF0000"/>
      <name val="Times New Roman"/>
      <family val="1"/>
      <charset val="204"/>
    </font>
    <font>
      <b/>
      <sz val="28"/>
      <color theme="0"/>
      <name val="Times New Roman"/>
      <family val="1"/>
      <charset val="204"/>
    </font>
    <font>
      <sz val="28"/>
      <color theme="1"/>
      <name val="Times New Roman"/>
      <family val="1"/>
      <charset val="204"/>
    </font>
    <font>
      <b/>
      <sz val="24"/>
      <color theme="4" tint="-0.499984740745262"/>
      <name val="Times New Roman"/>
      <family val="1"/>
      <charset val="204"/>
    </font>
    <font>
      <i/>
      <sz val="12"/>
      <color theme="4" tint="-0.499984740745262"/>
      <name val="Times New Roman"/>
      <family val="1"/>
      <charset val="204"/>
    </font>
    <font>
      <i/>
      <sz val="9"/>
      <color theme="4" tint="-0.499984740745262"/>
      <name val="Times New Roman"/>
      <family val="1"/>
      <charset val="204"/>
    </font>
    <font>
      <sz val="20"/>
      <color theme="8" tint="-0.499984740745262"/>
      <name val="Times New Roman"/>
      <family val="1"/>
      <charset val="204"/>
    </font>
    <font>
      <b/>
      <sz val="26"/>
      <color theme="5" tint="-0.499984740745262"/>
      <name val="Times New Roman"/>
      <family val="1"/>
      <charset val="204"/>
    </font>
    <font>
      <b/>
      <sz val="18"/>
      <color theme="0"/>
      <name val="Times New Roman"/>
      <family val="1"/>
      <charset val="204"/>
    </font>
    <font>
      <b/>
      <sz val="36"/>
      <color theme="5" tint="-0.499984740745262"/>
      <name val="Times New Roman"/>
      <family val="1"/>
      <charset val="204"/>
    </font>
    <font>
      <b/>
      <sz val="36"/>
      <color theme="8" tint="-0.499984740745262"/>
      <name val="Times New Roman"/>
      <family val="1"/>
      <charset val="204"/>
    </font>
    <font>
      <b/>
      <sz val="36"/>
      <color theme="9" tint="-0.499984740745262"/>
      <name val="Times New Roman"/>
      <family val="1"/>
      <charset val="204"/>
    </font>
    <font>
      <b/>
      <sz val="36"/>
      <color theme="2" tint="-0.89999084444715716"/>
      <name val="Times New Roman"/>
      <family val="1"/>
      <charset val="204"/>
    </font>
    <font>
      <sz val="18"/>
      <name val="Times New Roman"/>
      <family val="1"/>
      <charset val="204"/>
    </font>
    <font>
      <b/>
      <sz val="22"/>
      <color theme="1"/>
      <name val="Times New Roman"/>
      <family val="1"/>
      <charset val="204"/>
    </font>
    <font>
      <b/>
      <sz val="28"/>
      <color rgb="FF660033"/>
      <name val="Times New Roman"/>
      <family val="1"/>
      <charset val="204"/>
    </font>
    <font>
      <b/>
      <i/>
      <sz val="24"/>
      <color theme="1"/>
      <name val="Times New Roman"/>
      <family val="1"/>
      <charset val="204"/>
    </font>
    <font>
      <b/>
      <sz val="36"/>
      <color theme="0"/>
      <name val="Times New Roman"/>
      <family val="1"/>
      <charset val="204"/>
    </font>
    <font>
      <b/>
      <sz val="18"/>
      <color theme="8" tint="-0.499984740745262"/>
      <name val="Times New Roman"/>
      <family val="1"/>
      <charset val="204"/>
    </font>
    <font>
      <b/>
      <sz val="11"/>
      <color theme="1"/>
      <name val="Calibri"/>
      <family val="2"/>
      <charset val="204"/>
      <scheme val="minor"/>
    </font>
    <font>
      <b/>
      <sz val="16"/>
      <color theme="0"/>
      <name val="Calibri"/>
      <family val="2"/>
      <charset val="204"/>
      <scheme val="minor"/>
    </font>
    <font>
      <sz val="11"/>
      <color rgb="FF008000"/>
      <name val="Yu Gothic UI Semibold"/>
      <family val="2"/>
      <charset val="204"/>
    </font>
    <font>
      <sz val="19.2"/>
      <color theme="1"/>
      <name val="Calibri"/>
      <family val="2"/>
      <charset val="204"/>
      <scheme val="minor"/>
    </font>
    <font>
      <i/>
      <sz val="16"/>
      <color theme="1"/>
      <name val="Calibri"/>
      <family val="2"/>
      <charset val="204"/>
      <scheme val="minor"/>
    </font>
    <font>
      <b/>
      <sz val="17"/>
      <color theme="1"/>
      <name val="Calibri"/>
      <family val="2"/>
      <charset val="204"/>
      <scheme val="minor"/>
    </font>
    <font>
      <sz val="17"/>
      <color theme="1"/>
      <name val="Calibri"/>
      <family val="2"/>
      <charset val="204"/>
      <scheme val="minor"/>
    </font>
    <font>
      <i/>
      <sz val="20"/>
      <name val="Times New Roman"/>
      <family val="1"/>
      <charset val="204"/>
    </font>
    <font>
      <sz val="13"/>
      <color rgb="FF000000"/>
      <name val="Times New Roman"/>
      <family val="1"/>
      <charset val="204"/>
    </font>
    <font>
      <b/>
      <sz val="13"/>
      <color rgb="FF000000"/>
      <name val="Times New Roman"/>
      <family val="1"/>
      <charset val="204"/>
    </font>
    <font>
      <b/>
      <sz val="16"/>
      <color rgb="FF2CBEAD"/>
      <name val="Times New Roman"/>
      <family val="1"/>
      <charset val="204"/>
    </font>
    <font>
      <sz val="26"/>
      <name val="Times New Roman"/>
      <family val="1"/>
      <charset val="204"/>
    </font>
    <font>
      <b/>
      <sz val="26"/>
      <name val="Times New Roman"/>
      <family val="1"/>
      <charset val="204"/>
    </font>
    <font>
      <b/>
      <sz val="36"/>
      <name val="Times New Roman"/>
      <family val="1"/>
      <charset val="204"/>
    </font>
    <font>
      <b/>
      <sz val="11"/>
      <color theme="0"/>
      <name val="Calibri"/>
      <family val="2"/>
      <charset val="204"/>
      <scheme val="minor"/>
    </font>
    <font>
      <sz val="9"/>
      <color theme="1"/>
      <name val="Times New Roman"/>
      <family val="1"/>
      <charset val="204"/>
    </font>
    <font>
      <sz val="17"/>
      <color rgb="FF202124"/>
      <name val="Arial"/>
      <family val="2"/>
      <charset val="204"/>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sz val="11"/>
      <color rgb="FFFF0000"/>
      <name val="Calibri"/>
      <family val="2"/>
      <charset val="204"/>
      <scheme val="minor"/>
    </font>
    <font>
      <i/>
      <sz val="11"/>
      <color rgb="FF7F7F7F"/>
      <name val="Calibri"/>
      <family val="2"/>
      <charset val="204"/>
      <scheme val="minor"/>
    </font>
    <font>
      <sz val="10"/>
      <name val="Arial"/>
      <family val="2"/>
      <charset val="204"/>
    </font>
    <font>
      <b/>
      <sz val="10"/>
      <name val="Arial"/>
      <family val="2"/>
      <charset val="204"/>
    </font>
    <font>
      <sz val="10"/>
      <name val="Times New Roman"/>
      <family val="1"/>
      <charset val="204"/>
    </font>
    <font>
      <sz val="11"/>
      <color indexed="8"/>
      <name val="Calibri"/>
      <family val="2"/>
      <charset val="204"/>
    </font>
    <font>
      <sz val="10"/>
      <color indexed="8"/>
      <name val="MS Sans Serif"/>
      <family val="2"/>
      <charset val="204"/>
    </font>
    <font>
      <sz val="10"/>
      <name val="Helv"/>
      <charset val="204"/>
    </font>
    <font>
      <sz val="10"/>
      <name val="Helv"/>
    </font>
    <font>
      <sz val="10"/>
      <name val="Helv"/>
      <family val="2"/>
    </font>
    <font>
      <sz val="10"/>
      <name val="Arial Cyr"/>
      <family val="2"/>
      <charset val="204"/>
    </font>
    <font>
      <sz val="1"/>
      <color indexed="8"/>
      <name val="Courier"/>
      <family val="1"/>
      <charset val="204"/>
    </font>
    <font>
      <b/>
      <sz val="1"/>
      <color indexed="8"/>
      <name val="Courier"/>
      <family val="1"/>
      <charset val="204"/>
    </font>
    <font>
      <sz val="9"/>
      <name val="Arial"/>
      <family val="2"/>
    </font>
    <font>
      <sz val="11"/>
      <color indexed="8"/>
      <name val="Calibri"/>
      <family val="2"/>
    </font>
    <font>
      <sz val="11"/>
      <color indexed="9"/>
      <name val="Calibri"/>
      <family val="2"/>
    </font>
    <font>
      <sz val="10"/>
      <name val="Tahoma"/>
      <family val="2"/>
      <charset val="204"/>
    </font>
    <font>
      <sz val="11"/>
      <color indexed="20"/>
      <name val="Calibri"/>
      <family val="2"/>
    </font>
    <font>
      <b/>
      <sz val="9"/>
      <color indexed="12"/>
      <name val="Comic Sans MS"/>
      <family val="4"/>
    </font>
    <font>
      <b/>
      <sz val="9"/>
      <name val="Comic Sans MS"/>
      <family val="4"/>
    </font>
    <font>
      <sz val="9"/>
      <name val="Comic Sans MS"/>
      <family val="4"/>
    </font>
    <font>
      <sz val="8"/>
      <name val="Comic Sans MS"/>
      <family val="4"/>
    </font>
    <font>
      <sz val="10"/>
      <color indexed="8"/>
      <name val="Arial"/>
      <family val="2"/>
    </font>
    <font>
      <sz val="10"/>
      <name val="Pragmatica"/>
    </font>
    <font>
      <b/>
      <sz val="11"/>
      <color indexed="52"/>
      <name val="Calibri"/>
      <family val="2"/>
    </font>
    <font>
      <b/>
      <sz val="11"/>
      <name val="Comic Sans MS"/>
      <family val="4"/>
    </font>
    <font>
      <b/>
      <sz val="11"/>
      <color indexed="9"/>
      <name val="Calibri"/>
      <family val="2"/>
    </font>
    <font>
      <sz val="10"/>
      <name val="Arial"/>
      <family val="2"/>
    </font>
    <font>
      <sz val="9"/>
      <name val="Times New Roman"/>
      <family val="1"/>
    </font>
    <font>
      <b/>
      <sz val="8"/>
      <color indexed="12"/>
      <name val="Comic Sans MS"/>
      <family val="4"/>
    </font>
    <font>
      <sz val="10"/>
      <name val="Times New Roman"/>
      <family val="1"/>
    </font>
    <font>
      <sz val="10"/>
      <name val="MS Sans Serif"/>
      <family val="2"/>
      <charset val="204"/>
    </font>
    <font>
      <sz val="10"/>
      <name val="Courier"/>
      <family val="1"/>
      <charset val="204"/>
    </font>
    <font>
      <b/>
      <sz val="9"/>
      <name val="UniversCond"/>
    </font>
    <font>
      <sz val="12"/>
      <name val="Tms Rmn"/>
      <charset val="204"/>
    </font>
    <font>
      <i/>
      <sz val="11"/>
      <color indexed="23"/>
      <name val="Calibri"/>
      <family val="2"/>
    </font>
    <font>
      <i/>
      <sz val="1"/>
      <color indexed="8"/>
      <name val="Courier"/>
      <family val="1"/>
      <charset val="204"/>
    </font>
    <font>
      <b/>
      <vertAlign val="superscript"/>
      <sz val="8"/>
      <name val="Comic Sans MS"/>
      <family val="4"/>
    </font>
    <font>
      <sz val="10"/>
      <color indexed="62"/>
      <name val="Arial"/>
      <family val="2"/>
    </font>
    <font>
      <b/>
      <sz val="11"/>
      <color indexed="12"/>
      <name val="Comic Sans MS"/>
      <family val="4"/>
    </font>
    <font>
      <sz val="11"/>
      <color indexed="17"/>
      <name val="Calibri"/>
      <family val="2"/>
    </font>
    <font>
      <sz val="8"/>
      <name val="Arial"/>
      <family val="2"/>
    </font>
    <font>
      <b/>
      <sz val="12"/>
      <name val="Arial"/>
      <family val="2"/>
    </font>
    <font>
      <b/>
      <sz val="10"/>
      <name val="Arial"/>
      <family val="2"/>
    </font>
    <font>
      <b/>
      <sz val="15"/>
      <color indexed="56"/>
      <name val="Calibri"/>
      <family val="2"/>
    </font>
    <font>
      <b/>
      <sz val="13"/>
      <color indexed="56"/>
      <name val="Calibri"/>
      <family val="2"/>
    </font>
    <font>
      <b/>
      <sz val="11"/>
      <color indexed="56"/>
      <name val="Calibri"/>
      <family val="2"/>
    </font>
    <font>
      <b/>
      <sz val="14"/>
      <name val="Arial"/>
      <family val="2"/>
      <charset val="204"/>
    </font>
    <font>
      <b/>
      <sz val="12"/>
      <name val="Arial"/>
      <family val="2"/>
      <charset val="204"/>
    </font>
    <font>
      <i/>
      <sz val="12"/>
      <name val="Arial"/>
      <family val="2"/>
      <charset val="204"/>
    </font>
    <font>
      <sz val="12"/>
      <name val="Arial"/>
      <family val="2"/>
      <charset val="204"/>
    </font>
    <font>
      <i/>
      <sz val="10"/>
      <name val="Arial"/>
      <family val="2"/>
      <charset val="204"/>
    </font>
    <font>
      <u/>
      <sz val="10"/>
      <color indexed="12"/>
      <name val="Arial"/>
      <family val="2"/>
    </font>
    <font>
      <u/>
      <sz val="7.5"/>
      <color indexed="36"/>
      <name val="Arial"/>
      <family val="2"/>
    </font>
    <font>
      <u/>
      <sz val="10"/>
      <color indexed="12"/>
      <name val="Arial"/>
      <family val="2"/>
      <charset val="204"/>
    </font>
    <font>
      <b/>
      <sz val="10"/>
      <name val="AA Normal"/>
    </font>
    <font>
      <sz val="10"/>
      <name val="AA Normal"/>
    </font>
    <font>
      <sz val="11"/>
      <color indexed="52"/>
      <name val="Calibri"/>
      <family val="2"/>
    </font>
    <font>
      <b/>
      <sz val="8"/>
      <color indexed="55"/>
      <name val="Comic Sans MS"/>
      <family val="4"/>
    </font>
    <font>
      <b/>
      <sz val="11"/>
      <name val="Helv"/>
    </font>
    <font>
      <sz val="11"/>
      <color indexed="60"/>
      <name val="Calibri"/>
      <family val="2"/>
    </font>
    <font>
      <sz val="7"/>
      <name val="Small Fonts"/>
      <family val="2"/>
      <charset val="204"/>
    </font>
    <font>
      <sz val="8"/>
      <name val="Helv"/>
      <charset val="204"/>
    </font>
    <font>
      <b/>
      <i/>
      <sz val="10"/>
      <name val="Arial"/>
      <family val="2"/>
      <charset val="204"/>
    </font>
    <font>
      <b/>
      <sz val="11"/>
      <color indexed="63"/>
      <name val="Calibri"/>
      <family val="2"/>
    </font>
    <font>
      <sz val="12"/>
      <color indexed="8"/>
      <name val="Times New Roman"/>
      <family val="1"/>
    </font>
    <font>
      <sz val="10"/>
      <color indexed="8"/>
      <name val="Arial"/>
      <family val="2"/>
      <charset val="204"/>
    </font>
    <font>
      <sz val="10"/>
      <name val="NTHelvetica/Cyrillic"/>
      <charset val="204"/>
    </font>
    <font>
      <sz val="10"/>
      <color indexed="0"/>
      <name val="Helv"/>
      <charset val="204"/>
    </font>
    <font>
      <b/>
      <sz val="10"/>
      <color indexed="10"/>
      <name val="Arial"/>
      <family val="2"/>
    </font>
    <font>
      <b/>
      <sz val="18"/>
      <color indexed="56"/>
      <name val="Cambria"/>
      <family val="2"/>
    </font>
    <font>
      <b/>
      <sz val="11"/>
      <color indexed="8"/>
      <name val="Calibri"/>
      <family val="2"/>
    </font>
    <font>
      <sz val="11"/>
      <color indexed="10"/>
      <name val="Calibri"/>
      <family val="2"/>
    </font>
    <font>
      <u/>
      <sz val="7.5"/>
      <color theme="10"/>
      <name val="Arial Cyr"/>
      <charset val="204"/>
    </font>
    <font>
      <b/>
      <sz val="10"/>
      <name val="Arial Cyr"/>
      <family val="2"/>
      <charset val="204"/>
    </font>
    <font>
      <b/>
      <sz val="10"/>
      <color indexed="12"/>
      <name val="Arial Cyr"/>
      <family val="2"/>
      <charset val="204"/>
    </font>
    <font>
      <sz val="8"/>
      <name val="Arial"/>
      <family val="2"/>
      <charset val="204"/>
    </font>
    <font>
      <sz val="24"/>
      <color theme="1"/>
      <name val="Times New Roman"/>
      <family val="1"/>
      <charset val="204"/>
    </font>
    <font>
      <sz val="24"/>
      <color theme="1"/>
      <name val="Calibri"/>
      <family val="2"/>
      <charset val="204"/>
      <scheme val="minor"/>
    </font>
    <font>
      <sz val="24"/>
      <color theme="0"/>
      <name val="Times New Roman"/>
      <family val="1"/>
      <charset val="204"/>
    </font>
    <font>
      <sz val="12"/>
      <name val="Arial MT"/>
      <family val="2"/>
      <charset val="204"/>
    </font>
    <font>
      <sz val="10"/>
      <color indexed="0"/>
      <name val="Times New Roman Cyr"/>
      <charset val="204"/>
    </font>
    <font>
      <b/>
      <sz val="8"/>
      <color indexed="10"/>
      <name val="NTTimes/Cyrillic"/>
      <charset val="204"/>
    </font>
    <font>
      <sz val="8"/>
      <color indexed="10"/>
      <name val="Arial Cyr"/>
      <family val="2"/>
      <charset val="204"/>
    </font>
    <font>
      <b/>
      <sz val="8"/>
      <color indexed="10"/>
      <name val="Arial Cyr"/>
      <family val="2"/>
      <charset val="204"/>
    </font>
    <font>
      <sz val="14"/>
      <name val="–?’©"/>
      <family val="1"/>
      <charset val="128"/>
    </font>
    <font>
      <sz val="11"/>
      <color indexed="9"/>
      <name val="Calibri"/>
      <family val="2"/>
      <charset val="204"/>
    </font>
    <font>
      <sz val="10"/>
      <name val="Courier New"/>
      <family val="3"/>
      <charset val="204"/>
    </font>
    <font>
      <sz val="11"/>
      <color indexed="20"/>
      <name val="Calibri"/>
      <family val="2"/>
      <charset val="204"/>
    </font>
    <font>
      <sz val="9"/>
      <name val="Times New Roman"/>
      <family val="1"/>
      <charset val="204"/>
    </font>
    <font>
      <b/>
      <sz val="11"/>
      <color indexed="52"/>
      <name val="Calibri"/>
      <family val="2"/>
      <charset val="204"/>
    </font>
    <font>
      <b/>
      <sz val="11"/>
      <color indexed="9"/>
      <name val="Calibri"/>
      <family val="2"/>
      <charset val="204"/>
    </font>
    <font>
      <b/>
      <sz val="8"/>
      <color indexed="12"/>
      <name val="NTTimes/Cyrillic"/>
      <charset val="204"/>
    </font>
    <font>
      <sz val="10"/>
      <color indexed="22"/>
      <name val="Arial"/>
      <family val="2"/>
      <charset val="204"/>
    </font>
    <font>
      <sz val="9"/>
      <name val="Arial Narrow"/>
      <family val="2"/>
      <charset val="204"/>
    </font>
    <font>
      <sz val="10"/>
      <name val="Times New Roman CE"/>
      <charset val="238"/>
    </font>
    <font>
      <i/>
      <sz val="11"/>
      <color indexed="23"/>
      <name val="Calibri"/>
      <family val="2"/>
      <charset val="204"/>
    </font>
    <font>
      <sz val="9"/>
      <color indexed="17"/>
      <name val="Palatino"/>
      <family val="1"/>
      <charset val="204"/>
    </font>
    <font>
      <sz val="10"/>
      <color indexed="12"/>
      <name val="Arial"/>
      <family val="2"/>
      <charset val="204"/>
    </font>
    <font>
      <sz val="11"/>
      <color indexed="17"/>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u/>
      <sz val="8.8000000000000007"/>
      <color indexed="12"/>
      <name val="Calibri"/>
      <family val="2"/>
      <charset val="204"/>
    </font>
    <font>
      <u/>
      <sz val="11"/>
      <color indexed="12"/>
      <name val="Calibri"/>
      <family val="2"/>
      <charset val="204"/>
    </font>
    <font>
      <u/>
      <sz val="9.35"/>
      <color indexed="12"/>
      <name val="Arial"/>
      <family val="2"/>
      <charset val="204"/>
    </font>
    <font>
      <b/>
      <sz val="13"/>
      <name val="Times New Roman"/>
      <family val="1"/>
      <charset val="204"/>
    </font>
    <font>
      <b/>
      <i/>
      <sz val="12"/>
      <name val="Times New Roman"/>
      <family val="1"/>
      <charset val="204"/>
    </font>
    <font>
      <i/>
      <sz val="12"/>
      <name val="Times New Roman"/>
      <family val="1"/>
      <charset val="204"/>
    </font>
    <font>
      <sz val="11"/>
      <color indexed="8"/>
      <name val="Times New Roman"/>
      <family val="1"/>
      <charset val="204"/>
    </font>
    <font>
      <sz val="11"/>
      <color indexed="52"/>
      <name val="Calibri"/>
      <family val="2"/>
      <charset val="204"/>
    </font>
    <font>
      <sz val="11"/>
      <color indexed="60"/>
      <name val="Calibri"/>
      <family val="2"/>
      <charset val="204"/>
    </font>
    <font>
      <sz val="10"/>
      <name val="Arial CE"/>
      <charset val="238"/>
    </font>
    <font>
      <sz val="8"/>
      <name val="Arial CE"/>
      <charset val="238"/>
    </font>
    <font>
      <b/>
      <sz val="11"/>
      <color indexed="63"/>
      <name val="Calibri"/>
      <family val="2"/>
      <charset val="204"/>
    </font>
    <font>
      <sz val="12"/>
      <color indexed="8"/>
      <name val="Times New Roman"/>
      <family val="1"/>
      <charset val="204"/>
    </font>
    <font>
      <b/>
      <sz val="8"/>
      <name val="NTTimes/Cyrillic"/>
      <charset val="204"/>
    </font>
    <font>
      <i/>
      <sz val="8"/>
      <name val="Helvetica"/>
      <family val="2"/>
      <charset val="204"/>
    </font>
    <font>
      <sz val="8"/>
      <color indexed="10"/>
      <name val="Helvetica"/>
      <family val="2"/>
      <charset val="204"/>
    </font>
    <font>
      <sz val="8"/>
      <name val="Helvetica"/>
      <family val="2"/>
      <charset val="204"/>
    </font>
    <font>
      <sz val="8"/>
      <color indexed="17"/>
      <name val="Helvetica"/>
      <family val="2"/>
      <charset val="204"/>
    </font>
    <font>
      <b/>
      <sz val="10"/>
      <name val="Palatino"/>
      <family val="1"/>
      <charset val="204"/>
    </font>
    <font>
      <b/>
      <sz val="9"/>
      <name val="Helvetica"/>
      <family val="2"/>
      <charset val="204"/>
    </font>
    <font>
      <sz val="8"/>
      <name val="NTTimes/Cyrillic"/>
      <charset val="204"/>
    </font>
    <font>
      <b/>
      <sz val="10"/>
      <color indexed="10"/>
      <name val="Arial"/>
      <family val="2"/>
      <charset val="204"/>
    </font>
    <font>
      <b/>
      <sz val="18"/>
      <color indexed="56"/>
      <name val="Cambria"/>
      <family val="2"/>
      <charset val="204"/>
    </font>
    <font>
      <b/>
      <sz val="10"/>
      <color indexed="16"/>
      <name val="NTTimes/Cyrillic"/>
      <charset val="204"/>
    </font>
    <font>
      <sz val="10"/>
      <color indexed="10"/>
      <name val="Arial"/>
      <family val="2"/>
      <charset val="204"/>
    </font>
    <font>
      <b/>
      <sz val="11"/>
      <color indexed="8"/>
      <name val="Calibri"/>
      <family val="2"/>
      <charset val="204"/>
    </font>
    <font>
      <sz val="8"/>
      <color indexed="12"/>
      <name val="NTTimes/Cyrillic"/>
      <charset val="204"/>
    </font>
    <font>
      <b/>
      <sz val="8"/>
      <color indexed="17"/>
      <name val="NTTimes/Cyrillic"/>
      <charset val="204"/>
    </font>
    <font>
      <sz val="11"/>
      <color indexed="10"/>
      <name val="Calibri"/>
      <family val="2"/>
      <charset val="204"/>
    </font>
    <font>
      <sz val="11"/>
      <color indexed="62"/>
      <name val="Calibri"/>
      <family val="2"/>
      <charset val="204"/>
    </font>
    <font>
      <u/>
      <sz val="10"/>
      <color indexed="12"/>
      <name val="Arial Cyr"/>
      <charset val="204"/>
    </font>
    <font>
      <u/>
      <sz val="7.7"/>
      <color indexed="12"/>
      <name val="Calibri"/>
      <family val="2"/>
      <charset val="204"/>
    </font>
    <font>
      <sz val="11"/>
      <color indexed="8"/>
      <name val="Times New Roman"/>
      <family val="2"/>
      <charset val="204"/>
    </font>
    <font>
      <sz val="18"/>
      <color theme="1"/>
      <name val="Times New Roman"/>
      <family val="1"/>
      <charset val="204"/>
    </font>
    <font>
      <sz val="28"/>
      <color indexed="8"/>
      <name val="Times New Roman"/>
      <family val="1"/>
      <charset val="204"/>
    </font>
    <font>
      <sz val="26"/>
      <color theme="1"/>
      <name val="Times New Roman"/>
      <family val="1"/>
      <charset val="204"/>
    </font>
    <font>
      <sz val="18"/>
      <color theme="0"/>
      <name val="Times New Roman"/>
      <family val="1"/>
      <charset val="204"/>
    </font>
    <font>
      <sz val="11"/>
      <color rgb="FF202124"/>
      <name val="Inherit"/>
      <charset val="204"/>
    </font>
    <font>
      <b/>
      <sz val="12"/>
      <color rgb="FFC00000"/>
      <name val="Calibri"/>
      <family val="2"/>
      <charset val="204"/>
      <scheme val="minor"/>
    </font>
    <font>
      <sz val="11"/>
      <color theme="2"/>
      <name val="Calibri"/>
      <family val="2"/>
      <charset val="204"/>
      <scheme val="minor"/>
    </font>
    <font>
      <b/>
      <i/>
      <sz val="11"/>
      <color theme="1"/>
      <name val="Calibri"/>
      <family val="2"/>
      <charset val="204"/>
      <scheme val="minor"/>
    </font>
    <font>
      <i/>
      <sz val="10"/>
      <color theme="4" tint="-0.499984740745262"/>
      <name val="Calibri"/>
      <family val="2"/>
      <charset val="204"/>
      <scheme val="minor"/>
    </font>
    <font>
      <b/>
      <sz val="24"/>
      <color rgb="FF000000"/>
      <name val="Times New Roman"/>
      <family val="1"/>
      <charset val="204"/>
    </font>
    <font>
      <b/>
      <sz val="26"/>
      <color indexed="8"/>
      <name val="Times New Roman"/>
      <family val="1"/>
      <charset val="204"/>
    </font>
    <font>
      <sz val="18"/>
      <name val="Arial"/>
      <family val="2"/>
      <charset val="204"/>
    </font>
    <font>
      <i/>
      <sz val="10"/>
      <color rgb="FF000000"/>
      <name val="Arial"/>
      <family val="2"/>
      <charset val="204"/>
    </font>
    <font>
      <sz val="10"/>
      <color rgb="FF000000"/>
      <name val="Arial"/>
      <family val="2"/>
      <charset val="204"/>
    </font>
    <font>
      <b/>
      <sz val="10"/>
      <color rgb="FF000000"/>
      <name val="Arial"/>
      <family val="2"/>
      <charset val="204"/>
    </font>
    <font>
      <sz val="18"/>
      <color rgb="FF000000"/>
      <name val="Calibri"/>
      <family val="2"/>
      <charset val="204"/>
    </font>
    <font>
      <b/>
      <sz val="20"/>
      <color theme="0" tint="-4.9989318521683403E-2"/>
      <name val="Times New Roman"/>
      <family val="1"/>
      <charset val="204"/>
    </font>
    <font>
      <b/>
      <sz val="28"/>
      <color theme="5" tint="-0.499984740745262"/>
      <name val="Times New Roman"/>
      <family val="1"/>
      <charset val="204"/>
    </font>
    <font>
      <b/>
      <sz val="18"/>
      <name val="Times New Roman"/>
      <family val="1"/>
      <charset val="204"/>
    </font>
    <font>
      <sz val="18"/>
      <color rgb="FF7030A0"/>
      <name val="Times New Roman"/>
      <family val="1"/>
      <charset val="204"/>
    </font>
    <font>
      <sz val="18"/>
      <color theme="1"/>
      <name val="Calibri"/>
      <family val="2"/>
      <charset val="204"/>
      <scheme val="minor"/>
    </font>
    <font>
      <b/>
      <sz val="12"/>
      <color rgb="FF000000"/>
      <name val="Arial"/>
      <family val="2"/>
      <charset val="204"/>
    </font>
    <font>
      <sz val="12"/>
      <color rgb="FF000000"/>
      <name val="Arial"/>
      <family val="2"/>
      <charset val="204"/>
    </font>
  </fonts>
  <fills count="114">
    <fill>
      <patternFill patternType="none"/>
    </fill>
    <fill>
      <patternFill patternType="gray125"/>
    </fill>
    <fill>
      <patternFill patternType="solid">
        <fgColor theme="4" tint="0.79998168889431442"/>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rgb="FFFFC000"/>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9" tint="0.59999389629810485"/>
        <bgColor indexed="64"/>
      </patternFill>
    </fill>
    <fill>
      <patternFill patternType="solid">
        <fgColor rgb="FFFFFF00"/>
        <bgColor indexed="64"/>
      </patternFill>
    </fill>
    <fill>
      <patternFill patternType="solid">
        <fgColor theme="4" tint="-0.249977111117893"/>
        <bgColor indexed="64"/>
      </patternFill>
    </fill>
    <fill>
      <patternFill patternType="solid">
        <fgColor rgb="FFFF6600"/>
        <bgColor indexed="64"/>
      </patternFill>
    </fill>
    <fill>
      <patternFill patternType="solid">
        <fgColor rgb="FFFFEB9C"/>
      </patternFill>
    </fill>
    <fill>
      <patternFill patternType="solid">
        <fgColor theme="6"/>
      </patternFill>
    </fill>
    <fill>
      <patternFill patternType="solid">
        <fgColor theme="9"/>
      </patternFill>
    </fill>
    <fill>
      <patternFill patternType="solid">
        <fgColor theme="0" tint="-0.14999847407452621"/>
        <bgColor indexed="64"/>
      </patternFill>
    </fill>
    <fill>
      <patternFill patternType="solid">
        <fgColor rgb="FFFFFF66"/>
        <bgColor indexed="64"/>
      </patternFill>
    </fill>
    <fill>
      <patternFill patternType="solid">
        <fgColor rgb="FF92D050"/>
        <bgColor indexed="64"/>
      </patternFill>
    </fill>
    <fill>
      <patternFill patternType="solid">
        <fgColor rgb="FFFF0000"/>
        <bgColor indexed="64"/>
      </patternFill>
    </fill>
    <fill>
      <patternFill patternType="solid">
        <fgColor rgb="FF00CC00"/>
        <bgColor indexed="64"/>
      </patternFill>
    </fill>
    <fill>
      <patternFill patternType="solid">
        <fgColor rgb="FF00B0F0"/>
        <bgColor indexed="64"/>
      </patternFill>
    </fill>
    <fill>
      <patternFill patternType="solid">
        <fgColor rgb="FFFFCC99"/>
        <bgColor indexed="64"/>
      </patternFill>
    </fill>
    <fill>
      <patternFill patternType="solid">
        <fgColor rgb="FF99FF99"/>
        <bgColor indexed="64"/>
      </patternFill>
    </fill>
    <fill>
      <patternFill patternType="solid">
        <fgColor theme="0"/>
        <bgColor indexed="64"/>
      </patternFill>
    </fill>
    <fill>
      <patternFill patternType="solid">
        <fgColor rgb="FF00B050"/>
        <bgColor indexed="64"/>
      </patternFill>
    </fill>
    <fill>
      <patternFill patternType="solid">
        <fgColor rgb="FFFF99CC"/>
        <bgColor indexed="64"/>
      </patternFill>
    </fill>
    <fill>
      <patternFill patternType="solid">
        <fgColor theme="4" tint="0.59999389629810485"/>
        <bgColor indexed="64"/>
      </patternFill>
    </fill>
    <fill>
      <patternFill patternType="solid">
        <fgColor theme="0" tint="-0.34998626667073579"/>
        <bgColor indexed="64"/>
      </patternFill>
    </fill>
    <fill>
      <patternFill patternType="solid">
        <fgColor rgb="FFFF9966"/>
        <bgColor indexed="64"/>
      </patternFill>
    </fill>
    <fill>
      <patternFill patternType="solid">
        <fgColor theme="7" tint="0.39997558519241921"/>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4"/>
        <bgColor indexed="64"/>
      </patternFill>
    </fill>
    <fill>
      <patternFill patternType="solid">
        <fgColor rgb="FF2CBEAD"/>
        <bgColor indexed="64"/>
      </patternFill>
    </fill>
    <fill>
      <patternFill patternType="solid">
        <fgColor rgb="FFFF9B9B"/>
        <bgColor indexed="64"/>
      </patternFill>
    </fill>
    <fill>
      <patternFill patternType="solid">
        <fgColor rgb="FFFFD5D5"/>
        <bgColor indexed="64"/>
      </patternFill>
    </fill>
    <fill>
      <patternFill patternType="solid">
        <fgColor theme="2" tint="-0.249977111117893"/>
        <bgColor indexed="64"/>
      </patternFill>
    </fill>
    <fill>
      <patternFill patternType="solid">
        <fgColor theme="3"/>
        <bgColor indexed="64"/>
      </patternFill>
    </fill>
    <fill>
      <patternFill patternType="solid">
        <fgColor rgb="FFCFEDE6"/>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7"/>
        <bgColor indexed="64"/>
      </patternFill>
    </fill>
    <fill>
      <patternFill patternType="solid">
        <fgColor theme="2"/>
        <bgColor indexed="64"/>
      </patternFill>
    </fill>
    <fill>
      <patternFill patternType="solid">
        <fgColor theme="2" tint="-9.9978637043366805E-2"/>
        <bgColor indexed="64"/>
      </patternFill>
    </fill>
    <fill>
      <patternFill patternType="solid">
        <fgColor theme="5"/>
        <bgColor indexed="64"/>
      </patternFill>
    </fill>
    <fill>
      <patternFill patternType="solid">
        <fgColor theme="6"/>
        <bgColor indexed="64"/>
      </patternFill>
    </fill>
    <fill>
      <patternFill patternType="solid">
        <fgColor theme="8"/>
        <bgColor indexed="64"/>
      </patternFill>
    </fill>
    <fill>
      <patternFill patternType="solid">
        <fgColor theme="9"/>
        <bgColor indexed="64"/>
      </patternFill>
    </fill>
    <fill>
      <patternFill patternType="solid">
        <fgColor rgb="FFBBF7F0"/>
        <bgColor indexed="64"/>
      </patternFill>
    </fill>
    <fill>
      <patternFill patternType="solid">
        <fgColor rgb="FFC6EFCE"/>
      </patternFill>
    </fill>
    <fill>
      <patternFill patternType="solid">
        <fgColor rgb="FFFFC7CE"/>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7"/>
      </patternFill>
    </fill>
    <fill>
      <patternFill patternType="solid">
        <fgColor theme="7" tint="0.59999389629810485"/>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44"/>
        <bgColor indexed="64"/>
      </patternFill>
    </fill>
    <fill>
      <patternFill patternType="solid">
        <fgColor indexed="55"/>
      </patternFill>
    </fill>
    <fill>
      <patternFill patternType="solid">
        <fgColor indexed="43"/>
        <bgColor indexed="64"/>
      </patternFill>
    </fill>
    <fill>
      <patternFill patternType="solid">
        <fgColor indexed="9"/>
        <bgColor indexed="64"/>
      </patternFill>
    </fill>
    <fill>
      <patternFill patternType="solid">
        <fgColor indexed="14"/>
        <bgColor indexed="64"/>
      </patternFill>
    </fill>
    <fill>
      <patternFill patternType="solid">
        <fgColor indexed="22"/>
        <bgColor indexed="64"/>
      </patternFill>
    </fill>
    <fill>
      <patternFill patternType="solid">
        <fgColor indexed="27"/>
        <bgColor indexed="64"/>
      </patternFill>
    </fill>
    <fill>
      <patternFill patternType="solid">
        <fgColor indexed="26"/>
        <bgColor indexed="64"/>
      </patternFill>
    </fill>
    <fill>
      <patternFill patternType="solid">
        <fgColor indexed="43"/>
      </patternFill>
    </fill>
    <fill>
      <patternFill patternType="solid">
        <fgColor indexed="26"/>
      </patternFill>
    </fill>
    <fill>
      <patternFill patternType="solid">
        <fgColor indexed="31"/>
        <bgColor indexed="64"/>
      </patternFill>
    </fill>
    <fill>
      <patternFill patternType="solid">
        <fgColor indexed="35"/>
        <bgColor indexed="64"/>
      </patternFill>
    </fill>
    <fill>
      <patternFill patternType="solid">
        <fgColor indexed="23"/>
        <bgColor indexed="64"/>
      </patternFill>
    </fill>
    <fill>
      <patternFill patternType="solid">
        <fgColor indexed="15"/>
        <bgColor indexed="64"/>
      </patternFill>
    </fill>
    <fill>
      <patternFill patternType="solid">
        <fgColor indexed="14"/>
      </patternFill>
    </fill>
    <fill>
      <patternFill patternType="solid">
        <fgColor indexed="47"/>
        <bgColor indexed="64"/>
      </patternFill>
    </fill>
    <fill>
      <patternFill patternType="solid">
        <fgColor indexed="13"/>
        <bgColor indexed="64"/>
      </patternFill>
    </fill>
    <fill>
      <patternFill patternType="solid">
        <fgColor indexed="41"/>
      </patternFill>
    </fill>
    <fill>
      <patternFill patternType="solid">
        <fgColor indexed="11"/>
        <bgColor indexed="64"/>
      </patternFill>
    </fill>
  </fills>
  <borders count="285">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theme="0"/>
      </top>
      <bottom style="thin">
        <color theme="0"/>
      </bottom>
      <diagonal/>
    </border>
    <border>
      <left style="thin">
        <color indexed="64"/>
      </left>
      <right style="thin">
        <color indexed="64"/>
      </right>
      <top style="thin">
        <color theme="0"/>
      </top>
      <bottom style="thin">
        <color indexed="64"/>
      </bottom>
      <diagonal/>
    </border>
    <border>
      <left style="thin">
        <color theme="0"/>
      </left>
      <right style="thin">
        <color indexed="64"/>
      </right>
      <top style="thin">
        <color theme="0"/>
      </top>
      <bottom style="thin">
        <color theme="0"/>
      </bottom>
      <diagonal/>
    </border>
    <border>
      <left style="thin">
        <color indexed="64"/>
      </left>
      <right/>
      <top style="thin">
        <color theme="0"/>
      </top>
      <bottom style="thin">
        <color theme="0"/>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indexed="64"/>
      </right>
      <top style="thin">
        <color theme="0"/>
      </top>
      <bottom/>
      <diagonal/>
    </border>
    <border>
      <left style="thin">
        <color indexed="64"/>
      </left>
      <right style="thin">
        <color indexed="64"/>
      </right>
      <top style="thin">
        <color theme="0"/>
      </top>
      <bottom/>
      <diagonal/>
    </border>
    <border>
      <left style="thin">
        <color theme="1"/>
      </left>
      <right/>
      <top/>
      <bottom/>
      <diagonal/>
    </border>
    <border>
      <left style="thin">
        <color indexed="64"/>
      </left>
      <right/>
      <top style="thin">
        <color theme="0"/>
      </top>
      <bottom/>
      <diagonal/>
    </border>
    <border>
      <left style="thin">
        <color theme="5" tint="-0.249977111117893"/>
      </left>
      <right style="thin">
        <color theme="5" tint="-0.249977111117893"/>
      </right>
      <top style="thin">
        <color theme="5" tint="-0.249977111117893"/>
      </top>
      <bottom style="thin">
        <color theme="5" tint="-0.249977111117893"/>
      </bottom>
      <diagonal/>
    </border>
    <border>
      <left/>
      <right style="thin">
        <color theme="5" tint="-0.249977111117893"/>
      </right>
      <top style="thin">
        <color theme="5" tint="-0.249977111117893"/>
      </top>
      <bottom style="thin">
        <color theme="5" tint="-0.249977111117893"/>
      </bottom>
      <diagonal/>
    </border>
    <border>
      <left style="thin">
        <color theme="9" tint="-0.249977111117893"/>
      </left>
      <right style="thin">
        <color theme="9" tint="-0.249977111117893"/>
      </right>
      <top style="thin">
        <color theme="9" tint="-0.249977111117893"/>
      </top>
      <bottom style="thin">
        <color theme="9" tint="-0.249977111117893"/>
      </bottom>
      <diagonal/>
    </border>
    <border>
      <left style="thin">
        <color theme="5" tint="-0.249977111117893"/>
      </left>
      <right style="thin">
        <color theme="5" tint="-0.249977111117893"/>
      </right>
      <top/>
      <bottom/>
      <diagonal/>
    </border>
    <border>
      <left style="thin">
        <color theme="5" tint="-0.249977111117893"/>
      </left>
      <right style="thin">
        <color theme="5" tint="-0.249977111117893"/>
      </right>
      <top/>
      <bottom style="thin">
        <color theme="5" tint="-0.249977111117893"/>
      </bottom>
      <diagonal/>
    </border>
    <border>
      <left/>
      <right style="thin">
        <color theme="5" tint="-0.249977111117893"/>
      </right>
      <top/>
      <bottom/>
      <diagonal/>
    </border>
    <border>
      <left style="thin">
        <color theme="5" tint="-0.249977111117893"/>
      </left>
      <right/>
      <top/>
      <bottom/>
      <diagonal/>
    </border>
    <border>
      <left style="thin">
        <color theme="7" tint="-0.249977111117893"/>
      </left>
      <right style="thin">
        <color theme="7" tint="-0.249977111117893"/>
      </right>
      <top style="thin">
        <color theme="7" tint="-0.249977111117893"/>
      </top>
      <bottom style="thin">
        <color theme="7" tint="-0.249977111117893"/>
      </bottom>
      <diagonal/>
    </border>
    <border>
      <left style="thin">
        <color theme="7" tint="-0.249977111117893"/>
      </left>
      <right style="thin">
        <color theme="7" tint="-0.249977111117893"/>
      </right>
      <top/>
      <bottom style="thin">
        <color theme="7" tint="-0.249977111117893"/>
      </bottom>
      <diagonal/>
    </border>
    <border>
      <left/>
      <right style="thin">
        <color theme="0"/>
      </right>
      <top style="thin">
        <color theme="0"/>
      </top>
      <bottom style="thin">
        <color theme="0"/>
      </bottom>
      <diagonal/>
    </border>
    <border>
      <left style="thin">
        <color theme="5" tint="-0.249977111117893"/>
      </left>
      <right style="thin">
        <color theme="7" tint="-0.249977111117893"/>
      </right>
      <top/>
      <bottom style="thin">
        <color theme="7" tint="-0.249977111117893"/>
      </bottom>
      <diagonal/>
    </border>
    <border>
      <left style="thin">
        <color theme="7" tint="-0.249977111117893"/>
      </left>
      <right style="thin">
        <color theme="7" tint="-0.249977111117893"/>
      </right>
      <top/>
      <bottom/>
      <diagonal/>
    </border>
    <border>
      <left style="thin">
        <color theme="5" tint="-0.249977111117893"/>
      </left>
      <right/>
      <top style="thin">
        <color theme="0"/>
      </top>
      <bottom style="thin">
        <color theme="0"/>
      </bottom>
      <diagonal/>
    </border>
    <border>
      <left style="thin">
        <color theme="5" tint="-0.249977111117893"/>
      </left>
      <right style="thin">
        <color theme="5" tint="-0.249977111117893"/>
      </right>
      <top style="thin">
        <color theme="5" tint="-0.249977111117893"/>
      </top>
      <bottom/>
      <diagonal/>
    </border>
    <border>
      <left/>
      <right style="thin">
        <color indexed="64"/>
      </right>
      <top style="thin">
        <color indexed="64"/>
      </top>
      <bottom/>
      <diagonal/>
    </border>
    <border>
      <left style="thin">
        <color indexed="64"/>
      </left>
      <right style="hair">
        <color indexed="64"/>
      </right>
      <top style="hair">
        <color indexed="64"/>
      </top>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style="hair">
        <color indexed="64"/>
      </right>
      <top/>
      <bottom/>
      <diagonal/>
    </border>
    <border>
      <left style="hair">
        <color indexed="64"/>
      </left>
      <right style="hair">
        <color indexed="64"/>
      </right>
      <top/>
      <bottom/>
      <diagonal/>
    </border>
    <border>
      <left style="hair">
        <color indexed="64"/>
      </left>
      <right/>
      <top style="thin">
        <color indexed="64"/>
      </top>
      <bottom style="hair">
        <color indexed="64"/>
      </bottom>
      <diagonal/>
    </border>
    <border>
      <left/>
      <right style="thin">
        <color indexed="64"/>
      </right>
      <top/>
      <bottom style="thin">
        <color indexed="64"/>
      </bottom>
      <diagonal/>
    </border>
    <border>
      <left style="thin">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top style="hair">
        <color indexed="64"/>
      </top>
      <bottom style="hair">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hair">
        <color indexed="64"/>
      </left>
      <right/>
      <top style="hair">
        <color indexed="64"/>
      </top>
      <bottom/>
      <diagonal/>
    </border>
    <border>
      <left style="hair">
        <color theme="1"/>
      </left>
      <right/>
      <top style="hair">
        <color theme="1"/>
      </top>
      <bottom style="hair">
        <color theme="1"/>
      </bottom>
      <diagonal/>
    </border>
    <border>
      <left style="thin">
        <color indexed="64"/>
      </left>
      <right style="thin">
        <color indexed="64"/>
      </right>
      <top style="thin">
        <color theme="8" tint="-0.499984740745262"/>
      </top>
      <bottom/>
      <diagonal/>
    </border>
    <border>
      <left style="thin">
        <color indexed="64"/>
      </left>
      <right style="thin">
        <color indexed="64"/>
      </right>
      <top/>
      <bottom style="thin">
        <color indexed="64"/>
      </bottom>
      <diagonal/>
    </border>
    <border>
      <left style="thin">
        <color theme="4" tint="-0.249977111117893"/>
      </left>
      <right/>
      <top/>
      <bottom/>
      <diagonal/>
    </border>
    <border>
      <left/>
      <right style="thin">
        <color theme="5" tint="-0.249977111117893"/>
      </right>
      <top/>
      <bottom style="thin">
        <color theme="5" tint="-0.249977111117893"/>
      </bottom>
      <diagonal/>
    </border>
    <border>
      <left/>
      <right/>
      <top style="thin">
        <color theme="0"/>
      </top>
      <bottom/>
      <diagonal/>
    </border>
    <border>
      <left style="thin">
        <color theme="7" tint="-0.249977111117893"/>
      </left>
      <right style="thin">
        <color theme="7" tint="-0.249977111117893"/>
      </right>
      <top style="thin">
        <color theme="7" tint="-0.249977111117893"/>
      </top>
      <bottom/>
      <diagonal/>
    </border>
    <border>
      <left style="thin">
        <color theme="4" tint="-0.249977111117893"/>
      </left>
      <right/>
      <top style="thin">
        <color theme="4" tint="-0.249977111117893"/>
      </top>
      <bottom style="thin">
        <color theme="4" tint="-0.249977111117893"/>
      </bottom>
      <diagonal/>
    </border>
    <border>
      <left style="thin">
        <color theme="8" tint="-0.249977111117893"/>
      </left>
      <right style="thin">
        <color theme="8" tint="-0.249977111117893"/>
      </right>
      <top style="thin">
        <color theme="8" tint="-0.249977111117893"/>
      </top>
      <bottom style="thin">
        <color theme="8" tint="-0.249977111117893"/>
      </bottom>
      <diagonal/>
    </border>
    <border>
      <left style="thin">
        <color theme="8" tint="-0.249977111117893"/>
      </left>
      <right/>
      <top style="thin">
        <color theme="8" tint="-0.249977111117893"/>
      </top>
      <bottom style="thin">
        <color theme="8" tint="-0.249977111117893"/>
      </bottom>
      <diagonal/>
    </border>
    <border>
      <left/>
      <right/>
      <top style="thin">
        <color theme="8" tint="-0.249977111117893"/>
      </top>
      <bottom style="thin">
        <color theme="8" tint="-0.249977111117893"/>
      </bottom>
      <diagonal/>
    </border>
    <border>
      <left/>
      <right style="thin">
        <color theme="8" tint="-0.249977111117893"/>
      </right>
      <top style="thin">
        <color theme="8" tint="-0.249977111117893"/>
      </top>
      <bottom style="thin">
        <color theme="8" tint="-0.249977111117893"/>
      </bottom>
      <diagonal/>
    </border>
    <border>
      <left/>
      <right style="thin">
        <color theme="8" tint="-0.249977111117893"/>
      </right>
      <top style="thin">
        <color theme="4" tint="-0.249977111117893"/>
      </top>
      <bottom style="thin">
        <color theme="4" tint="-0.249977111117893"/>
      </bottom>
      <diagonal/>
    </border>
    <border>
      <left style="thin">
        <color theme="8" tint="-0.249977111117893"/>
      </left>
      <right style="thin">
        <color theme="8" tint="-0.249977111117893"/>
      </right>
      <top style="thin">
        <color theme="8" tint="-0.249977111117893"/>
      </top>
      <bottom/>
      <diagonal/>
    </border>
    <border>
      <left style="thin">
        <color theme="7" tint="-0.249977111117893"/>
      </left>
      <right style="thin">
        <color theme="0"/>
      </right>
      <top/>
      <bottom style="thin">
        <color theme="7" tint="-0.249977111117893"/>
      </bottom>
      <diagonal/>
    </border>
    <border>
      <left style="thin">
        <color theme="0"/>
      </left>
      <right style="thin">
        <color indexed="64"/>
      </right>
      <top style="thin">
        <color theme="0"/>
      </top>
      <bottom style="thin">
        <color indexed="64"/>
      </bottom>
      <diagonal/>
    </border>
    <border>
      <left style="thin">
        <color theme="0"/>
      </left>
      <right style="thin">
        <color indexed="64"/>
      </right>
      <top style="thin">
        <color indexed="64"/>
      </top>
      <bottom style="thin">
        <color theme="9" tint="-0.249977111117893"/>
      </bottom>
      <diagonal/>
    </border>
    <border>
      <left style="thin">
        <color theme="0"/>
      </left>
      <right/>
      <top/>
      <bottom style="thin">
        <color theme="7" tint="-0.249977111117893"/>
      </bottom>
      <diagonal/>
    </border>
    <border>
      <left style="thin">
        <color theme="0"/>
      </left>
      <right style="thin">
        <color theme="0"/>
      </right>
      <top style="thin">
        <color theme="0"/>
      </top>
      <bottom style="thin">
        <color theme="0"/>
      </bottom>
      <diagonal/>
    </border>
    <border>
      <left/>
      <right style="thin">
        <color theme="0"/>
      </right>
      <top style="thin">
        <color theme="0"/>
      </top>
      <bottom/>
      <diagonal/>
    </border>
    <border>
      <left style="thin">
        <color theme="1"/>
      </left>
      <right style="thin">
        <color theme="1"/>
      </right>
      <top style="thin">
        <color theme="0"/>
      </top>
      <bottom/>
      <diagonal/>
    </border>
    <border>
      <left style="thin">
        <color theme="0"/>
      </left>
      <right/>
      <top style="thin">
        <color theme="0"/>
      </top>
      <bottom/>
      <diagonal/>
    </border>
    <border>
      <left style="thin">
        <color theme="7" tint="-0.249977111117893"/>
      </left>
      <right/>
      <top style="thin">
        <color theme="7" tint="-0.249977111117893"/>
      </top>
      <bottom/>
      <diagonal/>
    </border>
    <border>
      <left style="thin">
        <color theme="7" tint="-0.249977111117893"/>
      </left>
      <right/>
      <top/>
      <bottom/>
      <diagonal/>
    </border>
    <border>
      <left style="thin">
        <color theme="4" tint="-0.249977111117893"/>
      </left>
      <right/>
      <top/>
      <bottom style="thin">
        <color theme="4" tint="-0.249977111117893"/>
      </bottom>
      <diagonal/>
    </border>
    <border>
      <left/>
      <right/>
      <top/>
      <bottom style="thin">
        <color theme="4" tint="-0.249977111117893"/>
      </bottom>
      <diagonal/>
    </border>
    <border>
      <left/>
      <right/>
      <top/>
      <bottom style="thin">
        <color theme="8" tint="-0.249977111117893"/>
      </bottom>
      <diagonal/>
    </border>
    <border>
      <left style="thin">
        <color theme="4" tint="-0.249977111117893"/>
      </left>
      <right/>
      <top style="thin">
        <color theme="4" tint="-0.249977111117893"/>
      </top>
      <bottom/>
      <diagonal/>
    </border>
    <border>
      <left/>
      <right style="thin">
        <color theme="8" tint="-0.249977111117893"/>
      </right>
      <top style="thin">
        <color theme="4" tint="-0.249977111117893"/>
      </top>
      <bottom/>
      <diagonal/>
    </border>
    <border>
      <left/>
      <right/>
      <top style="thin">
        <color theme="4" tint="-0.499984740745262"/>
      </top>
      <bottom/>
      <diagonal/>
    </border>
    <border>
      <left/>
      <right/>
      <top style="thin">
        <color theme="4" tint="-0.249977111117893"/>
      </top>
      <bottom style="thin">
        <color theme="4" tint="-0.249977111117893"/>
      </bottom>
      <diagonal/>
    </border>
    <border>
      <left style="dashed">
        <color indexed="64"/>
      </left>
      <right style="dashed">
        <color indexed="64"/>
      </right>
      <top style="dashed">
        <color indexed="64"/>
      </top>
      <bottom style="dashed">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top/>
      <bottom style="thin">
        <color indexed="64"/>
      </bottom>
      <diagonal/>
    </border>
    <border>
      <left/>
      <right/>
      <top/>
      <bottom style="medium">
        <color indexed="64"/>
      </bottom>
      <diagonal/>
    </border>
    <border>
      <left style="medium">
        <color indexed="64"/>
      </left>
      <right/>
      <top style="medium">
        <color indexed="64"/>
      </top>
      <bottom style="medium">
        <color indexed="64"/>
      </bottom>
      <diagonal/>
    </border>
    <border>
      <left style="hair">
        <color theme="1"/>
      </left>
      <right style="hair">
        <color theme="1"/>
      </right>
      <top style="hair">
        <color indexed="64"/>
      </top>
      <bottom/>
      <diagonal/>
    </border>
    <border>
      <left style="thin">
        <color indexed="64"/>
      </left>
      <right/>
      <top/>
      <bottom/>
      <diagonal/>
    </border>
    <border>
      <left/>
      <right/>
      <top style="thin">
        <color indexed="64"/>
      </top>
      <bottom/>
      <diagonal/>
    </border>
    <border>
      <left/>
      <right/>
      <top/>
      <bottom style="thin">
        <color indexed="64"/>
      </bottom>
      <diagonal/>
    </border>
    <border>
      <left/>
      <right/>
      <top style="thin">
        <color theme="9" tint="-0.249977111117893"/>
      </top>
      <bottom style="thin">
        <color theme="9" tint="-0.249977111117893"/>
      </bottom>
      <diagonal/>
    </border>
    <border>
      <left/>
      <right style="thin">
        <color theme="9" tint="-0.249977111117893"/>
      </right>
      <top style="thin">
        <color theme="9" tint="-0.249977111117893"/>
      </top>
      <bottom/>
      <diagonal/>
    </border>
    <border>
      <left style="thin">
        <color theme="7" tint="-0.249977111117893"/>
      </left>
      <right style="thin">
        <color theme="7" tint="-0.249977111117893"/>
      </right>
      <top style="thin">
        <color theme="5" tint="-0.249977111117893"/>
      </top>
      <bottom/>
      <diagonal/>
    </border>
    <border>
      <left style="thin">
        <color theme="7" tint="-0.249977111117893"/>
      </left>
      <right/>
      <top style="thin">
        <color theme="7" tint="-0.249977111117893"/>
      </top>
      <bottom style="thin">
        <color theme="7" tint="-0.249977111117893"/>
      </bottom>
      <diagonal/>
    </border>
    <border>
      <left/>
      <right/>
      <top/>
      <bottom style="thin">
        <color theme="9" tint="-0.249977111117893"/>
      </bottom>
      <diagonal/>
    </border>
    <border>
      <left style="thin">
        <color theme="7" tint="-0.249977111117893"/>
      </left>
      <right/>
      <top/>
      <bottom style="thin">
        <color theme="7" tint="-0.249977111117893"/>
      </bottom>
      <diagonal/>
    </border>
    <border>
      <left style="thin">
        <color theme="7" tint="-0.249977111117893"/>
      </left>
      <right style="thin">
        <color theme="4" tint="-0.249977111117893"/>
      </right>
      <top style="thin">
        <color theme="7" tint="-0.249977111117893"/>
      </top>
      <bottom/>
      <diagonal/>
    </border>
    <border>
      <left/>
      <right style="hair">
        <color indexed="64"/>
      </right>
      <top style="hair">
        <color indexed="64"/>
      </top>
      <bottom style="hair">
        <color indexed="64"/>
      </bottom>
      <diagonal/>
    </border>
    <border>
      <left style="thin">
        <color theme="7" tint="-0.249977111117893"/>
      </left>
      <right style="thin">
        <color theme="4" tint="-0.249977111117893"/>
      </right>
      <top/>
      <bottom/>
      <diagonal/>
    </border>
    <border>
      <left style="hair">
        <color theme="1"/>
      </left>
      <right/>
      <top style="hair">
        <color indexed="64"/>
      </top>
      <bottom style="hair">
        <color indexed="64"/>
      </bottom>
      <diagonal/>
    </border>
    <border>
      <left/>
      <right/>
      <top style="thin">
        <color theme="9" tint="-0.249977111117893"/>
      </top>
      <bottom/>
      <diagonal/>
    </border>
    <border>
      <left/>
      <right style="hair">
        <color theme="1"/>
      </right>
      <top style="hair">
        <color indexed="64"/>
      </top>
      <bottom style="hair">
        <color indexed="64"/>
      </bottom>
      <diagonal/>
    </border>
    <border>
      <left/>
      <right style="hair">
        <color theme="1"/>
      </right>
      <top style="hair">
        <color theme="1"/>
      </top>
      <bottom style="hair">
        <color indexed="64"/>
      </bottom>
      <diagonal/>
    </border>
    <border>
      <left style="hair">
        <color theme="1"/>
      </left>
      <right/>
      <top/>
      <bottom style="hair">
        <color theme="1"/>
      </bottom>
      <diagonal/>
    </border>
    <border>
      <left/>
      <right style="hair">
        <color theme="1"/>
      </right>
      <top/>
      <bottom style="hair">
        <color theme="1"/>
      </bottom>
      <diagonal/>
    </border>
    <border>
      <left style="thin">
        <color theme="3"/>
      </left>
      <right style="thin">
        <color theme="3"/>
      </right>
      <top style="thin">
        <color theme="3"/>
      </top>
      <bottom style="thin">
        <color theme="3"/>
      </bottom>
      <diagonal/>
    </border>
    <border>
      <left style="thin">
        <color indexed="64"/>
      </left>
      <right style="thin">
        <color indexed="64"/>
      </right>
      <top style="thin">
        <color theme="3"/>
      </top>
      <bottom style="thin">
        <color indexed="64"/>
      </bottom>
      <diagonal/>
    </border>
    <border>
      <left style="thin">
        <color theme="8" tint="-0.499984740745262"/>
      </left>
      <right/>
      <top style="thin">
        <color theme="3"/>
      </top>
      <bottom style="thin">
        <color indexed="64"/>
      </bottom>
      <diagonal/>
    </border>
    <border>
      <left style="hair">
        <color theme="1"/>
      </left>
      <right/>
      <top style="hair">
        <color theme="1"/>
      </top>
      <bottom/>
      <diagonal/>
    </border>
    <border>
      <left style="hair">
        <color theme="3"/>
      </left>
      <right style="hair">
        <color theme="3"/>
      </right>
      <top style="hair">
        <color theme="3"/>
      </top>
      <bottom style="hair">
        <color theme="3"/>
      </bottom>
      <diagonal/>
    </border>
    <border>
      <left style="thin">
        <color rgb="FF000000"/>
      </left>
      <right style="thin">
        <color rgb="FF000000"/>
      </right>
      <top style="thin">
        <color rgb="FF000000"/>
      </top>
      <bottom style="thin">
        <color rgb="FF000000"/>
      </bottom>
      <diagonal/>
    </border>
    <border>
      <left/>
      <right style="thin">
        <color theme="5" tint="-0.249977111117893"/>
      </right>
      <top style="thin">
        <color theme="5" tint="-0.249977111117893"/>
      </top>
      <bottom/>
      <diagonal/>
    </border>
    <border>
      <left style="thin">
        <color theme="5" tint="-0.249977111117893"/>
      </left>
      <right/>
      <top style="thin">
        <color theme="9" tint="-0.249977111117893"/>
      </top>
      <bottom style="thin">
        <color theme="9" tint="-0.249977111117893"/>
      </bottom>
      <diagonal/>
    </border>
    <border>
      <left style="hair">
        <color indexed="64"/>
      </left>
      <right/>
      <top/>
      <bottom/>
      <diagonal/>
    </border>
    <border>
      <left/>
      <right/>
      <top style="hair">
        <color indexed="64"/>
      </top>
      <bottom style="hair">
        <color indexed="64"/>
      </bottom>
      <diagonal/>
    </border>
    <border>
      <left/>
      <right/>
      <top style="medium">
        <color indexed="64"/>
      </top>
      <bottom style="medium">
        <color indexed="64"/>
      </bottom>
      <diagonal/>
    </border>
    <border>
      <left style="thin">
        <color indexed="64"/>
      </left>
      <right style="thin">
        <color indexed="64"/>
      </right>
      <top/>
      <bottom style="thin">
        <color theme="3"/>
      </bottom>
      <diagonal/>
    </border>
    <border>
      <left style="thin">
        <color indexed="64"/>
      </left>
      <right/>
      <top style="thin">
        <color indexed="64"/>
      </top>
      <bottom style="thin">
        <color theme="3"/>
      </bottom>
      <diagonal/>
    </border>
    <border>
      <left/>
      <right/>
      <top style="thin">
        <color indexed="64"/>
      </top>
      <bottom style="thin">
        <color theme="3"/>
      </bottom>
      <diagonal/>
    </border>
    <border>
      <left/>
      <right style="thin">
        <color indexed="64"/>
      </right>
      <top style="thin">
        <color indexed="64"/>
      </top>
      <bottom style="thin">
        <color theme="3"/>
      </bottom>
      <diagonal/>
    </border>
    <border>
      <left style="thin">
        <color theme="4" tint="-0.499984740745262"/>
      </left>
      <right style="thin">
        <color theme="4" tint="-0.499984740745262"/>
      </right>
      <top style="thin">
        <color theme="4" tint="-0.499984740745262"/>
      </top>
      <bottom style="thin">
        <color theme="4" tint="-0.499984740745262"/>
      </bottom>
      <diagonal/>
    </border>
    <border>
      <left style="thin">
        <color rgb="FFC00000"/>
      </left>
      <right style="thin">
        <color rgb="FFC00000"/>
      </right>
      <top style="thin">
        <color rgb="FFC00000"/>
      </top>
      <bottom style="thin">
        <color rgb="FFC00000"/>
      </bottom>
      <diagonal/>
    </border>
    <border>
      <left style="thin">
        <color theme="4" tint="-0.499984740745262"/>
      </left>
      <right/>
      <top style="thin">
        <color theme="4" tint="-0.499984740745262"/>
      </top>
      <bottom style="thin">
        <color theme="4" tint="-0.499984740745262"/>
      </bottom>
      <diagonal/>
    </border>
    <border>
      <left/>
      <right/>
      <top style="thin">
        <color theme="4" tint="-0.249977111117893"/>
      </top>
      <bottom/>
      <diagonal/>
    </border>
    <border>
      <left/>
      <right/>
      <top/>
      <bottom style="thin">
        <color theme="7" tint="-0.249977111117893"/>
      </bottom>
      <diagonal/>
    </border>
    <border>
      <left style="thin">
        <color theme="4" tint="-0.499984740745262"/>
      </left>
      <right style="thin">
        <color theme="4" tint="-0.499984740745262"/>
      </right>
      <top style="thin">
        <color theme="4" tint="-0.499984740745262"/>
      </top>
      <bottom/>
      <diagonal/>
    </border>
    <border>
      <left style="thin">
        <color theme="4" tint="-0.499984740745262"/>
      </left>
      <right style="thin">
        <color theme="4" tint="-0.499984740745262"/>
      </right>
      <top/>
      <bottom/>
      <diagonal/>
    </border>
    <border>
      <left style="thin">
        <color theme="4" tint="-0.499984740745262"/>
      </left>
      <right style="thin">
        <color theme="4" tint="-0.499984740745262"/>
      </right>
      <top/>
      <bottom style="thin">
        <color theme="4" tint="-0.499984740745262"/>
      </bottom>
      <diagonal/>
    </border>
    <border>
      <left style="thin">
        <color theme="4" tint="-0.499984740745262"/>
      </left>
      <right/>
      <top style="thin">
        <color theme="0"/>
      </top>
      <bottom style="thin">
        <color theme="0"/>
      </bottom>
      <diagonal/>
    </border>
    <border>
      <left/>
      <right style="thin">
        <color theme="4" tint="-0.499984740745262"/>
      </right>
      <top style="thin">
        <color theme="0"/>
      </top>
      <bottom style="thin">
        <color theme="0"/>
      </bottom>
      <diagonal/>
    </border>
    <border>
      <left style="thin">
        <color rgb="FFC00000"/>
      </left>
      <right style="thin">
        <color rgb="FFC00000"/>
      </right>
      <top style="thin">
        <color rgb="FFC00000"/>
      </top>
      <bottom/>
      <diagonal/>
    </border>
    <border>
      <left style="thin">
        <color rgb="FFC00000"/>
      </left>
      <right style="thin">
        <color rgb="FFC00000"/>
      </right>
      <top/>
      <bottom style="thin">
        <color rgb="FFC00000"/>
      </bottom>
      <diagonal/>
    </border>
    <border>
      <left style="thin">
        <color rgb="FFC00000"/>
      </left>
      <right style="thin">
        <color rgb="FFC00000"/>
      </right>
      <top/>
      <bottom/>
      <diagonal/>
    </border>
    <border>
      <left style="dashed">
        <color indexed="64"/>
      </left>
      <right/>
      <top style="dashed">
        <color indexed="64"/>
      </top>
      <bottom/>
      <diagonal/>
    </border>
    <border>
      <left/>
      <right/>
      <top style="dashed">
        <color indexed="64"/>
      </top>
      <bottom/>
      <diagonal/>
    </border>
    <border>
      <left/>
      <right style="dashed">
        <color indexed="64"/>
      </right>
      <top style="dashed">
        <color indexed="64"/>
      </top>
      <bottom/>
      <diagonal/>
    </border>
    <border>
      <left style="dashed">
        <color indexed="64"/>
      </left>
      <right/>
      <top/>
      <bottom style="dashed">
        <color indexed="64"/>
      </bottom>
      <diagonal/>
    </border>
    <border>
      <left/>
      <right/>
      <top/>
      <bottom style="dashed">
        <color indexed="64"/>
      </bottom>
      <diagonal/>
    </border>
    <border>
      <left/>
      <right style="dashed">
        <color indexed="64"/>
      </right>
      <top/>
      <bottom style="dashed">
        <color indexed="64"/>
      </bottom>
      <diagonal/>
    </border>
    <border>
      <left style="thin">
        <color theme="9" tint="-0.249977111117893"/>
      </left>
      <right/>
      <top/>
      <bottom style="thin">
        <color theme="9" tint="-0.249977111117893"/>
      </bottom>
      <diagonal/>
    </border>
    <border>
      <left style="thin">
        <color theme="9" tint="-0.249977111117893"/>
      </left>
      <right/>
      <top style="thin">
        <color theme="9" tint="-0.249977111117893"/>
      </top>
      <bottom/>
      <diagonal/>
    </border>
    <border>
      <left style="thin">
        <color theme="9" tint="-0.249977111117893"/>
      </left>
      <right/>
      <top/>
      <bottom/>
      <diagonal/>
    </border>
    <border>
      <left/>
      <right style="thin">
        <color theme="9" tint="-0.249977111117893"/>
      </right>
      <top/>
      <bottom/>
      <diagonal/>
    </border>
    <border>
      <left/>
      <right style="thin">
        <color theme="9" tint="-0.249977111117893"/>
      </right>
      <top/>
      <bottom style="thin">
        <color theme="9" tint="-0.249977111117893"/>
      </bottom>
      <diagonal/>
    </border>
    <border>
      <left style="thin">
        <color theme="5" tint="-0.499984740745262"/>
      </left>
      <right/>
      <top style="thin">
        <color theme="5" tint="-0.499984740745262"/>
      </top>
      <bottom/>
      <diagonal/>
    </border>
    <border>
      <left/>
      <right/>
      <top style="thin">
        <color theme="5" tint="-0.499984740745262"/>
      </top>
      <bottom/>
      <diagonal/>
    </border>
    <border>
      <left/>
      <right style="thin">
        <color theme="5" tint="-0.499984740745262"/>
      </right>
      <top style="thin">
        <color theme="5" tint="-0.499984740745262"/>
      </top>
      <bottom/>
      <diagonal/>
    </border>
    <border>
      <left style="thin">
        <color theme="5" tint="-0.499984740745262"/>
      </left>
      <right/>
      <top/>
      <bottom/>
      <diagonal/>
    </border>
    <border>
      <left/>
      <right style="thin">
        <color theme="5" tint="-0.499984740745262"/>
      </right>
      <top/>
      <bottom/>
      <diagonal/>
    </border>
    <border>
      <left style="thin">
        <color theme="5" tint="-0.499984740745262"/>
      </left>
      <right/>
      <top/>
      <bottom style="thin">
        <color theme="5" tint="-0.499984740745262"/>
      </bottom>
      <diagonal/>
    </border>
    <border>
      <left/>
      <right/>
      <top/>
      <bottom style="thin">
        <color theme="5" tint="-0.499984740745262"/>
      </bottom>
      <diagonal/>
    </border>
    <border>
      <left/>
      <right style="thin">
        <color theme="5" tint="-0.499984740745262"/>
      </right>
      <top/>
      <bottom style="thin">
        <color theme="5" tint="-0.499984740745262"/>
      </bottom>
      <diagonal/>
    </border>
    <border>
      <left style="thin">
        <color theme="4" tint="-0.499984740745262"/>
      </left>
      <right/>
      <top style="thin">
        <color theme="4" tint="-0.499984740745262"/>
      </top>
      <bottom/>
      <diagonal/>
    </border>
    <border>
      <left/>
      <right style="thin">
        <color theme="4" tint="-0.499984740745262"/>
      </right>
      <top style="thin">
        <color theme="4" tint="-0.499984740745262"/>
      </top>
      <bottom/>
      <diagonal/>
    </border>
    <border>
      <left style="thin">
        <color theme="4" tint="-0.499984740745262"/>
      </left>
      <right/>
      <top/>
      <bottom/>
      <diagonal/>
    </border>
    <border>
      <left/>
      <right style="thin">
        <color theme="4" tint="-0.499984740745262"/>
      </right>
      <top/>
      <bottom/>
      <diagonal/>
    </border>
    <border>
      <left style="thin">
        <color theme="4" tint="-0.499984740745262"/>
      </left>
      <right/>
      <top/>
      <bottom style="thin">
        <color theme="4" tint="-0.499984740745262"/>
      </bottom>
      <diagonal/>
    </border>
    <border>
      <left/>
      <right/>
      <top/>
      <bottom style="thin">
        <color theme="4" tint="-0.499984740745262"/>
      </bottom>
      <diagonal/>
    </border>
    <border>
      <left/>
      <right style="thin">
        <color theme="4" tint="-0.499984740745262"/>
      </right>
      <top/>
      <bottom style="thin">
        <color theme="4" tint="-0.499984740745262"/>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diagonal/>
    </border>
    <border>
      <left/>
      <right style="thin">
        <color rgb="FFC00000"/>
      </right>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theme="9" tint="-0.249977111117893"/>
      </left>
      <right/>
      <top style="thin">
        <color theme="9" tint="-0.249977111117893"/>
      </top>
      <bottom style="thin">
        <color theme="9" tint="-0.249977111117893"/>
      </bottom>
      <diagonal/>
    </border>
    <border>
      <left style="thin">
        <color theme="5" tint="-0.249977111117893"/>
      </left>
      <right/>
      <top style="thin">
        <color theme="9" tint="-0.249977111117893"/>
      </top>
      <bottom/>
      <diagonal/>
    </border>
    <border>
      <left style="thin">
        <color theme="5" tint="-0.249977111117893"/>
      </left>
      <right/>
      <top/>
      <bottom style="thin">
        <color theme="9" tint="-0.249977111117893"/>
      </bottom>
      <diagonal/>
    </border>
    <border>
      <left style="thin">
        <color theme="9" tint="-0.249977111117893"/>
      </left>
      <right style="thin">
        <color theme="9" tint="-0.249977111117893"/>
      </right>
      <top style="thin">
        <color theme="9" tint="-0.249977111117893"/>
      </top>
      <bottom/>
      <diagonal/>
    </border>
    <border>
      <left style="thin">
        <color theme="9" tint="-0.249977111117893"/>
      </left>
      <right style="thin">
        <color theme="9" tint="-0.249977111117893"/>
      </right>
      <top/>
      <bottom/>
      <diagonal/>
    </border>
    <border>
      <left style="thin">
        <color theme="9" tint="-0.249977111117893"/>
      </left>
      <right style="thin">
        <color theme="9" tint="-0.249977111117893"/>
      </right>
      <top/>
      <bottom style="thin">
        <color theme="9" tint="-0.249977111117893"/>
      </bottom>
      <diagonal/>
    </border>
    <border>
      <left style="thin">
        <color rgb="FFC00000"/>
      </left>
      <right/>
      <top style="thin">
        <color rgb="FFC00000"/>
      </top>
      <bottom style="thin">
        <color rgb="FFC00000"/>
      </bottom>
      <diagonal/>
    </border>
    <border>
      <left/>
      <right style="thin">
        <color rgb="FFC00000"/>
      </right>
      <top style="thin">
        <color rgb="FFC00000"/>
      </top>
      <bottom style="thin">
        <color rgb="FFC00000"/>
      </bottom>
      <diagonal/>
    </border>
    <border>
      <left style="thin">
        <color rgb="FFC00000"/>
      </left>
      <right style="thin">
        <color theme="5" tint="-0.249977111117893"/>
      </right>
      <top/>
      <bottom/>
      <diagonal/>
    </border>
    <border>
      <left style="thin">
        <color theme="4" tint="-0.499984740745262"/>
      </left>
      <right style="thin">
        <color theme="4" tint="-0.499984740745262"/>
      </right>
      <top style="thin">
        <color indexed="64"/>
      </top>
      <bottom/>
      <diagonal/>
    </border>
    <border>
      <left style="thin">
        <color rgb="FFC00000"/>
      </left>
      <right style="thin">
        <color theme="5" tint="-0.249977111117893"/>
      </right>
      <top/>
      <bottom style="thin">
        <color theme="5" tint="-0.249977111117893"/>
      </bottom>
      <diagonal/>
    </border>
    <border>
      <left style="thin">
        <color theme="9" tint="-0.249977111117893"/>
      </left>
      <right style="thin">
        <color theme="9" tint="-0.249977111117893"/>
      </right>
      <top style="thin">
        <color theme="4" tint="-0.499984740745262"/>
      </top>
      <bottom/>
      <diagonal/>
    </border>
    <border>
      <left style="thin">
        <color theme="9" tint="-0.249977111117893"/>
      </left>
      <right style="thin">
        <color indexed="64"/>
      </right>
      <top style="thin">
        <color theme="9" tint="-0.249977111117893"/>
      </top>
      <bottom/>
      <diagonal/>
    </border>
    <border>
      <left style="thin">
        <color theme="9" tint="-0.249977111117893"/>
      </left>
      <right style="thin">
        <color indexed="64"/>
      </right>
      <top/>
      <bottom/>
      <diagonal/>
    </border>
    <border>
      <left style="thin">
        <color theme="9" tint="-0.249977111117893"/>
      </left>
      <right style="thin">
        <color indexed="64"/>
      </right>
      <top/>
      <bottom style="thin">
        <color theme="9" tint="-0.249977111117893"/>
      </bottom>
      <diagonal/>
    </border>
    <border>
      <left style="thin">
        <color indexed="64"/>
      </left>
      <right style="thin">
        <color theme="9" tint="-0.249977111117893"/>
      </right>
      <top style="thin">
        <color theme="9" tint="-0.249977111117893"/>
      </top>
      <bottom/>
      <diagonal/>
    </border>
    <border>
      <left style="thin">
        <color indexed="64"/>
      </left>
      <right style="thin">
        <color theme="9" tint="-0.249977111117893"/>
      </right>
      <top/>
      <bottom/>
      <diagonal/>
    </border>
    <border>
      <left style="thin">
        <color indexed="64"/>
      </left>
      <right style="thin">
        <color theme="9" tint="-0.249977111117893"/>
      </right>
      <top/>
      <bottom style="thin">
        <color theme="9" tint="-0.249977111117893"/>
      </bottom>
      <diagonal/>
    </border>
    <border>
      <left style="thin">
        <color indexed="64"/>
      </left>
      <right style="thin">
        <color theme="4" tint="-0.499984740745262"/>
      </right>
      <top style="thin">
        <color theme="4" tint="-0.499984740745262"/>
      </top>
      <bottom style="thin">
        <color indexed="64"/>
      </bottom>
      <diagonal/>
    </border>
    <border>
      <left/>
      <right style="hair">
        <color indexed="64"/>
      </right>
      <top style="hair">
        <color indexed="64"/>
      </top>
      <bottom/>
      <diagonal/>
    </border>
    <border>
      <left style="thin">
        <color indexed="64"/>
      </left>
      <right/>
      <top style="hair">
        <color indexed="64"/>
      </top>
      <bottom/>
      <diagonal/>
    </border>
    <border>
      <left/>
      <right style="hair">
        <color indexed="64"/>
      </right>
      <top/>
      <bottom/>
      <diagonal/>
    </border>
    <border>
      <left style="thin">
        <color indexed="64"/>
      </left>
      <right/>
      <top/>
      <bottom style="hair">
        <color indexed="64"/>
      </bottom>
      <diagonal/>
    </border>
    <border>
      <left/>
      <right style="hair">
        <color indexed="64"/>
      </right>
      <top/>
      <bottom style="hair">
        <color indexed="64"/>
      </bottom>
      <diagonal/>
    </border>
    <border>
      <left style="hair">
        <color indexed="64"/>
      </left>
      <right/>
      <top/>
      <bottom style="hair">
        <color indexed="64"/>
      </bottom>
      <diagonal/>
    </border>
    <border>
      <left style="hair">
        <color indexed="64"/>
      </left>
      <right/>
      <top/>
      <bottom style="thin">
        <color theme="3"/>
      </bottom>
      <diagonal/>
    </border>
    <border>
      <left/>
      <right style="hair">
        <color indexed="64"/>
      </right>
      <top/>
      <bottom style="thin">
        <color theme="3"/>
      </bottom>
      <diagonal/>
    </border>
    <border>
      <left style="thin">
        <color indexed="64"/>
      </left>
      <right/>
      <top style="thin">
        <color theme="3"/>
      </top>
      <bottom style="thin">
        <color indexed="64"/>
      </bottom>
      <diagonal/>
    </border>
    <border>
      <left/>
      <right style="thin">
        <color indexed="64"/>
      </right>
      <top style="thin">
        <color theme="3"/>
      </top>
      <bottom style="thin">
        <color indexed="64"/>
      </bottom>
      <diagonal/>
    </border>
    <border>
      <left style="thin">
        <color indexed="64"/>
      </left>
      <right style="thin">
        <color rgb="FFC00000"/>
      </right>
      <top style="thin">
        <color rgb="FFC00000"/>
      </top>
      <bottom/>
      <diagonal/>
    </border>
    <border>
      <left style="thin">
        <color indexed="64"/>
      </left>
      <right style="thin">
        <color rgb="FFC00000"/>
      </right>
      <top/>
      <bottom/>
      <diagonal/>
    </border>
    <border>
      <left style="thin">
        <color indexed="64"/>
      </left>
      <right style="thin">
        <color rgb="FFC00000"/>
      </right>
      <top/>
      <bottom style="thin">
        <color rgb="FFC00000"/>
      </bottom>
      <diagonal/>
    </border>
    <border>
      <left/>
      <right style="thin">
        <color theme="4" tint="-0.499984740745262"/>
      </right>
      <top style="thin">
        <color theme="4" tint="-0.499984740745262"/>
      </top>
      <bottom style="thin">
        <color theme="4" tint="-0.499984740745262"/>
      </bottom>
      <diagonal/>
    </border>
    <border>
      <left/>
      <right style="thin">
        <color theme="9" tint="-0.249977111117893"/>
      </right>
      <top style="thin">
        <color theme="9" tint="-0.249977111117893"/>
      </top>
      <bottom style="thin">
        <color theme="9" tint="-0.249977111117893"/>
      </bottom>
      <diagonal/>
    </border>
    <border>
      <left style="thin">
        <color theme="5"/>
      </left>
      <right style="thin">
        <color theme="5"/>
      </right>
      <top style="thin">
        <color theme="5"/>
      </top>
      <bottom/>
      <diagonal/>
    </border>
    <border>
      <left style="thin">
        <color theme="5"/>
      </left>
      <right style="thin">
        <color theme="5"/>
      </right>
      <top/>
      <bottom/>
      <diagonal/>
    </border>
    <border>
      <left style="thin">
        <color theme="5"/>
      </left>
      <right style="thin">
        <color theme="5"/>
      </right>
      <top/>
      <bottom style="thin">
        <color theme="5"/>
      </bottom>
      <diagonal/>
    </border>
    <border>
      <left/>
      <right style="thin">
        <color theme="7" tint="-0.249977111117893"/>
      </right>
      <top style="thin">
        <color theme="7" tint="-0.249977111117893"/>
      </top>
      <bottom style="thin">
        <color theme="7" tint="-0.249977111117893"/>
      </bottom>
      <diagonal/>
    </border>
    <border>
      <left style="thin">
        <color rgb="FFC00000"/>
      </left>
      <right style="thin">
        <color theme="5" tint="-0.249977111117893"/>
      </right>
      <top style="thin">
        <color rgb="FFC00000"/>
      </top>
      <bottom/>
      <diagonal/>
    </border>
    <border>
      <left style="thin">
        <color theme="5" tint="-0.249977111117893"/>
      </left>
      <right style="thin">
        <color theme="5" tint="-0.249977111117893"/>
      </right>
      <top style="thin">
        <color rgb="FFC00000"/>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medium">
        <color indexed="64"/>
      </right>
      <top style="medium">
        <color indexed="64"/>
      </top>
      <bottom style="medium">
        <color indexed="64"/>
      </bottom>
      <diagonal/>
    </border>
    <border>
      <left style="thin">
        <color theme="4" tint="-0.499984740745262"/>
      </left>
      <right style="thin">
        <color theme="4" tint="-0.499984740745262"/>
      </right>
      <top style="thin">
        <color indexed="64"/>
      </top>
      <bottom style="thin">
        <color theme="4" tint="-0.499984740745262"/>
      </bottom>
      <diagonal/>
    </border>
    <border>
      <left/>
      <right/>
      <top style="thin">
        <color indexed="64"/>
      </top>
      <bottom style="double">
        <color indexed="64"/>
      </bottom>
      <diagonal/>
    </border>
    <border>
      <left style="thin">
        <color indexed="0"/>
      </left>
      <right style="thin">
        <color indexed="0"/>
      </right>
      <top style="thin">
        <color indexed="0"/>
      </top>
      <bottom style="thin">
        <color indexed="0"/>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style="thin">
        <color indexed="54"/>
      </left>
      <right/>
      <top/>
      <bottom/>
      <diagonal/>
    </border>
    <border>
      <left/>
      <right/>
      <top style="double">
        <color indexed="64"/>
      </top>
      <bottom style="double">
        <color indexed="64"/>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right/>
      <top style="thick">
        <color indexed="54"/>
      </top>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hair">
        <color indexed="64"/>
      </left>
      <right/>
      <top style="hair">
        <color indexed="64"/>
      </top>
      <bottom style="hair">
        <color indexed="9"/>
      </bottom>
      <diagonal/>
    </border>
    <border>
      <left style="thin">
        <color theme="4" tint="-0.499984740745262"/>
      </left>
      <right style="thin">
        <color theme="4" tint="-0.499984740745262"/>
      </right>
      <top/>
      <bottom style="thin">
        <color indexed="64"/>
      </bottom>
      <diagonal/>
    </border>
    <border>
      <left style="thin">
        <color rgb="FFC00000"/>
      </left>
      <right style="thin">
        <color theme="5" tint="-0.249977111117893"/>
      </right>
      <top style="thin">
        <color theme="5" tint="-0.249977111117893"/>
      </top>
      <bottom/>
      <diagonal/>
    </border>
    <border>
      <left style="thin">
        <color theme="5" tint="-0.249977111117893"/>
      </left>
      <right style="thin">
        <color theme="9" tint="-0.249977111117893"/>
      </right>
      <top style="thin">
        <color theme="9" tint="-0.249977111117893"/>
      </top>
      <bottom/>
      <diagonal/>
    </border>
    <border>
      <left style="thin">
        <color theme="5" tint="-0.249977111117893"/>
      </left>
      <right style="thin">
        <color theme="9" tint="-0.249977111117893"/>
      </right>
      <top/>
      <bottom/>
      <diagonal/>
    </border>
    <border>
      <left style="thin">
        <color theme="5" tint="-0.249977111117893"/>
      </left>
      <right style="thin">
        <color theme="9" tint="-0.249977111117893"/>
      </right>
      <top/>
      <bottom style="thin">
        <color theme="9" tint="-0.249977111117893"/>
      </bottom>
      <diagonal/>
    </border>
    <border>
      <left style="thin">
        <color indexed="64"/>
      </left>
      <right style="thin">
        <color theme="4" tint="-0.499984740745262"/>
      </right>
      <top style="thin">
        <color indexed="64"/>
      </top>
      <bottom/>
      <diagonal/>
    </border>
    <border>
      <left style="thin">
        <color indexed="64"/>
      </left>
      <right style="thin">
        <color theme="4" tint="-0.499984740745262"/>
      </right>
      <top/>
      <bottom/>
      <diagonal/>
    </border>
    <border>
      <left style="thin">
        <color indexed="64"/>
      </left>
      <right style="thin">
        <color theme="4" tint="-0.499984740745262"/>
      </right>
      <top/>
      <bottom style="thin">
        <color theme="4" tint="-0.499984740745262"/>
      </bottom>
      <diagonal/>
    </border>
    <border>
      <left style="thin">
        <color theme="7" tint="-0.249977111117893"/>
      </left>
      <right style="thin">
        <color theme="4" tint="-0.499984740745262"/>
      </right>
      <top style="thin">
        <color theme="7" tint="-0.249977111117893"/>
      </top>
      <bottom/>
      <diagonal/>
    </border>
    <border>
      <left style="thin">
        <color theme="7" tint="-0.249977111117893"/>
      </left>
      <right style="thin">
        <color theme="4" tint="-0.499984740745262"/>
      </right>
      <top/>
      <bottom style="thin">
        <color theme="7" tint="-0.249977111117893"/>
      </bottom>
      <diagonal/>
    </border>
    <border>
      <left/>
      <right style="thin">
        <color rgb="FFC00000"/>
      </right>
      <top/>
      <bottom style="thin">
        <color rgb="FFFF3300"/>
      </bottom>
      <diagonal/>
    </border>
    <border>
      <left style="dashed">
        <color indexed="64"/>
      </left>
      <right/>
      <top style="dashed">
        <color indexed="64"/>
      </top>
      <bottom style="dashed">
        <color indexed="64"/>
      </bottom>
      <diagonal/>
    </border>
    <border>
      <left/>
      <right style="dashed">
        <color indexed="64"/>
      </right>
      <top style="dashed">
        <color indexed="64"/>
      </top>
      <bottom style="dashed">
        <color indexed="64"/>
      </bottom>
      <diagonal/>
    </border>
    <border>
      <left style="thin">
        <color indexed="48"/>
      </left>
      <right style="thin">
        <color indexed="48"/>
      </right>
      <top style="thin">
        <color indexed="48"/>
      </top>
      <bottom style="thin">
        <color indexed="48"/>
      </bottom>
      <diagonal/>
    </border>
    <border>
      <left style="thin">
        <color theme="3"/>
      </left>
      <right style="thin">
        <color theme="3"/>
      </right>
      <top style="thin">
        <color theme="3"/>
      </top>
      <bottom/>
      <diagonal/>
    </border>
    <border>
      <left style="thin">
        <color theme="3"/>
      </left>
      <right style="thin">
        <color theme="3"/>
      </right>
      <top/>
      <bottom/>
      <diagonal/>
    </border>
    <border>
      <left style="thin">
        <color theme="3"/>
      </left>
      <right style="thin">
        <color theme="3"/>
      </right>
      <top/>
      <bottom style="thin">
        <color theme="3"/>
      </bottom>
      <diagonal/>
    </border>
    <border>
      <left/>
      <right style="thin">
        <color theme="3"/>
      </right>
      <top style="thin">
        <color theme="3"/>
      </top>
      <bottom/>
      <diagonal/>
    </border>
    <border>
      <left/>
      <right style="thin">
        <color theme="3"/>
      </right>
      <top/>
      <bottom/>
      <diagonal/>
    </border>
    <border>
      <left/>
      <right/>
      <top/>
      <bottom style="thin">
        <color theme="3"/>
      </bottom>
      <diagonal/>
    </border>
    <border>
      <left/>
      <right style="thin">
        <color theme="7" tint="-0.249977111117893"/>
      </right>
      <top style="thin">
        <color theme="7" tint="-0.249977111117893"/>
      </top>
      <bottom/>
      <diagonal/>
    </border>
    <border>
      <left style="thin">
        <color theme="5"/>
      </left>
      <right style="thin">
        <color theme="3"/>
      </right>
      <top style="thin">
        <color theme="7" tint="-0.249977111117893"/>
      </top>
      <bottom/>
      <diagonal/>
    </border>
    <border>
      <left style="thin">
        <color theme="5"/>
      </left>
      <right style="thin">
        <color theme="3"/>
      </right>
      <top/>
      <bottom/>
      <diagonal/>
    </border>
    <border>
      <left style="thin">
        <color theme="5"/>
      </left>
      <right style="thin">
        <color theme="3"/>
      </right>
      <top/>
      <bottom style="thin">
        <color theme="5"/>
      </bottom>
      <diagonal/>
    </border>
    <border>
      <left style="thin">
        <color theme="3"/>
      </left>
      <right style="thin">
        <color theme="3"/>
      </right>
      <top style="thin">
        <color theme="4" tint="-0.499984740745262"/>
      </top>
      <bottom/>
      <diagonal/>
    </border>
    <border>
      <left style="thin">
        <color theme="3"/>
      </left>
      <right style="thin">
        <color theme="3"/>
      </right>
      <top style="thin">
        <color theme="4" tint="-0.499984740745262"/>
      </top>
      <bottom style="thin">
        <color theme="4" tint="-0.499984740745262"/>
      </bottom>
      <diagonal/>
    </border>
    <border>
      <left style="thin">
        <color theme="3"/>
      </left>
      <right style="thin">
        <color theme="4" tint="-0.499984740745262"/>
      </right>
      <top style="thin">
        <color theme="3"/>
      </top>
      <bottom style="thin">
        <color theme="3"/>
      </bottom>
      <diagonal/>
    </border>
    <border>
      <left style="thin">
        <color theme="4" tint="-0.499984740745262"/>
      </left>
      <right style="thin">
        <color theme="4" tint="-0.499984740745262"/>
      </right>
      <top style="thin">
        <color theme="3"/>
      </top>
      <bottom style="thin">
        <color theme="3"/>
      </bottom>
      <diagonal/>
    </border>
    <border>
      <left style="thin">
        <color theme="4" tint="-0.499984740745262"/>
      </left>
      <right style="thin">
        <color theme="3"/>
      </right>
      <top style="thin">
        <color theme="3"/>
      </top>
      <bottom style="thin">
        <color theme="3"/>
      </bottom>
      <diagonal/>
    </border>
    <border>
      <left style="thin">
        <color theme="5"/>
      </left>
      <right/>
      <top style="thin">
        <color theme="5"/>
      </top>
      <bottom/>
      <diagonal/>
    </border>
    <border>
      <left style="thin">
        <color theme="5"/>
      </left>
      <right/>
      <top/>
      <bottom/>
      <diagonal/>
    </border>
    <border>
      <left style="thin">
        <color theme="3"/>
      </left>
      <right style="thin">
        <color theme="3"/>
      </right>
      <top/>
      <bottom style="thin">
        <color theme="4" tint="-0.499984740745262"/>
      </bottom>
      <diagonal/>
    </border>
    <border>
      <left/>
      <right style="medium">
        <color indexed="64"/>
      </right>
      <top style="medium">
        <color indexed="64"/>
      </top>
      <bottom style="medium">
        <color indexed="64"/>
      </bottom>
      <diagonal/>
    </border>
    <border>
      <left style="dotted">
        <color indexed="64"/>
      </left>
      <right style="dotted">
        <color indexed="64"/>
      </right>
      <top style="dotted">
        <color indexed="64"/>
      </top>
      <bottom style="dotted">
        <color indexed="64"/>
      </bottom>
      <diagonal/>
    </border>
    <border>
      <left/>
      <right style="thin">
        <color indexed="64"/>
      </right>
      <top/>
      <bottom style="thin">
        <color theme="4" tint="-0.499984740745262"/>
      </bottom>
      <diagonal/>
    </border>
    <border>
      <left/>
      <right style="dotted">
        <color rgb="FF000000"/>
      </right>
      <top/>
      <bottom/>
      <diagonal/>
    </border>
    <border>
      <left style="thin">
        <color theme="3"/>
      </left>
      <right style="thin">
        <color theme="4" tint="-0.499984740745262"/>
      </right>
      <top/>
      <bottom/>
      <diagonal/>
    </border>
    <border>
      <left/>
      <right style="dotted">
        <color rgb="FF000000"/>
      </right>
      <top/>
      <bottom style="thin">
        <color rgb="FF000000"/>
      </bottom>
      <diagonal/>
    </border>
    <border>
      <left style="dotted">
        <color rgb="FF000000"/>
      </left>
      <right style="dotted">
        <color rgb="FF000000"/>
      </right>
      <top/>
      <bottom/>
      <diagonal/>
    </border>
    <border>
      <left style="dotted">
        <color rgb="FF000000"/>
      </left>
      <right/>
      <top/>
      <bottom/>
      <diagonal/>
    </border>
    <border>
      <left style="dotted">
        <color rgb="FF000000"/>
      </left>
      <right/>
      <top/>
      <bottom style="thin">
        <color rgb="FF000000"/>
      </bottom>
      <diagonal/>
    </border>
    <border>
      <left/>
      <right style="dotted">
        <color rgb="FF000000"/>
      </right>
      <top style="thin">
        <color rgb="FF000000"/>
      </top>
      <bottom/>
      <diagonal/>
    </border>
    <border>
      <left style="dotted">
        <color rgb="FF000000"/>
      </left>
      <right/>
      <top style="thin">
        <color rgb="FF000000"/>
      </top>
      <bottom/>
      <diagonal/>
    </border>
    <border>
      <left style="dotted">
        <color rgb="FF000000"/>
      </left>
      <right style="dotted">
        <color rgb="FF000000"/>
      </right>
      <top style="thin">
        <color rgb="FF000000"/>
      </top>
      <bottom/>
      <diagonal/>
    </border>
    <border>
      <left style="thin">
        <color theme="3"/>
      </left>
      <right/>
      <top style="thin">
        <color theme="3"/>
      </top>
      <bottom/>
      <diagonal/>
    </border>
    <border>
      <left style="thin">
        <color theme="3"/>
      </left>
      <right/>
      <top/>
      <bottom/>
      <diagonal/>
    </border>
    <border>
      <left style="thin">
        <color theme="3"/>
      </left>
      <right/>
      <top/>
      <bottom style="thin">
        <color theme="3"/>
      </bottom>
      <diagonal/>
    </border>
    <border>
      <left style="thin">
        <color theme="3"/>
      </left>
      <right/>
      <top/>
      <bottom style="thin">
        <color theme="4" tint="-0.499984740745262"/>
      </bottom>
      <diagonal/>
    </border>
    <border>
      <left style="thin">
        <color theme="4" tint="-0.499984740745262"/>
      </left>
      <right style="thin">
        <color theme="4" tint="-0.499984740745262"/>
      </right>
      <top/>
      <bottom style="thin">
        <color theme="3"/>
      </bottom>
      <diagonal/>
    </border>
    <border>
      <left style="thin">
        <color theme="4" tint="-0.499984740745262"/>
      </left>
      <right style="thin">
        <color theme="4" tint="-0.499984740745262"/>
      </right>
      <top style="thin">
        <color theme="3"/>
      </top>
      <bottom/>
      <diagonal/>
    </border>
    <border>
      <left/>
      <right style="thin">
        <color indexed="64"/>
      </right>
      <top style="thin">
        <color theme="0"/>
      </top>
      <bottom style="thin">
        <color theme="0"/>
      </bottom>
      <diagonal/>
    </border>
    <border>
      <left style="thin">
        <color theme="1"/>
      </left>
      <right style="thin">
        <color theme="1"/>
      </right>
      <top/>
      <bottom style="thin">
        <color indexed="64"/>
      </bottom>
      <diagonal/>
    </border>
    <border>
      <left style="thin">
        <color indexed="64"/>
      </left>
      <right style="thin">
        <color indexed="64"/>
      </right>
      <top/>
      <bottom style="thin">
        <color theme="9" tint="-0.249977111117893"/>
      </bottom>
      <diagonal/>
    </border>
    <border>
      <left style="thin">
        <color indexed="64"/>
      </left>
      <right style="thin">
        <color theme="1"/>
      </right>
      <top style="thin">
        <color theme="0"/>
      </top>
      <bottom/>
      <diagonal/>
    </border>
    <border>
      <left style="thin">
        <color indexed="64"/>
      </left>
      <right style="thin">
        <color theme="1"/>
      </right>
      <top/>
      <bottom style="thin">
        <color indexed="64"/>
      </bottom>
      <diagonal/>
    </border>
    <border>
      <left style="thin">
        <color indexed="64"/>
      </left>
      <right style="thin">
        <color theme="4" tint="-0.499984740745262"/>
      </right>
      <top style="thin">
        <color theme="4" tint="-0.499984740745262"/>
      </top>
      <bottom/>
      <diagonal/>
    </border>
  </borders>
  <cellStyleXfs count="3049">
    <xf numFmtId="0" fontId="0" fillId="0" borderId="0"/>
    <xf numFmtId="0" fontId="1" fillId="0" borderId="0"/>
    <xf numFmtId="0" fontId="1" fillId="0" borderId="0"/>
    <xf numFmtId="0" fontId="1" fillId="0" borderId="0"/>
    <xf numFmtId="0" fontId="21" fillId="18" borderId="0" applyNumberFormat="0" applyBorder="0" applyAlignment="0" applyProtection="0"/>
    <xf numFmtId="0" fontId="21" fillId="19" borderId="0" applyNumberFormat="0" applyBorder="0" applyAlignment="0" applyProtection="0"/>
    <xf numFmtId="0" fontId="35" fillId="17" borderId="0" applyNumberFormat="0" applyBorder="0" applyAlignment="0" applyProtection="0"/>
    <xf numFmtId="167" fontId="1" fillId="0" borderId="0" applyFont="0" applyFill="0" applyBorder="0" applyAlignment="0" applyProtection="0"/>
    <xf numFmtId="9" fontId="1" fillId="0" borderId="0" applyFont="0" applyFill="0" applyBorder="0" applyAlignment="0" applyProtection="0"/>
    <xf numFmtId="0" fontId="55" fillId="0" borderId="0"/>
    <xf numFmtId="166" fontId="1" fillId="0" borderId="0" applyFont="0" applyFill="0" applyBorder="0" applyAlignment="0" applyProtection="0"/>
    <xf numFmtId="44" fontId="1" fillId="0" borderId="0" applyFont="0" applyFill="0" applyBorder="0" applyAlignment="0" applyProtection="0"/>
    <xf numFmtId="0" fontId="1" fillId="0" borderId="0"/>
    <xf numFmtId="167" fontId="86" fillId="0" borderId="0" applyFont="0" applyFill="0" applyBorder="0" applyAlignment="0" applyProtection="0"/>
    <xf numFmtId="166" fontId="1" fillId="0" borderId="0" applyFont="0" applyFill="0" applyBorder="0" applyAlignment="0" applyProtection="0"/>
    <xf numFmtId="44" fontId="1" fillId="0" borderId="0" applyFont="0" applyFill="0" applyBorder="0" applyAlignment="0" applyProtection="0"/>
    <xf numFmtId="166" fontId="1" fillId="0" borderId="0" applyFont="0" applyFill="0" applyBorder="0" applyAlignment="0" applyProtection="0"/>
    <xf numFmtId="44" fontId="1" fillId="0" borderId="0" applyFont="0" applyFill="0" applyBorder="0" applyAlignment="0" applyProtection="0"/>
    <xf numFmtId="166" fontId="1" fillId="0" borderId="0" applyFont="0" applyFill="0" applyBorder="0" applyAlignment="0" applyProtection="0"/>
    <xf numFmtId="44" fontId="1" fillId="0" borderId="0" applyFont="0" applyFill="0" applyBorder="0" applyAlignment="0" applyProtection="0"/>
    <xf numFmtId="0" fontId="55" fillId="0" borderId="0"/>
    <xf numFmtId="166" fontId="55"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165" fillId="0" borderId="0"/>
    <xf numFmtId="0" fontId="165" fillId="0" borderId="0"/>
    <xf numFmtId="0" fontId="165"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86" fillId="0" borderId="0" applyNumberFormat="0" applyFill="0" applyBorder="0" applyAlignment="0" applyProtection="0"/>
    <xf numFmtId="0" fontId="166" fillId="0" borderId="0"/>
    <xf numFmtId="0" fontId="166"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7" fillId="0" borderId="0"/>
    <xf numFmtId="0" fontId="166" fillId="0" borderId="0"/>
    <xf numFmtId="0" fontId="166" fillId="0" borderId="0"/>
    <xf numFmtId="0" fontId="167" fillId="0" borderId="0"/>
    <xf numFmtId="0" fontId="166" fillId="0" borderId="0"/>
    <xf numFmtId="0" fontId="166" fillId="0" borderId="0"/>
    <xf numFmtId="0" fontId="166" fillId="0" borderId="0"/>
    <xf numFmtId="0" fontId="161" fillId="0" borderId="0"/>
    <xf numFmtId="0" fontId="161" fillId="0" borderId="0"/>
    <xf numFmtId="0" fontId="167"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7" fillId="0" borderId="0"/>
    <xf numFmtId="0" fontId="161" fillId="0" borderId="0"/>
    <xf numFmtId="0" fontId="167" fillId="0" borderId="0"/>
    <xf numFmtId="0" fontId="167" fillId="0" borderId="0"/>
    <xf numFmtId="0" fontId="166" fillId="0" borderId="0"/>
    <xf numFmtId="0" fontId="161" fillId="0" borderId="0"/>
    <xf numFmtId="0" fontId="161" fillId="0" borderId="0"/>
    <xf numFmtId="0" fontId="161" fillId="0" borderId="0"/>
    <xf numFmtId="0" fontId="167" fillId="0" borderId="0"/>
    <xf numFmtId="0" fontId="167" fillId="0" borderId="0"/>
    <xf numFmtId="0" fontId="167"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7" fillId="0" borderId="0"/>
    <xf numFmtId="0" fontId="167" fillId="0" borderId="0"/>
    <xf numFmtId="0" fontId="167"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6" fillId="0" borderId="0"/>
    <xf numFmtId="0" fontId="167" fillId="0" borderId="0"/>
    <xf numFmtId="0" fontId="161" fillId="0" borderId="0"/>
    <xf numFmtId="0" fontId="167"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7" fillId="0" borderId="0"/>
    <xf numFmtId="0" fontId="167" fillId="0" borderId="0"/>
    <xf numFmtId="0" fontId="167" fillId="0" borderId="0"/>
    <xf numFmtId="0" fontId="167"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7" fillId="0" borderId="0"/>
    <xf numFmtId="0" fontId="167" fillId="0" borderId="0"/>
    <xf numFmtId="0" fontId="167" fillId="0" borderId="0"/>
    <xf numFmtId="0" fontId="167" fillId="0" borderId="0"/>
    <xf numFmtId="0" fontId="167"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7" fillId="0" borderId="0"/>
    <xf numFmtId="0" fontId="166" fillId="0" borderId="0"/>
    <xf numFmtId="0" fontId="167" fillId="0" borderId="0"/>
    <xf numFmtId="0" fontId="167" fillId="0" borderId="0"/>
    <xf numFmtId="0" fontId="167" fillId="0" borderId="0"/>
    <xf numFmtId="0" fontId="167" fillId="0" borderId="0"/>
    <xf numFmtId="0" fontId="168" fillId="0" borderId="0"/>
    <xf numFmtId="0" fontId="167" fillId="0" borderId="0"/>
    <xf numFmtId="0" fontId="167" fillId="0" borderId="0"/>
    <xf numFmtId="0" fontId="161" fillId="0" borderId="0"/>
    <xf numFmtId="0" fontId="161" fillId="0" borderId="0"/>
    <xf numFmtId="0" fontId="161" fillId="0" borderId="0"/>
    <xf numFmtId="0" fontId="167" fillId="0" borderId="0"/>
    <xf numFmtId="0" fontId="166" fillId="0" borderId="0"/>
    <xf numFmtId="175" fontId="161" fillId="0" borderId="0" applyFont="0" applyFill="0" applyBorder="0" applyAlignment="0" applyProtection="0"/>
    <xf numFmtId="0" fontId="167" fillId="0" borderId="0"/>
    <xf numFmtId="0" fontId="161" fillId="0" borderId="0"/>
    <xf numFmtId="0" fontId="161" fillId="0" borderId="0"/>
    <xf numFmtId="0" fontId="167" fillId="0" borderId="0"/>
    <xf numFmtId="0" fontId="166" fillId="0" borderId="0"/>
    <xf numFmtId="0" fontId="167" fillId="0" borderId="0"/>
    <xf numFmtId="0" fontId="166" fillId="0" borderId="0"/>
    <xf numFmtId="0" fontId="169" fillId="0" borderId="0"/>
    <xf numFmtId="0" fontId="167" fillId="0" borderId="0"/>
    <xf numFmtId="0" fontId="166"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6" fillId="0" borderId="0"/>
    <xf numFmtId="0" fontId="167"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6" fillId="0" borderId="0"/>
    <xf numFmtId="0" fontId="166" fillId="0" borderId="0"/>
    <xf numFmtId="0" fontId="161" fillId="0" borderId="0"/>
    <xf numFmtId="0" fontId="161" fillId="0" borderId="0"/>
    <xf numFmtId="0" fontId="161" fillId="0" borderId="0"/>
    <xf numFmtId="0" fontId="166" fillId="0" borderId="0"/>
    <xf numFmtId="0" fontId="166" fillId="0" borderId="0"/>
    <xf numFmtId="0" fontId="167" fillId="0" borderId="0"/>
    <xf numFmtId="0" fontId="161" fillId="0" borderId="0"/>
    <xf numFmtId="0" fontId="161" fillId="0" borderId="0"/>
    <xf numFmtId="0" fontId="167"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7" fillId="0" borderId="0"/>
    <xf numFmtId="0" fontId="166" fillId="0" borderId="0"/>
    <xf numFmtId="0" fontId="166"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6" fillId="0" borderId="0"/>
    <xf numFmtId="0" fontId="161" fillId="0" borderId="0"/>
    <xf numFmtId="0" fontId="161" fillId="0" borderId="0"/>
    <xf numFmtId="0" fontId="161" fillId="0" borderId="0"/>
    <xf numFmtId="0" fontId="166"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6" fillId="0" borderId="0"/>
    <xf numFmtId="0" fontId="166" fillId="0" borderId="0"/>
    <xf numFmtId="0" fontId="167"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6" fillId="0" borderId="0"/>
    <xf numFmtId="0" fontId="166" fillId="0" borderId="0"/>
    <xf numFmtId="0" fontId="166" fillId="0" borderId="0"/>
    <xf numFmtId="0" fontId="166" fillId="0" borderId="0"/>
    <xf numFmtId="0" fontId="166" fillId="0" borderId="0"/>
    <xf numFmtId="0" fontId="161" fillId="0" borderId="0"/>
    <xf numFmtId="0" fontId="161" fillId="0" borderId="0"/>
    <xf numFmtId="0" fontId="161" fillId="0" borderId="0"/>
    <xf numFmtId="0" fontId="166"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6" fillId="0" borderId="0"/>
    <xf numFmtId="0" fontId="161" fillId="0" borderId="0"/>
    <xf numFmtId="0" fontId="161" fillId="0" borderId="0"/>
    <xf numFmtId="0" fontId="166" fillId="0" borderId="0"/>
    <xf numFmtId="0" fontId="161" fillId="0" borderId="0"/>
    <xf numFmtId="0" fontId="161"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1" fillId="0" borderId="0"/>
    <xf numFmtId="0" fontId="166"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7" fillId="0" borderId="0"/>
    <xf numFmtId="0" fontId="167"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7" fillId="0" borderId="0"/>
    <xf numFmtId="0" fontId="167"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6"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6" fillId="0" borderId="0"/>
    <xf numFmtId="0" fontId="166" fillId="0" borderId="0"/>
    <xf numFmtId="0" fontId="167" fillId="0" borderId="0"/>
    <xf numFmtId="0" fontId="167" fillId="0" borderId="0"/>
    <xf numFmtId="0" fontId="167" fillId="0" borderId="0"/>
    <xf numFmtId="0" fontId="167" fillId="0" borderId="0"/>
    <xf numFmtId="0" fontId="166" fillId="0" borderId="0"/>
    <xf numFmtId="0" fontId="161" fillId="0" borderId="0"/>
    <xf numFmtId="0" fontId="161" fillId="0" borderId="0"/>
    <xf numFmtId="0" fontId="166"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6" fillId="0" borderId="0"/>
    <xf numFmtId="0" fontId="166" fillId="0" borderId="0"/>
    <xf numFmtId="0" fontId="167" fillId="0" borderId="0"/>
    <xf numFmtId="0" fontId="166" fillId="0" borderId="0"/>
    <xf numFmtId="0" fontId="167"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7" fillId="0" borderId="0"/>
    <xf numFmtId="0" fontId="167" fillId="0" borderId="0"/>
    <xf numFmtId="0" fontId="166"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6" fillId="0" borderId="0"/>
    <xf numFmtId="0" fontId="167" fillId="0" borderId="0"/>
    <xf numFmtId="0" fontId="166" fillId="0" borderId="0"/>
    <xf numFmtId="0" fontId="166" fillId="0" borderId="0"/>
    <xf numFmtId="0" fontId="166"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6" fillId="0" borderId="0"/>
    <xf numFmtId="0" fontId="167" fillId="0" borderId="0"/>
    <xf numFmtId="0" fontId="166" fillId="0" borderId="0"/>
    <xf numFmtId="0" fontId="167" fillId="0" borderId="0"/>
    <xf numFmtId="0" fontId="167" fillId="0" borderId="0"/>
    <xf numFmtId="0" fontId="167" fillId="0" borderId="0"/>
    <xf numFmtId="0" fontId="166"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7" fillId="0" borderId="0"/>
    <xf numFmtId="0" fontId="167" fillId="0" borderId="0"/>
    <xf numFmtId="0" fontId="167" fillId="0" borderId="0"/>
    <xf numFmtId="0" fontId="167" fillId="0" borderId="0"/>
    <xf numFmtId="0" fontId="167" fillId="0" borderId="0"/>
    <xf numFmtId="0" fontId="167"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7" fillId="0" borderId="0"/>
    <xf numFmtId="0" fontId="167" fillId="0" borderId="0"/>
    <xf numFmtId="0" fontId="161" fillId="0" borderId="0"/>
    <xf numFmtId="0" fontId="161" fillId="0" borderId="0"/>
    <xf numFmtId="0" fontId="161" fillId="0" borderId="0"/>
    <xf numFmtId="0" fontId="161" fillId="0" borderId="0"/>
    <xf numFmtId="0" fontId="167"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7"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7" fillId="0" borderId="0"/>
    <xf numFmtId="0" fontId="167" fillId="0" borderId="0"/>
    <xf numFmtId="0" fontId="161" fillId="0" borderId="0"/>
    <xf numFmtId="0" fontId="167" fillId="0" borderId="0"/>
    <xf numFmtId="0" fontId="161" fillId="0" borderId="0"/>
    <xf numFmtId="0" fontId="161" fillId="0" borderId="0"/>
    <xf numFmtId="0" fontId="161" fillId="0" borderId="0"/>
    <xf numFmtId="0" fontId="161" fillId="0" borderId="0"/>
    <xf numFmtId="0" fontId="166" fillId="0" borderId="0"/>
    <xf numFmtId="0" fontId="166"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6"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6" fillId="0" borderId="0"/>
    <xf numFmtId="0" fontId="167" fillId="0" borderId="0"/>
    <xf numFmtId="0" fontId="166" fillId="0" borderId="0"/>
    <xf numFmtId="0" fontId="166" fillId="0" borderId="0"/>
    <xf numFmtId="0" fontId="161" fillId="0" borderId="0"/>
    <xf numFmtId="0" fontId="161" fillId="0" borderId="0"/>
    <xf numFmtId="0" fontId="161" fillId="0" borderId="0"/>
    <xf numFmtId="0" fontId="167" fillId="0" borderId="0"/>
    <xf numFmtId="0" fontId="167" fillId="0" borderId="0"/>
    <xf numFmtId="0" fontId="166" fillId="0" borderId="0"/>
    <xf numFmtId="0" fontId="166" fillId="0" borderId="0"/>
    <xf numFmtId="0" fontId="167" fillId="0" borderId="0"/>
    <xf numFmtId="0" fontId="167" fillId="0" borderId="0"/>
    <xf numFmtId="0" fontId="167" fillId="0" borderId="0"/>
    <xf numFmtId="0" fontId="167" fillId="0" borderId="0"/>
    <xf numFmtId="0" fontId="161" fillId="0" borderId="0"/>
    <xf numFmtId="0" fontId="166" fillId="0" borderId="0"/>
    <xf numFmtId="0" fontId="166" fillId="0" borderId="0"/>
    <xf numFmtId="0" fontId="167" fillId="0" borderId="0"/>
    <xf numFmtId="0" fontId="167" fillId="0" borderId="0"/>
    <xf numFmtId="0" fontId="166" fillId="0" borderId="0"/>
    <xf numFmtId="0" fontId="166" fillId="0" borderId="0"/>
    <xf numFmtId="0" fontId="167" fillId="0" borderId="0"/>
    <xf numFmtId="0" fontId="166" fillId="0" borderId="0"/>
    <xf numFmtId="0" fontId="166" fillId="0" borderId="0"/>
    <xf numFmtId="0" fontId="167" fillId="0" borderId="0"/>
    <xf numFmtId="0" fontId="166" fillId="0" borderId="0"/>
    <xf numFmtId="0" fontId="161" fillId="0" borderId="0"/>
    <xf numFmtId="0" fontId="161" fillId="0" borderId="0"/>
    <xf numFmtId="0" fontId="161" fillId="0" borderId="0"/>
    <xf numFmtId="0" fontId="167" fillId="0" borderId="0"/>
    <xf numFmtId="0" fontId="161" fillId="0" borderId="0"/>
    <xf numFmtId="0" fontId="167" fillId="0" borderId="0"/>
    <xf numFmtId="0" fontId="166" fillId="0" borderId="0"/>
    <xf numFmtId="0" fontId="167" fillId="0" borderId="0"/>
    <xf numFmtId="0" fontId="166" fillId="0" borderId="0"/>
    <xf numFmtId="0" fontId="166" fillId="0" borderId="0"/>
    <xf numFmtId="0" fontId="161" fillId="0" borderId="0"/>
    <xf numFmtId="0" fontId="161" fillId="0" borderId="0"/>
    <xf numFmtId="0" fontId="161" fillId="0" borderId="0"/>
    <xf numFmtId="0" fontId="167" fillId="0" borderId="0"/>
    <xf numFmtId="0" fontId="161" fillId="0" borderId="0"/>
    <xf numFmtId="0" fontId="161" fillId="0" borderId="0"/>
    <xf numFmtId="0" fontId="161" fillId="0" borderId="0"/>
    <xf numFmtId="0" fontId="167" fillId="0" borderId="0"/>
    <xf numFmtId="0" fontId="167" fillId="0" borderId="0"/>
    <xf numFmtId="0" fontId="166" fillId="0" borderId="0"/>
    <xf numFmtId="0" fontId="167"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7"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6"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6" fillId="0" borderId="0"/>
    <xf numFmtId="0" fontId="167"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6" fillId="0" borderId="0"/>
    <xf numFmtId="0" fontId="166" fillId="0" borderId="0"/>
    <xf numFmtId="0" fontId="161" fillId="0" borderId="0"/>
    <xf numFmtId="0" fontId="161" fillId="0" borderId="0"/>
    <xf numFmtId="0" fontId="161" fillId="0" borderId="0"/>
    <xf numFmtId="0" fontId="166" fillId="0" borderId="0"/>
    <xf numFmtId="0" fontId="166" fillId="0" borderId="0"/>
    <xf numFmtId="0" fontId="166"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6" fillId="0" borderId="0"/>
    <xf numFmtId="0" fontId="161" fillId="0" borderId="0"/>
    <xf numFmtId="0" fontId="166" fillId="0" borderId="0"/>
    <xf numFmtId="0" fontId="166" fillId="0" borderId="0"/>
    <xf numFmtId="0" fontId="166" fillId="0" borderId="0"/>
    <xf numFmtId="0" fontId="169" fillId="0" borderId="0"/>
    <xf numFmtId="0" fontId="166" fillId="0" borderId="0"/>
    <xf numFmtId="0" fontId="166" fillId="0" borderId="0"/>
    <xf numFmtId="0" fontId="167" fillId="0" borderId="0"/>
    <xf numFmtId="0" fontId="161" fillId="0" borderId="0"/>
    <xf numFmtId="0" fontId="161" fillId="0" borderId="0"/>
    <xf numFmtId="0" fontId="167"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6" fillId="0" borderId="0"/>
    <xf numFmtId="0" fontId="166" fillId="0" borderId="0"/>
    <xf numFmtId="0" fontId="166" fillId="0" borderId="0"/>
    <xf numFmtId="0" fontId="166" fillId="0" borderId="0"/>
    <xf numFmtId="0" fontId="161" fillId="0" borderId="0"/>
    <xf numFmtId="0" fontId="166"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7" fillId="0" borderId="0"/>
    <xf numFmtId="0" fontId="167" fillId="0" borderId="0"/>
    <xf numFmtId="0" fontId="161" fillId="0" borderId="0"/>
    <xf numFmtId="0" fontId="166" fillId="0" borderId="0"/>
    <xf numFmtId="0" fontId="166" fillId="0" borderId="0"/>
    <xf numFmtId="0" fontId="161" fillId="0" borderId="0"/>
    <xf numFmtId="0" fontId="167" fillId="0" borderId="0"/>
    <xf numFmtId="0" fontId="166" fillId="0" borderId="0"/>
    <xf numFmtId="0" fontId="166" fillId="0" borderId="0"/>
    <xf numFmtId="0" fontId="166" fillId="0" borderId="0"/>
    <xf numFmtId="0" fontId="161" fillId="0" borderId="0"/>
    <xf numFmtId="0" fontId="161" fillId="0" borderId="0"/>
    <xf numFmtId="0" fontId="161" fillId="0" borderId="0"/>
    <xf numFmtId="0" fontId="161" fillId="0" borderId="0"/>
    <xf numFmtId="0" fontId="161" fillId="0" borderId="0"/>
    <xf numFmtId="0" fontId="166" fillId="0" borderId="0"/>
    <xf numFmtId="0" fontId="166" fillId="0" borderId="0"/>
    <xf numFmtId="0" fontId="166" fillId="0" borderId="0"/>
    <xf numFmtId="0" fontId="166" fillId="0" borderId="0"/>
    <xf numFmtId="0" fontId="166"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6" fillId="0" borderId="0"/>
    <xf numFmtId="0" fontId="167"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7" fillId="0" borderId="0"/>
    <xf numFmtId="0" fontId="167"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6" fillId="0" borderId="0"/>
    <xf numFmtId="0" fontId="166" fillId="0" borderId="0"/>
    <xf numFmtId="0" fontId="167" fillId="0" borderId="0"/>
    <xf numFmtId="0" fontId="167" fillId="0" borderId="0"/>
    <xf numFmtId="0" fontId="167" fillId="0" borderId="0"/>
    <xf numFmtId="0" fontId="167" fillId="0" borderId="0"/>
    <xf numFmtId="0" fontId="161" fillId="0" borderId="0"/>
    <xf numFmtId="0" fontId="166" fillId="0" borderId="0"/>
    <xf numFmtId="0" fontId="166" fillId="0" borderId="0"/>
    <xf numFmtId="0" fontId="166" fillId="0" borderId="0"/>
    <xf numFmtId="0" fontId="167" fillId="0" borderId="0"/>
    <xf numFmtId="0" fontId="167" fillId="0" borderId="0"/>
    <xf numFmtId="0" fontId="161" fillId="0" borderId="0"/>
    <xf numFmtId="0" fontId="161" fillId="0" borderId="0"/>
    <xf numFmtId="0" fontId="161" fillId="0" borderId="0"/>
    <xf numFmtId="0" fontId="161" fillId="0" borderId="0"/>
    <xf numFmtId="0" fontId="161" fillId="0" borderId="0"/>
    <xf numFmtId="174" fontId="170" fillId="0" borderId="0">
      <protection locked="0"/>
    </xf>
    <xf numFmtId="174" fontId="170" fillId="0" borderId="0">
      <protection locked="0"/>
    </xf>
    <xf numFmtId="174" fontId="170" fillId="0" borderId="0">
      <protection locked="0"/>
    </xf>
    <xf numFmtId="174" fontId="170" fillId="0" borderId="0">
      <protection locked="0"/>
    </xf>
    <xf numFmtId="174" fontId="170" fillId="0" borderId="0">
      <protection locked="0"/>
    </xf>
    <xf numFmtId="174" fontId="170" fillId="0" borderId="0">
      <protection locked="0"/>
    </xf>
    <xf numFmtId="174" fontId="170" fillId="0" borderId="0">
      <protection locked="0"/>
    </xf>
    <xf numFmtId="174" fontId="170" fillId="0" borderId="0">
      <protection locked="0"/>
    </xf>
    <xf numFmtId="174" fontId="170" fillId="0" borderId="0">
      <protection locked="0"/>
    </xf>
    <xf numFmtId="0" fontId="171" fillId="0" borderId="0">
      <protection locked="0"/>
    </xf>
    <xf numFmtId="0" fontId="171" fillId="0" borderId="0">
      <protection locked="0"/>
    </xf>
    <xf numFmtId="0" fontId="171" fillId="0" borderId="0">
      <protection locked="0"/>
    </xf>
    <xf numFmtId="0" fontId="171" fillId="0" borderId="0">
      <protection locked="0"/>
    </xf>
    <xf numFmtId="0" fontId="171" fillId="0" borderId="0">
      <protection locked="0"/>
    </xf>
    <xf numFmtId="0" fontId="171" fillId="0" borderId="0">
      <protection locked="0"/>
    </xf>
    <xf numFmtId="0" fontId="170" fillId="0" borderId="214">
      <protection locked="0"/>
    </xf>
    <xf numFmtId="0" fontId="170" fillId="0" borderId="214">
      <protection locked="0"/>
    </xf>
    <xf numFmtId="0" fontId="170" fillId="0" borderId="214">
      <protection locked="0"/>
    </xf>
    <xf numFmtId="0" fontId="163" fillId="0" borderId="0"/>
    <xf numFmtId="176" fontId="172" fillId="0" borderId="0" applyFont="0" applyFill="0" applyBorder="0" applyAlignment="0" applyProtection="0"/>
    <xf numFmtId="0" fontId="173" fillId="76" borderId="0" applyNumberFormat="0" applyBorder="0" applyAlignment="0" applyProtection="0"/>
    <xf numFmtId="0" fontId="173" fillId="77" borderId="0" applyNumberFormat="0" applyBorder="0" applyAlignment="0" applyProtection="0"/>
    <xf numFmtId="0" fontId="173" fillId="78" borderId="0" applyNumberFormat="0" applyBorder="0" applyAlignment="0" applyProtection="0"/>
    <xf numFmtId="0" fontId="173" fillId="79" borderId="0" applyNumberFormat="0" applyBorder="0" applyAlignment="0" applyProtection="0"/>
    <xf numFmtId="0" fontId="173" fillId="80" borderId="0" applyNumberFormat="0" applyBorder="0" applyAlignment="0" applyProtection="0"/>
    <xf numFmtId="0" fontId="173" fillId="81" borderId="0" applyNumberFormat="0" applyBorder="0" applyAlignment="0" applyProtection="0"/>
    <xf numFmtId="0" fontId="1" fillId="76" borderId="0" applyNumberFormat="0" applyBorder="0" applyAlignment="0" applyProtection="0"/>
    <xf numFmtId="0" fontId="1" fillId="77" borderId="0" applyNumberFormat="0" applyBorder="0" applyAlignment="0" applyProtection="0"/>
    <xf numFmtId="0" fontId="1" fillId="78" borderId="0" applyNumberFormat="0" applyBorder="0" applyAlignment="0" applyProtection="0"/>
    <xf numFmtId="0" fontId="1" fillId="79" borderId="0" applyNumberFormat="0" applyBorder="0" applyAlignment="0" applyProtection="0"/>
    <xf numFmtId="0" fontId="1" fillId="71" borderId="0" applyNumberFormat="0" applyBorder="0" applyAlignment="0" applyProtection="0"/>
    <xf numFmtId="0" fontId="1" fillId="74" borderId="0" applyNumberFormat="0" applyBorder="0" applyAlignment="0" applyProtection="0"/>
    <xf numFmtId="0" fontId="173" fillId="82" borderId="0" applyNumberFormat="0" applyBorder="0" applyAlignment="0" applyProtection="0"/>
    <xf numFmtId="0" fontId="173" fillId="83" borderId="0" applyNumberFormat="0" applyBorder="0" applyAlignment="0" applyProtection="0"/>
    <xf numFmtId="0" fontId="173" fillId="84" borderId="0" applyNumberFormat="0" applyBorder="0" applyAlignment="0" applyProtection="0"/>
    <xf numFmtId="0" fontId="173" fillId="79" borderId="0" applyNumberFormat="0" applyBorder="0" applyAlignment="0" applyProtection="0"/>
    <xf numFmtId="0" fontId="173" fillId="82" borderId="0" applyNumberFormat="0" applyBorder="0" applyAlignment="0" applyProtection="0"/>
    <xf numFmtId="0" fontId="173" fillId="85" borderId="0" applyNumberFormat="0" applyBorder="0" applyAlignment="0" applyProtection="0"/>
    <xf numFmtId="0" fontId="1" fillId="63" borderId="0" applyNumberFormat="0" applyBorder="0" applyAlignment="0" applyProtection="0"/>
    <xf numFmtId="0" fontId="1" fillId="66" borderId="0" applyNumberFormat="0" applyBorder="0" applyAlignment="0" applyProtection="0"/>
    <xf numFmtId="0" fontId="1" fillId="84" borderId="0" applyNumberFormat="0" applyBorder="0" applyAlignment="0" applyProtection="0"/>
    <xf numFmtId="0" fontId="1" fillId="69" borderId="0" applyNumberFormat="0" applyBorder="0" applyAlignment="0" applyProtection="0"/>
    <xf numFmtId="0" fontId="1" fillId="72" borderId="0" applyNumberFormat="0" applyBorder="0" applyAlignment="0" applyProtection="0"/>
    <xf numFmtId="0" fontId="1" fillId="75" borderId="0" applyNumberFormat="0" applyBorder="0" applyAlignment="0" applyProtection="0"/>
    <xf numFmtId="0" fontId="174" fillId="86" borderId="0" applyNumberFormat="0" applyBorder="0" applyAlignment="0" applyProtection="0"/>
    <xf numFmtId="0" fontId="174" fillId="83" borderId="0" applyNumberFormat="0" applyBorder="0" applyAlignment="0" applyProtection="0"/>
    <xf numFmtId="0" fontId="174" fillId="84" borderId="0" applyNumberFormat="0" applyBorder="0" applyAlignment="0" applyProtection="0"/>
    <xf numFmtId="0" fontId="174" fillId="87" borderId="0" applyNumberFormat="0" applyBorder="0" applyAlignment="0" applyProtection="0"/>
    <xf numFmtId="0" fontId="174" fillId="88" borderId="0" applyNumberFormat="0" applyBorder="0" applyAlignment="0" applyProtection="0"/>
    <xf numFmtId="0" fontId="174" fillId="89" borderId="0" applyNumberFormat="0" applyBorder="0" applyAlignment="0" applyProtection="0"/>
    <xf numFmtId="0" fontId="21" fillId="64" borderId="0" applyNumberFormat="0" applyBorder="0" applyAlignment="0" applyProtection="0"/>
    <xf numFmtId="0" fontId="21" fillId="67" borderId="0" applyNumberFormat="0" applyBorder="0" applyAlignment="0" applyProtection="0"/>
    <xf numFmtId="0" fontId="21" fillId="84" borderId="0" applyNumberFormat="0" applyBorder="0" applyAlignment="0" applyProtection="0"/>
    <xf numFmtId="0" fontId="21" fillId="87" borderId="0" applyNumberFormat="0" applyBorder="0" applyAlignment="0" applyProtection="0"/>
    <xf numFmtId="0" fontId="21" fillId="73" borderId="0" applyNumberFormat="0" applyBorder="0" applyAlignment="0" applyProtection="0"/>
    <xf numFmtId="0" fontId="21" fillId="89" borderId="0" applyNumberFormat="0" applyBorder="0" applyAlignment="0" applyProtection="0"/>
    <xf numFmtId="0" fontId="174" fillId="90" borderId="0" applyNumberFormat="0" applyBorder="0" applyAlignment="0" applyProtection="0"/>
    <xf numFmtId="0" fontId="174" fillId="91" borderId="0" applyNumberFormat="0" applyBorder="0" applyAlignment="0" applyProtection="0"/>
    <xf numFmtId="0" fontId="174" fillId="92" borderId="0" applyNumberFormat="0" applyBorder="0" applyAlignment="0" applyProtection="0"/>
    <xf numFmtId="0" fontId="174" fillId="87" borderId="0" applyNumberFormat="0" applyBorder="0" applyAlignment="0" applyProtection="0"/>
    <xf numFmtId="0" fontId="174" fillId="88" borderId="0" applyNumberFormat="0" applyBorder="0" applyAlignment="0" applyProtection="0"/>
    <xf numFmtId="0" fontId="174" fillId="93" borderId="0" applyNumberFormat="0" applyBorder="0" applyAlignment="0" applyProtection="0"/>
    <xf numFmtId="0" fontId="175" fillId="0" borderId="215">
      <alignment horizontal="center" vertical="center"/>
    </xf>
    <xf numFmtId="0" fontId="176" fillId="77" borderId="0" applyNumberFormat="0" applyBorder="0" applyAlignment="0" applyProtection="0"/>
    <xf numFmtId="49" fontId="177" fillId="0" borderId="0" applyFill="0" applyBorder="0">
      <alignment horizontal="left"/>
    </xf>
    <xf numFmtId="177" fontId="178" fillId="0" borderId="0" applyFill="0" applyBorder="0">
      <alignment horizontal="left"/>
    </xf>
    <xf numFmtId="49" fontId="179" fillId="0" borderId="0" applyFill="0" applyBorder="0">
      <alignment horizontal="left"/>
    </xf>
    <xf numFmtId="2" fontId="180" fillId="0" borderId="0" applyFill="0" applyBorder="0">
      <alignment horizontal="left"/>
    </xf>
    <xf numFmtId="0" fontId="181" fillId="0" borderId="0" applyFill="0" applyBorder="0" applyAlignment="0"/>
    <xf numFmtId="178" fontId="167" fillId="0" borderId="0" applyFill="0" applyBorder="0" applyAlignment="0"/>
    <xf numFmtId="179" fontId="161" fillId="0" borderId="0" applyFill="0" applyBorder="0" applyAlignment="0"/>
    <xf numFmtId="179" fontId="161" fillId="0" borderId="0" applyFill="0" applyBorder="0" applyAlignment="0"/>
    <xf numFmtId="179" fontId="161" fillId="0" borderId="0" applyFill="0" applyBorder="0" applyAlignment="0"/>
    <xf numFmtId="180" fontId="182" fillId="0" borderId="0" applyFill="0" applyBorder="0" applyAlignment="0"/>
    <xf numFmtId="181" fontId="182" fillId="0" borderId="0" applyFill="0" applyBorder="0" applyAlignment="0"/>
    <xf numFmtId="182" fontId="167" fillId="0" borderId="0" applyFill="0" applyBorder="0" applyAlignment="0"/>
    <xf numFmtId="183" fontId="167" fillId="0" borderId="0" applyFill="0" applyBorder="0" applyAlignment="0"/>
    <xf numFmtId="178" fontId="167" fillId="0" borderId="0" applyFill="0" applyBorder="0" applyAlignment="0"/>
    <xf numFmtId="0" fontId="183" fillId="94" borderId="216" applyNumberFormat="0" applyAlignment="0" applyProtection="0"/>
    <xf numFmtId="38" fontId="178" fillId="0" borderId="0">
      <alignment horizontal="left"/>
    </xf>
    <xf numFmtId="177" fontId="184" fillId="0" borderId="0"/>
    <xf numFmtId="164" fontId="169" fillId="95" borderId="212">
      <alignment vertical="center"/>
    </xf>
    <xf numFmtId="0" fontId="185" fillId="96" borderId="217" applyNumberFormat="0" applyAlignment="0" applyProtection="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86" fillId="0" borderId="0" applyFont="0" applyFill="0" applyBorder="0" applyAlignment="0" applyProtection="0"/>
    <xf numFmtId="182" fontId="167" fillId="0" borderId="0" applyFont="0" applyFill="0" applyBorder="0" applyAlignment="0" applyProtection="0"/>
    <xf numFmtId="184" fontId="187" fillId="0" borderId="0" applyFont="0" applyFill="0" applyBorder="0" applyAlignment="0" applyProtection="0"/>
    <xf numFmtId="185" fontId="188" fillId="97" borderId="0" applyBorder="0"/>
    <xf numFmtId="164" fontId="188" fillId="97" borderId="42" applyBorder="0"/>
    <xf numFmtId="186" fontId="188" fillId="97" borderId="42" applyBorder="0"/>
    <xf numFmtId="9" fontId="188" fillId="97" borderId="83" applyBorder="0"/>
    <xf numFmtId="187" fontId="188" fillId="97" borderId="0" applyBorder="0"/>
    <xf numFmtId="165" fontId="188" fillId="97" borderId="218" applyBorder="0"/>
    <xf numFmtId="188" fontId="189" fillId="0" borderId="0" applyFill="0" applyBorder="0" applyProtection="0"/>
    <xf numFmtId="188" fontId="189" fillId="0" borderId="84" applyFill="0" applyProtection="0"/>
    <xf numFmtId="188" fontId="189" fillId="0" borderId="214" applyFill="0" applyProtection="0"/>
    <xf numFmtId="189" fontId="190" fillId="0" borderId="0" applyFont="0" applyFill="0" applyBorder="0" applyAlignment="0" applyProtection="0"/>
    <xf numFmtId="189" fontId="190" fillId="0" borderId="0" applyFont="0" applyFill="0" applyBorder="0" applyAlignment="0" applyProtection="0"/>
    <xf numFmtId="178" fontId="167" fillId="0" borderId="0" applyFont="0" applyFill="0" applyBorder="0" applyAlignment="0" applyProtection="0"/>
    <xf numFmtId="190" fontId="191" fillId="0" borderId="0" applyFont="0" applyFill="0" applyBorder="0" applyAlignment="0" applyProtection="0"/>
    <xf numFmtId="177" fontId="177" fillId="97" borderId="32" applyNumberFormat="0" applyBorder="0" applyProtection="0">
      <alignment horizontal="right"/>
    </xf>
    <xf numFmtId="191" fontId="161" fillId="98" borderId="0" applyFont="0" applyFill="0" applyBorder="0" applyAlignment="0" applyProtection="0"/>
    <xf numFmtId="191" fontId="161" fillId="98" borderId="0" applyFont="0" applyFill="0" applyBorder="0" applyAlignment="0" applyProtection="0"/>
    <xf numFmtId="14" fontId="181" fillId="0" borderId="0" applyFill="0" applyBorder="0" applyAlignment="0"/>
    <xf numFmtId="192" fontId="161" fillId="98" borderId="0" applyFont="0" applyFill="0" applyBorder="0" applyAlignment="0" applyProtection="0"/>
    <xf numFmtId="192" fontId="161" fillId="98" borderId="0" applyFont="0" applyFill="0" applyBorder="0" applyAlignment="0" applyProtection="0"/>
    <xf numFmtId="193" fontId="189" fillId="0" borderId="0" applyFill="0" applyBorder="0" applyProtection="0"/>
    <xf numFmtId="193" fontId="189" fillId="0" borderId="84" applyFill="0" applyProtection="0"/>
    <xf numFmtId="193" fontId="189" fillId="0" borderId="214" applyFill="0" applyProtection="0"/>
    <xf numFmtId="193" fontId="163" fillId="0" borderId="0" applyFill="0" applyBorder="0" applyProtection="0"/>
    <xf numFmtId="38" fontId="190" fillId="0" borderId="219">
      <alignment vertical="center"/>
    </xf>
    <xf numFmtId="38" fontId="190" fillId="0" borderId="219">
      <alignment vertical="center"/>
    </xf>
    <xf numFmtId="38" fontId="190" fillId="0" borderId="219">
      <alignment vertical="center"/>
    </xf>
    <xf numFmtId="164" fontId="161" fillId="0" borderId="0" applyFont="0" applyFill="0" applyBorder="0" applyAlignment="0" applyProtection="0"/>
    <xf numFmtId="165" fontId="161" fillId="0" borderId="0" applyFont="0" applyFill="0" applyBorder="0" applyAlignment="0" applyProtection="0"/>
    <xf numFmtId="194" fontId="192" fillId="0" borderId="42" applyFont="0" applyBorder="0"/>
    <xf numFmtId="0" fontId="193" fillId="0" borderId="0" applyNumberFormat="0" applyFill="0" applyBorder="0" applyAlignment="0" applyProtection="0"/>
    <xf numFmtId="182" fontId="167" fillId="0" borderId="0" applyFill="0" applyBorder="0" applyAlignment="0"/>
    <xf numFmtId="178" fontId="167" fillId="0" borderId="0" applyFill="0" applyBorder="0" applyAlignment="0"/>
    <xf numFmtId="182" fontId="167" fillId="0" borderId="0" applyFill="0" applyBorder="0" applyAlignment="0"/>
    <xf numFmtId="183" fontId="167" fillId="0" borderId="0" applyFill="0" applyBorder="0" applyAlignment="0"/>
    <xf numFmtId="178" fontId="167" fillId="0" borderId="0" applyFill="0" applyBorder="0" applyAlignment="0"/>
    <xf numFmtId="195" fontId="161" fillId="0" borderId="0" applyFont="0" applyFill="0" applyBorder="0" applyAlignment="0" applyProtection="0"/>
    <xf numFmtId="195" fontId="161" fillId="0" borderId="0" applyFont="0" applyFill="0" applyBorder="0" applyAlignment="0" applyProtection="0"/>
    <xf numFmtId="37" fontId="161" fillId="0" borderId="0"/>
    <xf numFmtId="0" fontId="194" fillId="0" borderId="0" applyNumberFormat="0" applyFill="0" applyBorder="0" applyAlignment="0" applyProtection="0"/>
    <xf numFmtId="0" fontId="170" fillId="0" borderId="0">
      <protection locked="0"/>
    </xf>
    <xf numFmtId="0" fontId="170" fillId="0" borderId="0">
      <protection locked="0"/>
    </xf>
    <xf numFmtId="0" fontId="170" fillId="0" borderId="0">
      <protection locked="0"/>
    </xf>
    <xf numFmtId="0" fontId="170" fillId="0" borderId="0">
      <protection locked="0"/>
    </xf>
    <xf numFmtId="0" fontId="170" fillId="0" borderId="0">
      <protection locked="0"/>
    </xf>
    <xf numFmtId="0" fontId="170" fillId="0" borderId="0">
      <protection locked="0"/>
    </xf>
    <xf numFmtId="0" fontId="195" fillId="0" borderId="0">
      <protection locked="0"/>
    </xf>
    <xf numFmtId="0" fontId="195" fillId="0" borderId="0">
      <protection locked="0"/>
    </xf>
    <xf numFmtId="0" fontId="195" fillId="0" borderId="0">
      <protection locked="0"/>
    </xf>
    <xf numFmtId="0" fontId="170" fillId="0" borderId="0">
      <protection locked="0"/>
    </xf>
    <xf numFmtId="0" fontId="170" fillId="0" borderId="0">
      <protection locked="0"/>
    </xf>
    <xf numFmtId="0" fontId="170" fillId="0" borderId="0">
      <protection locked="0"/>
    </xf>
    <xf numFmtId="0" fontId="170" fillId="0" borderId="0">
      <protection locked="0"/>
    </xf>
    <xf numFmtId="0" fontId="170" fillId="0" borderId="0">
      <protection locked="0"/>
    </xf>
    <xf numFmtId="0" fontId="170" fillId="0" borderId="0">
      <protection locked="0"/>
    </xf>
    <xf numFmtId="0" fontId="170" fillId="0" borderId="0">
      <protection locked="0"/>
    </xf>
    <xf numFmtId="0" fontId="170" fillId="0" borderId="0">
      <protection locked="0"/>
    </xf>
    <xf numFmtId="0" fontId="170" fillId="0" borderId="0">
      <protection locked="0"/>
    </xf>
    <xf numFmtId="0" fontId="195" fillId="0" borderId="0">
      <protection locked="0"/>
    </xf>
    <xf numFmtId="0" fontId="195" fillId="0" borderId="0">
      <protection locked="0"/>
    </xf>
    <xf numFmtId="0" fontId="195" fillId="0" borderId="0">
      <protection locked="0"/>
    </xf>
    <xf numFmtId="0" fontId="161" fillId="0" borderId="0"/>
    <xf numFmtId="164" fontId="196" fillId="0" borderId="0" applyFill="0" applyBorder="0">
      <alignment horizontal="left"/>
    </xf>
    <xf numFmtId="10" fontId="197" fillId="99" borderId="1" applyNumberFormat="0" applyFill="0" applyBorder="0" applyAlignment="0" applyProtection="0">
      <protection locked="0"/>
    </xf>
    <xf numFmtId="49" fontId="198" fillId="0" borderId="0">
      <alignment horizontal="left"/>
    </xf>
    <xf numFmtId="165" fontId="180" fillId="0" borderId="0" applyFill="0" applyBorder="0"/>
    <xf numFmtId="164" fontId="180" fillId="0" borderId="83" applyFill="0" applyBorder="0"/>
    <xf numFmtId="185" fontId="180" fillId="0" borderId="0" applyFill="0" applyBorder="0"/>
    <xf numFmtId="0" fontId="199" fillId="78" borderId="0" applyNumberFormat="0" applyBorder="0" applyAlignment="0" applyProtection="0"/>
    <xf numFmtId="38" fontId="200" fillId="100" borderId="0" applyNumberFormat="0" applyBorder="0" applyAlignment="0" applyProtection="0"/>
    <xf numFmtId="0" fontId="201" fillId="0" borderId="111" applyNumberFormat="0" applyAlignment="0" applyProtection="0">
      <alignment horizontal="left" vertical="center"/>
    </xf>
    <xf numFmtId="0" fontId="201" fillId="0" borderId="2">
      <alignment horizontal="left" vertical="center"/>
    </xf>
    <xf numFmtId="14" fontId="202" fillId="101" borderId="80">
      <alignment horizontal="center" vertical="center" wrapText="1"/>
    </xf>
    <xf numFmtId="0" fontId="203" fillId="0" borderId="220" applyNumberFormat="0" applyFill="0" applyAlignment="0" applyProtection="0"/>
    <xf numFmtId="0" fontId="204" fillId="0" borderId="221" applyNumberFormat="0" applyFill="0" applyAlignment="0" applyProtection="0"/>
    <xf numFmtId="0" fontId="205" fillId="0" borderId="222" applyNumberFormat="0" applyFill="0" applyAlignment="0" applyProtection="0"/>
    <xf numFmtId="0" fontId="205" fillId="0" borderId="0" applyNumberFormat="0" applyFill="0" applyBorder="0" applyAlignment="0" applyProtection="0"/>
    <xf numFmtId="0" fontId="206" fillId="0" borderId="0"/>
    <xf numFmtId="0" fontId="207" fillId="0" borderId="0"/>
    <xf numFmtId="0" fontId="208" fillId="0" borderId="0"/>
    <xf numFmtId="0" fontId="209" fillId="0" borderId="0"/>
    <xf numFmtId="0" fontId="162" fillId="0" borderId="0"/>
    <xf numFmtId="0" fontId="210" fillId="0" borderId="0"/>
    <xf numFmtId="0" fontId="211" fillId="0" borderId="0" applyNumberFormat="0" applyFill="0" applyBorder="0" applyAlignment="0" applyProtection="0">
      <alignment vertical="top"/>
      <protection locked="0"/>
    </xf>
    <xf numFmtId="0" fontId="212" fillId="0" borderId="0" applyNumberFormat="0" applyFill="0" applyBorder="0" applyAlignment="0" applyProtection="0">
      <alignment vertical="top"/>
      <protection locked="0"/>
    </xf>
    <xf numFmtId="0" fontId="161" fillId="0" borderId="0">
      <alignment horizontal="center"/>
    </xf>
    <xf numFmtId="0" fontId="213" fillId="0" borderId="0" applyNumberFormat="0" applyFill="0" applyBorder="0" applyAlignment="0" applyProtection="0">
      <alignment vertical="top"/>
      <protection locked="0"/>
    </xf>
    <xf numFmtId="0" fontId="161" fillId="0" borderId="0"/>
    <xf numFmtId="0" fontId="191" fillId="0" borderId="0"/>
    <xf numFmtId="0" fontId="191" fillId="0" borderId="0"/>
    <xf numFmtId="0" fontId="191" fillId="0" borderId="0"/>
    <xf numFmtId="196" fontId="161" fillId="97" borderId="1" applyNumberFormat="0" applyFont="0" applyAlignment="0">
      <protection locked="0"/>
    </xf>
    <xf numFmtId="10" fontId="200" fillId="102" borderId="1" applyNumberFormat="0" applyBorder="0" applyAlignment="0" applyProtection="0"/>
    <xf numFmtId="196" fontId="161" fillId="97" borderId="1" applyNumberFormat="0" applyFont="0" applyAlignment="0">
      <protection locked="0"/>
    </xf>
    <xf numFmtId="196" fontId="161" fillId="97" borderId="1" applyNumberFormat="0" applyFont="0" applyAlignment="0">
      <protection locked="0"/>
    </xf>
    <xf numFmtId="197" fontId="214" fillId="0" borderId="0" applyFont="0" applyFill="0" applyBorder="0" applyAlignment="0" applyProtection="0"/>
    <xf numFmtId="198" fontId="215" fillId="0" borderId="0" applyFont="0" applyFill="0" applyBorder="0" applyAlignment="0" applyProtection="0"/>
    <xf numFmtId="182" fontId="167" fillId="0" borderId="0" applyFill="0" applyBorder="0" applyAlignment="0"/>
    <xf numFmtId="178" fontId="167" fillId="0" borderId="0" applyFill="0" applyBorder="0" applyAlignment="0"/>
    <xf numFmtId="182" fontId="167" fillId="0" borderId="0" applyFill="0" applyBorder="0" applyAlignment="0"/>
    <xf numFmtId="183" fontId="167" fillId="0" borderId="0" applyFill="0" applyBorder="0" applyAlignment="0"/>
    <xf numFmtId="178" fontId="167" fillId="0" borderId="0" applyFill="0" applyBorder="0" applyAlignment="0"/>
    <xf numFmtId="0" fontId="216" fillId="0" borderId="223" applyNumberFormat="0" applyFill="0" applyAlignment="0" applyProtection="0"/>
    <xf numFmtId="0" fontId="161" fillId="0" borderId="0">
      <alignment horizontal="center"/>
    </xf>
    <xf numFmtId="177" fontId="217" fillId="0" borderId="224" applyFill="0" applyBorder="0">
      <alignment horizontal="left"/>
    </xf>
    <xf numFmtId="0" fontId="218" fillId="0" borderId="80"/>
    <xf numFmtId="185" fontId="186" fillId="0" borderId="0" applyFont="0" applyFill="0" applyBorder="0" applyAlignment="0" applyProtection="0"/>
    <xf numFmtId="187" fontId="186" fillId="0" borderId="0" applyFont="0" applyFill="0" applyBorder="0" applyAlignment="0" applyProtection="0"/>
    <xf numFmtId="0" fontId="219" fillId="103" borderId="0" applyNumberFormat="0" applyBorder="0" applyAlignment="0" applyProtection="0"/>
    <xf numFmtId="37" fontId="220" fillId="0" borderId="0"/>
    <xf numFmtId="37" fontId="220" fillId="0" borderId="0"/>
    <xf numFmtId="37" fontId="220" fillId="0" borderId="0"/>
    <xf numFmtId="199" fontId="161" fillId="0" borderId="0"/>
    <xf numFmtId="199" fontId="161" fillId="0" borderId="0"/>
    <xf numFmtId="199" fontId="161" fillId="0" borderId="0"/>
    <xf numFmtId="199" fontId="161" fillId="0" borderId="0"/>
    <xf numFmtId="0" fontId="161" fillId="0" borderId="0"/>
    <xf numFmtId="0" fontId="221" fillId="0" borderId="0"/>
    <xf numFmtId="0" fontId="167" fillId="0" borderId="0"/>
    <xf numFmtId="0" fontId="173" fillId="104" borderId="225" applyNumberFormat="0" applyFont="0" applyAlignment="0" applyProtection="0"/>
    <xf numFmtId="200" fontId="161" fillId="98" borderId="0"/>
    <xf numFmtId="200" fontId="161" fillId="98" borderId="0"/>
    <xf numFmtId="200" fontId="161" fillId="98" borderId="0"/>
    <xf numFmtId="201" fontId="86" fillId="0" borderId="0" applyFont="0" applyFill="0" applyBorder="0" applyAlignment="0" applyProtection="0"/>
    <xf numFmtId="186" fontId="180" fillId="0" borderId="0" applyFill="0" applyBorder="0"/>
    <xf numFmtId="0" fontId="186" fillId="0" borderId="0"/>
    <xf numFmtId="0" fontId="222" fillId="0" borderId="0"/>
    <xf numFmtId="202" fontId="186" fillId="0" borderId="0" applyFont="0" applyFill="0" applyBorder="0" applyAlignment="0" applyProtection="0"/>
    <xf numFmtId="203" fontId="186" fillId="0" borderId="0" applyFont="0" applyFill="0" applyBorder="0" applyAlignment="0" applyProtection="0"/>
    <xf numFmtId="0" fontId="223" fillId="94" borderId="226" applyNumberFormat="0" applyAlignment="0" applyProtection="0"/>
    <xf numFmtId="0" fontId="224" fillId="98" borderId="0"/>
    <xf numFmtId="204" fontId="161" fillId="0" borderId="0" applyFont="0" applyFill="0" applyBorder="0" applyAlignment="0" applyProtection="0"/>
    <xf numFmtId="204" fontId="161" fillId="0" borderId="0" applyFont="0" applyFill="0" applyBorder="0" applyAlignment="0" applyProtection="0"/>
    <xf numFmtId="181" fontId="182" fillId="0" borderId="0" applyFont="0" applyFill="0" applyBorder="0" applyAlignment="0" applyProtection="0"/>
    <xf numFmtId="205" fontId="182" fillId="0" borderId="0" applyFont="0" applyFill="0" applyBorder="0" applyAlignment="0" applyProtection="0"/>
    <xf numFmtId="10" fontId="161" fillId="0" borderId="0" applyFont="0" applyFill="0" applyBorder="0" applyAlignment="0" applyProtection="0"/>
    <xf numFmtId="10" fontId="161" fillId="0" borderId="0" applyFont="0" applyFill="0" applyBorder="0" applyAlignment="0" applyProtection="0"/>
    <xf numFmtId="206" fontId="191" fillId="0" borderId="0" applyFont="0" applyFill="0" applyBorder="0" applyAlignment="0" applyProtection="0"/>
    <xf numFmtId="9" fontId="180" fillId="0" borderId="83" applyFill="0" applyBorder="0"/>
    <xf numFmtId="187" fontId="180" fillId="0" borderId="0" applyFill="0" applyBorder="0"/>
    <xf numFmtId="165" fontId="180" fillId="0" borderId="0" applyFill="0" applyBorder="0"/>
    <xf numFmtId="207" fontId="167" fillId="0" borderId="0"/>
    <xf numFmtId="208" fontId="167" fillId="0" borderId="0"/>
    <xf numFmtId="182" fontId="167" fillId="0" borderId="0" applyFill="0" applyBorder="0" applyAlignment="0"/>
    <xf numFmtId="178" fontId="167" fillId="0" borderId="0" applyFill="0" applyBorder="0" applyAlignment="0"/>
    <xf numFmtId="182" fontId="167" fillId="0" borderId="0" applyFill="0" applyBorder="0" applyAlignment="0"/>
    <xf numFmtId="183" fontId="167" fillId="0" borderId="0" applyFill="0" applyBorder="0" applyAlignment="0"/>
    <xf numFmtId="178" fontId="167" fillId="0" borderId="0" applyFill="0" applyBorder="0" applyAlignment="0"/>
    <xf numFmtId="0" fontId="161" fillId="0" borderId="0"/>
    <xf numFmtId="3" fontId="169" fillId="0" borderId="0" applyFont="0" applyFill="0" applyBorder="0" applyAlignment="0"/>
    <xf numFmtId="0" fontId="161" fillId="105" borderId="226" applyNumberFormat="0" applyProtection="0">
      <alignment horizontal="left" vertical="center" indent="1"/>
    </xf>
    <xf numFmtId="0" fontId="161" fillId="105" borderId="226" applyNumberFormat="0" applyProtection="0">
      <alignment horizontal="left" vertical="center" indent="1"/>
    </xf>
    <xf numFmtId="0" fontId="161" fillId="105" borderId="226" applyNumberFormat="0" applyProtection="0">
      <alignment horizontal="left" vertical="center" indent="1"/>
    </xf>
    <xf numFmtId="4" fontId="225" fillId="106" borderId="226" applyNumberFormat="0" applyProtection="0">
      <alignment horizontal="left" vertical="center" indent="1"/>
    </xf>
    <xf numFmtId="4" fontId="225" fillId="106" borderId="226" applyNumberFormat="0" applyProtection="0">
      <alignment horizontal="left" vertical="center" indent="1"/>
    </xf>
    <xf numFmtId="4" fontId="225" fillId="106" borderId="226" applyNumberFormat="0" applyProtection="0">
      <alignment horizontal="left" vertical="center" indent="1"/>
    </xf>
    <xf numFmtId="4" fontId="225" fillId="107" borderId="226" applyNumberFormat="0" applyProtection="0">
      <alignment horizontal="left" vertical="center" indent="1"/>
    </xf>
    <xf numFmtId="4" fontId="225" fillId="107" borderId="226" applyNumberFormat="0" applyProtection="0">
      <alignment horizontal="left" vertical="center" indent="1"/>
    </xf>
    <xf numFmtId="4" fontId="225" fillId="107" borderId="226" applyNumberFormat="0" applyProtection="0">
      <alignment horizontal="left" vertical="center" indent="1"/>
    </xf>
    <xf numFmtId="0" fontId="161" fillId="100" borderId="226" applyNumberFormat="0" applyProtection="0">
      <alignment horizontal="left" vertical="center" indent="1"/>
    </xf>
    <xf numFmtId="0" fontId="161" fillId="100" borderId="226" applyNumberFormat="0" applyProtection="0">
      <alignment horizontal="left" vertical="center" indent="1"/>
    </xf>
    <xf numFmtId="0" fontId="161" fillId="100" borderId="226" applyNumberFormat="0" applyProtection="0">
      <alignment horizontal="left" vertical="center" indent="1"/>
    </xf>
    <xf numFmtId="0" fontId="161" fillId="105" borderId="226" applyNumberFormat="0" applyProtection="0">
      <alignment horizontal="left" vertical="center" indent="1"/>
    </xf>
    <xf numFmtId="0" fontId="161" fillId="105" borderId="226" applyNumberFormat="0" applyProtection="0">
      <alignment horizontal="left" vertical="center" indent="1"/>
    </xf>
    <xf numFmtId="0" fontId="161" fillId="105" borderId="226" applyNumberFormat="0" applyProtection="0">
      <alignment horizontal="left" vertical="center" indent="1"/>
    </xf>
    <xf numFmtId="4" fontId="181" fillId="106" borderId="226" applyNumberFormat="0" applyProtection="0">
      <alignment horizontal="right" vertical="center"/>
    </xf>
    <xf numFmtId="0" fontId="161" fillId="105" borderId="226" applyNumberFormat="0" applyProtection="0">
      <alignment horizontal="left" vertical="center" indent="1"/>
    </xf>
    <xf numFmtId="0" fontId="161" fillId="105" borderId="226" applyNumberFormat="0" applyProtection="0">
      <alignment horizontal="left" vertical="center" indent="1"/>
    </xf>
    <xf numFmtId="0" fontId="161" fillId="105" borderId="226" applyNumberFormat="0" applyProtection="0">
      <alignment horizontal="left" vertical="center" indent="1"/>
    </xf>
    <xf numFmtId="209" fontId="226" fillId="0" borderId="1">
      <alignment horizontal="left" vertical="center"/>
      <protection locked="0"/>
    </xf>
    <xf numFmtId="0" fontId="161" fillId="0" borderId="0"/>
    <xf numFmtId="0" fontId="227" fillId="0" borderId="0"/>
    <xf numFmtId="3" fontId="161" fillId="0" borderId="0"/>
    <xf numFmtId="3" fontId="161" fillId="0" borderId="0"/>
    <xf numFmtId="3" fontId="161" fillId="0" borderId="0"/>
    <xf numFmtId="49" fontId="181" fillId="0" borderId="0" applyFill="0" applyBorder="0" applyAlignment="0"/>
    <xf numFmtId="210" fontId="182" fillId="0" borderId="0" applyFill="0" applyBorder="0" applyAlignment="0"/>
    <xf numFmtId="211" fontId="182" fillId="0" borderId="0" applyFill="0" applyBorder="0" applyAlignment="0"/>
    <xf numFmtId="0" fontId="228" fillId="0" borderId="0" applyFill="0" applyBorder="0" applyProtection="0">
      <alignment horizontal="left" vertical="top"/>
    </xf>
    <xf numFmtId="177" fontId="184" fillId="0" borderId="0" applyNumberFormat="0" applyFill="0" applyBorder="0"/>
    <xf numFmtId="0" fontId="229" fillId="0" borderId="0" applyNumberFormat="0" applyFill="0" applyBorder="0" applyAlignment="0" applyProtection="0"/>
    <xf numFmtId="0" fontId="230" fillId="0" borderId="227" applyNumberFormat="0" applyFill="0" applyAlignment="0" applyProtection="0"/>
    <xf numFmtId="165" fontId="161" fillId="0" borderId="0" applyFont="0" applyFill="0" applyBorder="0" applyAlignment="0" applyProtection="0"/>
    <xf numFmtId="0" fontId="206" fillId="0" borderId="0"/>
    <xf numFmtId="0" fontId="206" fillId="0" borderId="0"/>
    <xf numFmtId="0" fontId="206" fillId="0" borderId="0"/>
    <xf numFmtId="0" fontId="206" fillId="0" borderId="0"/>
    <xf numFmtId="0" fontId="207" fillId="0" borderId="0" applyAlignment="0"/>
    <xf numFmtId="0" fontId="207" fillId="0" borderId="0" applyAlignment="0"/>
    <xf numFmtId="0" fontId="207" fillId="0" borderId="0" applyAlignment="0"/>
    <xf numFmtId="0" fontId="207" fillId="0" borderId="0" applyAlignment="0"/>
    <xf numFmtId="0" fontId="209" fillId="0" borderId="0"/>
    <xf numFmtId="0" fontId="209" fillId="0" borderId="0"/>
    <xf numFmtId="0" fontId="209" fillId="0" borderId="0"/>
    <xf numFmtId="0" fontId="186" fillId="0" borderId="0"/>
    <xf numFmtId="185" fontId="161" fillId="0" borderId="0" applyFont="0" applyFill="0" applyBorder="0" applyAlignment="0" applyProtection="0"/>
    <xf numFmtId="187" fontId="161" fillId="0" borderId="0" applyFont="0" applyFill="0" applyBorder="0" applyAlignment="0" applyProtection="0"/>
    <xf numFmtId="0" fontId="161" fillId="0" borderId="0">
      <alignment horizontal="center" textRotation="90"/>
    </xf>
    <xf numFmtId="185" fontId="161" fillId="0" borderId="0" applyFont="0" applyFill="0" applyBorder="0" applyAlignment="0" applyProtection="0"/>
    <xf numFmtId="187" fontId="161" fillId="0" borderId="0" applyFont="0" applyFill="0" applyBorder="0" applyAlignment="0" applyProtection="0"/>
    <xf numFmtId="0" fontId="231" fillId="0" borderId="0" applyNumberFormat="0" applyFill="0" applyBorder="0" applyAlignment="0" applyProtection="0"/>
    <xf numFmtId="0" fontId="177" fillId="97" borderId="32" applyFill="0" applyBorder="0">
      <alignment horizontal="right"/>
    </xf>
    <xf numFmtId="0" fontId="21" fillId="62" borderId="0" applyNumberFormat="0" applyBorder="0" applyAlignment="0" applyProtection="0"/>
    <xf numFmtId="0" fontId="21" fillId="65" borderId="0" applyNumberFormat="0" applyBorder="0" applyAlignment="0" applyProtection="0"/>
    <xf numFmtId="0" fontId="21" fillId="18" borderId="0" applyNumberFormat="0" applyBorder="0" applyAlignment="0" applyProtection="0"/>
    <xf numFmtId="0" fontId="21" fillId="68" borderId="0" applyNumberFormat="0" applyBorder="0" applyAlignment="0" applyProtection="0"/>
    <xf numFmtId="0" fontId="21" fillId="70" borderId="0" applyNumberFormat="0" applyBorder="0" applyAlignment="0" applyProtection="0"/>
    <xf numFmtId="0" fontId="21" fillId="19" borderId="0" applyNumberFormat="0" applyBorder="0" applyAlignment="0" applyProtection="0"/>
    <xf numFmtId="177" fontId="169" fillId="0" borderId="228">
      <protection locked="0"/>
    </xf>
    <xf numFmtId="0" fontId="155" fillId="58" borderId="206" applyNumberFormat="0" applyAlignment="0" applyProtection="0"/>
    <xf numFmtId="0" fontId="156" fillId="59" borderId="207" applyNumberFormat="0" applyAlignment="0" applyProtection="0"/>
    <xf numFmtId="0" fontId="157" fillId="59" borderId="206" applyNumberFormat="0" applyAlignment="0" applyProtection="0"/>
    <xf numFmtId="0" fontId="232" fillId="0" borderId="0" applyNumberFormat="0" applyFill="0" applyBorder="0" applyAlignment="0" applyProtection="0">
      <alignment vertical="top"/>
      <protection locked="0"/>
    </xf>
    <xf numFmtId="0" fontId="233" fillId="100" borderId="212"/>
    <xf numFmtId="14" fontId="169" fillId="0" borderId="0">
      <alignment horizontal="right"/>
    </xf>
    <xf numFmtId="173" fontId="86" fillId="0" borderId="0" applyFont="0" applyFill="0" applyBorder="0" applyAlignment="0" applyProtection="0"/>
    <xf numFmtId="174" fontId="86" fillId="0" borderId="0" applyFont="0" applyFill="0" applyBorder="0" applyAlignment="0" applyProtection="0"/>
    <xf numFmtId="0" fontId="150" fillId="0" borderId="203" applyNumberFormat="0" applyFill="0" applyAlignment="0" applyProtection="0"/>
    <xf numFmtId="0" fontId="151" fillId="0" borderId="204" applyNumberFormat="0" applyFill="0" applyAlignment="0" applyProtection="0"/>
    <xf numFmtId="0" fontId="152" fillId="0" borderId="205" applyNumberFormat="0" applyFill="0" applyAlignment="0" applyProtection="0"/>
    <xf numFmtId="0" fontId="152" fillId="0" borderId="0" applyNumberFormat="0" applyFill="0" applyBorder="0" applyAlignment="0" applyProtection="0"/>
    <xf numFmtId="177" fontId="234" fillId="101" borderId="228"/>
    <xf numFmtId="0" fontId="161" fillId="0" borderId="1">
      <alignment horizontal="right"/>
    </xf>
    <xf numFmtId="0" fontId="161" fillId="0" borderId="1">
      <alignment horizontal="right"/>
    </xf>
    <xf numFmtId="0" fontId="161" fillId="0" borderId="1">
      <alignment horizontal="right"/>
    </xf>
    <xf numFmtId="0" fontId="133" fillId="0" borderId="211" applyNumberFormat="0" applyFill="0" applyAlignment="0" applyProtection="0"/>
    <xf numFmtId="0" fontId="161"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161" fillId="0" borderId="0"/>
    <xf numFmtId="0" fontId="166" fillId="0" borderId="0"/>
    <xf numFmtId="0" fontId="166" fillId="0" borderId="0"/>
    <xf numFmtId="0" fontId="86" fillId="0" borderId="0"/>
    <xf numFmtId="0" fontId="86" fillId="0" borderId="0"/>
    <xf numFmtId="0" fontId="86" fillId="0" borderId="0"/>
    <xf numFmtId="0" fontId="86" fillId="0" borderId="0"/>
    <xf numFmtId="0" fontId="86" fillId="0" borderId="0"/>
    <xf numFmtId="0" fontId="86" fillId="0" borderId="0"/>
    <xf numFmtId="0" fontId="163" fillId="0" borderId="0"/>
    <xf numFmtId="0" fontId="166" fillId="0" borderId="0"/>
    <xf numFmtId="0" fontId="166" fillId="0" borderId="0"/>
    <xf numFmtId="0" fontId="86" fillId="0" borderId="0"/>
    <xf numFmtId="0" fontId="86" fillId="0" borderId="0"/>
    <xf numFmtId="0" fontId="86" fillId="0" borderId="0"/>
    <xf numFmtId="0" fontId="86" fillId="0" borderId="0"/>
    <xf numFmtId="0" fontId="147" fillId="60" borderId="209" applyNumberFormat="0" applyAlignment="0" applyProtection="0"/>
    <xf numFmtId="3" fontId="86" fillId="0" borderId="0"/>
    <xf numFmtId="0" fontId="161" fillId="0" borderId="1"/>
    <xf numFmtId="0" fontId="35" fillId="17" borderId="0" applyNumberFormat="0" applyBorder="0" applyAlignment="0" applyProtection="0"/>
    <xf numFmtId="0" fontId="86" fillId="0" borderId="0"/>
    <xf numFmtId="0" fontId="86" fillId="0" borderId="0"/>
    <xf numFmtId="0" fontId="161" fillId="0" borderId="0"/>
    <xf numFmtId="0" fontId="164" fillId="0" borderId="0"/>
    <xf numFmtId="0" fontId="164" fillId="0" borderId="0"/>
    <xf numFmtId="0" fontId="86" fillId="0" borderId="0"/>
    <xf numFmtId="0" fontId="86" fillId="0" borderId="0"/>
    <xf numFmtId="0" fontId="161" fillId="0" borderId="0"/>
    <xf numFmtId="0" fontId="161" fillId="0" borderId="0"/>
    <xf numFmtId="0" fontId="1" fillId="0" borderId="0"/>
    <xf numFmtId="0" fontId="1" fillId="0" borderId="0"/>
    <xf numFmtId="0" fontId="161" fillId="0" borderId="0"/>
    <xf numFmtId="0" fontId="235" fillId="0" borderId="0">
      <alignment horizontal="left"/>
    </xf>
    <xf numFmtId="0" fontId="235" fillId="0" borderId="0">
      <alignment horizontal="left"/>
    </xf>
    <xf numFmtId="0" fontId="154" fillId="57" borderId="0" applyNumberFormat="0" applyBorder="0" applyAlignment="0" applyProtection="0"/>
    <xf numFmtId="0" fontId="160" fillId="0" borderId="0" applyNumberFormat="0" applyFill="0" applyBorder="0" applyAlignment="0" applyProtection="0"/>
    <xf numFmtId="0" fontId="164" fillId="61" borderId="210" applyNumberFormat="0" applyFont="0" applyAlignment="0" applyProtection="0"/>
    <xf numFmtId="0" fontId="164" fillId="61" borderId="210" applyNumberFormat="0" applyFont="0" applyAlignment="0" applyProtection="0"/>
    <xf numFmtId="9" fontId="86" fillId="0" borderId="0" applyFont="0" applyFill="0" applyBorder="0" applyAlignment="0" applyProtection="0"/>
    <xf numFmtId="9" fontId="86" fillId="0" borderId="0" applyFont="0" applyFill="0" applyBorder="0" applyAlignment="0" applyProtection="0"/>
    <xf numFmtId="9" fontId="164" fillId="0" borderId="0" applyFont="0" applyFill="0" applyBorder="0" applyAlignment="0" applyProtection="0"/>
    <xf numFmtId="9" fontId="164" fillId="0" borderId="0" applyFont="0" applyFill="0" applyBorder="0" applyAlignment="0" applyProtection="0"/>
    <xf numFmtId="9" fontId="161" fillId="0" borderId="0" applyFill="0" applyBorder="0" applyAlignment="0" applyProtection="0"/>
    <xf numFmtId="0" fontId="158" fillId="0" borderId="208" applyNumberFormat="0" applyFill="0" applyAlignment="0" applyProtection="0"/>
    <xf numFmtId="0" fontId="166" fillId="0" borderId="0"/>
    <xf numFmtId="0" fontId="161" fillId="0" borderId="0"/>
    <xf numFmtId="0" fontId="167" fillId="0" borderId="0"/>
    <xf numFmtId="0" fontId="161" fillId="0" borderId="0"/>
    <xf numFmtId="0" fontId="190" fillId="0" borderId="0" applyNumberFormat="0" applyFont="0" applyFill="0" applyBorder="0" applyAlignment="0" applyProtection="0">
      <alignment vertical="top"/>
    </xf>
    <xf numFmtId="0" fontId="190" fillId="0" borderId="0" applyNumberFormat="0" applyFont="0" applyFill="0" applyBorder="0" applyAlignment="0" applyProtection="0">
      <alignment vertical="top"/>
    </xf>
    <xf numFmtId="0" fontId="190" fillId="0" borderId="0" applyNumberFormat="0" applyFont="0" applyFill="0" applyBorder="0" applyAlignment="0" applyProtection="0">
      <alignment vertical="top"/>
    </xf>
    <xf numFmtId="0" fontId="190" fillId="0" borderId="0" applyNumberFormat="0" applyFont="0" applyFill="0" applyBorder="0" applyAlignment="0" applyProtection="0">
      <alignment vertical="top"/>
    </xf>
    <xf numFmtId="0" fontId="190" fillId="0" borderId="0" applyNumberFormat="0" applyFont="0" applyFill="0" applyBorder="0" applyAlignment="0" applyProtection="0">
      <alignment vertical="top"/>
    </xf>
    <xf numFmtId="0" fontId="86" fillId="0" borderId="0">
      <alignment vertical="justify"/>
    </xf>
    <xf numFmtId="49" fontId="169" fillId="0" borderId="1" applyNumberFormat="0" applyFill="0" applyAlignment="0" applyProtection="0"/>
    <xf numFmtId="0" fontId="159" fillId="0" borderId="0" applyNumberFormat="0" applyFill="0" applyBorder="0" applyAlignment="0" applyProtection="0"/>
    <xf numFmtId="38" fontId="86" fillId="0" borderId="0" applyFont="0" applyFill="0" applyBorder="0" applyAlignment="0" applyProtection="0"/>
    <xf numFmtId="38" fontId="86" fillId="0" borderId="0" applyFont="0" applyFill="0" applyBorder="0" applyAlignment="0" applyProtection="0"/>
    <xf numFmtId="174" fontId="161" fillId="0" borderId="0" applyFont="0" applyFill="0" applyBorder="0" applyAlignment="0" applyProtection="0"/>
    <xf numFmtId="165" fontId="161" fillId="0" borderId="0" applyFont="0" applyFill="0" applyBorder="0" applyAlignment="0" applyProtection="0"/>
    <xf numFmtId="165" fontId="161" fillId="0" borderId="0" applyFont="0" applyFill="0" applyBorder="0" applyAlignment="0" applyProtection="0"/>
    <xf numFmtId="167" fontId="164" fillId="0" borderId="0" applyFont="0" applyFill="0" applyBorder="0" applyAlignment="0" applyProtection="0"/>
    <xf numFmtId="167" fontId="86" fillId="0" borderId="0" applyFont="0" applyFill="0" applyBorder="0" applyAlignment="0" applyProtection="0"/>
    <xf numFmtId="167" fontId="164" fillId="0" borderId="0" applyFont="0" applyFill="0" applyBorder="0" applyAlignment="0" applyProtection="0"/>
    <xf numFmtId="167" fontId="164" fillId="0" borderId="0" applyFont="0" applyFill="0" applyBorder="0" applyAlignment="0" applyProtection="0"/>
    <xf numFmtId="167" fontId="163" fillId="0" borderId="0" applyFont="0" applyFill="0" applyBorder="0" applyAlignment="0" applyProtection="0"/>
    <xf numFmtId="167" fontId="60" fillId="0" borderId="0" applyFont="0" applyFill="0" applyBorder="0" applyAlignment="0" applyProtection="0"/>
    <xf numFmtId="167" fontId="86" fillId="0" borderId="0" applyFont="0" applyFill="0" applyBorder="0" applyAlignment="0" applyProtection="0"/>
    <xf numFmtId="0" fontId="164" fillId="0" borderId="0" applyFill="0" applyBorder="0" applyAlignment="0" applyProtection="0"/>
    <xf numFmtId="0" fontId="164" fillId="0" borderId="0" applyFill="0" applyBorder="0" applyAlignment="0" applyProtection="0"/>
    <xf numFmtId="212" fontId="161" fillId="0" borderId="0" applyFont="0" applyFill="0" applyBorder="0" applyAlignment="0" applyProtection="0"/>
    <xf numFmtId="165" fontId="161" fillId="0" borderId="0" applyFont="0" applyFill="0" applyBorder="0" applyAlignment="0" applyProtection="0"/>
    <xf numFmtId="0" fontId="153" fillId="56" borderId="0" applyNumberFormat="0" applyBorder="0" applyAlignment="0" applyProtection="0"/>
    <xf numFmtId="4" fontId="161" fillId="0" borderId="1"/>
    <xf numFmtId="4" fontId="161" fillId="0" borderId="1"/>
    <xf numFmtId="4" fontId="161" fillId="0" borderId="1"/>
    <xf numFmtId="174" fontId="170" fillId="0" borderId="0">
      <protection locked="0"/>
    </xf>
    <xf numFmtId="174" fontId="170" fillId="0" borderId="0">
      <protection locked="0"/>
    </xf>
    <xf numFmtId="174" fontId="170" fillId="0" borderId="0">
      <protection locked="0"/>
    </xf>
    <xf numFmtId="167" fontId="1" fillId="0" borderId="0" applyFont="0" applyFill="0" applyBorder="0" applyAlignment="0" applyProtection="0"/>
    <xf numFmtId="0" fontId="164" fillId="0" borderId="0"/>
    <xf numFmtId="0" fontId="1" fillId="0" borderId="0"/>
    <xf numFmtId="0" fontId="1" fillId="0" borderId="0"/>
    <xf numFmtId="0" fontId="1" fillId="0" borderId="0"/>
    <xf numFmtId="0" fontId="161" fillId="0" borderId="0"/>
    <xf numFmtId="165" fontId="86" fillId="0" borderId="0" applyFont="0" applyFill="0" applyBorder="0" applyAlignment="0" applyProtection="0"/>
    <xf numFmtId="0" fontId="161" fillId="0" borderId="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64" fontId="169" fillId="95" borderId="212">
      <alignment vertical="center"/>
    </xf>
    <xf numFmtId="164" fontId="188" fillId="97" borderId="42" applyBorder="0"/>
    <xf numFmtId="165" fontId="188" fillId="97" borderId="218" applyBorder="0"/>
    <xf numFmtId="164" fontId="196" fillId="0" borderId="0" applyFill="0" applyBorder="0">
      <alignment horizontal="left"/>
    </xf>
    <xf numFmtId="165" fontId="180" fillId="0" borderId="0" applyFill="0" applyBorder="0"/>
    <xf numFmtId="164" fontId="180" fillId="0" borderId="83" applyFill="0" applyBorder="0"/>
    <xf numFmtId="165" fontId="180" fillId="0" borderId="0" applyFill="0" applyBorder="0"/>
    <xf numFmtId="165" fontId="161" fillId="0" borderId="0" applyFont="0" applyFill="0" applyBorder="0" applyAlignment="0" applyProtection="0"/>
    <xf numFmtId="165" fontId="161" fillId="0" borderId="0" applyFont="0" applyFill="0" applyBorder="0" applyAlignment="0" applyProtection="0"/>
    <xf numFmtId="165" fontId="161" fillId="0" borderId="0" applyFont="0" applyFill="0" applyBorder="0" applyAlignment="0" applyProtection="0"/>
    <xf numFmtId="165" fontId="8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86" fillId="0" borderId="0"/>
    <xf numFmtId="0" fontId="239" fillId="0" borderId="0"/>
    <xf numFmtId="0" fontId="240" fillId="0" borderId="0"/>
    <xf numFmtId="1" fontId="241" fillId="0" borderId="0"/>
    <xf numFmtId="1" fontId="242" fillId="0" borderId="0"/>
    <xf numFmtId="1" fontId="243" fillId="0" borderId="0"/>
    <xf numFmtId="1" fontId="243" fillId="0" borderId="0"/>
    <xf numFmtId="1" fontId="243" fillId="0" borderId="0"/>
    <xf numFmtId="0" fontId="166" fillId="0" borderId="0"/>
    <xf numFmtId="0" fontId="166" fillId="0" borderId="0"/>
    <xf numFmtId="0" fontId="161" fillId="0" borderId="0"/>
    <xf numFmtId="0" fontId="166" fillId="0" borderId="0"/>
    <xf numFmtId="0" fontId="166" fillId="0" borderId="0"/>
    <xf numFmtId="0" fontId="166" fillId="0" borderId="0"/>
    <xf numFmtId="0" fontId="166" fillId="0" borderId="0"/>
    <xf numFmtId="0" fontId="166" fillId="0" borderId="0"/>
    <xf numFmtId="0" fontId="166" fillId="0" borderId="0"/>
    <xf numFmtId="0" fontId="166" fillId="0" borderId="0"/>
    <xf numFmtId="174" fontId="170" fillId="0" borderId="0">
      <protection locked="0"/>
    </xf>
    <xf numFmtId="174" fontId="170" fillId="0" borderId="0">
      <protection locked="0"/>
    </xf>
    <xf numFmtId="0" fontId="170" fillId="0" borderId="214">
      <protection locked="0"/>
    </xf>
    <xf numFmtId="0" fontId="170" fillId="0" borderId="214">
      <protection locked="0"/>
    </xf>
    <xf numFmtId="0" fontId="170" fillId="0" borderId="214">
      <protection locked="0"/>
    </xf>
    <xf numFmtId="0" fontId="170" fillId="0" borderId="214">
      <protection locked="0"/>
    </xf>
    <xf numFmtId="0" fontId="170" fillId="0" borderId="214">
      <protection locked="0"/>
    </xf>
    <xf numFmtId="0" fontId="170" fillId="0" borderId="214">
      <protection locked="0"/>
    </xf>
    <xf numFmtId="0" fontId="161" fillId="0" borderId="0"/>
    <xf numFmtId="0" fontId="161" fillId="0" borderId="0"/>
    <xf numFmtId="0" fontId="161" fillId="0" borderId="0"/>
    <xf numFmtId="0" fontId="244" fillId="0" borderId="0"/>
    <xf numFmtId="0" fontId="164" fillId="76" borderId="0" applyNumberFormat="0" applyBorder="0" applyAlignment="0" applyProtection="0"/>
    <xf numFmtId="0" fontId="164" fillId="77" borderId="0" applyNumberFormat="0" applyBorder="0" applyAlignment="0" applyProtection="0"/>
    <xf numFmtId="0" fontId="164" fillId="78" borderId="0" applyNumberFormat="0" applyBorder="0" applyAlignment="0" applyProtection="0"/>
    <xf numFmtId="0" fontId="164" fillId="79" borderId="0" applyNumberFormat="0" applyBorder="0" applyAlignment="0" applyProtection="0"/>
    <xf numFmtId="0" fontId="164" fillId="80" borderId="0" applyNumberFormat="0" applyBorder="0" applyAlignment="0" applyProtection="0"/>
    <xf numFmtId="0" fontId="164" fillId="81" borderId="0" applyNumberFormat="0" applyBorder="0" applyAlignment="0" applyProtection="0"/>
    <xf numFmtId="0" fontId="164" fillId="76" borderId="0" applyNumberFormat="0" applyBorder="0" applyAlignment="0" applyProtection="0"/>
    <xf numFmtId="0" fontId="164" fillId="76" borderId="0" applyNumberFormat="0" applyBorder="0" applyAlignment="0" applyProtection="0"/>
    <xf numFmtId="0" fontId="164" fillId="76" borderId="0" applyNumberFormat="0" applyBorder="0" applyAlignment="0" applyProtection="0"/>
    <xf numFmtId="0" fontId="164" fillId="76" borderId="0" applyNumberFormat="0" applyBorder="0" applyAlignment="0" applyProtection="0"/>
    <xf numFmtId="0" fontId="164" fillId="76" borderId="0" applyNumberFormat="0" applyBorder="0" applyAlignment="0" applyProtection="0"/>
    <xf numFmtId="0" fontId="164" fillId="76" borderId="0" applyNumberFormat="0" applyBorder="0" applyAlignment="0" applyProtection="0"/>
    <xf numFmtId="0" fontId="164" fillId="76" borderId="0" applyNumberFormat="0" applyBorder="0" applyAlignment="0" applyProtection="0"/>
    <xf numFmtId="0" fontId="164" fillId="76" borderId="0" applyNumberFormat="0" applyBorder="0" applyAlignment="0" applyProtection="0"/>
    <xf numFmtId="0" fontId="164" fillId="76" borderId="0" applyNumberFormat="0" applyBorder="0" applyAlignment="0" applyProtection="0"/>
    <xf numFmtId="0" fontId="164" fillId="76" borderId="0" applyNumberFormat="0" applyBorder="0" applyAlignment="0" applyProtection="0"/>
    <xf numFmtId="0" fontId="164" fillId="76" borderId="0" applyNumberFormat="0" applyBorder="0" applyAlignment="0" applyProtection="0"/>
    <xf numFmtId="0" fontId="164" fillId="76" borderId="0" applyNumberFormat="0" applyBorder="0" applyAlignment="0" applyProtection="0"/>
    <xf numFmtId="0" fontId="164" fillId="77" borderId="0" applyNumberFormat="0" applyBorder="0" applyAlignment="0" applyProtection="0"/>
    <xf numFmtId="0" fontId="164" fillId="77" borderId="0" applyNumberFormat="0" applyBorder="0" applyAlignment="0" applyProtection="0"/>
    <xf numFmtId="0" fontId="164" fillId="77" borderId="0" applyNumberFormat="0" applyBorder="0" applyAlignment="0" applyProtection="0"/>
    <xf numFmtId="0" fontId="164" fillId="77" borderId="0" applyNumberFormat="0" applyBorder="0" applyAlignment="0" applyProtection="0"/>
    <xf numFmtId="0" fontId="164" fillId="77" borderId="0" applyNumberFormat="0" applyBorder="0" applyAlignment="0" applyProtection="0"/>
    <xf numFmtId="0" fontId="164" fillId="77" borderId="0" applyNumberFormat="0" applyBorder="0" applyAlignment="0" applyProtection="0"/>
    <xf numFmtId="0" fontId="164" fillId="77" borderId="0" applyNumberFormat="0" applyBorder="0" applyAlignment="0" applyProtection="0"/>
    <xf numFmtId="0" fontId="164" fillId="77" borderId="0" applyNumberFormat="0" applyBorder="0" applyAlignment="0" applyProtection="0"/>
    <xf numFmtId="0" fontId="164" fillId="77" borderId="0" applyNumberFormat="0" applyBorder="0" applyAlignment="0" applyProtection="0"/>
    <xf numFmtId="0" fontId="164" fillId="77" borderId="0" applyNumberFormat="0" applyBorder="0" applyAlignment="0" applyProtection="0"/>
    <xf numFmtId="0" fontId="164" fillId="77" borderId="0" applyNumberFormat="0" applyBorder="0" applyAlignment="0" applyProtection="0"/>
    <xf numFmtId="0" fontId="164" fillId="77" borderId="0" applyNumberFormat="0" applyBorder="0" applyAlignment="0" applyProtection="0"/>
    <xf numFmtId="0" fontId="164" fillId="78" borderId="0" applyNumberFormat="0" applyBorder="0" applyAlignment="0" applyProtection="0"/>
    <xf numFmtId="0" fontId="164" fillId="78" borderId="0" applyNumberFormat="0" applyBorder="0" applyAlignment="0" applyProtection="0"/>
    <xf numFmtId="0" fontId="164" fillId="78" borderId="0" applyNumberFormat="0" applyBorder="0" applyAlignment="0" applyProtection="0"/>
    <xf numFmtId="0" fontId="164" fillId="78" borderId="0" applyNumberFormat="0" applyBorder="0" applyAlignment="0" applyProtection="0"/>
    <xf numFmtId="0" fontId="164" fillId="78" borderId="0" applyNumberFormat="0" applyBorder="0" applyAlignment="0" applyProtection="0"/>
    <xf numFmtId="0" fontId="164" fillId="78" borderId="0" applyNumberFormat="0" applyBorder="0" applyAlignment="0" applyProtection="0"/>
    <xf numFmtId="0" fontId="164" fillId="78" borderId="0" applyNumberFormat="0" applyBorder="0" applyAlignment="0" applyProtection="0"/>
    <xf numFmtId="0" fontId="164" fillId="78" borderId="0" applyNumberFormat="0" applyBorder="0" applyAlignment="0" applyProtection="0"/>
    <xf numFmtId="0" fontId="164" fillId="78" borderId="0" applyNumberFormat="0" applyBorder="0" applyAlignment="0" applyProtection="0"/>
    <xf numFmtId="0" fontId="164" fillId="78" borderId="0" applyNumberFormat="0" applyBorder="0" applyAlignment="0" applyProtection="0"/>
    <xf numFmtId="0" fontId="164" fillId="78" borderId="0" applyNumberFormat="0" applyBorder="0" applyAlignment="0" applyProtection="0"/>
    <xf numFmtId="0" fontId="164" fillId="78" borderId="0" applyNumberFormat="0" applyBorder="0" applyAlignment="0" applyProtection="0"/>
    <xf numFmtId="0" fontId="164" fillId="79" borderId="0" applyNumberFormat="0" applyBorder="0" applyAlignment="0" applyProtection="0"/>
    <xf numFmtId="0" fontId="164" fillId="79" borderId="0" applyNumberFormat="0" applyBorder="0" applyAlignment="0" applyProtection="0"/>
    <xf numFmtId="0" fontId="164" fillId="79" borderId="0" applyNumberFormat="0" applyBorder="0" applyAlignment="0" applyProtection="0"/>
    <xf numFmtId="0" fontId="164" fillId="79" borderId="0" applyNumberFormat="0" applyBorder="0" applyAlignment="0" applyProtection="0"/>
    <xf numFmtId="0" fontId="164" fillId="79" borderId="0" applyNumberFormat="0" applyBorder="0" applyAlignment="0" applyProtection="0"/>
    <xf numFmtId="0" fontId="164" fillId="79" borderId="0" applyNumberFormat="0" applyBorder="0" applyAlignment="0" applyProtection="0"/>
    <xf numFmtId="0" fontId="164" fillId="79" borderId="0" applyNumberFormat="0" applyBorder="0" applyAlignment="0" applyProtection="0"/>
    <xf numFmtId="0" fontId="164" fillId="79" borderId="0" applyNumberFormat="0" applyBorder="0" applyAlignment="0" applyProtection="0"/>
    <xf numFmtId="0" fontId="164" fillId="79" borderId="0" applyNumberFormat="0" applyBorder="0" applyAlignment="0" applyProtection="0"/>
    <xf numFmtId="0" fontId="164" fillId="79" borderId="0" applyNumberFormat="0" applyBorder="0" applyAlignment="0" applyProtection="0"/>
    <xf numFmtId="0" fontId="164" fillId="79" borderId="0" applyNumberFormat="0" applyBorder="0" applyAlignment="0" applyProtection="0"/>
    <xf numFmtId="0" fontId="164" fillId="79" borderId="0" applyNumberFormat="0" applyBorder="0" applyAlignment="0" applyProtection="0"/>
    <xf numFmtId="0" fontId="164" fillId="80" borderId="0" applyNumberFormat="0" applyBorder="0" applyAlignment="0" applyProtection="0"/>
    <xf numFmtId="0" fontId="164" fillId="80" borderId="0" applyNumberFormat="0" applyBorder="0" applyAlignment="0" applyProtection="0"/>
    <xf numFmtId="0" fontId="164" fillId="80" borderId="0" applyNumberFormat="0" applyBorder="0" applyAlignment="0" applyProtection="0"/>
    <xf numFmtId="0" fontId="164" fillId="80" borderId="0" applyNumberFormat="0" applyBorder="0" applyAlignment="0" applyProtection="0"/>
    <xf numFmtId="0" fontId="164" fillId="80" borderId="0" applyNumberFormat="0" applyBorder="0" applyAlignment="0" applyProtection="0"/>
    <xf numFmtId="0" fontId="164" fillId="80" borderId="0" applyNumberFormat="0" applyBorder="0" applyAlignment="0" applyProtection="0"/>
    <xf numFmtId="0" fontId="164" fillId="80" borderId="0" applyNumberFormat="0" applyBorder="0" applyAlignment="0" applyProtection="0"/>
    <xf numFmtId="0" fontId="164" fillId="80" borderId="0" applyNumberFormat="0" applyBorder="0" applyAlignment="0" applyProtection="0"/>
    <xf numFmtId="0" fontId="164" fillId="80" borderId="0" applyNumberFormat="0" applyBorder="0" applyAlignment="0" applyProtection="0"/>
    <xf numFmtId="0" fontId="164" fillId="80" borderId="0" applyNumberFormat="0" applyBorder="0" applyAlignment="0" applyProtection="0"/>
    <xf numFmtId="0" fontId="164" fillId="80" borderId="0" applyNumberFormat="0" applyBorder="0" applyAlignment="0" applyProtection="0"/>
    <xf numFmtId="0" fontId="164" fillId="80" borderId="0" applyNumberFormat="0" applyBorder="0" applyAlignment="0" applyProtection="0"/>
    <xf numFmtId="0" fontId="164" fillId="81" borderId="0" applyNumberFormat="0" applyBorder="0" applyAlignment="0" applyProtection="0"/>
    <xf numFmtId="0" fontId="164" fillId="81" borderId="0" applyNumberFormat="0" applyBorder="0" applyAlignment="0" applyProtection="0"/>
    <xf numFmtId="0" fontId="164" fillId="81" borderId="0" applyNumberFormat="0" applyBorder="0" applyAlignment="0" applyProtection="0"/>
    <xf numFmtId="0" fontId="164" fillId="81" borderId="0" applyNumberFormat="0" applyBorder="0" applyAlignment="0" applyProtection="0"/>
    <xf numFmtId="0" fontId="164" fillId="81" borderId="0" applyNumberFormat="0" applyBorder="0" applyAlignment="0" applyProtection="0"/>
    <xf numFmtId="0" fontId="164" fillId="81" borderId="0" applyNumberFormat="0" applyBorder="0" applyAlignment="0" applyProtection="0"/>
    <xf numFmtId="0" fontId="164" fillId="81" borderId="0" applyNumberFormat="0" applyBorder="0" applyAlignment="0" applyProtection="0"/>
    <xf numFmtId="0" fontId="164" fillId="81" borderId="0" applyNumberFormat="0" applyBorder="0" applyAlignment="0" applyProtection="0"/>
    <xf numFmtId="0" fontId="164" fillId="81" borderId="0" applyNumberFormat="0" applyBorder="0" applyAlignment="0" applyProtection="0"/>
    <xf numFmtId="0" fontId="164" fillId="81" borderId="0" applyNumberFormat="0" applyBorder="0" applyAlignment="0" applyProtection="0"/>
    <xf numFmtId="0" fontId="164" fillId="81" borderId="0" applyNumberFormat="0" applyBorder="0" applyAlignment="0" applyProtection="0"/>
    <xf numFmtId="0" fontId="164" fillId="81" borderId="0" applyNumberFormat="0" applyBorder="0" applyAlignment="0" applyProtection="0"/>
    <xf numFmtId="0" fontId="164" fillId="82" borderId="0" applyNumberFormat="0" applyBorder="0" applyAlignment="0" applyProtection="0"/>
    <xf numFmtId="0" fontId="164" fillId="83" borderId="0" applyNumberFormat="0" applyBorder="0" applyAlignment="0" applyProtection="0"/>
    <xf numFmtId="0" fontId="164" fillId="84" borderId="0" applyNumberFormat="0" applyBorder="0" applyAlignment="0" applyProtection="0"/>
    <xf numFmtId="0" fontId="164" fillId="79" borderId="0" applyNumberFormat="0" applyBorder="0" applyAlignment="0" applyProtection="0"/>
    <xf numFmtId="0" fontId="164" fillId="82" borderId="0" applyNumberFormat="0" applyBorder="0" applyAlignment="0" applyProtection="0"/>
    <xf numFmtId="0" fontId="164" fillId="85" borderId="0" applyNumberFormat="0" applyBorder="0" applyAlignment="0" applyProtection="0"/>
    <xf numFmtId="0" fontId="164" fillId="82" borderId="0" applyNumberFormat="0" applyBorder="0" applyAlignment="0" applyProtection="0"/>
    <xf numFmtId="0" fontId="164" fillId="82" borderId="0" applyNumberFormat="0" applyBorder="0" applyAlignment="0" applyProtection="0"/>
    <xf numFmtId="0" fontId="164" fillId="82" borderId="0" applyNumberFormat="0" applyBorder="0" applyAlignment="0" applyProtection="0"/>
    <xf numFmtId="0" fontId="164" fillId="82" borderId="0" applyNumberFormat="0" applyBorder="0" applyAlignment="0" applyProtection="0"/>
    <xf numFmtId="0" fontId="164" fillId="82" borderId="0" applyNumberFormat="0" applyBorder="0" applyAlignment="0" applyProtection="0"/>
    <xf numFmtId="0" fontId="164" fillId="82" borderId="0" applyNumberFormat="0" applyBorder="0" applyAlignment="0" applyProtection="0"/>
    <xf numFmtId="0" fontId="164" fillId="82" borderId="0" applyNumberFormat="0" applyBorder="0" applyAlignment="0" applyProtection="0"/>
    <xf numFmtId="0" fontId="164" fillId="82" borderId="0" applyNumberFormat="0" applyBorder="0" applyAlignment="0" applyProtection="0"/>
    <xf numFmtId="0" fontId="164" fillId="82" borderId="0" applyNumberFormat="0" applyBorder="0" applyAlignment="0" applyProtection="0"/>
    <xf numFmtId="0" fontId="164" fillId="82" borderId="0" applyNumberFormat="0" applyBorder="0" applyAlignment="0" applyProtection="0"/>
    <xf numFmtId="0" fontId="164" fillId="82" borderId="0" applyNumberFormat="0" applyBorder="0" applyAlignment="0" applyProtection="0"/>
    <xf numFmtId="0" fontId="164" fillId="82" borderId="0" applyNumberFormat="0" applyBorder="0" applyAlignment="0" applyProtection="0"/>
    <xf numFmtId="0" fontId="164" fillId="83" borderId="0" applyNumberFormat="0" applyBorder="0" applyAlignment="0" applyProtection="0"/>
    <xf numFmtId="0" fontId="164" fillId="83" borderId="0" applyNumberFormat="0" applyBorder="0" applyAlignment="0" applyProtection="0"/>
    <xf numFmtId="0" fontId="164" fillId="83" borderId="0" applyNumberFormat="0" applyBorder="0" applyAlignment="0" applyProtection="0"/>
    <xf numFmtId="0" fontId="164" fillId="83" borderId="0" applyNumberFormat="0" applyBorder="0" applyAlignment="0" applyProtection="0"/>
    <xf numFmtId="0" fontId="164" fillId="83" borderId="0" applyNumberFormat="0" applyBorder="0" applyAlignment="0" applyProtection="0"/>
    <xf numFmtId="0" fontId="164" fillId="83" borderId="0" applyNumberFormat="0" applyBorder="0" applyAlignment="0" applyProtection="0"/>
    <xf numFmtId="0" fontId="164" fillId="83" borderId="0" applyNumberFormat="0" applyBorder="0" applyAlignment="0" applyProtection="0"/>
    <xf numFmtId="0" fontId="164" fillId="83" borderId="0" applyNumberFormat="0" applyBorder="0" applyAlignment="0" applyProtection="0"/>
    <xf numFmtId="0" fontId="164" fillId="83" borderId="0" applyNumberFormat="0" applyBorder="0" applyAlignment="0" applyProtection="0"/>
    <xf numFmtId="0" fontId="164" fillId="83" borderId="0" applyNumberFormat="0" applyBorder="0" applyAlignment="0" applyProtection="0"/>
    <xf numFmtId="0" fontId="164" fillId="83" borderId="0" applyNumberFormat="0" applyBorder="0" applyAlignment="0" applyProtection="0"/>
    <xf numFmtId="0" fontId="164" fillId="83" borderId="0" applyNumberFormat="0" applyBorder="0" applyAlignment="0" applyProtection="0"/>
    <xf numFmtId="0" fontId="164" fillId="84" borderId="0" applyNumberFormat="0" applyBorder="0" applyAlignment="0" applyProtection="0"/>
    <xf numFmtId="0" fontId="164" fillId="84" borderId="0" applyNumberFormat="0" applyBorder="0" applyAlignment="0" applyProtection="0"/>
    <xf numFmtId="0" fontId="164" fillId="84" borderId="0" applyNumberFormat="0" applyBorder="0" applyAlignment="0" applyProtection="0"/>
    <xf numFmtId="0" fontId="164" fillId="84" borderId="0" applyNumberFormat="0" applyBorder="0" applyAlignment="0" applyProtection="0"/>
    <xf numFmtId="0" fontId="164" fillId="84" borderId="0" applyNumberFormat="0" applyBorder="0" applyAlignment="0" applyProtection="0"/>
    <xf numFmtId="0" fontId="164" fillId="84" borderId="0" applyNumberFormat="0" applyBorder="0" applyAlignment="0" applyProtection="0"/>
    <xf numFmtId="0" fontId="164" fillId="84" borderId="0" applyNumberFormat="0" applyBorder="0" applyAlignment="0" applyProtection="0"/>
    <xf numFmtId="0" fontId="164" fillId="84" borderId="0" applyNumberFormat="0" applyBorder="0" applyAlignment="0" applyProtection="0"/>
    <xf numFmtId="0" fontId="164" fillId="84" borderId="0" applyNumberFormat="0" applyBorder="0" applyAlignment="0" applyProtection="0"/>
    <xf numFmtId="0" fontId="164" fillId="84" borderId="0" applyNumberFormat="0" applyBorder="0" applyAlignment="0" applyProtection="0"/>
    <xf numFmtId="0" fontId="164" fillId="84" borderId="0" applyNumberFormat="0" applyBorder="0" applyAlignment="0" applyProtection="0"/>
    <xf numFmtId="0" fontId="164" fillId="84" borderId="0" applyNumberFormat="0" applyBorder="0" applyAlignment="0" applyProtection="0"/>
    <xf numFmtId="0" fontId="164" fillId="79" borderId="0" applyNumberFormat="0" applyBorder="0" applyAlignment="0" applyProtection="0"/>
    <xf numFmtId="0" fontId="164" fillId="79" borderId="0" applyNumberFormat="0" applyBorder="0" applyAlignment="0" applyProtection="0"/>
    <xf numFmtId="0" fontId="164" fillId="79" borderId="0" applyNumberFormat="0" applyBorder="0" applyAlignment="0" applyProtection="0"/>
    <xf numFmtId="0" fontId="164" fillId="79" borderId="0" applyNumberFormat="0" applyBorder="0" applyAlignment="0" applyProtection="0"/>
    <xf numFmtId="0" fontId="164" fillId="79" borderId="0" applyNumberFormat="0" applyBorder="0" applyAlignment="0" applyProtection="0"/>
    <xf numFmtId="0" fontId="164" fillId="79" borderId="0" applyNumberFormat="0" applyBorder="0" applyAlignment="0" applyProtection="0"/>
    <xf numFmtId="0" fontId="164" fillId="79" borderId="0" applyNumberFormat="0" applyBorder="0" applyAlignment="0" applyProtection="0"/>
    <xf numFmtId="0" fontId="164" fillId="79" borderId="0" applyNumberFormat="0" applyBorder="0" applyAlignment="0" applyProtection="0"/>
    <xf numFmtId="0" fontId="164" fillId="79" borderId="0" applyNumberFormat="0" applyBorder="0" applyAlignment="0" applyProtection="0"/>
    <xf numFmtId="0" fontId="164" fillId="79" borderId="0" applyNumberFormat="0" applyBorder="0" applyAlignment="0" applyProtection="0"/>
    <xf numFmtId="0" fontId="164" fillId="79" borderId="0" applyNumberFormat="0" applyBorder="0" applyAlignment="0" applyProtection="0"/>
    <xf numFmtId="0" fontId="164" fillId="79" borderId="0" applyNumberFormat="0" applyBorder="0" applyAlignment="0" applyProtection="0"/>
    <xf numFmtId="0" fontId="164" fillId="82" borderId="0" applyNumberFormat="0" applyBorder="0" applyAlignment="0" applyProtection="0"/>
    <xf numFmtId="0" fontId="164" fillId="82" borderId="0" applyNumberFormat="0" applyBorder="0" applyAlignment="0" applyProtection="0"/>
    <xf numFmtId="0" fontId="164" fillId="82" borderId="0" applyNumberFormat="0" applyBorder="0" applyAlignment="0" applyProtection="0"/>
    <xf numFmtId="0" fontId="164" fillId="82" borderId="0" applyNumberFormat="0" applyBorder="0" applyAlignment="0" applyProtection="0"/>
    <xf numFmtId="0" fontId="164" fillId="82" borderId="0" applyNumberFormat="0" applyBorder="0" applyAlignment="0" applyProtection="0"/>
    <xf numFmtId="0" fontId="164" fillId="82" borderId="0" applyNumberFormat="0" applyBorder="0" applyAlignment="0" applyProtection="0"/>
    <xf numFmtId="0" fontId="164" fillId="82" borderId="0" applyNumberFormat="0" applyBorder="0" applyAlignment="0" applyProtection="0"/>
    <xf numFmtId="0" fontId="164" fillId="82" borderId="0" applyNumberFormat="0" applyBorder="0" applyAlignment="0" applyProtection="0"/>
    <xf numFmtId="0" fontId="164" fillId="82" borderId="0" applyNumberFormat="0" applyBorder="0" applyAlignment="0" applyProtection="0"/>
    <xf numFmtId="0" fontId="164" fillId="82" borderId="0" applyNumberFormat="0" applyBorder="0" applyAlignment="0" applyProtection="0"/>
    <xf numFmtId="0" fontId="164" fillId="82" borderId="0" applyNumberFormat="0" applyBorder="0" applyAlignment="0" applyProtection="0"/>
    <xf numFmtId="0" fontId="164" fillId="82" borderId="0" applyNumberFormat="0" applyBorder="0" applyAlignment="0" applyProtection="0"/>
    <xf numFmtId="0" fontId="164" fillId="85" borderId="0" applyNumberFormat="0" applyBorder="0" applyAlignment="0" applyProtection="0"/>
    <xf numFmtId="0" fontId="164" fillId="85" borderId="0" applyNumberFormat="0" applyBorder="0" applyAlignment="0" applyProtection="0"/>
    <xf numFmtId="0" fontId="164" fillId="85" borderId="0" applyNumberFormat="0" applyBorder="0" applyAlignment="0" applyProtection="0"/>
    <xf numFmtId="0" fontId="164" fillId="85" borderId="0" applyNumberFormat="0" applyBorder="0" applyAlignment="0" applyProtection="0"/>
    <xf numFmtId="0" fontId="164" fillId="85" borderId="0" applyNumberFormat="0" applyBorder="0" applyAlignment="0" applyProtection="0"/>
    <xf numFmtId="0" fontId="164" fillId="85" borderId="0" applyNumberFormat="0" applyBorder="0" applyAlignment="0" applyProtection="0"/>
    <xf numFmtId="0" fontId="164" fillId="85" borderId="0" applyNumberFormat="0" applyBorder="0" applyAlignment="0" applyProtection="0"/>
    <xf numFmtId="0" fontId="164" fillId="85" borderId="0" applyNumberFormat="0" applyBorder="0" applyAlignment="0" applyProtection="0"/>
    <xf numFmtId="0" fontId="164" fillId="85" borderId="0" applyNumberFormat="0" applyBorder="0" applyAlignment="0" applyProtection="0"/>
    <xf numFmtId="0" fontId="164" fillId="85" borderId="0" applyNumberFormat="0" applyBorder="0" applyAlignment="0" applyProtection="0"/>
    <xf numFmtId="0" fontId="164" fillId="85" borderId="0" applyNumberFormat="0" applyBorder="0" applyAlignment="0" applyProtection="0"/>
    <xf numFmtId="0" fontId="164" fillId="85" borderId="0" applyNumberFormat="0" applyBorder="0" applyAlignment="0" applyProtection="0"/>
    <xf numFmtId="0" fontId="245" fillId="86" borderId="0" applyNumberFormat="0" applyBorder="0" applyAlignment="0" applyProtection="0"/>
    <xf numFmtId="0" fontId="245" fillId="83" borderId="0" applyNumberFormat="0" applyBorder="0" applyAlignment="0" applyProtection="0"/>
    <xf numFmtId="0" fontId="245" fillId="84" borderId="0" applyNumberFormat="0" applyBorder="0" applyAlignment="0" applyProtection="0"/>
    <xf numFmtId="0" fontId="245" fillId="87" borderId="0" applyNumberFormat="0" applyBorder="0" applyAlignment="0" applyProtection="0"/>
    <xf numFmtId="0" fontId="245" fillId="88" borderId="0" applyNumberFormat="0" applyBorder="0" applyAlignment="0" applyProtection="0"/>
    <xf numFmtId="0" fontId="245" fillId="89" borderId="0" applyNumberFormat="0" applyBorder="0" applyAlignment="0" applyProtection="0"/>
    <xf numFmtId="0" fontId="245" fillId="86" borderId="0" applyNumberFormat="0" applyBorder="0" applyAlignment="0" applyProtection="0"/>
    <xf numFmtId="0" fontId="245" fillId="86" borderId="0" applyNumberFormat="0" applyBorder="0" applyAlignment="0" applyProtection="0"/>
    <xf numFmtId="0" fontId="245" fillId="86" borderId="0" applyNumberFormat="0" applyBorder="0" applyAlignment="0" applyProtection="0"/>
    <xf numFmtId="0" fontId="245" fillId="86" borderId="0" applyNumberFormat="0" applyBorder="0" applyAlignment="0" applyProtection="0"/>
    <xf numFmtId="0" fontId="245" fillId="86" borderId="0" applyNumberFormat="0" applyBorder="0" applyAlignment="0" applyProtection="0"/>
    <xf numFmtId="0" fontId="245" fillId="86" borderId="0" applyNumberFormat="0" applyBorder="0" applyAlignment="0" applyProtection="0"/>
    <xf numFmtId="0" fontId="245" fillId="86" borderId="0" applyNumberFormat="0" applyBorder="0" applyAlignment="0" applyProtection="0"/>
    <xf numFmtId="0" fontId="245" fillId="86" borderId="0" applyNumberFormat="0" applyBorder="0" applyAlignment="0" applyProtection="0"/>
    <xf numFmtId="0" fontId="245" fillId="86" borderId="0" applyNumberFormat="0" applyBorder="0" applyAlignment="0" applyProtection="0"/>
    <xf numFmtId="0" fontId="245" fillId="86" borderId="0" applyNumberFormat="0" applyBorder="0" applyAlignment="0" applyProtection="0"/>
    <xf numFmtId="0" fontId="245" fillId="86" borderId="0" applyNumberFormat="0" applyBorder="0" applyAlignment="0" applyProtection="0"/>
    <xf numFmtId="0" fontId="245" fillId="86" borderId="0" applyNumberFormat="0" applyBorder="0" applyAlignment="0" applyProtection="0"/>
    <xf numFmtId="0" fontId="245" fillId="83" borderId="0" applyNumberFormat="0" applyBorder="0" applyAlignment="0" applyProtection="0"/>
    <xf numFmtId="0" fontId="245" fillId="83" borderId="0" applyNumberFormat="0" applyBorder="0" applyAlignment="0" applyProtection="0"/>
    <xf numFmtId="0" fontId="245" fillId="83" borderId="0" applyNumberFormat="0" applyBorder="0" applyAlignment="0" applyProtection="0"/>
    <xf numFmtId="0" fontId="245" fillId="83" borderId="0" applyNumberFormat="0" applyBorder="0" applyAlignment="0" applyProtection="0"/>
    <xf numFmtId="0" fontId="245" fillId="83" borderId="0" applyNumberFormat="0" applyBorder="0" applyAlignment="0" applyProtection="0"/>
    <xf numFmtId="0" fontId="245" fillId="83" borderId="0" applyNumberFormat="0" applyBorder="0" applyAlignment="0" applyProtection="0"/>
    <xf numFmtId="0" fontId="245" fillId="83" borderId="0" applyNumberFormat="0" applyBorder="0" applyAlignment="0" applyProtection="0"/>
    <xf numFmtId="0" fontId="245" fillId="83" borderId="0" applyNumberFormat="0" applyBorder="0" applyAlignment="0" applyProtection="0"/>
    <xf numFmtId="0" fontId="245" fillId="83" borderId="0" applyNumberFormat="0" applyBorder="0" applyAlignment="0" applyProtection="0"/>
    <xf numFmtId="0" fontId="245" fillId="83" borderId="0" applyNumberFormat="0" applyBorder="0" applyAlignment="0" applyProtection="0"/>
    <xf numFmtId="0" fontId="245" fillId="83" borderId="0" applyNumberFormat="0" applyBorder="0" applyAlignment="0" applyProtection="0"/>
    <xf numFmtId="0" fontId="245" fillId="83" borderId="0" applyNumberFormat="0" applyBorder="0" applyAlignment="0" applyProtection="0"/>
    <xf numFmtId="0" fontId="245" fillId="84" borderId="0" applyNumberFormat="0" applyBorder="0" applyAlignment="0" applyProtection="0"/>
    <xf numFmtId="0" fontId="245" fillId="84" borderId="0" applyNumberFormat="0" applyBorder="0" applyAlignment="0" applyProtection="0"/>
    <xf numFmtId="0" fontId="245" fillId="84" borderId="0" applyNumberFormat="0" applyBorder="0" applyAlignment="0" applyProtection="0"/>
    <xf numFmtId="0" fontId="245" fillId="84" borderId="0" applyNumberFormat="0" applyBorder="0" applyAlignment="0" applyProtection="0"/>
    <xf numFmtId="0" fontId="245" fillId="84" borderId="0" applyNumberFormat="0" applyBorder="0" applyAlignment="0" applyProtection="0"/>
    <xf numFmtId="0" fontId="245" fillId="84" borderId="0" applyNumberFormat="0" applyBorder="0" applyAlignment="0" applyProtection="0"/>
    <xf numFmtId="0" fontId="245" fillId="84" borderId="0" applyNumberFormat="0" applyBorder="0" applyAlignment="0" applyProtection="0"/>
    <xf numFmtId="0" fontId="245" fillId="84" borderId="0" applyNumberFormat="0" applyBorder="0" applyAlignment="0" applyProtection="0"/>
    <xf numFmtId="0" fontId="245" fillId="84" borderId="0" applyNumberFormat="0" applyBorder="0" applyAlignment="0" applyProtection="0"/>
    <xf numFmtId="0" fontId="245" fillId="84" borderId="0" applyNumberFormat="0" applyBorder="0" applyAlignment="0" applyProtection="0"/>
    <xf numFmtId="0" fontId="245" fillId="84" borderId="0" applyNumberFormat="0" applyBorder="0" applyAlignment="0" applyProtection="0"/>
    <xf numFmtId="0" fontId="245" fillId="84" borderId="0" applyNumberFormat="0" applyBorder="0" applyAlignment="0" applyProtection="0"/>
    <xf numFmtId="0" fontId="245" fillId="87" borderId="0" applyNumberFormat="0" applyBorder="0" applyAlignment="0" applyProtection="0"/>
    <xf numFmtId="0" fontId="245" fillId="87" borderId="0" applyNumberFormat="0" applyBorder="0" applyAlignment="0" applyProtection="0"/>
    <xf numFmtId="0" fontId="245" fillId="87" borderId="0" applyNumberFormat="0" applyBorder="0" applyAlignment="0" applyProtection="0"/>
    <xf numFmtId="0" fontId="245" fillId="87" borderId="0" applyNumberFormat="0" applyBorder="0" applyAlignment="0" applyProtection="0"/>
    <xf numFmtId="0" fontId="245" fillId="87" borderId="0" applyNumberFormat="0" applyBorder="0" applyAlignment="0" applyProtection="0"/>
    <xf numFmtId="0" fontId="245" fillId="87" borderId="0" applyNumberFormat="0" applyBorder="0" applyAlignment="0" applyProtection="0"/>
    <xf numFmtId="0" fontId="245" fillId="87" borderId="0" applyNumberFormat="0" applyBorder="0" applyAlignment="0" applyProtection="0"/>
    <xf numFmtId="0" fontId="245" fillId="87" borderId="0" applyNumberFormat="0" applyBorder="0" applyAlignment="0" applyProtection="0"/>
    <xf numFmtId="0" fontId="245" fillId="87" borderId="0" applyNumberFormat="0" applyBorder="0" applyAlignment="0" applyProtection="0"/>
    <xf numFmtId="0" fontId="245" fillId="87" borderId="0" applyNumberFormat="0" applyBorder="0" applyAlignment="0" applyProtection="0"/>
    <xf numFmtId="0" fontId="245" fillId="87" borderId="0" applyNumberFormat="0" applyBorder="0" applyAlignment="0" applyProtection="0"/>
    <xf numFmtId="0" fontId="245" fillId="87" borderId="0" applyNumberFormat="0" applyBorder="0" applyAlignment="0" applyProtection="0"/>
    <xf numFmtId="0" fontId="245" fillId="88" borderId="0" applyNumberFormat="0" applyBorder="0" applyAlignment="0" applyProtection="0"/>
    <xf numFmtId="0" fontId="245" fillId="88" borderId="0" applyNumberFormat="0" applyBorder="0" applyAlignment="0" applyProtection="0"/>
    <xf numFmtId="0" fontId="245" fillId="88" borderId="0" applyNumberFormat="0" applyBorder="0" applyAlignment="0" applyProtection="0"/>
    <xf numFmtId="0" fontId="245" fillId="88" borderId="0" applyNumberFormat="0" applyBorder="0" applyAlignment="0" applyProtection="0"/>
    <xf numFmtId="0" fontId="245" fillId="88" borderId="0" applyNumberFormat="0" applyBorder="0" applyAlignment="0" applyProtection="0"/>
    <xf numFmtId="0" fontId="245" fillId="88" borderId="0" applyNumberFormat="0" applyBorder="0" applyAlignment="0" applyProtection="0"/>
    <xf numFmtId="0" fontId="245" fillId="88" borderId="0" applyNumberFormat="0" applyBorder="0" applyAlignment="0" applyProtection="0"/>
    <xf numFmtId="0" fontId="245" fillId="88" borderId="0" applyNumberFormat="0" applyBorder="0" applyAlignment="0" applyProtection="0"/>
    <xf numFmtId="0" fontId="245" fillId="88" borderId="0" applyNumberFormat="0" applyBorder="0" applyAlignment="0" applyProtection="0"/>
    <xf numFmtId="0" fontId="245" fillId="88" borderId="0" applyNumberFormat="0" applyBorder="0" applyAlignment="0" applyProtection="0"/>
    <xf numFmtId="0" fontId="245" fillId="88" borderId="0" applyNumberFormat="0" applyBorder="0" applyAlignment="0" applyProtection="0"/>
    <xf numFmtId="0" fontId="245" fillId="88" borderId="0" applyNumberFormat="0" applyBorder="0" applyAlignment="0" applyProtection="0"/>
    <xf numFmtId="0" fontId="245" fillId="89" borderId="0" applyNumberFormat="0" applyBorder="0" applyAlignment="0" applyProtection="0"/>
    <xf numFmtId="0" fontId="245" fillId="89" borderId="0" applyNumberFormat="0" applyBorder="0" applyAlignment="0" applyProtection="0"/>
    <xf numFmtId="0" fontId="245" fillId="89" borderId="0" applyNumberFormat="0" applyBorder="0" applyAlignment="0" applyProtection="0"/>
    <xf numFmtId="0" fontId="245" fillId="89" borderId="0" applyNumberFormat="0" applyBorder="0" applyAlignment="0" applyProtection="0"/>
    <xf numFmtId="0" fontId="245" fillId="89" borderId="0" applyNumberFormat="0" applyBorder="0" applyAlignment="0" applyProtection="0"/>
    <xf numFmtId="0" fontId="245" fillId="89" borderId="0" applyNumberFormat="0" applyBorder="0" applyAlignment="0" applyProtection="0"/>
    <xf numFmtId="0" fontId="245" fillId="89" borderId="0" applyNumberFormat="0" applyBorder="0" applyAlignment="0" applyProtection="0"/>
    <xf numFmtId="0" fontId="245" fillId="89" borderId="0" applyNumberFormat="0" applyBorder="0" applyAlignment="0" applyProtection="0"/>
    <xf numFmtId="0" fontId="245" fillId="89" borderId="0" applyNumberFormat="0" applyBorder="0" applyAlignment="0" applyProtection="0"/>
    <xf numFmtId="0" fontId="245" fillId="89" borderId="0" applyNumberFormat="0" applyBorder="0" applyAlignment="0" applyProtection="0"/>
    <xf numFmtId="0" fontId="245" fillId="89" borderId="0" applyNumberFormat="0" applyBorder="0" applyAlignment="0" applyProtection="0"/>
    <xf numFmtId="0" fontId="245" fillId="89" borderId="0" applyNumberFormat="0" applyBorder="0" applyAlignment="0" applyProtection="0"/>
    <xf numFmtId="0" fontId="245" fillId="90" borderId="0" applyNumberFormat="0" applyBorder="0" applyAlignment="0" applyProtection="0"/>
    <xf numFmtId="0" fontId="245" fillId="91" borderId="0" applyNumberFormat="0" applyBorder="0" applyAlignment="0" applyProtection="0"/>
    <xf numFmtId="0" fontId="245" fillId="92" borderId="0" applyNumberFormat="0" applyBorder="0" applyAlignment="0" applyProtection="0"/>
    <xf numFmtId="0" fontId="245" fillId="87" borderId="0" applyNumberFormat="0" applyBorder="0" applyAlignment="0" applyProtection="0"/>
    <xf numFmtId="0" fontId="245" fillId="88" borderId="0" applyNumberFormat="0" applyBorder="0" applyAlignment="0" applyProtection="0"/>
    <xf numFmtId="0" fontId="245" fillId="93" borderId="0" applyNumberFormat="0" applyBorder="0" applyAlignment="0" applyProtection="0"/>
    <xf numFmtId="218" fontId="246" fillId="0" borderId="0">
      <alignment horizontal="left"/>
    </xf>
    <xf numFmtId="0" fontId="247" fillId="77" borderId="0" applyNumberFormat="0" applyBorder="0" applyAlignment="0" applyProtection="0"/>
    <xf numFmtId="219" fontId="248" fillId="0" borderId="0" applyFill="0" applyBorder="0" applyAlignment="0"/>
    <xf numFmtId="177" fontId="248" fillId="0" borderId="0" applyFill="0" applyBorder="0" applyAlignment="0"/>
    <xf numFmtId="213" fontId="248" fillId="0" borderId="0" applyFill="0" applyBorder="0" applyAlignment="0"/>
    <xf numFmtId="178" fontId="191" fillId="0" borderId="0" applyFill="0" applyBorder="0" applyAlignment="0"/>
    <xf numFmtId="220" fontId="191" fillId="0" borderId="0" applyFill="0" applyBorder="0" applyAlignment="0"/>
    <xf numFmtId="219" fontId="248" fillId="0" borderId="0" applyFill="0" applyBorder="0" applyAlignment="0"/>
    <xf numFmtId="221" fontId="191" fillId="0" borderId="0" applyFill="0" applyBorder="0" applyAlignment="0"/>
    <xf numFmtId="177" fontId="248" fillId="0" borderId="0" applyFill="0" applyBorder="0" applyAlignment="0"/>
    <xf numFmtId="0" fontId="249" fillId="94" borderId="216" applyNumberFormat="0" applyAlignment="0" applyProtection="0"/>
    <xf numFmtId="0" fontId="249" fillId="94" borderId="216" applyNumberFormat="0" applyAlignment="0" applyProtection="0"/>
    <xf numFmtId="0" fontId="249" fillId="94" borderId="216" applyNumberFormat="0" applyAlignment="0" applyProtection="0"/>
    <xf numFmtId="0" fontId="249" fillId="94" borderId="216" applyNumberFormat="0" applyAlignment="0" applyProtection="0"/>
    <xf numFmtId="0" fontId="249" fillId="94" borderId="216" applyNumberFormat="0" applyAlignment="0" applyProtection="0"/>
    <xf numFmtId="0" fontId="249" fillId="94" borderId="216" applyNumberFormat="0" applyAlignment="0" applyProtection="0"/>
    <xf numFmtId="222" fontId="161" fillId="0" borderId="0" applyFont="0" applyFill="0" applyBorder="0" applyAlignment="0" applyProtection="0"/>
    <xf numFmtId="0" fontId="250" fillId="96" borderId="217" applyNumberFormat="0" applyAlignment="0" applyProtection="0"/>
    <xf numFmtId="164" fontId="169" fillId="95" borderId="212">
      <alignment vertical="center"/>
    </xf>
    <xf numFmtId="0" fontId="251" fillId="108" borderId="0"/>
    <xf numFmtId="219" fontId="248" fillId="0" borderId="0" applyFont="0" applyFill="0" applyBorder="0" applyAlignment="0" applyProtection="0"/>
    <xf numFmtId="167" fontId="161" fillId="0" borderId="0" applyFont="0" applyFill="0" applyBorder="0" applyAlignment="0" applyProtection="0"/>
    <xf numFmtId="167" fontId="164" fillId="0" borderId="0" applyFont="0" applyFill="0" applyBorder="0" applyAlignment="0" applyProtection="0"/>
    <xf numFmtId="167" fontId="161" fillId="0" borderId="0" applyFont="0" applyFill="0" applyBorder="0" applyAlignment="0" applyProtection="0"/>
    <xf numFmtId="167" fontId="161" fillId="0" borderId="0" applyFont="0" applyFill="0" applyBorder="0" applyAlignment="0" applyProtection="0"/>
    <xf numFmtId="167" fontId="161" fillId="0" borderId="0" applyFont="0" applyFill="0" applyBorder="0" applyAlignment="0" applyProtection="0"/>
    <xf numFmtId="165" fontId="164" fillId="0" borderId="0" applyFont="0" applyFill="0" applyBorder="0" applyAlignment="0" applyProtection="0"/>
    <xf numFmtId="167" fontId="164" fillId="0" borderId="0" applyFont="0" applyFill="0" applyBorder="0" applyAlignment="0" applyProtection="0"/>
    <xf numFmtId="167" fontId="161" fillId="0" borderId="0" applyFont="0" applyFill="0" applyBorder="0" applyAlignment="0" applyProtection="0"/>
    <xf numFmtId="167" fontId="86" fillId="0" borderId="0" applyFont="0" applyFill="0" applyBorder="0" applyAlignment="0" applyProtection="0"/>
    <xf numFmtId="167" fontId="161" fillId="0" borderId="0" applyFont="0" applyFill="0" applyBorder="0" applyAlignment="0" applyProtection="0"/>
    <xf numFmtId="3" fontId="252" fillId="0" borderId="0" applyFont="0" applyFill="0" applyBorder="0" applyAlignment="0" applyProtection="0"/>
    <xf numFmtId="3" fontId="253" fillId="0" borderId="35" applyNumberFormat="0" applyAlignment="0">
      <alignment vertical="center"/>
    </xf>
    <xf numFmtId="177" fontId="248" fillId="0" borderId="0" applyFont="0" applyFill="0" applyBorder="0" applyAlignment="0" applyProtection="0"/>
    <xf numFmtId="187" fontId="161" fillId="0" borderId="0" applyFont="0" applyFill="0" applyBorder="0" applyAlignment="0" applyProtection="0"/>
    <xf numFmtId="223" fontId="161" fillId="0" borderId="0" applyFont="0" applyFill="0" applyBorder="0" applyAlignment="0" applyProtection="0"/>
    <xf numFmtId="14" fontId="225" fillId="0" borderId="0" applyFill="0" applyBorder="0" applyAlignment="0"/>
    <xf numFmtId="0" fontId="161" fillId="98" borderId="0" applyFont="0" applyFill="0" applyBorder="0" applyAlignment="0" applyProtection="0"/>
    <xf numFmtId="0" fontId="161" fillId="98" borderId="0" applyFont="0" applyFill="0" applyBorder="0" applyAlignment="0" applyProtection="0"/>
    <xf numFmtId="224" fontId="162" fillId="109" borderId="0" applyNumberFormat="0" applyBorder="0" applyAlignment="0" applyProtection="0"/>
    <xf numFmtId="177" fontId="210" fillId="0" borderId="0">
      <alignment horizontal="center"/>
    </xf>
    <xf numFmtId="38" fontId="190" fillId="0" borderId="0" applyFont="0" applyFill="0" applyBorder="0" applyAlignment="0" applyProtection="0"/>
    <xf numFmtId="0" fontId="254" fillId="0" borderId="0" applyFont="0" applyFill="0" applyBorder="0" applyAlignment="0" applyProtection="0"/>
    <xf numFmtId="219" fontId="248" fillId="0" borderId="0" applyFill="0" applyBorder="0" applyAlignment="0"/>
    <xf numFmtId="177" fontId="248" fillId="0" borderId="0" applyFill="0" applyBorder="0" applyAlignment="0"/>
    <xf numFmtId="219" fontId="248" fillId="0" borderId="0" applyFill="0" applyBorder="0" applyAlignment="0"/>
    <xf numFmtId="221" fontId="191" fillId="0" borderId="0" applyFill="0" applyBorder="0" applyAlignment="0"/>
    <xf numFmtId="177" fontId="248" fillId="0" borderId="0" applyFill="0" applyBorder="0" applyAlignment="0"/>
    <xf numFmtId="0" fontId="60" fillId="0" borderId="0" applyFont="0" applyFill="0" applyBorder="0" applyAlignment="0" applyProtection="0"/>
    <xf numFmtId="0" fontId="255" fillId="0" borderId="0" applyNumberFormat="0" applyFill="0" applyBorder="0" applyAlignment="0" applyProtection="0"/>
    <xf numFmtId="225" fontId="161" fillId="0" borderId="0" applyFont="0" applyFill="0" applyBorder="0" applyAlignment="0" applyProtection="0"/>
    <xf numFmtId="226" fontId="256" fillId="0" borderId="0"/>
    <xf numFmtId="2" fontId="209" fillId="0" borderId="0" applyProtection="0"/>
    <xf numFmtId="224" fontId="257" fillId="0" borderId="0" applyNumberFormat="0" applyFill="0" applyBorder="0" applyAlignment="0" applyProtection="0"/>
    <xf numFmtId="0" fontId="258" fillId="78" borderId="0" applyNumberFormat="0" applyBorder="0" applyAlignment="0" applyProtection="0"/>
    <xf numFmtId="38" fontId="235" fillId="100" borderId="0" applyNumberFormat="0" applyBorder="0" applyAlignment="0" applyProtection="0"/>
    <xf numFmtId="0" fontId="207" fillId="0" borderId="111" applyNumberFormat="0" applyAlignment="0" applyProtection="0">
      <alignment horizontal="left" vertical="center"/>
    </xf>
    <xf numFmtId="0" fontId="207" fillId="0" borderId="2">
      <alignment horizontal="left" vertical="center"/>
    </xf>
    <xf numFmtId="0" fontId="207" fillId="0" borderId="2">
      <alignment horizontal="left" vertical="center"/>
    </xf>
    <xf numFmtId="0" fontId="207" fillId="0" borderId="2">
      <alignment horizontal="left" vertical="center"/>
    </xf>
    <xf numFmtId="0" fontId="207" fillId="0" borderId="2">
      <alignment horizontal="left" vertical="center"/>
    </xf>
    <xf numFmtId="14" fontId="162" fillId="101" borderId="80">
      <alignment horizontal="center" vertical="center" wrapText="1"/>
    </xf>
    <xf numFmtId="0" fontId="259" fillId="0" borderId="220" applyNumberFormat="0" applyFill="0" applyAlignment="0" applyProtection="0"/>
    <xf numFmtId="0" fontId="260" fillId="0" borderId="221" applyNumberFormat="0" applyFill="0" applyAlignment="0" applyProtection="0"/>
    <xf numFmtId="0" fontId="261" fillId="0" borderId="222" applyNumberFormat="0" applyFill="0" applyAlignment="0" applyProtection="0"/>
    <xf numFmtId="0" fontId="261" fillId="0" borderId="0" applyNumberFormat="0" applyFill="0" applyBorder="0" applyAlignment="0" applyProtection="0"/>
    <xf numFmtId="14" fontId="162" fillId="101" borderId="80">
      <alignment horizontal="center" vertical="center" wrapText="1"/>
    </xf>
    <xf numFmtId="0" fontId="209" fillId="0" borderId="0" applyNumberFormat="0" applyFont="0" applyFill="0" applyBorder="0" applyAlignment="0" applyProtection="0"/>
    <xf numFmtId="0" fontId="209" fillId="0" borderId="0" applyProtection="0"/>
    <xf numFmtId="0" fontId="262" fillId="0" borderId="0" applyNumberFormat="0" applyFill="0" applyBorder="0" applyAlignment="0" applyProtection="0">
      <alignment vertical="top"/>
      <protection locked="0"/>
    </xf>
    <xf numFmtId="0" fontId="213" fillId="0" borderId="0" applyNumberFormat="0" applyFill="0" applyBorder="0" applyAlignment="0" applyProtection="0"/>
    <xf numFmtId="0" fontId="213" fillId="0" borderId="0" applyNumberFormat="0" applyFill="0" applyBorder="0" applyAlignment="0" applyProtection="0">
      <alignment vertical="top"/>
      <protection locked="0"/>
    </xf>
    <xf numFmtId="0" fontId="263" fillId="0" borderId="0" applyNumberFormat="0" applyFill="0" applyBorder="0" applyAlignment="0" applyProtection="0">
      <alignment vertical="top"/>
      <protection locked="0"/>
    </xf>
    <xf numFmtId="0" fontId="264" fillId="0" borderId="0" applyNumberFormat="0" applyFill="0" applyBorder="0" applyAlignment="0" applyProtection="0">
      <alignment vertical="top"/>
      <protection locked="0"/>
    </xf>
    <xf numFmtId="10" fontId="235" fillId="102" borderId="1" applyNumberFormat="0" applyBorder="0" applyAlignment="0" applyProtection="0"/>
    <xf numFmtId="10" fontId="235" fillId="102" borderId="1" applyNumberFormat="0" applyBorder="0" applyAlignment="0" applyProtection="0"/>
    <xf numFmtId="10" fontId="235" fillId="102" borderId="1" applyNumberFormat="0" applyBorder="0" applyAlignment="0" applyProtection="0"/>
    <xf numFmtId="10" fontId="235" fillId="102" borderId="1" applyNumberFormat="0" applyBorder="0" applyAlignment="0" applyProtection="0"/>
    <xf numFmtId="10" fontId="235" fillId="102" borderId="1" applyNumberFormat="0" applyBorder="0" applyAlignment="0" applyProtection="0"/>
    <xf numFmtId="10" fontId="235" fillId="102" borderId="1" applyNumberFormat="0" applyBorder="0" applyAlignment="0" applyProtection="0"/>
    <xf numFmtId="224" fontId="161" fillId="97" borderId="1" applyNumberFormat="0" applyFont="0" applyAlignment="0">
      <protection locked="0"/>
    </xf>
    <xf numFmtId="224" fontId="161" fillId="97" borderId="1" applyNumberFormat="0" applyFont="0" applyAlignment="0">
      <protection locked="0"/>
    </xf>
    <xf numFmtId="224" fontId="161" fillId="97" borderId="1" applyNumberFormat="0" applyFont="0" applyAlignment="0">
      <protection locked="0"/>
    </xf>
    <xf numFmtId="224" fontId="161" fillId="97" borderId="1" applyNumberFormat="0" applyFont="0" applyAlignment="0">
      <protection locked="0"/>
    </xf>
    <xf numFmtId="224" fontId="161" fillId="97" borderId="1" applyNumberFormat="0" applyFont="0" applyAlignment="0">
      <protection locked="0"/>
    </xf>
    <xf numFmtId="224" fontId="161" fillId="97" borderId="1" applyNumberFormat="0" applyFont="0" applyAlignment="0">
      <protection locked="0"/>
    </xf>
    <xf numFmtId="224" fontId="161" fillId="97" borderId="1" applyNumberFormat="0" applyFont="0" applyAlignment="0">
      <protection locked="0"/>
    </xf>
    <xf numFmtId="224" fontId="161" fillId="97" borderId="1" applyNumberFormat="0" applyFont="0" applyAlignment="0">
      <protection locked="0"/>
    </xf>
    <xf numFmtId="224" fontId="161" fillId="97" borderId="1" applyNumberFormat="0" applyFont="0" applyAlignment="0">
      <protection locked="0"/>
    </xf>
    <xf numFmtId="224" fontId="161" fillId="97" borderId="1" applyNumberFormat="0" applyFont="0" applyAlignment="0">
      <protection locked="0"/>
    </xf>
    <xf numFmtId="224" fontId="161" fillId="97" borderId="1" applyNumberFormat="0" applyFont="0" applyAlignment="0">
      <protection locked="0"/>
    </xf>
    <xf numFmtId="224" fontId="161" fillId="97" borderId="1" applyNumberFormat="0" applyFont="0" applyAlignment="0">
      <protection locked="0"/>
    </xf>
    <xf numFmtId="9" fontId="161" fillId="97" borderId="1" applyProtection="0">
      <alignment horizontal="right"/>
    </xf>
    <xf numFmtId="9" fontId="161" fillId="97" borderId="1" applyProtection="0">
      <alignment horizontal="right"/>
    </xf>
    <xf numFmtId="9" fontId="161" fillId="97" borderId="1" applyProtection="0">
      <alignment horizontal="right"/>
    </xf>
    <xf numFmtId="9" fontId="161" fillId="97" borderId="1" applyProtection="0">
      <alignment horizontal="right"/>
    </xf>
    <xf numFmtId="9" fontId="161" fillId="97" borderId="1" applyProtection="0">
      <alignment horizontal="right"/>
    </xf>
    <xf numFmtId="9" fontId="161" fillId="97" borderId="1" applyProtection="0">
      <alignment horizontal="right"/>
    </xf>
    <xf numFmtId="196" fontId="161" fillId="97" borderId="1" applyNumberFormat="0" applyFont="0" applyAlignment="0">
      <protection locked="0"/>
    </xf>
    <xf numFmtId="196" fontId="161" fillId="97" borderId="1" applyNumberFormat="0" applyFont="0" applyAlignment="0">
      <protection locked="0"/>
    </xf>
    <xf numFmtId="196" fontId="161" fillId="97" borderId="1" applyNumberFormat="0" applyFont="0" applyAlignment="0">
      <protection locked="0"/>
    </xf>
    <xf numFmtId="196" fontId="161" fillId="97" borderId="1" applyNumberFormat="0" applyFont="0" applyAlignment="0">
      <protection locked="0"/>
    </xf>
    <xf numFmtId="196" fontId="161" fillId="97" borderId="1" applyNumberFormat="0" applyFont="0" applyAlignment="0">
      <protection locked="0"/>
    </xf>
    <xf numFmtId="196" fontId="161" fillId="97" borderId="1" applyNumberFormat="0" applyFont="0" applyAlignment="0">
      <protection locked="0"/>
    </xf>
    <xf numFmtId="196" fontId="161" fillId="97" borderId="1" applyNumberFormat="0" applyFont="0" applyAlignment="0">
      <protection locked="0"/>
    </xf>
    <xf numFmtId="196" fontId="161" fillId="97" borderId="1" applyNumberFormat="0" applyFont="0" applyAlignment="0">
      <protection locked="0"/>
    </xf>
    <xf numFmtId="38" fontId="127" fillId="0" borderId="0"/>
    <xf numFmtId="38" fontId="265" fillId="0" borderId="0"/>
    <xf numFmtId="38" fontId="266" fillId="0" borderId="0"/>
    <xf numFmtId="38" fontId="267" fillId="0" borderId="0"/>
    <xf numFmtId="0" fontId="8" fillId="0" borderId="0"/>
    <xf numFmtId="0" fontId="8" fillId="0" borderId="0"/>
    <xf numFmtId="3" fontId="268" fillId="110" borderId="1">
      <alignment vertical="center" wrapText="1"/>
    </xf>
    <xf numFmtId="219" fontId="248" fillId="0" borderId="0" applyFill="0" applyBorder="0" applyAlignment="0"/>
    <xf numFmtId="177" fontId="248" fillId="0" borderId="0" applyFill="0" applyBorder="0" applyAlignment="0"/>
    <xf numFmtId="219" fontId="248" fillId="0" borderId="0" applyFill="0" applyBorder="0" applyAlignment="0"/>
    <xf numFmtId="221" fontId="191" fillId="0" borderId="0" applyFill="0" applyBorder="0" applyAlignment="0"/>
    <xf numFmtId="177" fontId="248" fillId="0" borderId="0" applyFill="0" applyBorder="0" applyAlignment="0"/>
    <xf numFmtId="0" fontId="269" fillId="0" borderId="223" applyNumberFormat="0" applyFill="0" applyAlignment="0" applyProtection="0"/>
    <xf numFmtId="164" fontId="161" fillId="0" borderId="0" applyFont="0" applyFill="0" applyBorder="0" applyAlignment="0" applyProtection="0"/>
    <xf numFmtId="165" fontId="161" fillId="0" borderId="0" applyFont="0" applyFill="0" applyBorder="0" applyAlignment="0" applyProtection="0"/>
    <xf numFmtId="227" fontId="161" fillId="0" borderId="0" applyFont="0" applyFill="0" applyBorder="0" applyAlignment="0" applyProtection="0"/>
    <xf numFmtId="185" fontId="161" fillId="0" borderId="0" applyFont="0" applyFill="0" applyBorder="0" applyAlignment="0" applyProtection="0"/>
    <xf numFmtId="187" fontId="161" fillId="0" borderId="0" applyFont="0" applyFill="0" applyBorder="0" applyAlignment="0" applyProtection="0"/>
    <xf numFmtId="228" fontId="161" fillId="0" borderId="0" applyFont="0" applyFill="0" applyBorder="0" applyAlignment="0" applyProtection="0"/>
    <xf numFmtId="0" fontId="270" fillId="103" borderId="0" applyNumberFormat="0" applyBorder="0" applyAlignment="0" applyProtection="0"/>
    <xf numFmtId="0" fontId="271" fillId="0" borderId="0"/>
    <xf numFmtId="0" fontId="161" fillId="0" borderId="0"/>
    <xf numFmtId="0" fontId="161" fillId="0" borderId="0"/>
    <xf numFmtId="0" fontId="164" fillId="0" borderId="0"/>
    <xf numFmtId="0" fontId="161" fillId="0" borderId="0"/>
    <xf numFmtId="0" fontId="161" fillId="0" borderId="0"/>
    <xf numFmtId="0" fontId="161" fillId="0" borderId="0"/>
    <xf numFmtId="0" fontId="164" fillId="0" borderId="0"/>
    <xf numFmtId="0" fontId="161" fillId="0" borderId="0"/>
    <xf numFmtId="0" fontId="164" fillId="0" borderId="0"/>
    <xf numFmtId="0" fontId="164" fillId="0" borderId="0"/>
    <xf numFmtId="0" fontId="164" fillId="0" borderId="0"/>
    <xf numFmtId="0" fontId="164" fillId="0" borderId="0"/>
    <xf numFmtId="0" fontId="164" fillId="0" borderId="0"/>
    <xf numFmtId="0" fontId="86" fillId="0" borderId="0"/>
    <xf numFmtId="0" fontId="161" fillId="0" borderId="0"/>
    <xf numFmtId="0" fontId="164"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1" fillId="0" borderId="0"/>
    <xf numFmtId="0" fontId="164" fillId="0" borderId="0"/>
    <xf numFmtId="0" fontId="164" fillId="0" borderId="0"/>
    <xf numFmtId="0" fontId="86" fillId="0" borderId="0"/>
    <xf numFmtId="0" fontId="272" fillId="0" borderId="0"/>
    <xf numFmtId="0" fontId="86" fillId="104" borderId="225" applyNumberFormat="0" applyFont="0" applyAlignment="0" applyProtection="0"/>
    <xf numFmtId="0" fontId="86" fillId="104" borderId="225" applyNumberFormat="0" applyFont="0" applyAlignment="0" applyProtection="0"/>
    <xf numFmtId="0" fontId="86" fillId="104" borderId="225" applyNumberFormat="0" applyFont="0" applyAlignment="0" applyProtection="0"/>
    <xf numFmtId="0" fontId="86" fillId="104" borderId="225" applyNumberFormat="0" applyFont="0" applyAlignment="0" applyProtection="0"/>
    <xf numFmtId="0" fontId="86" fillId="104" borderId="225" applyNumberFormat="0" applyFont="0" applyAlignment="0" applyProtection="0"/>
    <xf numFmtId="0" fontId="86" fillId="104" borderId="225" applyNumberFormat="0" applyFont="0" applyAlignment="0" applyProtection="0"/>
    <xf numFmtId="0" fontId="86" fillId="104" borderId="225" applyNumberFormat="0" applyFont="0" applyAlignment="0" applyProtection="0"/>
    <xf numFmtId="0" fontId="86" fillId="104" borderId="225" applyNumberFormat="0" applyFont="0" applyAlignment="0" applyProtection="0"/>
    <xf numFmtId="0" fontId="86" fillId="104" borderId="225" applyNumberFormat="0" applyFont="0" applyAlignment="0" applyProtection="0"/>
    <xf numFmtId="0" fontId="86" fillId="104" borderId="225" applyNumberFormat="0" applyFont="0" applyAlignment="0" applyProtection="0"/>
    <xf numFmtId="0" fontId="86" fillId="104" borderId="225" applyNumberFormat="0" applyFont="0" applyAlignment="0" applyProtection="0"/>
    <xf numFmtId="0" fontId="86" fillId="104" borderId="225" applyNumberFormat="0" applyFont="0" applyAlignment="0" applyProtection="0"/>
    <xf numFmtId="0" fontId="86" fillId="104" borderId="225" applyNumberFormat="0" applyFont="0" applyAlignment="0" applyProtection="0"/>
    <xf numFmtId="0" fontId="86" fillId="104" borderId="225" applyNumberFormat="0" applyFont="0" applyAlignment="0" applyProtection="0"/>
    <xf numFmtId="0" fontId="86" fillId="104" borderId="225" applyNumberFormat="0" applyFont="0" applyAlignment="0" applyProtection="0"/>
    <xf numFmtId="0" fontId="86" fillId="104" borderId="225" applyNumberFormat="0" applyFont="0" applyAlignment="0" applyProtection="0"/>
    <xf numFmtId="0" fontId="86" fillId="104" borderId="225" applyNumberFormat="0" applyFont="0" applyAlignment="0" applyProtection="0"/>
    <xf numFmtId="0" fontId="86" fillId="104" borderId="225" applyNumberFormat="0" applyFont="0" applyAlignment="0" applyProtection="0"/>
    <xf numFmtId="0" fontId="86" fillId="104" borderId="225" applyNumberFormat="0" applyFont="0" applyAlignment="0" applyProtection="0"/>
    <xf numFmtId="217" fontId="161" fillId="99" borderId="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4" fillId="98" borderId="0"/>
    <xf numFmtId="220" fontId="191" fillId="0" borderId="0" applyFont="0" applyFill="0" applyBorder="0" applyAlignment="0" applyProtection="0"/>
    <xf numFmtId="184" fontId="248" fillId="0" borderId="0" applyFont="0" applyFill="0" applyBorder="0" applyAlignment="0" applyProtection="0"/>
    <xf numFmtId="9" fontId="161" fillId="0" borderId="0" applyFont="0" applyFill="0" applyBorder="0" applyAlignment="0" applyProtection="0"/>
    <xf numFmtId="9" fontId="161" fillId="0" borderId="0" applyFont="0" applyFill="0" applyBorder="0" applyAlignment="0" applyProtection="0"/>
    <xf numFmtId="9" fontId="164" fillId="0" borderId="0" applyFont="0" applyFill="0" applyBorder="0" applyAlignment="0" applyProtection="0"/>
    <xf numFmtId="9" fontId="161" fillId="0" borderId="0" applyFont="0" applyFill="0" applyBorder="0" applyAlignment="0" applyProtection="0"/>
    <xf numFmtId="9" fontId="161" fillId="0" borderId="0" applyFont="0" applyFill="0" applyBorder="0" applyAlignment="0" applyProtection="0"/>
    <xf numFmtId="9" fontId="161" fillId="0" borderId="0" applyFont="0" applyFill="0" applyBorder="0" applyAlignment="0" applyProtection="0"/>
    <xf numFmtId="170" fontId="161" fillId="0" borderId="0" applyFont="0" applyFill="0" applyBorder="0" applyAlignment="0" applyProtection="0"/>
    <xf numFmtId="9" fontId="164" fillId="0" borderId="0" applyFont="0" applyFill="0" applyBorder="0" applyAlignment="0" applyProtection="0"/>
    <xf numFmtId="9" fontId="86" fillId="0" borderId="0" applyFont="0" applyFill="0" applyBorder="0" applyAlignment="0" applyProtection="0"/>
    <xf numFmtId="10" fontId="161" fillId="97" borderId="1" applyFont="0" applyFill="0" applyBorder="0" applyAlignment="0" applyProtection="0">
      <protection locked="0"/>
    </xf>
    <xf numFmtId="10" fontId="161" fillId="97" borderId="1" applyFont="0" applyFill="0" applyBorder="0" applyAlignment="0" applyProtection="0">
      <protection locked="0"/>
    </xf>
    <xf numFmtId="10" fontId="161" fillId="97" borderId="1" applyFont="0" applyFill="0" applyBorder="0" applyAlignment="0" applyProtection="0">
      <protection locked="0"/>
    </xf>
    <xf numFmtId="10" fontId="161" fillId="97" borderId="1" applyFont="0" applyFill="0" applyBorder="0" applyAlignment="0" applyProtection="0">
      <protection locked="0"/>
    </xf>
    <xf numFmtId="10" fontId="161" fillId="97" borderId="1" applyFont="0" applyFill="0" applyBorder="0" applyAlignment="0" applyProtection="0">
      <protection locked="0"/>
    </xf>
    <xf numFmtId="10" fontId="161" fillId="97" borderId="1" applyFont="0" applyFill="0" applyBorder="0" applyAlignment="0" applyProtection="0">
      <protection locked="0"/>
    </xf>
    <xf numFmtId="2" fontId="257" fillId="0" borderId="0" applyNumberFormat="0"/>
    <xf numFmtId="207" fontId="166" fillId="0" borderId="0"/>
    <xf numFmtId="208" fontId="166" fillId="0" borderId="0"/>
    <xf numFmtId="219" fontId="248" fillId="0" borderId="0" applyFill="0" applyBorder="0" applyAlignment="0"/>
    <xf numFmtId="177" fontId="248" fillId="0" borderId="0" applyFill="0" applyBorder="0" applyAlignment="0"/>
    <xf numFmtId="219" fontId="248" fillId="0" borderId="0" applyFill="0" applyBorder="0" applyAlignment="0"/>
    <xf numFmtId="221" fontId="191" fillId="0" borderId="0" applyFill="0" applyBorder="0" applyAlignment="0"/>
    <xf numFmtId="177" fontId="248" fillId="0" borderId="0" applyFill="0" applyBorder="0" applyAlignment="0"/>
    <xf numFmtId="3" fontId="256" fillId="0" borderId="0"/>
    <xf numFmtId="0" fontId="275" fillId="111" borderId="0">
      <alignment horizontal="left"/>
    </xf>
    <xf numFmtId="170" fontId="276" fillId="0" borderId="0">
      <alignment horizontal="right"/>
    </xf>
    <xf numFmtId="4" fontId="225" fillId="112" borderId="242" applyNumberFormat="0" applyProtection="0">
      <alignment horizontal="right" vertical="center"/>
    </xf>
    <xf numFmtId="4" fontId="225" fillId="112" borderId="242" applyNumberFormat="0" applyProtection="0">
      <alignment horizontal="right" vertical="center"/>
    </xf>
    <xf numFmtId="4" fontId="225" fillId="112" borderId="242" applyNumberFormat="0" applyProtection="0">
      <alignment horizontal="right" vertical="center"/>
    </xf>
    <xf numFmtId="4" fontId="225" fillId="112" borderId="242" applyNumberFormat="0" applyProtection="0">
      <alignment horizontal="right" vertical="center"/>
    </xf>
    <xf numFmtId="4" fontId="225" fillId="112" borderId="242" applyNumberFormat="0" applyProtection="0">
      <alignment horizontal="right" vertical="center"/>
    </xf>
    <xf numFmtId="4" fontId="225" fillId="112" borderId="242" applyNumberFormat="0" applyProtection="0">
      <alignment horizontal="right" vertical="center"/>
    </xf>
    <xf numFmtId="4" fontId="225" fillId="112" borderId="242" applyNumberFormat="0" applyProtection="0">
      <alignment horizontal="right" vertical="center"/>
    </xf>
    <xf numFmtId="4" fontId="225" fillId="112" borderId="242" applyNumberFormat="0" applyProtection="0">
      <alignment horizontal="right" vertical="center"/>
    </xf>
    <xf numFmtId="4" fontId="225" fillId="112" borderId="242" applyNumberFormat="0" applyProtection="0">
      <alignment horizontal="right" vertical="center"/>
    </xf>
    <xf numFmtId="0" fontId="277" fillId="0" borderId="0"/>
    <xf numFmtId="229" fontId="278" fillId="0" borderId="0">
      <alignment horizontal="right"/>
    </xf>
    <xf numFmtId="230" fontId="276" fillId="0" borderId="0">
      <alignment horizontal="right"/>
    </xf>
    <xf numFmtId="170" fontId="279" fillId="0" borderId="0">
      <alignment horizontal="right"/>
    </xf>
    <xf numFmtId="0" fontId="278" fillId="0" borderId="0"/>
    <xf numFmtId="170" fontId="280" fillId="0" borderId="0">
      <alignment horizontal="right"/>
    </xf>
    <xf numFmtId="0" fontId="161" fillId="0" borderId="0"/>
    <xf numFmtId="0" fontId="281" fillId="0" borderId="0"/>
    <xf numFmtId="229" fontId="278" fillId="0" borderId="0">
      <alignment horizontal="right"/>
    </xf>
    <xf numFmtId="0" fontId="166" fillId="0" borderId="0"/>
    <xf numFmtId="0" fontId="190" fillId="0" borderId="0" applyNumberFormat="0" applyFont="0" applyFill="0" applyBorder="0" applyAlignment="0" applyProtection="0">
      <alignment vertical="top"/>
    </xf>
    <xf numFmtId="0" fontId="191" fillId="0" borderId="0"/>
    <xf numFmtId="231" fontId="278" fillId="0" borderId="0">
      <alignment horizontal="right"/>
    </xf>
    <xf numFmtId="177" fontId="282" fillId="98" borderId="0">
      <alignment horizontal="left"/>
    </xf>
    <xf numFmtId="49" fontId="225" fillId="0" borderId="0" applyFill="0" applyBorder="0" applyAlignment="0"/>
    <xf numFmtId="232" fontId="191" fillId="0" borderId="0" applyFill="0" applyBorder="0" applyAlignment="0"/>
    <xf numFmtId="233" fontId="191" fillId="0" borderId="0" applyFill="0" applyBorder="0" applyAlignment="0"/>
    <xf numFmtId="0" fontId="283" fillId="0" borderId="0" applyFill="0" applyBorder="0" applyProtection="0">
      <alignment horizontal="left" vertical="top"/>
    </xf>
    <xf numFmtId="20" fontId="282" fillId="98" borderId="0">
      <alignment horizontal="left"/>
    </xf>
    <xf numFmtId="0" fontId="284" fillId="0" borderId="0" applyNumberFormat="0" applyFill="0" applyBorder="0" applyAlignment="0" applyProtection="0"/>
    <xf numFmtId="0" fontId="285" fillId="98" borderId="0">
      <alignment horizontal="left"/>
    </xf>
    <xf numFmtId="0" fontId="285" fillId="98" borderId="0">
      <alignment horizontal="left"/>
    </xf>
    <xf numFmtId="224" fontId="286" fillId="0" borderId="0" applyNumberFormat="0" applyFill="0" applyBorder="0" applyAlignment="0" applyProtection="0"/>
    <xf numFmtId="234" fontId="256" fillId="0" borderId="0"/>
    <xf numFmtId="0" fontId="287" fillId="0" borderId="227" applyNumberFormat="0" applyFill="0" applyAlignment="0" applyProtection="0"/>
    <xf numFmtId="0" fontId="209" fillId="0" borderId="214" applyProtection="0"/>
    <xf numFmtId="0" fontId="209" fillId="0" borderId="214" applyProtection="0"/>
    <xf numFmtId="0" fontId="209" fillId="0" borderId="214" applyProtection="0"/>
    <xf numFmtId="0" fontId="209" fillId="0" borderId="214" applyProtection="0"/>
    <xf numFmtId="0" fontId="209" fillId="0" borderId="214" applyProtection="0"/>
    <xf numFmtId="0" fontId="209" fillId="0" borderId="214" applyProtection="0"/>
    <xf numFmtId="0" fontId="209" fillId="0" borderId="214" applyProtection="0"/>
    <xf numFmtId="0" fontId="209" fillId="0" borderId="214" applyProtection="0"/>
    <xf numFmtId="0" fontId="209" fillId="0" borderId="214" applyProtection="0"/>
    <xf numFmtId="0" fontId="209" fillId="0" borderId="214" applyProtection="0"/>
    <xf numFmtId="0" fontId="209" fillId="0" borderId="214" applyProtection="0"/>
    <xf numFmtId="0" fontId="209" fillId="0" borderId="214"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214" fontId="288" fillId="0" borderId="0"/>
    <xf numFmtId="214" fontId="289" fillId="0" borderId="0"/>
    <xf numFmtId="235" fontId="163" fillId="0" borderId="0" applyFont="0" applyFill="0" applyBorder="0" applyAlignment="0" applyProtection="0"/>
    <xf numFmtId="173" fontId="161" fillId="0" borderId="0" applyFont="0" applyFill="0" applyBorder="0" applyAlignment="0" applyProtection="0"/>
    <xf numFmtId="174" fontId="161" fillId="0" borderId="0" applyFont="0" applyFill="0" applyBorder="0" applyAlignment="0" applyProtection="0"/>
    <xf numFmtId="215" fontId="190" fillId="0" borderId="0" applyFont="0" applyFill="0" applyBorder="0" applyAlignment="0" applyProtection="0"/>
    <xf numFmtId="216" fontId="190" fillId="0" borderId="0" applyFont="0" applyFill="0" applyBorder="0" applyAlignment="0" applyProtection="0"/>
    <xf numFmtId="0" fontId="290" fillId="0" borderId="0" applyNumberFormat="0" applyFill="0" applyBorder="0" applyAlignment="0" applyProtection="0"/>
    <xf numFmtId="0" fontId="161" fillId="84" borderId="0" applyNumberFormat="0" applyBorder="0" applyAlignment="0" applyProtection="0"/>
    <xf numFmtId="10" fontId="161" fillId="113" borderId="1" applyNumberFormat="0" applyFont="0" applyBorder="0" applyAlignment="0" applyProtection="0">
      <protection locked="0"/>
    </xf>
    <xf numFmtId="10" fontId="161" fillId="113" borderId="1" applyNumberFormat="0" applyFont="0" applyBorder="0" applyAlignment="0" applyProtection="0">
      <protection locked="0"/>
    </xf>
    <xf numFmtId="10" fontId="161" fillId="113" borderId="1" applyNumberFormat="0" applyFont="0" applyBorder="0" applyAlignment="0" applyProtection="0">
      <protection locked="0"/>
    </xf>
    <xf numFmtId="10" fontId="161" fillId="113" borderId="1" applyNumberFormat="0" applyFont="0" applyBorder="0" applyAlignment="0" applyProtection="0">
      <protection locked="0"/>
    </xf>
    <xf numFmtId="10" fontId="161" fillId="113" borderId="1" applyNumberFormat="0" applyFont="0" applyBorder="0" applyAlignment="0" applyProtection="0">
      <protection locked="0"/>
    </xf>
    <xf numFmtId="10" fontId="161" fillId="113" borderId="1" applyNumberFormat="0" applyFont="0" applyBorder="0" applyAlignment="0" applyProtection="0">
      <protection locked="0"/>
    </xf>
    <xf numFmtId="236" fontId="161" fillId="0" borderId="0" applyFont="0" applyFill="0" applyBorder="0" applyAlignment="0" applyProtection="0"/>
    <xf numFmtId="0" fontId="245" fillId="90" borderId="0" applyNumberFormat="0" applyBorder="0" applyAlignment="0" applyProtection="0"/>
    <xf numFmtId="0" fontId="245" fillId="90" borderId="0" applyNumberFormat="0" applyBorder="0" applyAlignment="0" applyProtection="0"/>
    <xf numFmtId="0" fontId="245" fillId="90" borderId="0" applyNumberFormat="0" applyBorder="0" applyAlignment="0" applyProtection="0"/>
    <xf numFmtId="0" fontId="245" fillId="90" borderId="0" applyNumberFormat="0" applyBorder="0" applyAlignment="0" applyProtection="0"/>
    <xf numFmtId="0" fontId="245" fillId="90" borderId="0" applyNumberFormat="0" applyBorder="0" applyAlignment="0" applyProtection="0"/>
    <xf numFmtId="0" fontId="245" fillId="90" borderId="0" applyNumberFormat="0" applyBorder="0" applyAlignment="0" applyProtection="0"/>
    <xf numFmtId="0" fontId="245" fillId="90" borderId="0" applyNumberFormat="0" applyBorder="0" applyAlignment="0" applyProtection="0"/>
    <xf numFmtId="0" fontId="245" fillId="90" borderId="0" applyNumberFormat="0" applyBorder="0" applyAlignment="0" applyProtection="0"/>
    <xf numFmtId="0" fontId="245" fillId="90" borderId="0" applyNumberFormat="0" applyBorder="0" applyAlignment="0" applyProtection="0"/>
    <xf numFmtId="0" fontId="245" fillId="90" borderId="0" applyNumberFormat="0" applyBorder="0" applyAlignment="0" applyProtection="0"/>
    <xf numFmtId="0" fontId="245" fillId="90" borderId="0" applyNumberFormat="0" applyBorder="0" applyAlignment="0" applyProtection="0"/>
    <xf numFmtId="0" fontId="245" fillId="90" borderId="0" applyNumberFormat="0" applyBorder="0" applyAlignment="0" applyProtection="0"/>
    <xf numFmtId="0" fontId="245" fillId="91" borderId="0" applyNumberFormat="0" applyBorder="0" applyAlignment="0" applyProtection="0"/>
    <xf numFmtId="0" fontId="245" fillId="91" borderId="0" applyNumberFormat="0" applyBorder="0" applyAlignment="0" applyProtection="0"/>
    <xf numFmtId="0" fontId="245" fillId="91" borderId="0" applyNumberFormat="0" applyBorder="0" applyAlignment="0" applyProtection="0"/>
    <xf numFmtId="0" fontId="245" fillId="91" borderId="0" applyNumberFormat="0" applyBorder="0" applyAlignment="0" applyProtection="0"/>
    <xf numFmtId="0" fontId="245" fillId="91" borderId="0" applyNumberFormat="0" applyBorder="0" applyAlignment="0" applyProtection="0"/>
    <xf numFmtId="0" fontId="245" fillId="91" borderId="0" applyNumberFormat="0" applyBorder="0" applyAlignment="0" applyProtection="0"/>
    <xf numFmtId="0" fontId="245" fillId="91" borderId="0" applyNumberFormat="0" applyBorder="0" applyAlignment="0" applyProtection="0"/>
    <xf numFmtId="0" fontId="245" fillId="91" borderId="0" applyNumberFormat="0" applyBorder="0" applyAlignment="0" applyProtection="0"/>
    <xf numFmtId="0" fontId="245" fillId="91" borderId="0" applyNumberFormat="0" applyBorder="0" applyAlignment="0" applyProtection="0"/>
    <xf numFmtId="0" fontId="245" fillId="91" borderId="0" applyNumberFormat="0" applyBorder="0" applyAlignment="0" applyProtection="0"/>
    <xf numFmtId="0" fontId="245" fillId="91" borderId="0" applyNumberFormat="0" applyBorder="0" applyAlignment="0" applyProtection="0"/>
    <xf numFmtId="0" fontId="245" fillId="91" borderId="0" applyNumberFormat="0" applyBorder="0" applyAlignment="0" applyProtection="0"/>
    <xf numFmtId="0" fontId="245" fillId="92" borderId="0" applyNumberFormat="0" applyBorder="0" applyAlignment="0" applyProtection="0"/>
    <xf numFmtId="0" fontId="245" fillId="92" borderId="0" applyNumberFormat="0" applyBorder="0" applyAlignment="0" applyProtection="0"/>
    <xf numFmtId="0" fontId="245" fillId="92" borderId="0" applyNumberFormat="0" applyBorder="0" applyAlignment="0" applyProtection="0"/>
    <xf numFmtId="0" fontId="245" fillId="92" borderId="0" applyNumberFormat="0" applyBorder="0" applyAlignment="0" applyProtection="0"/>
    <xf numFmtId="0" fontId="245" fillId="92" borderId="0" applyNumberFormat="0" applyBorder="0" applyAlignment="0" applyProtection="0"/>
    <xf numFmtId="0" fontId="245" fillId="92" borderId="0" applyNumberFormat="0" applyBorder="0" applyAlignment="0" applyProtection="0"/>
    <xf numFmtId="0" fontId="245" fillId="92" borderId="0" applyNumberFormat="0" applyBorder="0" applyAlignment="0" applyProtection="0"/>
    <xf numFmtId="0" fontId="245" fillId="92" borderId="0" applyNumberFormat="0" applyBorder="0" applyAlignment="0" applyProtection="0"/>
    <xf numFmtId="0" fontId="245" fillId="92" borderId="0" applyNumberFormat="0" applyBorder="0" applyAlignment="0" applyProtection="0"/>
    <xf numFmtId="0" fontId="245" fillId="92" borderId="0" applyNumberFormat="0" applyBorder="0" applyAlignment="0" applyProtection="0"/>
    <xf numFmtId="0" fontId="245" fillId="92" borderId="0" applyNumberFormat="0" applyBorder="0" applyAlignment="0" applyProtection="0"/>
    <xf numFmtId="0" fontId="245" fillId="92" borderId="0" applyNumberFormat="0" applyBorder="0" applyAlignment="0" applyProtection="0"/>
    <xf numFmtId="0" fontId="245" fillId="87" borderId="0" applyNumberFormat="0" applyBorder="0" applyAlignment="0" applyProtection="0"/>
    <xf numFmtId="0" fontId="245" fillId="87" borderId="0" applyNumberFormat="0" applyBorder="0" applyAlignment="0" applyProtection="0"/>
    <xf numFmtId="0" fontId="245" fillId="87" borderId="0" applyNumberFormat="0" applyBorder="0" applyAlignment="0" applyProtection="0"/>
    <xf numFmtId="0" fontId="245" fillId="87" borderId="0" applyNumberFormat="0" applyBorder="0" applyAlignment="0" applyProtection="0"/>
    <xf numFmtId="0" fontId="245" fillId="87" borderId="0" applyNumberFormat="0" applyBorder="0" applyAlignment="0" applyProtection="0"/>
    <xf numFmtId="0" fontId="245" fillId="87" borderId="0" applyNumberFormat="0" applyBorder="0" applyAlignment="0" applyProtection="0"/>
    <xf numFmtId="0" fontId="245" fillId="87" borderId="0" applyNumberFormat="0" applyBorder="0" applyAlignment="0" applyProtection="0"/>
    <xf numFmtId="0" fontId="245" fillId="87" borderId="0" applyNumberFormat="0" applyBorder="0" applyAlignment="0" applyProtection="0"/>
    <xf numFmtId="0" fontId="245" fillId="87" borderId="0" applyNumberFormat="0" applyBorder="0" applyAlignment="0" applyProtection="0"/>
    <xf numFmtId="0" fontId="245" fillId="87" borderId="0" applyNumberFormat="0" applyBorder="0" applyAlignment="0" applyProtection="0"/>
    <xf numFmtId="0" fontId="245" fillId="87" borderId="0" applyNumberFormat="0" applyBorder="0" applyAlignment="0" applyProtection="0"/>
    <xf numFmtId="0" fontId="245" fillId="87" borderId="0" applyNumberFormat="0" applyBorder="0" applyAlignment="0" applyProtection="0"/>
    <xf numFmtId="0" fontId="245" fillId="88" borderId="0" applyNumberFormat="0" applyBorder="0" applyAlignment="0" applyProtection="0"/>
    <xf numFmtId="0" fontId="245" fillId="88" borderId="0" applyNumberFormat="0" applyBorder="0" applyAlignment="0" applyProtection="0"/>
    <xf numFmtId="0" fontId="245" fillId="88" borderId="0" applyNumberFormat="0" applyBorder="0" applyAlignment="0" applyProtection="0"/>
    <xf numFmtId="0" fontId="245" fillId="88" borderId="0" applyNumberFormat="0" applyBorder="0" applyAlignment="0" applyProtection="0"/>
    <xf numFmtId="0" fontId="245" fillId="88" borderId="0" applyNumberFormat="0" applyBorder="0" applyAlignment="0" applyProtection="0"/>
    <xf numFmtId="0" fontId="245" fillId="88" borderId="0" applyNumberFormat="0" applyBorder="0" applyAlignment="0" applyProtection="0"/>
    <xf numFmtId="0" fontId="245" fillId="88" borderId="0" applyNumberFormat="0" applyBorder="0" applyAlignment="0" applyProtection="0"/>
    <xf numFmtId="0" fontId="245" fillId="88" borderId="0" applyNumberFormat="0" applyBorder="0" applyAlignment="0" applyProtection="0"/>
    <xf numFmtId="0" fontId="245" fillId="88" borderId="0" applyNumberFormat="0" applyBorder="0" applyAlignment="0" applyProtection="0"/>
    <xf numFmtId="0" fontId="245" fillId="88" borderId="0" applyNumberFormat="0" applyBorder="0" applyAlignment="0" applyProtection="0"/>
    <xf numFmtId="0" fontId="245" fillId="88" borderId="0" applyNumberFormat="0" applyBorder="0" applyAlignment="0" applyProtection="0"/>
    <xf numFmtId="0" fontId="245" fillId="88" borderId="0" applyNumberFormat="0" applyBorder="0" applyAlignment="0" applyProtection="0"/>
    <xf numFmtId="0" fontId="245" fillId="93" borderId="0" applyNumberFormat="0" applyBorder="0" applyAlignment="0" applyProtection="0"/>
    <xf numFmtId="0" fontId="245" fillId="93" borderId="0" applyNumberFormat="0" applyBorder="0" applyAlignment="0" applyProtection="0"/>
    <xf numFmtId="0" fontId="245" fillId="93" borderId="0" applyNumberFormat="0" applyBorder="0" applyAlignment="0" applyProtection="0"/>
    <xf numFmtId="0" fontId="245" fillId="93" borderId="0" applyNumberFormat="0" applyBorder="0" applyAlignment="0" applyProtection="0"/>
    <xf numFmtId="0" fontId="245" fillId="93" borderId="0" applyNumberFormat="0" applyBorder="0" applyAlignment="0" applyProtection="0"/>
    <xf numFmtId="0" fontId="245" fillId="93" borderId="0" applyNumberFormat="0" applyBorder="0" applyAlignment="0" applyProtection="0"/>
    <xf numFmtId="0" fontId="245" fillId="93" borderId="0" applyNumberFormat="0" applyBorder="0" applyAlignment="0" applyProtection="0"/>
    <xf numFmtId="0" fontId="245" fillId="93" borderId="0" applyNumberFormat="0" applyBorder="0" applyAlignment="0" applyProtection="0"/>
    <xf numFmtId="0" fontId="245" fillId="93" borderId="0" applyNumberFormat="0" applyBorder="0" applyAlignment="0" applyProtection="0"/>
    <xf numFmtId="0" fontId="245" fillId="93" borderId="0" applyNumberFormat="0" applyBorder="0" applyAlignment="0" applyProtection="0"/>
    <xf numFmtId="0" fontId="245" fillId="93" borderId="0" applyNumberFormat="0" applyBorder="0" applyAlignment="0" applyProtection="0"/>
    <xf numFmtId="0" fontId="245" fillId="93" borderId="0" applyNumberFormat="0" applyBorder="0" applyAlignment="0" applyProtection="0"/>
    <xf numFmtId="0" fontId="291" fillId="81" borderId="216" applyNumberFormat="0" applyAlignment="0" applyProtection="0"/>
    <xf numFmtId="0" fontId="291" fillId="81" borderId="216" applyNumberFormat="0" applyAlignment="0" applyProtection="0"/>
    <xf numFmtId="0" fontId="291" fillId="81" borderId="216" applyNumberFormat="0" applyAlignment="0" applyProtection="0"/>
    <xf numFmtId="0" fontId="291" fillId="81" borderId="216" applyNumberFormat="0" applyAlignment="0" applyProtection="0"/>
    <xf numFmtId="0" fontId="291" fillId="81" borderId="216" applyNumberFormat="0" applyAlignment="0" applyProtection="0"/>
    <xf numFmtId="0" fontId="291" fillId="81" borderId="216" applyNumberFormat="0" applyAlignment="0" applyProtection="0"/>
    <xf numFmtId="0" fontId="291" fillId="81" borderId="216" applyNumberFormat="0" applyAlignment="0" applyProtection="0"/>
    <xf numFmtId="0" fontId="291" fillId="81" borderId="216" applyNumberFormat="0" applyAlignment="0" applyProtection="0"/>
    <xf numFmtId="0" fontId="291" fillId="81" borderId="216" applyNumberFormat="0" applyAlignment="0" applyProtection="0"/>
    <xf numFmtId="0" fontId="291" fillId="81" borderId="216" applyNumberFormat="0" applyAlignment="0" applyProtection="0"/>
    <xf numFmtId="0" fontId="291" fillId="81" borderId="216" applyNumberFormat="0" applyAlignment="0" applyProtection="0"/>
    <xf numFmtId="0" fontId="291" fillId="81" borderId="216" applyNumberFormat="0" applyAlignment="0" applyProtection="0"/>
    <xf numFmtId="0" fontId="291" fillId="81" borderId="216" applyNumberFormat="0" applyAlignment="0" applyProtection="0"/>
    <xf numFmtId="0" fontId="291" fillId="81" borderId="216" applyNumberFormat="0" applyAlignment="0" applyProtection="0"/>
    <xf numFmtId="0" fontId="291" fillId="81" borderId="216" applyNumberFormat="0" applyAlignment="0" applyProtection="0"/>
    <xf numFmtId="0" fontId="291" fillId="81" borderId="216" applyNumberFormat="0" applyAlignment="0" applyProtection="0"/>
    <xf numFmtId="0" fontId="291" fillId="81" borderId="216" applyNumberFormat="0" applyAlignment="0" applyProtection="0"/>
    <xf numFmtId="0" fontId="291" fillId="81" borderId="216" applyNumberFormat="0" applyAlignment="0" applyProtection="0"/>
    <xf numFmtId="0" fontId="291" fillId="81" borderId="216" applyNumberFormat="0" applyAlignment="0" applyProtection="0"/>
    <xf numFmtId="0" fontId="291" fillId="81" borderId="216" applyNumberFormat="0" applyAlignment="0" applyProtection="0"/>
    <xf numFmtId="0" fontId="291" fillId="81" borderId="216" applyNumberFormat="0" applyAlignment="0" applyProtection="0"/>
    <xf numFmtId="0" fontId="291" fillId="81" borderId="216" applyNumberFormat="0" applyAlignment="0" applyProtection="0"/>
    <xf numFmtId="0" fontId="291" fillId="81" borderId="216" applyNumberFormat="0" applyAlignment="0" applyProtection="0"/>
    <xf numFmtId="0" fontId="291" fillId="81" borderId="216" applyNumberFormat="0" applyAlignment="0" applyProtection="0"/>
    <xf numFmtId="0" fontId="291" fillId="81" borderId="216" applyNumberFormat="0" applyAlignment="0" applyProtection="0"/>
    <xf numFmtId="0" fontId="291" fillId="81" borderId="216" applyNumberFormat="0" applyAlignment="0" applyProtection="0"/>
    <xf numFmtId="0" fontId="291" fillId="81" borderId="216" applyNumberFormat="0" applyAlignment="0" applyProtection="0"/>
    <xf numFmtId="0" fontId="291" fillId="81" borderId="216" applyNumberFormat="0" applyAlignment="0" applyProtection="0"/>
    <xf numFmtId="0" fontId="291" fillId="81" borderId="216" applyNumberFormat="0" applyAlignment="0" applyProtection="0"/>
    <xf numFmtId="0" fontId="291" fillId="81" borderId="216" applyNumberFormat="0" applyAlignment="0" applyProtection="0"/>
    <xf numFmtId="0" fontId="291" fillId="81" borderId="216" applyNumberFormat="0" applyAlignment="0" applyProtection="0"/>
    <xf numFmtId="0" fontId="291" fillId="81" borderId="216" applyNumberFormat="0" applyAlignment="0" applyProtection="0"/>
    <xf numFmtId="0" fontId="291" fillId="81" borderId="216" applyNumberFormat="0" applyAlignment="0" applyProtection="0"/>
    <xf numFmtId="0" fontId="291" fillId="81" borderId="216" applyNumberFormat="0" applyAlignment="0" applyProtection="0"/>
    <xf numFmtId="0" fontId="291" fillId="81" borderId="216" applyNumberFormat="0" applyAlignment="0" applyProtection="0"/>
    <xf numFmtId="0" fontId="291" fillId="81" borderId="216" applyNumberFormat="0" applyAlignment="0" applyProtection="0"/>
    <xf numFmtId="0" fontId="291" fillId="81" borderId="216" applyNumberFormat="0" applyAlignment="0" applyProtection="0"/>
    <xf numFmtId="0" fontId="291" fillId="81" borderId="216" applyNumberFormat="0" applyAlignment="0" applyProtection="0"/>
    <xf numFmtId="0" fontId="291" fillId="81" borderId="216" applyNumberFormat="0" applyAlignment="0" applyProtection="0"/>
    <xf numFmtId="0" fontId="291" fillId="81" borderId="216" applyNumberFormat="0" applyAlignment="0" applyProtection="0"/>
    <xf numFmtId="0" fontId="291" fillId="81" borderId="216" applyNumberFormat="0" applyAlignment="0" applyProtection="0"/>
    <xf numFmtId="0" fontId="291" fillId="81" borderId="216" applyNumberFormat="0" applyAlignment="0" applyProtection="0"/>
    <xf numFmtId="0" fontId="291" fillId="81" borderId="216" applyNumberFormat="0" applyAlignment="0" applyProtection="0"/>
    <xf numFmtId="0" fontId="291" fillId="81" borderId="216" applyNumberFormat="0" applyAlignment="0" applyProtection="0"/>
    <xf numFmtId="0" fontId="291" fillId="81" borderId="216" applyNumberFormat="0" applyAlignment="0" applyProtection="0"/>
    <xf numFmtId="0" fontId="291" fillId="81" borderId="216" applyNumberFormat="0" applyAlignment="0" applyProtection="0"/>
    <xf numFmtId="0" fontId="291" fillId="81" borderId="216" applyNumberFormat="0" applyAlignment="0" applyProtection="0"/>
    <xf numFmtId="0" fontId="291" fillId="81" borderId="216" applyNumberFormat="0" applyAlignment="0" applyProtection="0"/>
    <xf numFmtId="0" fontId="291" fillId="81" borderId="216" applyNumberFormat="0" applyAlignment="0" applyProtection="0"/>
    <xf numFmtId="0" fontId="291" fillId="81" borderId="216" applyNumberFormat="0" applyAlignment="0" applyProtection="0"/>
    <xf numFmtId="0" fontId="291" fillId="81" borderId="216" applyNumberFormat="0" applyAlignment="0" applyProtection="0"/>
    <xf numFmtId="0" fontId="291" fillId="81" borderId="216" applyNumberFormat="0" applyAlignment="0" applyProtection="0"/>
    <xf numFmtId="0" fontId="291" fillId="81" borderId="216" applyNumberFormat="0" applyAlignment="0" applyProtection="0"/>
    <xf numFmtId="0" fontId="291" fillId="81" borderId="216" applyNumberFormat="0" applyAlignment="0" applyProtection="0"/>
    <xf numFmtId="0" fontId="291" fillId="81" borderId="216" applyNumberFormat="0" applyAlignment="0" applyProtection="0"/>
    <xf numFmtId="0" fontId="291" fillId="81" borderId="216" applyNumberFormat="0" applyAlignment="0" applyProtection="0"/>
    <xf numFmtId="0" fontId="291" fillId="81" borderId="216" applyNumberFormat="0" applyAlignment="0" applyProtection="0"/>
    <xf numFmtId="0" fontId="291" fillId="81" borderId="216" applyNumberFormat="0" applyAlignment="0" applyProtection="0"/>
    <xf numFmtId="0" fontId="291" fillId="81" borderId="216" applyNumberFormat="0" applyAlignment="0" applyProtection="0"/>
    <xf numFmtId="0" fontId="291" fillId="81" borderId="216" applyNumberFormat="0" applyAlignment="0" applyProtection="0"/>
    <xf numFmtId="0" fontId="291" fillId="81" borderId="216" applyNumberFormat="0" applyAlignment="0" applyProtection="0"/>
    <xf numFmtId="0" fontId="291" fillId="81" borderId="216" applyNumberFormat="0" applyAlignment="0" applyProtection="0"/>
    <xf numFmtId="0" fontId="291" fillId="81" borderId="216" applyNumberFormat="0" applyAlignment="0" applyProtection="0"/>
    <xf numFmtId="0" fontId="291" fillId="81" borderId="216" applyNumberFormat="0" applyAlignment="0" applyProtection="0"/>
    <xf numFmtId="0" fontId="291" fillId="81" borderId="216" applyNumberFormat="0" applyAlignment="0" applyProtection="0"/>
    <xf numFmtId="0" fontId="291" fillId="81" borderId="216" applyNumberFormat="0" applyAlignment="0" applyProtection="0"/>
    <xf numFmtId="0" fontId="291" fillId="81" borderId="216" applyNumberFormat="0" applyAlignment="0" applyProtection="0"/>
    <xf numFmtId="0" fontId="291" fillId="81" borderId="216" applyNumberFormat="0" applyAlignment="0" applyProtection="0"/>
    <xf numFmtId="0" fontId="291" fillId="81" borderId="216" applyNumberFormat="0" applyAlignment="0" applyProtection="0"/>
    <xf numFmtId="0" fontId="291" fillId="81" borderId="216" applyNumberFormat="0" applyAlignment="0" applyProtection="0"/>
    <xf numFmtId="0" fontId="291" fillId="81" borderId="216" applyNumberFormat="0" applyAlignment="0" applyProtection="0"/>
    <xf numFmtId="0" fontId="291" fillId="81" borderId="21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73" fillId="94" borderId="226" applyNumberFormat="0" applyAlignment="0" applyProtection="0"/>
    <xf numFmtId="0" fontId="249" fillId="94" borderId="216" applyNumberFormat="0" applyAlignment="0" applyProtection="0"/>
    <xf numFmtId="0" fontId="249" fillId="94" borderId="216" applyNumberFormat="0" applyAlignment="0" applyProtection="0"/>
    <xf numFmtId="0" fontId="249" fillId="94" borderId="216" applyNumberFormat="0" applyAlignment="0" applyProtection="0"/>
    <xf numFmtId="0" fontId="249" fillId="94" borderId="216" applyNumberFormat="0" applyAlignment="0" applyProtection="0"/>
    <xf numFmtId="0" fontId="249" fillId="94" borderId="216" applyNumberFormat="0" applyAlignment="0" applyProtection="0"/>
    <xf numFmtId="0" fontId="249" fillId="94" borderId="216" applyNumberFormat="0" applyAlignment="0" applyProtection="0"/>
    <xf numFmtId="0" fontId="249" fillId="94" borderId="216" applyNumberFormat="0" applyAlignment="0" applyProtection="0"/>
    <xf numFmtId="0" fontId="249" fillId="94" borderId="216" applyNumberFormat="0" applyAlignment="0" applyProtection="0"/>
    <xf numFmtId="0" fontId="249" fillId="94" borderId="216" applyNumberFormat="0" applyAlignment="0" applyProtection="0"/>
    <xf numFmtId="0" fontId="249" fillId="94" borderId="216" applyNumberFormat="0" applyAlignment="0" applyProtection="0"/>
    <xf numFmtId="0" fontId="249" fillId="94" borderId="216" applyNumberFormat="0" applyAlignment="0" applyProtection="0"/>
    <xf numFmtId="0" fontId="249" fillId="94" borderId="216" applyNumberFormat="0" applyAlignment="0" applyProtection="0"/>
    <xf numFmtId="0" fontId="249" fillId="94" borderId="216" applyNumberFormat="0" applyAlignment="0" applyProtection="0"/>
    <xf numFmtId="0" fontId="249" fillId="94" borderId="216" applyNumberFormat="0" applyAlignment="0" applyProtection="0"/>
    <xf numFmtId="0" fontId="249" fillId="94" borderId="216" applyNumberFormat="0" applyAlignment="0" applyProtection="0"/>
    <xf numFmtId="0" fontId="249" fillId="94" borderId="216" applyNumberFormat="0" applyAlignment="0" applyProtection="0"/>
    <xf numFmtId="0" fontId="249" fillId="94" borderId="216" applyNumberFormat="0" applyAlignment="0" applyProtection="0"/>
    <xf numFmtId="0" fontId="249" fillId="94" borderId="216" applyNumberFormat="0" applyAlignment="0" applyProtection="0"/>
    <xf numFmtId="0" fontId="249" fillId="94" borderId="216" applyNumberFormat="0" applyAlignment="0" applyProtection="0"/>
    <xf numFmtId="0" fontId="249" fillId="94" borderId="216" applyNumberFormat="0" applyAlignment="0" applyProtection="0"/>
    <xf numFmtId="0" fontId="249" fillId="94" borderId="216" applyNumberFormat="0" applyAlignment="0" applyProtection="0"/>
    <xf numFmtId="0" fontId="249" fillId="94" borderId="216" applyNumberFormat="0" applyAlignment="0" applyProtection="0"/>
    <xf numFmtId="0" fontId="249" fillId="94" borderId="216" applyNumberFormat="0" applyAlignment="0" applyProtection="0"/>
    <xf numFmtId="0" fontId="249" fillId="94" borderId="216" applyNumberFormat="0" applyAlignment="0" applyProtection="0"/>
    <xf numFmtId="0" fontId="249" fillId="94" borderId="216" applyNumberFormat="0" applyAlignment="0" applyProtection="0"/>
    <xf numFmtId="0" fontId="249" fillId="94" borderId="216" applyNumberFormat="0" applyAlignment="0" applyProtection="0"/>
    <xf numFmtId="0" fontId="249" fillId="94" borderId="216" applyNumberFormat="0" applyAlignment="0" applyProtection="0"/>
    <xf numFmtId="0" fontId="249" fillId="94" borderId="216" applyNumberFormat="0" applyAlignment="0" applyProtection="0"/>
    <xf numFmtId="0" fontId="249" fillId="94" borderId="216" applyNumberFormat="0" applyAlignment="0" applyProtection="0"/>
    <xf numFmtId="0" fontId="249" fillId="94" borderId="216" applyNumberFormat="0" applyAlignment="0" applyProtection="0"/>
    <xf numFmtId="0" fontId="249" fillId="94" borderId="216" applyNumberFormat="0" applyAlignment="0" applyProtection="0"/>
    <xf numFmtId="0" fontId="249" fillId="94" borderId="216" applyNumberFormat="0" applyAlignment="0" applyProtection="0"/>
    <xf numFmtId="0" fontId="249" fillId="94" borderId="216" applyNumberFormat="0" applyAlignment="0" applyProtection="0"/>
    <xf numFmtId="0" fontId="249" fillId="94" borderId="216" applyNumberFormat="0" applyAlignment="0" applyProtection="0"/>
    <xf numFmtId="0" fontId="249" fillId="94" borderId="216" applyNumberFormat="0" applyAlignment="0" applyProtection="0"/>
    <xf numFmtId="0" fontId="249" fillId="94" borderId="216" applyNumberFormat="0" applyAlignment="0" applyProtection="0"/>
    <xf numFmtId="0" fontId="249" fillId="94" borderId="216" applyNumberFormat="0" applyAlignment="0" applyProtection="0"/>
    <xf numFmtId="0" fontId="249" fillId="94" borderId="216" applyNumberFormat="0" applyAlignment="0" applyProtection="0"/>
    <xf numFmtId="0" fontId="249" fillId="94" borderId="216" applyNumberFormat="0" applyAlignment="0" applyProtection="0"/>
    <xf numFmtId="0" fontId="249" fillId="94" borderId="216" applyNumberFormat="0" applyAlignment="0" applyProtection="0"/>
    <xf numFmtId="0" fontId="249" fillId="94" borderId="216" applyNumberFormat="0" applyAlignment="0" applyProtection="0"/>
    <xf numFmtId="0" fontId="249" fillId="94" borderId="216" applyNumberFormat="0" applyAlignment="0" applyProtection="0"/>
    <xf numFmtId="0" fontId="249" fillId="94" borderId="216" applyNumberFormat="0" applyAlignment="0" applyProtection="0"/>
    <xf numFmtId="0" fontId="249" fillId="94" borderId="216" applyNumberFormat="0" applyAlignment="0" applyProtection="0"/>
    <xf numFmtId="0" fontId="249" fillId="94" borderId="216" applyNumberFormat="0" applyAlignment="0" applyProtection="0"/>
    <xf numFmtId="0" fontId="249" fillId="94" borderId="216" applyNumberFormat="0" applyAlignment="0" applyProtection="0"/>
    <xf numFmtId="0" fontId="249" fillId="94" borderId="216" applyNumberFormat="0" applyAlignment="0" applyProtection="0"/>
    <xf numFmtId="0" fontId="249" fillId="94" borderId="216" applyNumberFormat="0" applyAlignment="0" applyProtection="0"/>
    <xf numFmtId="0" fontId="249" fillId="94" borderId="216" applyNumberFormat="0" applyAlignment="0" applyProtection="0"/>
    <xf numFmtId="0" fontId="249" fillId="94" borderId="216" applyNumberFormat="0" applyAlignment="0" applyProtection="0"/>
    <xf numFmtId="0" fontId="249" fillId="94" borderId="216" applyNumberFormat="0" applyAlignment="0" applyProtection="0"/>
    <xf numFmtId="0" fontId="249" fillId="94" borderId="216" applyNumberFormat="0" applyAlignment="0" applyProtection="0"/>
    <xf numFmtId="0" fontId="249" fillId="94" borderId="216" applyNumberFormat="0" applyAlignment="0" applyProtection="0"/>
    <xf numFmtId="0" fontId="249" fillId="94" borderId="216" applyNumberFormat="0" applyAlignment="0" applyProtection="0"/>
    <xf numFmtId="0" fontId="249" fillId="94" borderId="216" applyNumberFormat="0" applyAlignment="0" applyProtection="0"/>
    <xf numFmtId="0" fontId="249" fillId="94" borderId="216" applyNumberFormat="0" applyAlignment="0" applyProtection="0"/>
    <xf numFmtId="0" fontId="249" fillId="94" borderId="216" applyNumberFormat="0" applyAlignment="0" applyProtection="0"/>
    <xf numFmtId="0" fontId="249" fillId="94" borderId="216" applyNumberFormat="0" applyAlignment="0" applyProtection="0"/>
    <xf numFmtId="0" fontId="249" fillId="94" borderId="216" applyNumberFormat="0" applyAlignment="0" applyProtection="0"/>
    <xf numFmtId="0" fontId="249" fillId="94" borderId="216" applyNumberFormat="0" applyAlignment="0" applyProtection="0"/>
    <xf numFmtId="0" fontId="249" fillId="94" borderId="216" applyNumberFormat="0" applyAlignment="0" applyProtection="0"/>
    <xf numFmtId="0" fontId="249" fillId="94" borderId="216" applyNumberFormat="0" applyAlignment="0" applyProtection="0"/>
    <xf numFmtId="0" fontId="249" fillId="94" borderId="216" applyNumberFormat="0" applyAlignment="0" applyProtection="0"/>
    <xf numFmtId="0" fontId="249" fillId="94" borderId="216" applyNumberFormat="0" applyAlignment="0" applyProtection="0"/>
    <xf numFmtId="0" fontId="249" fillId="94" borderId="216" applyNumberFormat="0" applyAlignment="0" applyProtection="0"/>
    <xf numFmtId="0" fontId="249" fillId="94" borderId="216" applyNumberFormat="0" applyAlignment="0" applyProtection="0"/>
    <xf numFmtId="0" fontId="249" fillId="94" borderId="216" applyNumberFormat="0" applyAlignment="0" applyProtection="0"/>
    <xf numFmtId="0" fontId="249" fillId="94" borderId="216" applyNumberFormat="0" applyAlignment="0" applyProtection="0"/>
    <xf numFmtId="0" fontId="249" fillId="94" borderId="216" applyNumberFormat="0" applyAlignment="0" applyProtection="0"/>
    <xf numFmtId="0" fontId="249" fillId="94" borderId="216" applyNumberFormat="0" applyAlignment="0" applyProtection="0"/>
    <xf numFmtId="0" fontId="249" fillId="94" borderId="216" applyNumberFormat="0" applyAlignment="0" applyProtection="0"/>
    <xf numFmtId="0" fontId="249" fillId="94" borderId="216" applyNumberFormat="0" applyAlignment="0" applyProtection="0"/>
    <xf numFmtId="0" fontId="292" fillId="0" borderId="0" applyNumberFormat="0" applyFill="0" applyBorder="0" applyAlignment="0" applyProtection="0">
      <alignment vertical="top"/>
      <protection locked="0"/>
    </xf>
    <xf numFmtId="0" fontId="293" fillId="0" borderId="0" applyNumberFormat="0" applyFill="0" applyBorder="0" applyAlignment="0" applyProtection="0">
      <alignment vertical="top"/>
      <protection locked="0"/>
    </xf>
    <xf numFmtId="0" fontId="259" fillId="0" borderId="220" applyNumberFormat="0" applyFill="0" applyAlignment="0" applyProtection="0"/>
    <xf numFmtId="0" fontId="259" fillId="0" borderId="220" applyNumberFormat="0" applyFill="0" applyAlignment="0" applyProtection="0"/>
    <xf numFmtId="0" fontId="259" fillId="0" borderId="220" applyNumberFormat="0" applyFill="0" applyAlignment="0" applyProtection="0"/>
    <xf numFmtId="0" fontId="259" fillId="0" borderId="220" applyNumberFormat="0" applyFill="0" applyAlignment="0" applyProtection="0"/>
    <xf numFmtId="0" fontId="259" fillId="0" borderId="220" applyNumberFormat="0" applyFill="0" applyAlignment="0" applyProtection="0"/>
    <xf numFmtId="0" fontId="259" fillId="0" borderId="220" applyNumberFormat="0" applyFill="0" applyAlignment="0" applyProtection="0"/>
    <xf numFmtId="0" fontId="259" fillId="0" borderId="220" applyNumberFormat="0" applyFill="0" applyAlignment="0" applyProtection="0"/>
    <xf numFmtId="0" fontId="259" fillId="0" borderId="220" applyNumberFormat="0" applyFill="0" applyAlignment="0" applyProtection="0"/>
    <xf numFmtId="0" fontId="259" fillId="0" borderId="220" applyNumberFormat="0" applyFill="0" applyAlignment="0" applyProtection="0"/>
    <xf numFmtId="0" fontId="259" fillId="0" borderId="220" applyNumberFormat="0" applyFill="0" applyAlignment="0" applyProtection="0"/>
    <xf numFmtId="0" fontId="259" fillId="0" borderId="220" applyNumberFormat="0" applyFill="0" applyAlignment="0" applyProtection="0"/>
    <xf numFmtId="0" fontId="259" fillId="0" borderId="220" applyNumberFormat="0" applyFill="0" applyAlignment="0" applyProtection="0"/>
    <xf numFmtId="0" fontId="260" fillId="0" borderId="221" applyNumberFormat="0" applyFill="0" applyAlignment="0" applyProtection="0"/>
    <xf numFmtId="0" fontId="260" fillId="0" borderId="221" applyNumberFormat="0" applyFill="0" applyAlignment="0" applyProtection="0"/>
    <xf numFmtId="0" fontId="260" fillId="0" borderId="221" applyNumberFormat="0" applyFill="0" applyAlignment="0" applyProtection="0"/>
    <xf numFmtId="0" fontId="260" fillId="0" borderId="221" applyNumberFormat="0" applyFill="0" applyAlignment="0" applyProtection="0"/>
    <xf numFmtId="0" fontId="260" fillId="0" borderId="221" applyNumberFormat="0" applyFill="0" applyAlignment="0" applyProtection="0"/>
    <xf numFmtId="0" fontId="260" fillId="0" borderId="221" applyNumberFormat="0" applyFill="0" applyAlignment="0" applyProtection="0"/>
    <xf numFmtId="0" fontId="260" fillId="0" borderId="221" applyNumberFormat="0" applyFill="0" applyAlignment="0" applyProtection="0"/>
    <xf numFmtId="0" fontId="260" fillId="0" borderId="221" applyNumberFormat="0" applyFill="0" applyAlignment="0" applyProtection="0"/>
    <xf numFmtId="0" fontId="260" fillId="0" borderId="221" applyNumberFormat="0" applyFill="0" applyAlignment="0" applyProtection="0"/>
    <xf numFmtId="0" fontId="260" fillId="0" borderId="221" applyNumberFormat="0" applyFill="0" applyAlignment="0" applyProtection="0"/>
    <xf numFmtId="0" fontId="260" fillId="0" borderId="221" applyNumberFormat="0" applyFill="0" applyAlignment="0" applyProtection="0"/>
    <xf numFmtId="0" fontId="260" fillId="0" borderId="221" applyNumberFormat="0" applyFill="0" applyAlignment="0" applyProtection="0"/>
    <xf numFmtId="0" fontId="261" fillId="0" borderId="222" applyNumberFormat="0" applyFill="0" applyAlignment="0" applyProtection="0"/>
    <xf numFmtId="0" fontId="261" fillId="0" borderId="222" applyNumberFormat="0" applyFill="0" applyAlignment="0" applyProtection="0"/>
    <xf numFmtId="0" fontId="261" fillId="0" borderId="222" applyNumberFormat="0" applyFill="0" applyAlignment="0" applyProtection="0"/>
    <xf numFmtId="0" fontId="261" fillId="0" borderId="222" applyNumberFormat="0" applyFill="0" applyAlignment="0" applyProtection="0"/>
    <xf numFmtId="0" fontId="261" fillId="0" borderId="222" applyNumberFormat="0" applyFill="0" applyAlignment="0" applyProtection="0"/>
    <xf numFmtId="0" fontId="261" fillId="0" borderId="222" applyNumberFormat="0" applyFill="0" applyAlignment="0" applyProtection="0"/>
    <xf numFmtId="0" fontId="261" fillId="0" borderId="222" applyNumberFormat="0" applyFill="0" applyAlignment="0" applyProtection="0"/>
    <xf numFmtId="0" fontId="261" fillId="0" borderId="222" applyNumberFormat="0" applyFill="0" applyAlignment="0" applyProtection="0"/>
    <xf numFmtId="0" fontId="261" fillId="0" borderId="222" applyNumberFormat="0" applyFill="0" applyAlignment="0" applyProtection="0"/>
    <xf numFmtId="0" fontId="261" fillId="0" borderId="222" applyNumberFormat="0" applyFill="0" applyAlignment="0" applyProtection="0"/>
    <xf numFmtId="0" fontId="261" fillId="0" borderId="222" applyNumberFormat="0" applyFill="0" applyAlignment="0" applyProtection="0"/>
    <xf numFmtId="0" fontId="261" fillId="0" borderId="222" applyNumberFormat="0" applyFill="0" applyAlignment="0" applyProtection="0"/>
    <xf numFmtId="0" fontId="261" fillId="0" borderId="0" applyNumberFormat="0" applyFill="0" applyBorder="0" applyAlignment="0" applyProtection="0"/>
    <xf numFmtId="0" fontId="261" fillId="0" borderId="0" applyNumberFormat="0" applyFill="0" applyBorder="0" applyAlignment="0" applyProtection="0"/>
    <xf numFmtId="0" fontId="261" fillId="0" borderId="0" applyNumberFormat="0" applyFill="0" applyBorder="0" applyAlignment="0" applyProtection="0"/>
    <xf numFmtId="0" fontId="261" fillId="0" borderId="0" applyNumberFormat="0" applyFill="0" applyBorder="0" applyAlignment="0" applyProtection="0"/>
    <xf numFmtId="0" fontId="261" fillId="0" borderId="0" applyNumberFormat="0" applyFill="0" applyBorder="0" applyAlignment="0" applyProtection="0"/>
    <xf numFmtId="0" fontId="261" fillId="0" borderId="0" applyNumberFormat="0" applyFill="0" applyBorder="0" applyAlignment="0" applyProtection="0"/>
    <xf numFmtId="0" fontId="261" fillId="0" borderId="0" applyNumberFormat="0" applyFill="0" applyBorder="0" applyAlignment="0" applyProtection="0"/>
    <xf numFmtId="0" fontId="261" fillId="0" borderId="0" applyNumberFormat="0" applyFill="0" applyBorder="0" applyAlignment="0" applyProtection="0"/>
    <xf numFmtId="0" fontId="261" fillId="0" borderId="0" applyNumberFormat="0" applyFill="0" applyBorder="0" applyAlignment="0" applyProtection="0"/>
    <xf numFmtId="0" fontId="261" fillId="0" borderId="0" applyNumberFormat="0" applyFill="0" applyBorder="0" applyAlignment="0" applyProtection="0"/>
    <xf numFmtId="0" fontId="261" fillId="0" borderId="0" applyNumberFormat="0" applyFill="0" applyBorder="0" applyAlignment="0" applyProtection="0"/>
    <xf numFmtId="0" fontId="261" fillId="0" borderId="0" applyNumberFormat="0" applyFill="0" applyBorder="0" applyAlignment="0" applyProtection="0"/>
    <xf numFmtId="0" fontId="161" fillId="0" borderId="1">
      <alignment horizontal="right"/>
    </xf>
    <xf numFmtId="0" fontId="161" fillId="0" borderId="1">
      <alignment horizontal="right"/>
    </xf>
    <xf numFmtId="0" fontId="161" fillId="0" borderId="1">
      <alignment horizontal="right"/>
    </xf>
    <xf numFmtId="0" fontId="161" fillId="0" borderId="1">
      <alignment horizontal="right"/>
    </xf>
    <xf numFmtId="0" fontId="161" fillId="0" borderId="1">
      <alignment horizontal="right"/>
    </xf>
    <xf numFmtId="0" fontId="161" fillId="0" borderId="1">
      <alignment horizontal="right"/>
    </xf>
    <xf numFmtId="0" fontId="161" fillId="0" borderId="1">
      <alignment horizontal="right"/>
    </xf>
    <xf numFmtId="0" fontId="161" fillId="0" borderId="1">
      <alignment horizontal="right"/>
    </xf>
    <xf numFmtId="0" fontId="161" fillId="0" borderId="1">
      <alignment horizontal="right"/>
    </xf>
    <xf numFmtId="0" fontId="161" fillId="0" borderId="1">
      <alignment horizontal="right"/>
    </xf>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87" fillId="0" borderId="227" applyNumberFormat="0" applyFill="0" applyAlignment="0" applyProtection="0"/>
    <xf numFmtId="0" fontId="250" fillId="96" borderId="217" applyNumberFormat="0" applyAlignment="0" applyProtection="0"/>
    <xf numFmtId="0" fontId="250" fillId="96" borderId="217" applyNumberFormat="0" applyAlignment="0" applyProtection="0"/>
    <xf numFmtId="0" fontId="250" fillId="96" borderId="217" applyNumberFormat="0" applyAlignment="0" applyProtection="0"/>
    <xf numFmtId="0" fontId="250" fillId="96" borderId="217" applyNumberFormat="0" applyAlignment="0" applyProtection="0"/>
    <xf numFmtId="0" fontId="250" fillId="96" borderId="217" applyNumberFormat="0" applyAlignment="0" applyProtection="0"/>
    <xf numFmtId="0" fontId="250" fillId="96" borderId="217" applyNumberFormat="0" applyAlignment="0" applyProtection="0"/>
    <xf numFmtId="0" fontId="250" fillId="96" borderId="217" applyNumberFormat="0" applyAlignment="0" applyProtection="0"/>
    <xf numFmtId="0" fontId="250" fillId="96" borderId="217" applyNumberFormat="0" applyAlignment="0" applyProtection="0"/>
    <xf numFmtId="0" fontId="250" fillId="96" borderId="217" applyNumberFormat="0" applyAlignment="0" applyProtection="0"/>
    <xf numFmtId="0" fontId="250" fillId="96" borderId="217" applyNumberFormat="0" applyAlignment="0" applyProtection="0"/>
    <xf numFmtId="0" fontId="250" fillId="96" borderId="217" applyNumberFormat="0" applyAlignment="0" applyProtection="0"/>
    <xf numFmtId="0" fontId="250" fillId="96" borderId="217" applyNumberFormat="0" applyAlignment="0" applyProtection="0"/>
    <xf numFmtId="0" fontId="161" fillId="0" borderId="1"/>
    <xf numFmtId="0" fontId="161" fillId="0" borderId="1"/>
    <xf numFmtId="0" fontId="161" fillId="0" borderId="1"/>
    <xf numFmtId="0" fontId="161" fillId="0" borderId="1"/>
    <xf numFmtId="0" fontId="161" fillId="0" borderId="1"/>
    <xf numFmtId="0" fontId="161" fillId="0" borderId="1"/>
    <xf numFmtId="0" fontId="161" fillId="0" borderId="1"/>
    <xf numFmtId="0" fontId="161" fillId="0" borderId="1"/>
    <xf numFmtId="0" fontId="161" fillId="0" borderId="1"/>
    <xf numFmtId="0" fontId="161" fillId="0" borderId="1"/>
    <xf numFmtId="0" fontId="161" fillId="0" borderId="1"/>
    <xf numFmtId="0" fontId="161" fillId="0" borderId="1"/>
    <xf numFmtId="0" fontId="161" fillId="0" borderId="1"/>
    <xf numFmtId="0" fontId="161" fillId="0" borderId="1"/>
    <xf numFmtId="0" fontId="161" fillId="0" borderId="1"/>
    <xf numFmtId="0" fontId="161" fillId="0" borderId="1"/>
    <xf numFmtId="0" fontId="161" fillId="0" borderId="1"/>
    <xf numFmtId="0" fontId="161" fillId="0" borderId="1"/>
    <xf numFmtId="0" fontId="161" fillId="0" borderId="1"/>
    <xf numFmtId="0" fontId="161" fillId="0" borderId="1"/>
    <xf numFmtId="0" fontId="161" fillId="0" borderId="1"/>
    <xf numFmtId="0" fontId="161" fillId="0" borderId="1"/>
    <xf numFmtId="0" fontId="161" fillId="0" borderId="1"/>
    <xf numFmtId="0" fontId="161" fillId="0" borderId="1"/>
    <xf numFmtId="0" fontId="161" fillId="0" borderId="1"/>
    <xf numFmtId="0" fontId="161" fillId="0" borderId="1"/>
    <xf numFmtId="0" fontId="161" fillId="0" borderId="1"/>
    <xf numFmtId="0" fontId="161" fillId="0" borderId="1"/>
    <xf numFmtId="0" fontId="161" fillId="0" borderId="1"/>
    <xf numFmtId="0" fontId="161" fillId="0" borderId="1"/>
    <xf numFmtId="0" fontId="161" fillId="0" borderId="1"/>
    <xf numFmtId="0" fontId="161" fillId="0" borderId="1"/>
    <xf numFmtId="0" fontId="161" fillId="0" borderId="1"/>
    <xf numFmtId="0" fontId="161" fillId="0" borderId="1"/>
    <xf numFmtId="0" fontId="161" fillId="0" borderId="1"/>
    <xf numFmtId="0" fontId="161" fillId="0" borderId="1"/>
    <xf numFmtId="0" fontId="161" fillId="0" borderId="1"/>
    <xf numFmtId="0" fontId="161" fillId="0" borderId="1"/>
    <xf numFmtId="0" fontId="161" fillId="0" borderId="1"/>
    <xf numFmtId="0" fontId="161" fillId="0" borderId="1"/>
    <xf numFmtId="0" fontId="161" fillId="0" borderId="1"/>
    <xf numFmtId="0" fontId="161" fillId="0" borderId="1"/>
    <xf numFmtId="0" fontId="161" fillId="0" borderId="1"/>
    <xf numFmtId="0" fontId="161" fillId="0" borderId="1"/>
    <xf numFmtId="0" fontId="161" fillId="0" borderId="1"/>
    <xf numFmtId="0" fontId="161" fillId="0" borderId="1"/>
    <xf numFmtId="0" fontId="161" fillId="0" borderId="1"/>
    <xf numFmtId="0" fontId="161" fillId="0" borderId="1"/>
    <xf numFmtId="0" fontId="161" fillId="0" borderId="1"/>
    <xf numFmtId="0" fontId="161" fillId="0" borderId="1"/>
    <xf numFmtId="0" fontId="161" fillId="0" borderId="1"/>
    <xf numFmtId="0" fontId="161" fillId="0" borderId="1"/>
    <xf numFmtId="0" fontId="161" fillId="0" borderId="1"/>
    <xf numFmtId="0" fontId="161" fillId="0" borderId="1"/>
    <xf numFmtId="0" fontId="161" fillId="0" borderId="1"/>
    <xf numFmtId="0" fontId="161" fillId="0" borderId="1"/>
    <xf numFmtId="0" fontId="161" fillId="0" borderId="1"/>
    <xf numFmtId="0" fontId="161" fillId="0" borderId="1"/>
    <xf numFmtId="0" fontId="161" fillId="0" borderId="1"/>
    <xf numFmtId="0" fontId="161" fillId="0" borderId="1"/>
    <xf numFmtId="0" fontId="161" fillId="0" borderId="1"/>
    <xf numFmtId="0" fontId="161" fillId="0" borderId="1"/>
    <xf numFmtId="0" fontId="161" fillId="0" borderId="1"/>
    <xf numFmtId="0" fontId="161" fillId="0" borderId="1"/>
    <xf numFmtId="0" fontId="161" fillId="0" borderId="1"/>
    <xf numFmtId="0" fontId="161" fillId="0" borderId="1"/>
    <xf numFmtId="0" fontId="161" fillId="0" borderId="1"/>
    <xf numFmtId="0" fontId="161" fillId="0" borderId="1"/>
    <xf numFmtId="0" fontId="161" fillId="0" borderId="1"/>
    <xf numFmtId="0" fontId="161" fillId="0" borderId="1"/>
    <xf numFmtId="0" fontId="161" fillId="0" borderId="1"/>
    <xf numFmtId="0" fontId="270" fillId="103" borderId="0" applyNumberFormat="0" applyBorder="0" applyAlignment="0" applyProtection="0"/>
    <xf numFmtId="0" fontId="270" fillId="103" borderId="0" applyNumberFormat="0" applyBorder="0" applyAlignment="0" applyProtection="0"/>
    <xf numFmtId="0" fontId="270" fillId="103" borderId="0" applyNumberFormat="0" applyBorder="0" applyAlignment="0" applyProtection="0"/>
    <xf numFmtId="0" fontId="270" fillId="103" borderId="0" applyNumberFormat="0" applyBorder="0" applyAlignment="0" applyProtection="0"/>
    <xf numFmtId="0" fontId="270" fillId="103" borderId="0" applyNumberFormat="0" applyBorder="0" applyAlignment="0" applyProtection="0"/>
    <xf numFmtId="0" fontId="270" fillId="103" borderId="0" applyNumberFormat="0" applyBorder="0" applyAlignment="0" applyProtection="0"/>
    <xf numFmtId="0" fontId="270" fillId="103" borderId="0" applyNumberFormat="0" applyBorder="0" applyAlignment="0" applyProtection="0"/>
    <xf numFmtId="0" fontId="270" fillId="103" borderId="0" applyNumberFormat="0" applyBorder="0" applyAlignment="0" applyProtection="0"/>
    <xf numFmtId="0" fontId="270" fillId="103" borderId="0" applyNumberFormat="0" applyBorder="0" applyAlignment="0" applyProtection="0"/>
    <xf numFmtId="0" fontId="270" fillId="103" borderId="0" applyNumberFormat="0" applyBorder="0" applyAlignment="0" applyProtection="0"/>
    <xf numFmtId="0" fontId="270" fillId="103" borderId="0" applyNumberFormat="0" applyBorder="0" applyAlignment="0" applyProtection="0"/>
    <xf numFmtId="0" fontId="270" fillId="103" borderId="0" applyNumberFormat="0" applyBorder="0" applyAlignment="0" applyProtection="0"/>
    <xf numFmtId="0" fontId="161" fillId="0" borderId="0"/>
    <xf numFmtId="0" fontId="86" fillId="0" borderId="0"/>
    <xf numFmtId="0" fontId="86" fillId="0" borderId="0"/>
    <xf numFmtId="0" fontId="86"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1" fillId="0" borderId="0"/>
    <xf numFmtId="0" fontId="164" fillId="0" borderId="0"/>
    <xf numFmtId="0" fontId="86" fillId="0" borderId="0"/>
    <xf numFmtId="0" fontId="86" fillId="0" borderId="0"/>
    <xf numFmtId="0" fontId="86" fillId="0" borderId="0"/>
    <xf numFmtId="0" fontId="86" fillId="0" borderId="0"/>
    <xf numFmtId="0" fontId="161" fillId="0" borderId="0"/>
    <xf numFmtId="0" fontId="164" fillId="0" borderId="0"/>
    <xf numFmtId="0" fontId="86" fillId="0" borderId="0"/>
    <xf numFmtId="0" fontId="164" fillId="0" borderId="0"/>
    <xf numFmtId="0" fontId="164"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164" fillId="0" borderId="0"/>
    <xf numFmtId="0" fontId="86"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86" fillId="0" borderId="0"/>
    <xf numFmtId="0" fontId="164" fillId="0" borderId="0"/>
    <xf numFmtId="0" fontId="86" fillId="0" borderId="0"/>
    <xf numFmtId="0" fontId="161" fillId="0" borderId="0"/>
    <xf numFmtId="0" fontId="164" fillId="0" borderId="0"/>
    <xf numFmtId="0" fontId="164" fillId="0" borderId="0"/>
    <xf numFmtId="0" fontId="161" fillId="0" borderId="0"/>
    <xf numFmtId="0" fontId="164" fillId="0" borderId="0"/>
    <xf numFmtId="0" fontId="164" fillId="0" borderId="0"/>
    <xf numFmtId="0" fontId="86"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164" fillId="0" borderId="0"/>
    <xf numFmtId="0" fontId="86" fillId="0" borderId="0"/>
    <xf numFmtId="0" fontId="161" fillId="0" borderId="0"/>
    <xf numFmtId="0" fontId="164" fillId="0" borderId="0"/>
    <xf numFmtId="0" fontId="247" fillId="77" borderId="0" applyNumberFormat="0" applyBorder="0" applyAlignment="0" applyProtection="0"/>
    <xf numFmtId="0" fontId="247" fillId="77" borderId="0" applyNumberFormat="0" applyBorder="0" applyAlignment="0" applyProtection="0"/>
    <xf numFmtId="0" fontId="247" fillId="77" borderId="0" applyNumberFormat="0" applyBorder="0" applyAlignment="0" applyProtection="0"/>
    <xf numFmtId="0" fontId="247" fillId="77" borderId="0" applyNumberFormat="0" applyBorder="0" applyAlignment="0" applyProtection="0"/>
    <xf numFmtId="0" fontId="247" fillId="77" borderId="0" applyNumberFormat="0" applyBorder="0" applyAlignment="0" applyProtection="0"/>
    <xf numFmtId="0" fontId="247" fillId="77" borderId="0" applyNumberFormat="0" applyBorder="0" applyAlignment="0" applyProtection="0"/>
    <xf numFmtId="0" fontId="247" fillId="77" borderId="0" applyNumberFormat="0" applyBorder="0" applyAlignment="0" applyProtection="0"/>
    <xf numFmtId="0" fontId="247" fillId="77" borderId="0" applyNumberFormat="0" applyBorder="0" applyAlignment="0" applyProtection="0"/>
    <xf numFmtId="0" fontId="247" fillId="77" borderId="0" applyNumberFormat="0" applyBorder="0" applyAlignment="0" applyProtection="0"/>
    <xf numFmtId="0" fontId="247" fillId="77" borderId="0" applyNumberFormat="0" applyBorder="0" applyAlignment="0" applyProtection="0"/>
    <xf numFmtId="0" fontId="247" fillId="77" borderId="0" applyNumberFormat="0" applyBorder="0" applyAlignment="0" applyProtection="0"/>
    <xf numFmtId="0" fontId="247" fillId="77" borderId="0" applyNumberFormat="0" applyBorder="0" applyAlignment="0" applyProtection="0"/>
    <xf numFmtId="0" fontId="255" fillId="0" borderId="0" applyNumberFormat="0" applyFill="0" applyBorder="0" applyAlignment="0" applyProtection="0"/>
    <xf numFmtId="0" fontId="255" fillId="0" borderId="0" applyNumberFormat="0" applyFill="0" applyBorder="0" applyAlignment="0" applyProtection="0"/>
    <xf numFmtId="0" fontId="255" fillId="0" borderId="0" applyNumberFormat="0" applyFill="0" applyBorder="0" applyAlignment="0" applyProtection="0"/>
    <xf numFmtId="0" fontId="255" fillId="0" borderId="0" applyNumberFormat="0" applyFill="0" applyBorder="0" applyAlignment="0" applyProtection="0"/>
    <xf numFmtId="0" fontId="255" fillId="0" borderId="0" applyNumberFormat="0" applyFill="0" applyBorder="0" applyAlignment="0" applyProtection="0"/>
    <xf numFmtId="0" fontId="255" fillId="0" borderId="0" applyNumberFormat="0" applyFill="0" applyBorder="0" applyAlignment="0" applyProtection="0"/>
    <xf numFmtId="0" fontId="255" fillId="0" borderId="0" applyNumberFormat="0" applyFill="0" applyBorder="0" applyAlignment="0" applyProtection="0"/>
    <xf numFmtId="0" fontId="255" fillId="0" borderId="0" applyNumberFormat="0" applyFill="0" applyBorder="0" applyAlignment="0" applyProtection="0"/>
    <xf numFmtId="0" fontId="255" fillId="0" borderId="0" applyNumberFormat="0" applyFill="0" applyBorder="0" applyAlignment="0" applyProtection="0"/>
    <xf numFmtId="0" fontId="255" fillId="0" borderId="0" applyNumberFormat="0" applyFill="0" applyBorder="0" applyAlignment="0" applyProtection="0"/>
    <xf numFmtId="0" fontId="255" fillId="0" borderId="0" applyNumberFormat="0" applyFill="0" applyBorder="0" applyAlignment="0" applyProtection="0"/>
    <xf numFmtId="0" fontId="255" fillId="0" borderId="0" applyNumberFormat="0" applyFill="0" applyBorder="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0" fontId="161" fillId="104" borderId="225" applyNumberFormat="0" applyFont="0" applyAlignment="0" applyProtection="0"/>
    <xf numFmtId="9" fontId="164" fillId="0" borderId="0" applyFont="0" applyFill="0" applyBorder="0" applyAlignment="0" applyProtection="0"/>
    <xf numFmtId="9" fontId="86" fillId="0" borderId="0" applyFont="0" applyFill="0" applyBorder="0" applyAlignment="0" applyProtection="0"/>
    <xf numFmtId="9" fontId="86" fillId="0" borderId="0" applyFont="0" applyFill="0" applyBorder="0" applyAlignment="0" applyProtection="0"/>
    <xf numFmtId="9" fontId="86" fillId="0" borderId="0" applyFont="0" applyFill="0" applyBorder="0" applyAlignment="0" applyProtection="0"/>
    <xf numFmtId="9" fontId="86" fillId="0" borderId="0" applyFont="0" applyFill="0" applyBorder="0" applyAlignment="0" applyProtection="0"/>
    <xf numFmtId="9" fontId="86" fillId="0" borderId="0" applyFont="0" applyFill="0" applyBorder="0" applyAlignment="0" applyProtection="0"/>
    <xf numFmtId="9" fontId="86" fillId="0" borderId="0" applyFont="0" applyFill="0" applyBorder="0" applyAlignment="0" applyProtection="0"/>
    <xf numFmtId="9" fontId="86" fillId="0" borderId="0" applyFont="0" applyFill="0" applyBorder="0" applyAlignment="0" applyProtection="0"/>
    <xf numFmtId="9" fontId="86" fillId="0" borderId="0" applyFont="0" applyFill="0" applyBorder="0" applyAlignment="0" applyProtection="0"/>
    <xf numFmtId="9" fontId="86" fillId="0" borderId="0" applyFont="0" applyFill="0" applyBorder="0" applyAlignment="0" applyProtection="0"/>
    <xf numFmtId="9" fontId="86" fillId="0" borderId="0" applyFont="0" applyFill="0" applyBorder="0" applyAlignment="0" applyProtection="0"/>
    <xf numFmtId="9" fontId="86" fillId="0" borderId="0" applyFont="0" applyFill="0" applyBorder="0" applyAlignment="0" applyProtection="0"/>
    <xf numFmtId="9" fontId="161" fillId="0" borderId="0" applyFont="0" applyFill="0" applyBorder="0" applyAlignment="0" applyProtection="0"/>
    <xf numFmtId="9" fontId="161" fillId="0" borderId="0" applyFont="0" applyFill="0" applyBorder="0" applyAlignment="0" applyProtection="0"/>
    <xf numFmtId="9" fontId="164" fillId="0" borderId="0" applyFont="0" applyFill="0" applyBorder="0" applyAlignment="0" applyProtection="0"/>
    <xf numFmtId="0" fontId="269" fillId="0" borderId="223" applyNumberFormat="0" applyFill="0" applyAlignment="0" applyProtection="0"/>
    <xf numFmtId="0" fontId="269" fillId="0" borderId="223" applyNumberFormat="0" applyFill="0" applyAlignment="0" applyProtection="0"/>
    <xf numFmtId="0" fontId="269" fillId="0" borderId="223" applyNumberFormat="0" applyFill="0" applyAlignment="0" applyProtection="0"/>
    <xf numFmtId="0" fontId="269" fillId="0" borderId="223" applyNumberFormat="0" applyFill="0" applyAlignment="0" applyProtection="0"/>
    <xf numFmtId="0" fontId="269" fillId="0" borderId="223" applyNumberFormat="0" applyFill="0" applyAlignment="0" applyProtection="0"/>
    <xf numFmtId="0" fontId="269" fillId="0" borderId="223" applyNumberFormat="0" applyFill="0" applyAlignment="0" applyProtection="0"/>
    <xf numFmtId="0" fontId="269" fillId="0" borderId="223" applyNumberFormat="0" applyFill="0" applyAlignment="0" applyProtection="0"/>
    <xf numFmtId="0" fontId="269" fillId="0" borderId="223" applyNumberFormat="0" applyFill="0" applyAlignment="0" applyProtection="0"/>
    <xf numFmtId="0" fontId="269" fillId="0" borderId="223" applyNumberFormat="0" applyFill="0" applyAlignment="0" applyProtection="0"/>
    <xf numFmtId="0" fontId="269" fillId="0" borderId="223" applyNumberFormat="0" applyFill="0" applyAlignment="0" applyProtection="0"/>
    <xf numFmtId="0" fontId="269" fillId="0" borderId="223" applyNumberFormat="0" applyFill="0" applyAlignment="0" applyProtection="0"/>
    <xf numFmtId="0" fontId="269" fillId="0" borderId="223" applyNumberFormat="0" applyFill="0" applyAlignment="0" applyProtection="0"/>
    <xf numFmtId="0" fontId="290" fillId="0" borderId="0" applyNumberFormat="0" applyFill="0" applyBorder="0" applyAlignment="0" applyProtection="0"/>
    <xf numFmtId="0" fontId="290" fillId="0" borderId="0" applyNumberFormat="0" applyFill="0" applyBorder="0" applyAlignment="0" applyProtection="0"/>
    <xf numFmtId="0" fontId="290" fillId="0" borderId="0" applyNumberFormat="0" applyFill="0" applyBorder="0" applyAlignment="0" applyProtection="0"/>
    <xf numFmtId="0" fontId="290" fillId="0" borderId="0" applyNumberFormat="0" applyFill="0" applyBorder="0" applyAlignment="0" applyProtection="0"/>
    <xf numFmtId="0" fontId="290" fillId="0" borderId="0" applyNumberFormat="0" applyFill="0" applyBorder="0" applyAlignment="0" applyProtection="0"/>
    <xf numFmtId="0" fontId="290" fillId="0" borderId="0" applyNumberFormat="0" applyFill="0" applyBorder="0" applyAlignment="0" applyProtection="0"/>
    <xf numFmtId="0" fontId="290" fillId="0" borderId="0" applyNumberFormat="0" applyFill="0" applyBorder="0" applyAlignment="0" applyProtection="0"/>
    <xf numFmtId="0" fontId="290" fillId="0" borderId="0" applyNumberFormat="0" applyFill="0" applyBorder="0" applyAlignment="0" applyProtection="0"/>
    <xf numFmtId="0" fontId="290" fillId="0" borderId="0" applyNumberFormat="0" applyFill="0" applyBorder="0" applyAlignment="0" applyProtection="0"/>
    <xf numFmtId="0" fontId="290" fillId="0" borderId="0" applyNumberFormat="0" applyFill="0" applyBorder="0" applyAlignment="0" applyProtection="0"/>
    <xf numFmtId="0" fontId="290" fillId="0" borderId="0" applyNumberFormat="0" applyFill="0" applyBorder="0" applyAlignment="0" applyProtection="0"/>
    <xf numFmtId="0" fontId="290" fillId="0" borderId="0" applyNumberFormat="0" applyFill="0" applyBorder="0" applyAlignment="0" applyProtection="0"/>
    <xf numFmtId="49" fontId="169" fillId="0" borderId="0"/>
    <xf numFmtId="167" fontId="164" fillId="0" borderId="0" applyFont="0" applyFill="0" applyBorder="0" applyAlignment="0" applyProtection="0"/>
    <xf numFmtId="167" fontId="86" fillId="0" borderId="0" applyFont="0" applyFill="0" applyBorder="0" applyAlignment="0" applyProtection="0"/>
    <xf numFmtId="167" fontId="86" fillId="0" borderId="0" applyFont="0" applyFill="0" applyBorder="0" applyAlignment="0" applyProtection="0"/>
    <xf numFmtId="167" fontId="86" fillId="0" borderId="0" applyFont="0" applyFill="0" applyBorder="0" applyAlignment="0" applyProtection="0"/>
    <xf numFmtId="167" fontId="86" fillId="0" borderId="0" applyFont="0" applyFill="0" applyBorder="0" applyAlignment="0" applyProtection="0"/>
    <xf numFmtId="167" fontId="86" fillId="0" borderId="0" applyFont="0" applyFill="0" applyBorder="0" applyAlignment="0" applyProtection="0"/>
    <xf numFmtId="167" fontId="86" fillId="0" borderId="0" applyFont="0" applyFill="0" applyBorder="0" applyAlignment="0" applyProtection="0"/>
    <xf numFmtId="167" fontId="86" fillId="0" borderId="0" applyFont="0" applyFill="0" applyBorder="0" applyAlignment="0" applyProtection="0"/>
    <xf numFmtId="167" fontId="86" fillId="0" borderId="0" applyFont="0" applyFill="0" applyBorder="0" applyAlignment="0" applyProtection="0"/>
    <xf numFmtId="167" fontId="86" fillId="0" borderId="0" applyFont="0" applyFill="0" applyBorder="0" applyAlignment="0" applyProtection="0"/>
    <xf numFmtId="167" fontId="86" fillId="0" borderId="0" applyFont="0" applyFill="0" applyBorder="0" applyAlignment="0" applyProtection="0"/>
    <xf numFmtId="167" fontId="86" fillId="0" borderId="0" applyFont="0" applyFill="0" applyBorder="0" applyAlignment="0" applyProtection="0"/>
    <xf numFmtId="165" fontId="161" fillId="0" borderId="0" applyFont="0" applyFill="0" applyBorder="0" applyAlignment="0" applyProtection="0"/>
    <xf numFmtId="167" fontId="294" fillId="0" borderId="0" applyFont="0" applyFill="0" applyBorder="0" applyAlignment="0" applyProtection="0"/>
    <xf numFmtId="167" fontId="164" fillId="0" borderId="0" applyFont="0" applyFill="0" applyBorder="0" applyAlignment="0" applyProtection="0"/>
    <xf numFmtId="178" fontId="161" fillId="0" borderId="0" applyFont="0" applyFill="0" applyBorder="0" applyAlignment="0" applyProtection="0"/>
    <xf numFmtId="167" fontId="161" fillId="0" borderId="0" applyFont="0" applyFill="0" applyBorder="0" applyAlignment="0" applyProtection="0"/>
    <xf numFmtId="167" fontId="161" fillId="0" borderId="0" applyFont="0" applyFill="0" applyBorder="0" applyAlignment="0" applyProtection="0"/>
    <xf numFmtId="167" fontId="161" fillId="0" borderId="0" applyFont="0" applyFill="0" applyBorder="0" applyAlignment="0" applyProtection="0"/>
    <xf numFmtId="237" fontId="164" fillId="0" borderId="0" applyFont="0" applyFill="0" applyBorder="0" applyAlignment="0" applyProtection="0"/>
    <xf numFmtId="0" fontId="258" fillId="78" borderId="0" applyNumberFormat="0" applyBorder="0" applyAlignment="0" applyProtection="0"/>
    <xf numFmtId="0" fontId="258" fillId="78" borderId="0" applyNumberFormat="0" applyBorder="0" applyAlignment="0" applyProtection="0"/>
    <xf numFmtId="0" fontId="258" fillId="78" borderId="0" applyNumberFormat="0" applyBorder="0" applyAlignment="0" applyProtection="0"/>
    <xf numFmtId="0" fontId="258" fillId="78" borderId="0" applyNumberFormat="0" applyBorder="0" applyAlignment="0" applyProtection="0"/>
    <xf numFmtId="0" fontId="258" fillId="78" borderId="0" applyNumberFormat="0" applyBorder="0" applyAlignment="0" applyProtection="0"/>
    <xf numFmtId="0" fontId="258" fillId="78" borderId="0" applyNumberFormat="0" applyBorder="0" applyAlignment="0" applyProtection="0"/>
    <xf numFmtId="0" fontId="258" fillId="78" borderId="0" applyNumberFormat="0" applyBorder="0" applyAlignment="0" applyProtection="0"/>
    <xf numFmtId="0" fontId="258" fillId="78" borderId="0" applyNumberFormat="0" applyBorder="0" applyAlignment="0" applyProtection="0"/>
    <xf numFmtId="0" fontId="258" fillId="78" borderId="0" applyNumberFormat="0" applyBorder="0" applyAlignment="0" applyProtection="0"/>
    <xf numFmtId="0" fontId="258" fillId="78" borderId="0" applyNumberFormat="0" applyBorder="0" applyAlignment="0" applyProtection="0"/>
    <xf numFmtId="0" fontId="258" fillId="78" borderId="0" applyNumberFormat="0" applyBorder="0" applyAlignment="0" applyProtection="0"/>
    <xf numFmtId="0" fontId="258" fillId="78" borderId="0" applyNumberFormat="0" applyBorder="0" applyAlignment="0" applyProtection="0"/>
    <xf numFmtId="4" fontId="161" fillId="0" borderId="1"/>
    <xf numFmtId="4" fontId="161" fillId="0" borderId="1"/>
    <xf numFmtId="4" fontId="161" fillId="0" borderId="1"/>
    <xf numFmtId="4" fontId="161" fillId="0" borderId="1"/>
    <xf numFmtId="4" fontId="161" fillId="0" borderId="1"/>
    <xf numFmtId="4" fontId="161" fillId="0" borderId="1"/>
    <xf numFmtId="4" fontId="161" fillId="0" borderId="1"/>
    <xf numFmtId="4" fontId="161" fillId="0" borderId="1"/>
    <xf numFmtId="4" fontId="161" fillId="0" borderId="1"/>
    <xf numFmtId="4" fontId="161" fillId="0" borderId="1"/>
    <xf numFmtId="37" fontId="86" fillId="0" borderId="0" applyFont="0" applyBorder="0" applyAlignment="0" applyProtection="0"/>
    <xf numFmtId="167" fontId="1" fillId="0" borderId="0" applyFont="0" applyFill="0" applyBorder="0" applyAlignment="0" applyProtection="0"/>
    <xf numFmtId="0" fontId="55" fillId="0" borderId="0"/>
    <xf numFmtId="44" fontId="1" fillId="0" borderId="0" applyFont="0" applyFill="0" applyBorder="0" applyAlignment="0" applyProtection="0"/>
    <xf numFmtId="0" fontId="1" fillId="0" borderId="0"/>
    <xf numFmtId="0" fontId="1" fillId="0" borderId="0"/>
    <xf numFmtId="0" fontId="86" fillId="0" borderId="0"/>
    <xf numFmtId="0" fontId="86" fillId="0" borderId="0"/>
    <xf numFmtId="0" fontId="284" fillId="0" borderId="0" applyNumberFormat="0" applyFill="0" applyBorder="0" applyAlignment="0" applyProtection="0"/>
    <xf numFmtId="0" fontId="284" fillId="0" borderId="0" applyNumberFormat="0" applyFill="0" applyBorder="0" applyAlignment="0" applyProtection="0"/>
    <xf numFmtId="0" fontId="284" fillId="0" borderId="0" applyNumberFormat="0" applyFill="0" applyBorder="0" applyAlignment="0" applyProtection="0"/>
    <xf numFmtId="0" fontId="284" fillId="0" borderId="0" applyNumberFormat="0" applyFill="0" applyBorder="0" applyAlignment="0" applyProtection="0"/>
    <xf numFmtId="0" fontId="284" fillId="0" borderId="0" applyNumberFormat="0" applyFill="0" applyBorder="0" applyAlignment="0" applyProtection="0"/>
    <xf numFmtId="0" fontId="86" fillId="0" borderId="0"/>
    <xf numFmtId="0" fontId="86" fillId="0" borderId="0"/>
    <xf numFmtId="0" fontId="86" fillId="0" borderId="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64" fontId="169" fillId="95" borderId="212">
      <alignment vertical="center"/>
    </xf>
    <xf numFmtId="164" fontId="188" fillId="97" borderId="42" applyBorder="0"/>
    <xf numFmtId="165" fontId="188" fillId="97" borderId="218" applyBorder="0"/>
    <xf numFmtId="164" fontId="196" fillId="0" borderId="0" applyFill="0" applyBorder="0">
      <alignment horizontal="left"/>
    </xf>
    <xf numFmtId="165" fontId="180" fillId="0" borderId="0" applyFill="0" applyBorder="0"/>
    <xf numFmtId="164" fontId="180" fillId="0" borderId="83" applyFill="0" applyBorder="0"/>
    <xf numFmtId="165" fontId="180" fillId="0" borderId="0" applyFill="0" applyBorder="0"/>
    <xf numFmtId="165" fontId="161" fillId="0" borderId="0" applyFont="0" applyFill="0" applyBorder="0" applyAlignment="0" applyProtection="0"/>
    <xf numFmtId="165" fontId="161" fillId="0" borderId="0" applyFont="0" applyFill="0" applyBorder="0" applyAlignment="0" applyProtection="0"/>
    <xf numFmtId="165" fontId="161" fillId="0" borderId="0" applyFont="0" applyFill="0" applyBorder="0" applyAlignment="0" applyProtection="0"/>
    <xf numFmtId="165" fontId="8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64" fontId="169" fillId="95" borderId="212">
      <alignment vertical="center"/>
    </xf>
    <xf numFmtId="164" fontId="188" fillId="97" borderId="42" applyBorder="0"/>
    <xf numFmtId="165" fontId="188" fillId="97" borderId="218" applyBorder="0"/>
    <xf numFmtId="164" fontId="196" fillId="0" borderId="0" applyFill="0" applyBorder="0">
      <alignment horizontal="left"/>
    </xf>
    <xf numFmtId="165" fontId="180" fillId="0" borderId="0" applyFill="0" applyBorder="0"/>
    <xf numFmtId="164" fontId="180" fillId="0" borderId="83" applyFill="0" applyBorder="0"/>
    <xf numFmtId="165" fontId="180" fillId="0" borderId="0" applyFill="0" applyBorder="0"/>
    <xf numFmtId="165" fontId="161" fillId="0" borderId="0" applyFont="0" applyFill="0" applyBorder="0" applyAlignment="0" applyProtection="0"/>
    <xf numFmtId="165" fontId="161" fillId="0" borderId="0" applyFont="0" applyFill="0" applyBorder="0" applyAlignment="0" applyProtection="0"/>
    <xf numFmtId="165" fontId="161" fillId="0" borderId="0" applyFont="0" applyFill="0" applyBorder="0" applyAlignment="0" applyProtection="0"/>
    <xf numFmtId="165" fontId="86"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65" fontId="164"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cellStyleXfs>
  <cellXfs count="1701">
    <xf numFmtId="0" fontId="0" fillId="0" borderId="0" xfId="0"/>
    <xf numFmtId="0" fontId="3" fillId="0" borderId="0" xfId="0" applyFont="1" applyAlignment="1">
      <alignment horizontal="center" vertical="center"/>
    </xf>
    <xf numFmtId="0" fontId="4" fillId="0" borderId="0" xfId="0" applyFont="1"/>
    <xf numFmtId="0" fontId="4" fillId="0" borderId="0" xfId="0" applyFont="1" applyAlignment="1">
      <alignment wrapText="1"/>
    </xf>
    <xf numFmtId="0" fontId="4" fillId="0" borderId="0" xfId="0" applyFont="1" applyAlignment="1">
      <alignment vertical="center"/>
    </xf>
    <xf numFmtId="0" fontId="3" fillId="0" borderId="12" xfId="0" applyFont="1" applyBorder="1" applyAlignment="1">
      <alignment horizontal="center" vertical="center"/>
    </xf>
    <xf numFmtId="0" fontId="4" fillId="0" borderId="12" xfId="0" applyFont="1" applyBorder="1"/>
    <xf numFmtId="0" fontId="11" fillId="6" borderId="0" xfId="0" applyFont="1" applyFill="1" applyAlignment="1">
      <alignment horizontal="center" vertical="center" wrapText="1"/>
    </xf>
    <xf numFmtId="0" fontId="11" fillId="6" borderId="0" xfId="0" applyFont="1" applyFill="1" applyAlignment="1">
      <alignment vertical="center" wrapText="1"/>
    </xf>
    <xf numFmtId="0" fontId="11" fillId="6" borderId="7" xfId="0" applyFont="1" applyFill="1" applyBorder="1" applyAlignment="1">
      <alignment vertical="center" wrapText="1"/>
    </xf>
    <xf numFmtId="0" fontId="10" fillId="0" borderId="0" xfId="0" applyFont="1" applyAlignment="1">
      <alignment horizontal="center" vertical="center"/>
    </xf>
    <xf numFmtId="0" fontId="4" fillId="6" borderId="0" xfId="0" applyFont="1" applyFill="1" applyAlignment="1">
      <alignment wrapText="1"/>
    </xf>
    <xf numFmtId="0" fontId="13" fillId="6" borderId="0" xfId="0" applyFont="1" applyFill="1" applyAlignment="1">
      <alignment horizontal="center" vertical="center" wrapText="1"/>
    </xf>
    <xf numFmtId="9" fontId="13" fillId="6" borderId="0" xfId="0" applyNumberFormat="1" applyFont="1" applyFill="1" applyAlignment="1">
      <alignment horizontal="left" vertical="center" wrapText="1"/>
    </xf>
    <xf numFmtId="0" fontId="0" fillId="6" borderId="0" xfId="0" applyFill="1"/>
    <xf numFmtId="0" fontId="4" fillId="6" borderId="0" xfId="0" applyFont="1" applyFill="1"/>
    <xf numFmtId="0" fontId="18" fillId="6" borderId="0" xfId="0" applyFont="1" applyFill="1" applyAlignment="1">
      <alignment vertical="center" wrapText="1"/>
    </xf>
    <xf numFmtId="0" fontId="13" fillId="6" borderId="0" xfId="0" applyFont="1" applyFill="1" applyAlignment="1">
      <alignment vertical="center" wrapText="1"/>
    </xf>
    <xf numFmtId="9" fontId="13" fillId="6" borderId="0" xfId="0" applyNumberFormat="1" applyFont="1" applyFill="1" applyAlignment="1">
      <alignment vertical="center" wrapText="1"/>
    </xf>
    <xf numFmtId="0" fontId="4" fillId="0" borderId="0" xfId="0" applyFont="1" applyAlignment="1">
      <alignment horizontal="center" vertical="center"/>
    </xf>
    <xf numFmtId="0" fontId="25" fillId="0" borderId="0" xfId="0" applyFont="1" applyAlignment="1">
      <alignment vertical="center"/>
    </xf>
    <xf numFmtId="0" fontId="26" fillId="0" borderId="0" xfId="0" applyFont="1" applyAlignment="1">
      <alignment vertical="center"/>
    </xf>
    <xf numFmtId="0" fontId="25" fillId="0" borderId="0" xfId="0" applyFont="1" applyAlignment="1">
      <alignment horizontal="center" vertical="center"/>
    </xf>
    <xf numFmtId="0" fontId="32" fillId="0" borderId="1" xfId="0" applyFont="1" applyBorder="1" applyAlignment="1">
      <alignment horizontal="center" vertical="center"/>
    </xf>
    <xf numFmtId="0" fontId="33" fillId="0" borderId="36" xfId="0" applyFont="1" applyBorder="1" applyAlignment="1">
      <alignment vertical="center"/>
    </xf>
    <xf numFmtId="0" fontId="27" fillId="0" borderId="30" xfId="0" applyFont="1" applyBorder="1" applyAlignment="1">
      <alignment horizontal="center" vertical="center"/>
    </xf>
    <xf numFmtId="0" fontId="27" fillId="0" borderId="31" xfId="0" applyFont="1" applyBorder="1" applyAlignment="1">
      <alignment horizontal="center" vertical="center"/>
    </xf>
    <xf numFmtId="0" fontId="27" fillId="0" borderId="39" xfId="0" applyFont="1" applyBorder="1" applyAlignment="1">
      <alignment horizontal="center" vertical="center"/>
    </xf>
    <xf numFmtId="0" fontId="33" fillId="0" borderId="40" xfId="0" applyFont="1" applyBorder="1" applyAlignment="1">
      <alignment vertical="center" wrapText="1"/>
    </xf>
    <xf numFmtId="0" fontId="33" fillId="0" borderId="0" xfId="0" applyFont="1" applyAlignment="1">
      <alignment vertical="center" textRotation="90"/>
    </xf>
    <xf numFmtId="0" fontId="22" fillId="0" borderId="30" xfId="0" applyFont="1" applyBorder="1" applyAlignment="1">
      <alignment horizontal="center" vertical="center"/>
    </xf>
    <xf numFmtId="0" fontId="23" fillId="0" borderId="0" xfId="0" applyFont="1" applyAlignment="1">
      <alignment vertical="center"/>
    </xf>
    <xf numFmtId="0" fontId="20" fillId="0" borderId="0" xfId="0" applyFont="1"/>
    <xf numFmtId="0" fontId="22" fillId="0" borderId="40" xfId="0" applyFont="1" applyBorder="1" applyAlignment="1">
      <alignment horizontal="center" vertical="center"/>
    </xf>
    <xf numFmtId="9" fontId="39" fillId="0" borderId="0" xfId="0" applyNumberFormat="1" applyFont="1" applyAlignment="1">
      <alignment horizontal="center"/>
    </xf>
    <xf numFmtId="0" fontId="22" fillId="0" borderId="43" xfId="0" applyFont="1" applyBorder="1" applyAlignment="1">
      <alignment horizontal="center" vertical="center"/>
    </xf>
    <xf numFmtId="0" fontId="22" fillId="0" borderId="0" xfId="0" applyFont="1" applyAlignment="1">
      <alignment horizontal="center" vertical="center"/>
    </xf>
    <xf numFmtId="167" fontId="23" fillId="0" borderId="0" xfId="7" applyFont="1" applyBorder="1" applyAlignment="1"/>
    <xf numFmtId="166" fontId="4" fillId="0" borderId="0" xfId="0" applyNumberFormat="1" applyFont="1"/>
    <xf numFmtId="0" fontId="10" fillId="21" borderId="44" xfId="5" applyFont="1" applyFill="1" applyBorder="1" applyAlignment="1">
      <alignment horizontal="center" vertical="center"/>
    </xf>
    <xf numFmtId="0" fontId="4" fillId="0" borderId="21" xfId="0" applyFont="1" applyBorder="1" applyAlignment="1">
      <alignment vertical="center" wrapText="1"/>
    </xf>
    <xf numFmtId="0" fontId="44" fillId="6" borderId="52" xfId="0" applyFont="1" applyFill="1" applyBorder="1" applyAlignment="1">
      <alignment horizontal="center" vertical="center" wrapText="1"/>
    </xf>
    <xf numFmtId="0" fontId="44" fillId="6" borderId="53" xfId="0" applyFont="1" applyFill="1" applyBorder="1" applyAlignment="1">
      <alignment horizontal="center" vertical="center" wrapText="1"/>
    </xf>
    <xf numFmtId="0" fontId="0" fillId="28" borderId="0" xfId="0" applyFill="1"/>
    <xf numFmtId="0" fontId="4" fillId="6" borderId="0" xfId="0" applyFont="1" applyFill="1" applyAlignment="1">
      <alignment horizontal="center" wrapText="1"/>
    </xf>
    <xf numFmtId="0" fontId="11" fillId="6" borderId="7" xfId="0" applyFont="1" applyFill="1" applyBorder="1" applyAlignment="1">
      <alignment horizontal="center" vertical="center" wrapText="1"/>
    </xf>
    <xf numFmtId="0" fontId="4" fillId="0" borderId="0" xfId="0" applyFont="1" applyAlignment="1">
      <alignment horizontal="center" wrapText="1"/>
    </xf>
    <xf numFmtId="0" fontId="19" fillId="6" borderId="0" xfId="0" applyFont="1" applyFill="1" applyAlignment="1">
      <alignment horizontal="center" vertical="center" wrapText="1"/>
    </xf>
    <xf numFmtId="9" fontId="44" fillId="6" borderId="52" xfId="8" applyFont="1" applyFill="1" applyBorder="1" applyAlignment="1">
      <alignment horizontal="center" vertical="center" wrapText="1"/>
    </xf>
    <xf numFmtId="9" fontId="44" fillId="6" borderId="53" xfId="8" applyFont="1" applyFill="1" applyBorder="1" applyAlignment="1">
      <alignment horizontal="center" vertical="center" wrapText="1"/>
    </xf>
    <xf numFmtId="0" fontId="44" fillId="6" borderId="57" xfId="0" applyFont="1" applyFill="1" applyBorder="1" applyAlignment="1">
      <alignment horizontal="center" vertical="center" wrapText="1"/>
    </xf>
    <xf numFmtId="0" fontId="54" fillId="6" borderId="0" xfId="0" applyFont="1" applyFill="1" applyAlignment="1">
      <alignment horizontal="center" vertical="center" wrapText="1"/>
    </xf>
    <xf numFmtId="9" fontId="44" fillId="6" borderId="57" xfId="8" applyFont="1" applyFill="1" applyBorder="1" applyAlignment="1">
      <alignment horizontal="center" vertical="center" wrapText="1"/>
    </xf>
    <xf numFmtId="0" fontId="58" fillId="6" borderId="0" xfId="0" applyFont="1" applyFill="1" applyAlignment="1">
      <alignment horizontal="left" vertical="center" wrapText="1"/>
    </xf>
    <xf numFmtId="0" fontId="58" fillId="6" borderId="0" xfId="0" applyFont="1" applyFill="1" applyAlignment="1">
      <alignment horizontal="center" vertical="center" wrapText="1"/>
    </xf>
    <xf numFmtId="0" fontId="0" fillId="6" borderId="0" xfId="0" applyFill="1" applyAlignment="1">
      <alignment horizontal="center"/>
    </xf>
    <xf numFmtId="0" fontId="4" fillId="0" borderId="16" xfId="0" applyFont="1" applyBorder="1" applyAlignment="1">
      <alignment vertical="center"/>
    </xf>
    <xf numFmtId="0" fontId="38" fillId="0" borderId="0" xfId="0" applyFont="1" applyAlignment="1">
      <alignment horizontal="left"/>
    </xf>
    <xf numFmtId="0" fontId="28" fillId="10" borderId="41" xfId="0" applyFont="1" applyFill="1" applyBorder="1" applyAlignment="1">
      <alignment horizontal="center" vertical="center" textRotation="90" wrapText="1"/>
    </xf>
    <xf numFmtId="0" fontId="27" fillId="0" borderId="35" xfId="0" applyFont="1" applyBorder="1" applyAlignment="1">
      <alignment horizontal="center" vertical="center"/>
    </xf>
    <xf numFmtId="0" fontId="26" fillId="0" borderId="0" xfId="0" applyFont="1" applyAlignment="1">
      <alignment horizontal="center" vertical="center" textRotation="90"/>
    </xf>
    <xf numFmtId="0" fontId="28" fillId="0" borderId="0" xfId="0" applyFont="1" applyAlignment="1">
      <alignment horizontal="center" vertical="center" textRotation="90" wrapText="1"/>
    </xf>
    <xf numFmtId="0" fontId="34" fillId="0" borderId="0" xfId="0" applyFont="1" applyAlignment="1">
      <alignment horizontal="center" vertical="center" wrapText="1"/>
    </xf>
    <xf numFmtId="0" fontId="7" fillId="0" borderId="0" xfId="0" applyFont="1" applyAlignment="1">
      <alignment horizontal="left" wrapText="1"/>
    </xf>
    <xf numFmtId="0" fontId="30" fillId="0" borderId="0" xfId="0" applyFont="1" applyAlignment="1">
      <alignment horizontal="center" vertical="center" wrapText="1"/>
    </xf>
    <xf numFmtId="0" fontId="7" fillId="0" borderId="0" xfId="0" applyFont="1" applyAlignment="1">
      <alignment horizontal="right" wrapText="1"/>
    </xf>
    <xf numFmtId="0" fontId="7" fillId="0" borderId="0" xfId="0" applyFont="1" applyAlignment="1">
      <alignment horizontal="center" wrapText="1"/>
    </xf>
    <xf numFmtId="0" fontId="36" fillId="0" borderId="0" xfId="0" applyFont="1"/>
    <xf numFmtId="0" fontId="37" fillId="0" borderId="0" xfId="0" applyFont="1" applyAlignment="1">
      <alignment horizontal="center" vertical="center" wrapText="1"/>
    </xf>
    <xf numFmtId="9" fontId="40" fillId="0" borderId="0" xfId="0" applyNumberFormat="1" applyFont="1" applyAlignment="1">
      <alignment horizontal="center" vertical="center" wrapText="1"/>
    </xf>
    <xf numFmtId="0" fontId="9" fillId="0" borderId="0" xfId="0" applyFont="1" applyAlignment="1">
      <alignment horizontal="center" vertical="center"/>
    </xf>
    <xf numFmtId="0" fontId="20" fillId="0" borderId="0" xfId="0" applyFont="1" applyAlignment="1">
      <alignment wrapText="1"/>
    </xf>
    <xf numFmtId="0" fontId="68" fillId="6" borderId="0" xfId="0" applyFont="1" applyFill="1" applyAlignment="1">
      <alignment vertical="center" wrapText="1"/>
    </xf>
    <xf numFmtId="0" fontId="65" fillId="6" borderId="0" xfId="0" applyFont="1" applyFill="1" applyAlignment="1">
      <alignment horizontal="center" vertical="center" wrapText="1"/>
    </xf>
    <xf numFmtId="0" fontId="68" fillId="6" borderId="7" xfId="0" applyFont="1" applyFill="1" applyBorder="1" applyAlignment="1">
      <alignment vertical="center" wrapText="1"/>
    </xf>
    <xf numFmtId="0" fontId="2" fillId="6" borderId="0" xfId="0" applyFont="1" applyFill="1" applyAlignment="1">
      <alignment wrapText="1"/>
    </xf>
    <xf numFmtId="0" fontId="2" fillId="0" borderId="0" xfId="0" applyFont="1" applyAlignment="1">
      <alignment wrapText="1"/>
    </xf>
    <xf numFmtId="171" fontId="0" fillId="0" borderId="0" xfId="0" applyNumberFormat="1"/>
    <xf numFmtId="3" fontId="0" fillId="0" borderId="0" xfId="0" applyNumberFormat="1"/>
    <xf numFmtId="0" fontId="52" fillId="37" borderId="0" xfId="0" applyFont="1" applyFill="1" applyAlignment="1">
      <alignment vertical="center"/>
    </xf>
    <xf numFmtId="166" fontId="0" fillId="0" borderId="0" xfId="0" applyNumberFormat="1"/>
    <xf numFmtId="0" fontId="70" fillId="38" borderId="0" xfId="0" applyFont="1" applyFill="1" applyAlignment="1">
      <alignment vertical="center"/>
    </xf>
    <xf numFmtId="172" fontId="51" fillId="37" borderId="0" xfId="0" applyNumberFormat="1" applyFont="1" applyFill="1" applyAlignment="1">
      <alignment vertical="center"/>
    </xf>
    <xf numFmtId="0" fontId="51" fillId="36" borderId="0" xfId="0" applyFont="1" applyFill="1"/>
    <xf numFmtId="37" fontId="51" fillId="26" borderId="0" xfId="10" applyNumberFormat="1" applyFont="1" applyFill="1" applyAlignment="1">
      <alignment vertical="center"/>
    </xf>
    <xf numFmtId="0" fontId="69" fillId="0" borderId="0" xfId="0" applyFont="1"/>
    <xf numFmtId="0" fontId="4" fillId="0" borderId="89" xfId="0" applyFont="1" applyBorder="1" applyAlignment="1">
      <alignment vertical="center" wrapText="1"/>
    </xf>
    <xf numFmtId="9" fontId="49" fillId="0" borderId="0" xfId="0" applyNumberFormat="1" applyFont="1" applyAlignment="1">
      <alignment horizontal="center" vertical="center"/>
    </xf>
    <xf numFmtId="0" fontId="20" fillId="6" borderId="0" xfId="0" applyFont="1" applyFill="1" applyAlignment="1">
      <alignment wrapText="1"/>
    </xf>
    <xf numFmtId="0" fontId="85" fillId="6" borderId="0" xfId="0" applyFont="1" applyFill="1" applyAlignment="1">
      <alignment vertical="center" wrapText="1"/>
    </xf>
    <xf numFmtId="0" fontId="39" fillId="6" borderId="0" xfId="0" applyFont="1" applyFill="1"/>
    <xf numFmtId="0" fontId="85" fillId="6" borderId="7" xfId="0" applyFont="1" applyFill="1" applyBorder="1" applyAlignment="1">
      <alignment vertical="center" wrapText="1"/>
    </xf>
    <xf numFmtId="0" fontId="52" fillId="0" borderId="1" xfId="0" applyFont="1" applyBorder="1" applyAlignment="1">
      <alignment horizontal="center" vertical="center"/>
    </xf>
    <xf numFmtId="1" fontId="0" fillId="0" borderId="0" xfId="0" applyNumberFormat="1"/>
    <xf numFmtId="9" fontId="0" fillId="0" borderId="0" xfId="8" applyFont="1"/>
    <xf numFmtId="0" fontId="96" fillId="3" borderId="83" xfId="0" applyFont="1" applyFill="1" applyBorder="1" applyAlignment="1">
      <alignment horizontal="center" vertical="center"/>
    </xf>
    <xf numFmtId="9" fontId="96" fillId="3" borderId="33" xfId="0" applyNumberFormat="1" applyFont="1" applyFill="1" applyBorder="1" applyAlignment="1">
      <alignment horizontal="center" vertical="center"/>
    </xf>
    <xf numFmtId="0" fontId="96" fillId="3" borderId="0" xfId="0" applyFont="1" applyFill="1" applyAlignment="1">
      <alignment horizontal="center" vertical="center"/>
    </xf>
    <xf numFmtId="0" fontId="96" fillId="10" borderId="83" xfId="0" applyFont="1" applyFill="1" applyBorder="1" applyAlignment="1">
      <alignment horizontal="center" vertical="center"/>
    </xf>
    <xf numFmtId="9" fontId="96" fillId="22" borderId="33" xfId="0" applyNumberFormat="1" applyFont="1" applyFill="1" applyBorder="1" applyAlignment="1">
      <alignment horizontal="center" vertical="center"/>
    </xf>
    <xf numFmtId="0" fontId="96" fillId="10" borderId="0" xfId="0" applyFont="1" applyFill="1" applyAlignment="1">
      <alignment horizontal="center" vertical="center"/>
    </xf>
    <xf numFmtId="0" fontId="96" fillId="14" borderId="83" xfId="0" applyFont="1" applyFill="1" applyBorder="1" applyAlignment="1">
      <alignment horizontal="center" vertical="center"/>
    </xf>
    <xf numFmtId="9" fontId="96" fillId="14" borderId="33" xfId="0" applyNumberFormat="1" applyFont="1" applyFill="1" applyBorder="1" applyAlignment="1">
      <alignment horizontal="center" vertical="center"/>
    </xf>
    <xf numFmtId="0" fontId="96" fillId="14" borderId="0" xfId="0" applyFont="1" applyFill="1" applyAlignment="1">
      <alignment horizontal="center" vertical="center"/>
    </xf>
    <xf numFmtId="0" fontId="96" fillId="7" borderId="83" xfId="0" applyFont="1" applyFill="1" applyBorder="1" applyAlignment="1">
      <alignment horizontal="center" vertical="center"/>
    </xf>
    <xf numFmtId="9" fontId="96" fillId="7" borderId="33" xfId="0" applyNumberFormat="1" applyFont="1" applyFill="1" applyBorder="1" applyAlignment="1">
      <alignment horizontal="center" vertical="center"/>
    </xf>
    <xf numFmtId="0" fontId="96" fillId="7" borderId="0" xfId="0" applyFont="1" applyFill="1" applyAlignment="1">
      <alignment horizontal="center" vertical="center"/>
    </xf>
    <xf numFmtId="0" fontId="96" fillId="23" borderId="79" xfId="0" applyFont="1" applyFill="1" applyBorder="1" applyAlignment="1">
      <alignment horizontal="center" vertical="center"/>
    </xf>
    <xf numFmtId="9" fontId="96" fillId="23" borderId="37" xfId="0" applyNumberFormat="1" applyFont="1" applyFill="1" applyBorder="1" applyAlignment="1">
      <alignment horizontal="center" vertical="center"/>
    </xf>
    <xf numFmtId="0" fontId="96" fillId="23" borderId="85" xfId="0" applyFont="1" applyFill="1" applyBorder="1" applyAlignment="1">
      <alignment horizontal="center" vertical="center"/>
    </xf>
    <xf numFmtId="0" fontId="97" fillId="3" borderId="102" xfId="0" applyFont="1" applyFill="1" applyBorder="1" applyAlignment="1">
      <alignment horizontal="center" vertical="center" wrapText="1"/>
    </xf>
    <xf numFmtId="0" fontId="98" fillId="10" borderId="102" xfId="0" applyFont="1" applyFill="1" applyBorder="1" applyAlignment="1">
      <alignment horizontal="center" vertical="center" wrapText="1"/>
    </xf>
    <xf numFmtId="0" fontId="100" fillId="21" borderId="102" xfId="0" applyFont="1" applyFill="1" applyBorder="1" applyAlignment="1">
      <alignment horizontal="center" vertical="center" wrapText="1"/>
    </xf>
    <xf numFmtId="0" fontId="100" fillId="7" borderId="102" xfId="0" applyFont="1" applyFill="1" applyBorder="1" applyAlignment="1">
      <alignment horizontal="center" vertical="center" wrapText="1"/>
    </xf>
    <xf numFmtId="9" fontId="102" fillId="16" borderId="103" xfId="0" applyNumberFormat="1" applyFont="1" applyFill="1" applyBorder="1" applyAlignment="1">
      <alignment horizontal="center" vertical="center" wrapText="1"/>
    </xf>
    <xf numFmtId="0" fontId="106" fillId="0" borderId="106" xfId="0" applyFont="1" applyBorder="1" applyAlignment="1">
      <alignment horizontal="center" vertical="center" wrapText="1" readingOrder="1"/>
    </xf>
    <xf numFmtId="0" fontId="107" fillId="20" borderId="106" xfId="0" applyFont="1" applyFill="1" applyBorder="1" applyAlignment="1">
      <alignment horizontal="center" vertical="center" wrapText="1" readingOrder="1"/>
    </xf>
    <xf numFmtId="0" fontId="106" fillId="7" borderId="106" xfId="0" applyFont="1" applyFill="1" applyBorder="1" applyAlignment="1">
      <alignment horizontal="center" vertical="center" wrapText="1" readingOrder="1"/>
    </xf>
    <xf numFmtId="0" fontId="41" fillId="0" borderId="16" xfId="0" applyFont="1" applyBorder="1" applyAlignment="1">
      <alignment vertical="center" wrapText="1"/>
    </xf>
    <xf numFmtId="0" fontId="41" fillId="0" borderId="16" xfId="0" applyFont="1" applyBorder="1" applyAlignment="1">
      <alignment vertical="center"/>
    </xf>
    <xf numFmtId="0" fontId="4" fillId="6" borderId="0" xfId="0" applyFont="1" applyFill="1" applyAlignment="1">
      <alignment horizontal="center"/>
    </xf>
    <xf numFmtId="0" fontId="4" fillId="0" borderId="0" xfId="0" applyFont="1" applyAlignment="1">
      <alignment horizontal="center"/>
    </xf>
    <xf numFmtId="0" fontId="0" fillId="0" borderId="0" xfId="0" applyAlignment="1">
      <alignment horizontal="center"/>
    </xf>
    <xf numFmtId="0" fontId="60" fillId="28" borderId="16" xfId="0" applyFont="1" applyFill="1" applyBorder="1" applyAlignment="1">
      <alignment vertical="center" wrapText="1"/>
    </xf>
    <xf numFmtId="0" fontId="8" fillId="28" borderId="16" xfId="0" applyFont="1" applyFill="1" applyBorder="1" applyAlignment="1">
      <alignment vertical="center" wrapText="1"/>
    </xf>
    <xf numFmtId="169" fontId="12" fillId="6" borderId="0" xfId="10" applyNumberFormat="1" applyFont="1" applyFill="1" applyBorder="1" applyAlignment="1">
      <alignment vertical="center" wrapText="1"/>
    </xf>
    <xf numFmtId="0" fontId="0" fillId="0" borderId="0" xfId="0" applyAlignment="1">
      <alignment wrapText="1"/>
    </xf>
    <xf numFmtId="0" fontId="118" fillId="6" borderId="52" xfId="0" applyFont="1" applyFill="1" applyBorder="1" applyAlignment="1">
      <alignment horizontal="center" vertical="center" wrapText="1"/>
    </xf>
    <xf numFmtId="0" fontId="122" fillId="24" borderId="58" xfId="0" applyFont="1" applyFill="1" applyBorder="1" applyAlignment="1">
      <alignment horizontal="center" vertical="center" textRotation="90" wrapText="1"/>
    </xf>
    <xf numFmtId="0" fontId="122" fillId="16" borderId="61" xfId="0" applyFont="1" applyFill="1" applyBorder="1" applyAlignment="1">
      <alignment horizontal="center" vertical="center" textRotation="90" wrapText="1"/>
    </xf>
    <xf numFmtId="0" fontId="125" fillId="10" borderId="49" xfId="0" applyFont="1" applyFill="1" applyBorder="1" applyAlignment="1">
      <alignment horizontal="center" vertical="center"/>
    </xf>
    <xf numFmtId="0" fontId="9" fillId="0" borderId="50" xfId="0" applyFont="1" applyBorder="1" applyAlignment="1">
      <alignment horizontal="center" vertical="center" wrapText="1"/>
    </xf>
    <xf numFmtId="0" fontId="7" fillId="0" borderId="1" xfId="0" applyFont="1" applyBorder="1" applyAlignment="1">
      <alignment horizontal="center" vertical="center"/>
    </xf>
    <xf numFmtId="0" fontId="7" fillId="0" borderId="1" xfId="0" applyFont="1" applyBorder="1" applyAlignment="1">
      <alignment horizontal="center" vertical="center" wrapText="1"/>
    </xf>
    <xf numFmtId="0" fontId="4" fillId="40" borderId="0" xfId="0" applyFont="1" applyFill="1"/>
    <xf numFmtId="0" fontId="4" fillId="40" borderId="0" xfId="0" applyFont="1" applyFill="1" applyAlignment="1">
      <alignment horizontal="center" vertical="center"/>
    </xf>
    <xf numFmtId="0" fontId="10" fillId="40" borderId="0" xfId="0" applyFont="1" applyFill="1" applyAlignment="1">
      <alignment horizontal="center" vertical="center"/>
    </xf>
    <xf numFmtId="0" fontId="130" fillId="40" borderId="0" xfId="0" applyFont="1" applyFill="1" applyAlignment="1">
      <alignment horizontal="right" vertical="center"/>
    </xf>
    <xf numFmtId="0" fontId="82" fillId="40" borderId="32" xfId="0" applyFont="1" applyFill="1" applyBorder="1" applyAlignment="1">
      <alignment horizontal="center" vertical="center" wrapText="1"/>
    </xf>
    <xf numFmtId="0" fontId="105" fillId="40" borderId="32" xfId="0" applyFont="1" applyFill="1" applyBorder="1" applyAlignment="1">
      <alignment horizontal="center" vertical="center" wrapText="1"/>
    </xf>
    <xf numFmtId="0" fontId="25" fillId="40" borderId="0" xfId="0" applyFont="1" applyFill="1" applyAlignment="1">
      <alignment vertical="center"/>
    </xf>
    <xf numFmtId="0" fontId="33" fillId="12" borderId="0" xfId="0" applyFont="1" applyFill="1" applyAlignment="1">
      <alignment horizontal="center" vertical="center"/>
    </xf>
    <xf numFmtId="0" fontId="25" fillId="12" borderId="0" xfId="0" applyFont="1" applyFill="1" applyAlignment="1">
      <alignment vertical="center"/>
    </xf>
    <xf numFmtId="0" fontId="25" fillId="12" borderId="0" xfId="0" applyFont="1" applyFill="1" applyAlignment="1">
      <alignment horizontal="center" vertical="center"/>
    </xf>
    <xf numFmtId="0" fontId="26" fillId="12" borderId="0" xfId="0" applyFont="1" applyFill="1" applyAlignment="1">
      <alignment vertical="center"/>
    </xf>
    <xf numFmtId="0" fontId="0" fillId="12" borderId="0" xfId="0" applyFill="1"/>
    <xf numFmtId="0" fontId="31" fillId="0" borderId="116" xfId="0" applyFont="1" applyBorder="1" applyAlignment="1">
      <alignment horizontal="center" vertical="center" wrapText="1"/>
    </xf>
    <xf numFmtId="0" fontId="4" fillId="12" borderId="0" xfId="0" applyFont="1" applyFill="1"/>
    <xf numFmtId="0" fontId="72" fillId="28" borderId="116" xfId="0" applyFont="1" applyFill="1" applyBorder="1" applyAlignment="1">
      <alignment horizontal="center" vertical="center" wrapText="1"/>
    </xf>
    <xf numFmtId="0" fontId="67" fillId="28" borderId="116" xfId="0" applyFont="1" applyFill="1" applyBorder="1" applyAlignment="1">
      <alignment horizontal="center" vertical="center" textRotation="90" wrapText="1"/>
    </xf>
    <xf numFmtId="0" fontId="77" fillId="28" borderId="116" xfId="0" applyFont="1" applyFill="1" applyBorder="1" applyAlignment="1">
      <alignment horizontal="center" vertical="center" wrapText="1"/>
    </xf>
    <xf numFmtId="0" fontId="77" fillId="0" borderId="116" xfId="0" applyFont="1" applyBorder="1" applyAlignment="1">
      <alignment horizontal="center" vertical="center" wrapText="1"/>
    </xf>
    <xf numFmtId="0" fontId="60" fillId="28" borderId="116" xfId="0" applyFont="1" applyFill="1" applyBorder="1" applyAlignment="1">
      <alignment vertical="center" wrapText="1"/>
    </xf>
    <xf numFmtId="0" fontId="75" fillId="0" borderId="116" xfId="0" applyFont="1" applyBorder="1" applyAlignment="1">
      <alignment horizontal="center" vertical="center" wrapText="1"/>
    </xf>
    <xf numFmtId="0" fontId="30" fillId="0" borderId="116" xfId="0" applyFont="1" applyBorder="1" applyAlignment="1">
      <alignment horizontal="center" vertical="center" wrapText="1"/>
    </xf>
    <xf numFmtId="0" fontId="48" fillId="0" borderId="116" xfId="0" applyFont="1" applyBorder="1" applyAlignment="1">
      <alignment horizontal="center" vertical="center" wrapText="1"/>
    </xf>
    <xf numFmtId="0" fontId="22" fillId="0" borderId="116" xfId="0" applyFont="1" applyBorder="1" applyAlignment="1">
      <alignment horizontal="center" vertical="center" wrapText="1"/>
    </xf>
    <xf numFmtId="0" fontId="72" fillId="0" borderId="116" xfId="0" applyFont="1" applyBorder="1" applyAlignment="1">
      <alignment horizontal="center" vertical="center" wrapText="1"/>
    </xf>
    <xf numFmtId="0" fontId="74" fillId="0" borderId="116" xfId="0" applyFont="1" applyBorder="1" applyAlignment="1">
      <alignment horizontal="center" vertical="center" wrapText="1"/>
    </xf>
    <xf numFmtId="0" fontId="4" fillId="0" borderId="116" xfId="0" applyFont="1" applyBorder="1" applyAlignment="1">
      <alignment horizontal="center" vertical="center" wrapText="1"/>
    </xf>
    <xf numFmtId="0" fontId="22" fillId="0" borderId="116" xfId="0" applyFont="1" applyBorder="1" applyAlignment="1">
      <alignment horizontal="center" vertical="center" textRotation="90" wrapText="1"/>
    </xf>
    <xf numFmtId="0" fontId="72" fillId="0" borderId="116" xfId="0" applyFont="1" applyBorder="1" applyAlignment="1">
      <alignment vertical="center" wrapText="1"/>
    </xf>
    <xf numFmtId="0" fontId="67" fillId="0" borderId="116" xfId="0" applyFont="1" applyBorder="1" applyAlignment="1">
      <alignment horizontal="center" vertical="center" textRotation="90" wrapText="1"/>
    </xf>
    <xf numFmtId="0" fontId="20" fillId="0" borderId="116" xfId="0" applyFont="1" applyBorder="1" applyAlignment="1">
      <alignment horizontal="center" vertical="center" textRotation="90" wrapText="1"/>
    </xf>
    <xf numFmtId="0" fontId="48" fillId="0" borderId="116" xfId="0" applyFont="1" applyBorder="1" applyAlignment="1">
      <alignment horizontal="left" vertical="center" wrapText="1"/>
    </xf>
    <xf numFmtId="0" fontId="27" fillId="0" borderId="116" xfId="0" applyFont="1" applyBorder="1" applyAlignment="1">
      <alignment horizontal="center" vertical="center" wrapText="1"/>
    </xf>
    <xf numFmtId="0" fontId="72" fillId="0" borderId="116" xfId="0" applyFont="1" applyBorder="1" applyAlignment="1">
      <alignment horizontal="left" vertical="center" wrapText="1"/>
    </xf>
    <xf numFmtId="0" fontId="10" fillId="0" borderId="116" xfId="0" applyFont="1" applyBorder="1" applyAlignment="1">
      <alignment horizontal="center" vertical="center" wrapText="1"/>
    </xf>
    <xf numFmtId="0" fontId="22" fillId="0" borderId="116" xfId="0" applyFont="1" applyBorder="1" applyAlignment="1">
      <alignment horizontal="left" vertical="center" wrapText="1"/>
    </xf>
    <xf numFmtId="0" fontId="29" fillId="0" borderId="116" xfId="0" applyFont="1" applyBorder="1" applyAlignment="1">
      <alignment horizontal="center" vertical="center" wrapText="1"/>
    </xf>
    <xf numFmtId="0" fontId="41" fillId="0" borderId="116" xfId="0" applyFont="1" applyBorder="1" applyAlignment="1">
      <alignment horizontal="center" vertical="center" textRotation="90" wrapText="1"/>
    </xf>
    <xf numFmtId="0" fontId="7" fillId="0" borderId="116" xfId="0" applyFont="1" applyBorder="1" applyAlignment="1">
      <alignment horizontal="center" vertical="center" wrapText="1"/>
    </xf>
    <xf numFmtId="0" fontId="72" fillId="0" borderId="116" xfId="0" applyFont="1" applyBorder="1" applyAlignment="1">
      <alignment horizontal="center" vertical="center" textRotation="90" wrapText="1"/>
    </xf>
    <xf numFmtId="0" fontId="67" fillId="0" borderId="116" xfId="0" applyFont="1" applyBorder="1" applyAlignment="1">
      <alignment horizontal="center" vertical="center" wrapText="1"/>
    </xf>
    <xf numFmtId="3" fontId="4" fillId="0" borderId="117" xfId="0" applyNumberFormat="1" applyFont="1" applyBorder="1" applyAlignment="1">
      <alignment vertical="center" wrapText="1"/>
    </xf>
    <xf numFmtId="9" fontId="7" fillId="14" borderId="117" xfId="0" applyNumberFormat="1" applyFont="1" applyFill="1" applyBorder="1" applyAlignment="1">
      <alignment horizontal="center" vertical="center" wrapText="1"/>
    </xf>
    <xf numFmtId="3" fontId="7" fillId="0" borderId="117" xfId="0" applyNumberFormat="1" applyFont="1" applyBorder="1" applyAlignment="1">
      <alignment horizontal="center" vertical="center" wrapText="1"/>
    </xf>
    <xf numFmtId="9" fontId="7" fillId="23" borderId="117" xfId="0" applyNumberFormat="1" applyFont="1" applyFill="1" applyBorder="1" applyAlignment="1">
      <alignment horizontal="center" vertical="center" wrapText="1"/>
    </xf>
    <xf numFmtId="3" fontId="29" fillId="0" borderId="117" xfId="0" applyNumberFormat="1" applyFont="1" applyBorder="1" applyAlignment="1">
      <alignment horizontal="center" vertical="center" wrapText="1"/>
    </xf>
    <xf numFmtId="3" fontId="7" fillId="0" borderId="117" xfId="0" applyNumberFormat="1" applyFont="1" applyBorder="1" applyAlignment="1">
      <alignment vertical="center" wrapText="1"/>
    </xf>
    <xf numFmtId="9" fontId="7" fillId="7" borderId="117" xfId="0" applyNumberFormat="1" applyFont="1" applyFill="1" applyBorder="1" applyAlignment="1">
      <alignment horizontal="center" vertical="center" wrapText="1"/>
    </xf>
    <xf numFmtId="9" fontId="7" fillId="22" borderId="117" xfId="0" applyNumberFormat="1" applyFont="1" applyFill="1" applyBorder="1" applyAlignment="1">
      <alignment horizontal="center" vertical="center" wrapText="1"/>
    </xf>
    <xf numFmtId="1" fontId="7" fillId="0" borderId="117" xfId="0" applyNumberFormat="1" applyFont="1" applyBorder="1" applyAlignment="1">
      <alignment horizontal="center" vertical="center" wrapText="1"/>
    </xf>
    <xf numFmtId="3" fontId="2" fillId="0" borderId="117" xfId="0" applyNumberFormat="1" applyFont="1" applyBorder="1" applyAlignment="1">
      <alignment vertical="center" wrapText="1"/>
    </xf>
    <xf numFmtId="9" fontId="2" fillId="22" borderId="117" xfId="0" applyNumberFormat="1" applyFont="1" applyFill="1" applyBorder="1" applyAlignment="1">
      <alignment horizontal="center" vertical="center" wrapText="1"/>
    </xf>
    <xf numFmtId="0" fontId="119" fillId="6" borderId="0" xfId="0" applyFont="1" applyFill="1" applyAlignment="1">
      <alignment horizontal="left" vertical="center" wrapText="1"/>
    </xf>
    <xf numFmtId="0" fontId="66" fillId="0" borderId="116" xfId="0" applyFont="1" applyBorder="1" applyAlignment="1">
      <alignment vertical="center" wrapText="1"/>
    </xf>
    <xf numFmtId="0" fontId="74" fillId="28" borderId="116" xfId="0" applyFont="1" applyFill="1" applyBorder="1" applyAlignment="1">
      <alignment horizontal="center" vertical="center" wrapText="1"/>
    </xf>
    <xf numFmtId="0" fontId="9" fillId="0" borderId="116" xfId="0" applyFont="1" applyBorder="1" applyAlignment="1">
      <alignment horizontal="center" vertical="center" wrapText="1"/>
    </xf>
    <xf numFmtId="0" fontId="27" fillId="12" borderId="35" xfId="0" applyFont="1" applyFill="1" applyBorder="1" applyAlignment="1">
      <alignment horizontal="center" vertical="center"/>
    </xf>
    <xf numFmtId="0" fontId="27" fillId="40" borderId="35" xfId="0" applyFont="1" applyFill="1" applyBorder="1" applyAlignment="1">
      <alignment horizontal="center" vertical="center"/>
    </xf>
    <xf numFmtId="169" fontId="129" fillId="20" borderId="62" xfId="10" applyNumberFormat="1" applyFont="1" applyFill="1" applyBorder="1" applyAlignment="1" applyProtection="1">
      <alignment horizontal="center" vertical="center"/>
    </xf>
    <xf numFmtId="0" fontId="25" fillId="40" borderId="7" xfId="0" applyFont="1" applyFill="1" applyBorder="1" applyAlignment="1">
      <alignment vertical="center"/>
    </xf>
    <xf numFmtId="0" fontId="25" fillId="40" borderId="7" xfId="0" applyFont="1" applyFill="1" applyBorder="1" applyAlignment="1">
      <alignment horizontal="center" vertical="center"/>
    </xf>
    <xf numFmtId="0" fontId="24" fillId="40" borderId="7" xfId="0" applyFont="1" applyFill="1" applyBorder="1" applyAlignment="1">
      <alignment vertical="center"/>
    </xf>
    <xf numFmtId="0" fontId="4" fillId="40" borderId="7" xfId="0" applyFont="1" applyFill="1" applyBorder="1"/>
    <xf numFmtId="0" fontId="25" fillId="40" borderId="9" xfId="0" applyFont="1" applyFill="1" applyBorder="1" applyAlignment="1">
      <alignment vertical="center"/>
    </xf>
    <xf numFmtId="0" fontId="50" fillId="39" borderId="58" xfId="0" applyFont="1" applyFill="1" applyBorder="1" applyAlignment="1">
      <alignment horizontal="center" vertical="center" textRotation="90" wrapText="1"/>
    </xf>
    <xf numFmtId="0" fontId="50" fillId="39" borderId="120" xfId="0" applyFont="1" applyFill="1" applyBorder="1" applyAlignment="1">
      <alignment horizontal="center" vertical="center" textRotation="90" wrapText="1"/>
    </xf>
    <xf numFmtId="0" fontId="50" fillId="43" borderId="120" xfId="0" applyFont="1" applyFill="1" applyBorder="1" applyAlignment="1">
      <alignment horizontal="center" vertical="center" textRotation="90" wrapText="1"/>
    </xf>
    <xf numFmtId="0" fontId="50" fillId="22" borderId="62" xfId="0" applyFont="1" applyFill="1" applyBorder="1" applyAlignment="1">
      <alignment horizontal="center" vertical="center" textRotation="90" wrapText="1"/>
    </xf>
    <xf numFmtId="0" fontId="50" fillId="16" borderId="61" xfId="0" applyFont="1" applyFill="1" applyBorder="1" applyAlignment="1">
      <alignment horizontal="center" vertical="center" textRotation="90" wrapText="1"/>
    </xf>
    <xf numFmtId="3" fontId="7" fillId="14" borderId="117" xfId="0" applyNumberFormat="1" applyFont="1" applyFill="1" applyBorder="1" applyAlignment="1">
      <alignment horizontal="center" vertical="center" wrapText="1"/>
    </xf>
    <xf numFmtId="0" fontId="73" fillId="0" borderId="116" xfId="0" applyFont="1" applyBorder="1" applyAlignment="1">
      <alignment horizontal="center" vertical="center" wrapText="1"/>
    </xf>
    <xf numFmtId="0" fontId="0" fillId="0" borderId="1" xfId="0" applyBorder="1"/>
    <xf numFmtId="0" fontId="0" fillId="0" borderId="76" xfId="0" applyBorder="1" applyAlignment="1">
      <alignment wrapText="1"/>
    </xf>
    <xf numFmtId="0" fontId="0" fillId="0" borderId="76" xfId="0" applyBorder="1"/>
    <xf numFmtId="9" fontId="4" fillId="28" borderId="117" xfId="0" applyNumberFormat="1" applyFont="1" applyFill="1" applyBorder="1" applyAlignment="1">
      <alignment horizontal="center" vertical="center" wrapText="1"/>
    </xf>
    <xf numFmtId="0" fontId="133" fillId="0" borderId="0" xfId="0" applyFont="1"/>
    <xf numFmtId="0" fontId="49" fillId="0" borderId="0" xfId="0" applyFont="1"/>
    <xf numFmtId="9" fontId="0" fillId="0" borderId="1" xfId="8" applyFont="1" applyBorder="1" applyAlignment="1">
      <alignment horizontal="center"/>
    </xf>
    <xf numFmtId="1" fontId="0" fillId="0" borderId="1" xfId="0" applyNumberFormat="1" applyBorder="1" applyAlignment="1">
      <alignment horizontal="center"/>
    </xf>
    <xf numFmtId="0" fontId="26" fillId="20" borderId="0" xfId="0" applyFont="1" applyFill="1" applyAlignment="1">
      <alignment horizontal="center" vertical="center" textRotation="90"/>
    </xf>
    <xf numFmtId="0" fontId="28" fillId="20" borderId="0" xfId="0" applyFont="1" applyFill="1" applyAlignment="1">
      <alignment horizontal="center" vertical="center" textRotation="90" wrapText="1"/>
    </xf>
    <xf numFmtId="0" fontId="7" fillId="20" borderId="0" xfId="0" applyFont="1" applyFill="1" applyAlignment="1">
      <alignment horizontal="left" wrapText="1"/>
    </xf>
    <xf numFmtId="0" fontId="30" fillId="20" borderId="0" xfId="0" applyFont="1" applyFill="1" applyAlignment="1">
      <alignment horizontal="center" vertical="center" wrapText="1"/>
    </xf>
    <xf numFmtId="0" fontId="34" fillId="20" borderId="0" xfId="0" applyFont="1" applyFill="1" applyAlignment="1">
      <alignment horizontal="center" vertical="center" wrapText="1"/>
    </xf>
    <xf numFmtId="0" fontId="7" fillId="20" borderId="0" xfId="0" applyFont="1" applyFill="1" applyAlignment="1">
      <alignment horizontal="right" wrapText="1"/>
    </xf>
    <xf numFmtId="0" fontId="7" fillId="20" borderId="0" xfId="0" applyFont="1" applyFill="1" applyAlignment="1">
      <alignment horizontal="center" wrapText="1"/>
    </xf>
    <xf numFmtId="0" fontId="26" fillId="45" borderId="0" xfId="0" applyFont="1" applyFill="1" applyAlignment="1">
      <alignment horizontal="center" vertical="center" textRotation="90"/>
    </xf>
    <xf numFmtId="0" fontId="28" fillId="45" borderId="0" xfId="0" applyFont="1" applyFill="1" applyAlignment="1">
      <alignment horizontal="center" vertical="center" textRotation="90" wrapText="1"/>
    </xf>
    <xf numFmtId="0" fontId="7" fillId="45" borderId="0" xfId="0" applyFont="1" applyFill="1" applyAlignment="1">
      <alignment horizontal="left" wrapText="1"/>
    </xf>
    <xf numFmtId="0" fontId="30" fillId="45" borderId="0" xfId="0" applyFont="1" applyFill="1" applyAlignment="1">
      <alignment horizontal="center" vertical="center" wrapText="1"/>
    </xf>
    <xf numFmtId="0" fontId="34" fillId="45" borderId="0" xfId="0" applyFont="1" applyFill="1" applyAlignment="1">
      <alignment horizontal="center" vertical="center" wrapText="1"/>
    </xf>
    <xf numFmtId="0" fontId="7" fillId="45" borderId="0" xfId="0" applyFont="1" applyFill="1" applyAlignment="1">
      <alignment horizontal="right" wrapText="1"/>
    </xf>
    <xf numFmtId="0" fontId="7" fillId="45" borderId="0" xfId="0" applyFont="1" applyFill="1" applyAlignment="1">
      <alignment horizontal="center" wrapText="1"/>
    </xf>
    <xf numFmtId="0" fontId="49" fillId="0" borderId="0" xfId="0" applyFont="1" applyAlignment="1">
      <alignment vertical="center"/>
    </xf>
    <xf numFmtId="37" fontId="51" fillId="12" borderId="0" xfId="10" applyNumberFormat="1" applyFont="1" applyFill="1" applyAlignment="1">
      <alignment vertical="center"/>
    </xf>
    <xf numFmtId="0" fontId="0" fillId="13" borderId="0" xfId="0" applyFill="1"/>
    <xf numFmtId="0" fontId="0" fillId="35" borderId="0" xfId="0" applyFill="1"/>
    <xf numFmtId="0" fontId="69" fillId="13" borderId="0" xfId="0" applyFont="1" applyFill="1" applyAlignment="1">
      <alignment vertical="center"/>
    </xf>
    <xf numFmtId="171" fontId="69" fillId="35" borderId="0" xfId="10" applyNumberFormat="1" applyFont="1" applyFill="1" applyBorder="1" applyAlignment="1">
      <alignment vertical="center"/>
    </xf>
    <xf numFmtId="0" fontId="0" fillId="13" borderId="90" xfId="0" applyFill="1" applyBorder="1"/>
    <xf numFmtId="0" fontId="0" fillId="13" borderId="137" xfId="0" applyFill="1" applyBorder="1"/>
    <xf numFmtId="0" fontId="0" fillId="13" borderId="138" xfId="0" applyFill="1" applyBorder="1"/>
    <xf numFmtId="0" fontId="0" fillId="13" borderId="135" xfId="0" applyFill="1" applyBorder="1"/>
    <xf numFmtId="0" fontId="0" fillId="13" borderId="139" xfId="0" applyFill="1" applyBorder="1"/>
    <xf numFmtId="0" fontId="0" fillId="35" borderId="143" xfId="0" applyFill="1" applyBorder="1"/>
    <xf numFmtId="0" fontId="0" fillId="35" borderId="144" xfId="0" applyFill="1" applyBorder="1"/>
    <xf numFmtId="0" fontId="0" fillId="35" borderId="145" xfId="0" applyFill="1" applyBorder="1"/>
    <xf numFmtId="0" fontId="0" fillId="35" borderId="146" xfId="0" applyFill="1" applyBorder="1"/>
    <xf numFmtId="0" fontId="0" fillId="35" borderId="147" xfId="0" applyFill="1" applyBorder="1"/>
    <xf numFmtId="0" fontId="0" fillId="31" borderId="150" xfId="0" applyFill="1" applyBorder="1"/>
    <xf numFmtId="0" fontId="0" fillId="31" borderId="0" xfId="0" applyFill="1"/>
    <xf numFmtId="0" fontId="0" fillId="31" borderId="151" xfId="0" applyFill="1" applyBorder="1"/>
    <xf numFmtId="171" fontId="69" fillId="31" borderId="0" xfId="10" applyNumberFormat="1" applyFont="1" applyFill="1" applyBorder="1" applyAlignment="1">
      <alignment vertical="center"/>
    </xf>
    <xf numFmtId="0" fontId="0" fillId="31" borderId="152" xfId="0" applyFill="1" applyBorder="1"/>
    <xf numFmtId="0" fontId="0" fillId="31" borderId="153" xfId="0" applyFill="1" applyBorder="1"/>
    <xf numFmtId="0" fontId="0" fillId="31" borderId="154" xfId="0" applyFill="1" applyBorder="1"/>
    <xf numFmtId="0" fontId="0" fillId="30" borderId="158" xfId="0" applyFill="1" applyBorder="1"/>
    <xf numFmtId="0" fontId="0" fillId="30" borderId="0" xfId="0" applyFill="1"/>
    <xf numFmtId="0" fontId="0" fillId="30" borderId="159" xfId="0" applyFill="1" applyBorder="1"/>
    <xf numFmtId="171" fontId="69" fillId="30" borderId="0" xfId="10" applyNumberFormat="1" applyFont="1" applyFill="1" applyBorder="1" applyAlignment="1">
      <alignment vertical="center"/>
    </xf>
    <xf numFmtId="171" fontId="69" fillId="30" borderId="158" xfId="10" applyNumberFormat="1" applyFont="1" applyFill="1" applyBorder="1" applyAlignment="1">
      <alignment vertical="center"/>
    </xf>
    <xf numFmtId="0" fontId="0" fillId="30" borderId="160" xfId="0" applyFill="1" applyBorder="1"/>
    <xf numFmtId="0" fontId="0" fillId="30" borderId="161" xfId="0" applyFill="1" applyBorder="1"/>
    <xf numFmtId="0" fontId="0" fillId="30" borderId="162" xfId="0" applyFill="1" applyBorder="1"/>
    <xf numFmtId="0" fontId="139" fillId="0" borderId="0" xfId="0" applyFont="1"/>
    <xf numFmtId="1" fontId="133" fillId="0" borderId="0" xfId="0" applyNumberFormat="1" applyFont="1" applyAlignment="1">
      <alignment horizontal="center"/>
    </xf>
    <xf numFmtId="0" fontId="77" fillId="0" borderId="116" xfId="0" applyFont="1" applyBorder="1" applyAlignment="1">
      <alignment horizontal="center" vertical="center" textRotation="90" wrapText="1"/>
    </xf>
    <xf numFmtId="0" fontId="30" fillId="41" borderId="62" xfId="0" applyFont="1" applyFill="1" applyBorder="1" applyAlignment="1">
      <alignment horizontal="center" vertical="center" wrapText="1"/>
    </xf>
    <xf numFmtId="49" fontId="29" fillId="0" borderId="116" xfId="0" applyNumberFormat="1" applyFont="1" applyBorder="1" applyAlignment="1">
      <alignment horizontal="center" vertical="center" textRotation="90" wrapText="1"/>
    </xf>
    <xf numFmtId="0" fontId="60" fillId="0" borderId="16" xfId="0" applyFont="1" applyBorder="1" applyAlignment="1">
      <alignment horizontal="left" vertical="center" wrapText="1"/>
    </xf>
    <xf numFmtId="171" fontId="0" fillId="0" borderId="0" xfId="10" applyNumberFormat="1" applyFont="1"/>
    <xf numFmtId="171" fontId="0" fillId="0" borderId="1" xfId="10" applyNumberFormat="1" applyFont="1" applyBorder="1" applyAlignment="1">
      <alignment horizontal="center"/>
    </xf>
    <xf numFmtId="0" fontId="141" fillId="0" borderId="106" xfId="0" applyFont="1" applyBorder="1" applyAlignment="1">
      <alignment horizontal="justify" vertical="center" wrapText="1" readingOrder="1"/>
    </xf>
    <xf numFmtId="0" fontId="141" fillId="0" borderId="106" xfId="0" applyFont="1" applyBorder="1" applyAlignment="1">
      <alignment horizontal="center" vertical="center" wrapText="1" readingOrder="1"/>
    </xf>
    <xf numFmtId="0" fontId="4" fillId="0" borderId="16" xfId="0" applyFont="1" applyBorder="1" applyAlignment="1">
      <alignment horizontal="center" vertical="center" textRotation="90" wrapText="1"/>
    </xf>
    <xf numFmtId="0" fontId="20" fillId="0" borderId="16" xfId="0" applyFont="1" applyBorder="1" applyAlignment="1">
      <alignment horizontal="center" vertical="center" textRotation="90"/>
    </xf>
    <xf numFmtId="0" fontId="67" fillId="0" borderId="16" xfId="0" applyFont="1" applyBorder="1" applyAlignment="1">
      <alignment horizontal="center" vertical="center" textRotation="90" wrapText="1"/>
    </xf>
    <xf numFmtId="0" fontId="22" fillId="0" borderId="16" xfId="0" applyFont="1" applyBorder="1" applyAlignment="1">
      <alignment horizontal="center" vertical="center" textRotation="90" wrapText="1"/>
    </xf>
    <xf numFmtId="0" fontId="67" fillId="28" borderId="16" xfId="0" applyFont="1" applyFill="1" applyBorder="1" applyAlignment="1">
      <alignment horizontal="center" vertical="center" textRotation="90" wrapText="1"/>
    </xf>
    <xf numFmtId="0" fontId="8" fillId="28" borderId="16" xfId="0" applyFont="1" applyFill="1" applyBorder="1" applyAlignment="1">
      <alignment horizontal="center" vertical="center" textRotation="90" wrapText="1"/>
    </xf>
    <xf numFmtId="0" fontId="4" fillId="0" borderId="16" xfId="0" applyFont="1" applyBorder="1" applyAlignment="1">
      <alignment vertical="center" wrapText="1"/>
    </xf>
    <xf numFmtId="0" fontId="20" fillId="0" borderId="16" xfId="0" applyFont="1" applyBorder="1" applyAlignment="1">
      <alignment horizontal="center" vertical="center" textRotation="90" wrapText="1"/>
    </xf>
    <xf numFmtId="0" fontId="67" fillId="0" borderId="16" xfId="0" applyFont="1" applyBorder="1" applyAlignment="1">
      <alignment horizontal="left" vertical="center" wrapText="1"/>
    </xf>
    <xf numFmtId="0" fontId="72" fillId="0" borderId="16" xfId="0" applyFont="1" applyBorder="1" applyAlignment="1">
      <alignment horizontal="center" vertical="center" textRotation="90" wrapText="1"/>
    </xf>
    <xf numFmtId="0" fontId="76" fillId="0" borderId="16" xfId="0" applyFont="1" applyBorder="1" applyAlignment="1">
      <alignment horizontal="center" vertical="center" textRotation="90" wrapText="1"/>
    </xf>
    <xf numFmtId="0" fontId="20" fillId="0" borderId="163" xfId="0" applyFont="1" applyBorder="1" applyAlignment="1">
      <alignment horizontal="center" vertical="center" textRotation="90"/>
    </xf>
    <xf numFmtId="9" fontId="4" fillId="22" borderId="1" xfId="0" applyNumberFormat="1" applyFont="1" applyFill="1" applyBorder="1" applyAlignment="1">
      <alignment horizontal="center" vertical="center" wrapText="1"/>
    </xf>
    <xf numFmtId="9" fontId="4" fillId="23" borderId="1" xfId="0" applyNumberFormat="1" applyFont="1" applyFill="1" applyBorder="1" applyAlignment="1">
      <alignment horizontal="center" vertical="center" wrapText="1"/>
    </xf>
    <xf numFmtId="3" fontId="20" fillId="0" borderId="1" xfId="0" applyNumberFormat="1" applyFont="1" applyBorder="1" applyAlignment="1">
      <alignment horizontal="center" vertical="center"/>
    </xf>
    <xf numFmtId="3" fontId="7" fillId="0" borderId="1" xfId="0" applyNumberFormat="1" applyFont="1" applyBorder="1" applyAlignment="1">
      <alignment horizontal="center" vertical="center"/>
    </xf>
    <xf numFmtId="9" fontId="4" fillId="14" borderId="1" xfId="0" applyNumberFormat="1" applyFont="1" applyFill="1" applyBorder="1" applyAlignment="1">
      <alignment horizontal="center" vertical="center" wrapText="1"/>
    </xf>
    <xf numFmtId="9" fontId="4" fillId="29" borderId="1" xfId="0" applyNumberFormat="1" applyFont="1" applyFill="1" applyBorder="1" applyAlignment="1">
      <alignment horizontal="center" vertical="center" wrapText="1"/>
    </xf>
    <xf numFmtId="3" fontId="114" fillId="0" borderId="1" xfId="0" applyNumberFormat="1" applyFont="1" applyBorder="1" applyAlignment="1">
      <alignment horizontal="center" vertical="center"/>
    </xf>
    <xf numFmtId="9" fontId="4" fillId="29" borderId="1" xfId="8" applyFont="1" applyFill="1" applyBorder="1" applyAlignment="1">
      <alignment horizontal="center" vertical="center" wrapText="1"/>
    </xf>
    <xf numFmtId="9" fontId="4" fillId="14" borderId="1" xfId="8" applyFont="1" applyFill="1" applyBorder="1" applyAlignment="1">
      <alignment horizontal="center" vertical="center" wrapText="1"/>
    </xf>
    <xf numFmtId="9" fontId="8" fillId="29" borderId="1" xfId="8" applyFont="1" applyFill="1" applyBorder="1" applyAlignment="1">
      <alignment horizontal="center" vertical="center" wrapText="1"/>
    </xf>
    <xf numFmtId="9" fontId="8" fillId="7" borderId="1" xfId="8" applyFont="1" applyFill="1" applyBorder="1" applyAlignment="1">
      <alignment horizontal="center" vertical="center" wrapText="1"/>
    </xf>
    <xf numFmtId="9" fontId="4" fillId="0" borderId="1" xfId="0" applyNumberFormat="1" applyFont="1" applyBorder="1" applyAlignment="1">
      <alignment horizontal="center" vertical="center" wrapText="1"/>
    </xf>
    <xf numFmtId="0" fontId="4" fillId="0" borderId="1" xfId="0" applyFont="1" applyBorder="1" applyAlignment="1">
      <alignment horizontal="center" vertical="center" wrapText="1"/>
    </xf>
    <xf numFmtId="9" fontId="4" fillId="7" borderId="1" xfId="0" applyNumberFormat="1" applyFont="1" applyFill="1" applyBorder="1" applyAlignment="1">
      <alignment horizontal="center" vertical="center" wrapText="1"/>
    </xf>
    <xf numFmtId="9" fontId="4" fillId="20" borderId="1" xfId="0" applyNumberFormat="1" applyFont="1" applyFill="1" applyBorder="1" applyAlignment="1">
      <alignment horizontal="center" vertical="center" wrapText="1"/>
    </xf>
    <xf numFmtId="9" fontId="8" fillId="23" borderId="1" xfId="1" applyNumberFormat="1" applyFont="1" applyFill="1" applyBorder="1" applyAlignment="1">
      <alignment horizontal="center" vertical="center" wrapText="1"/>
    </xf>
    <xf numFmtId="0" fontId="45" fillId="6" borderId="0" xfId="0" applyFont="1" applyFill="1" applyAlignment="1">
      <alignment horizontal="center" vertical="center" wrapText="1"/>
    </xf>
    <xf numFmtId="0" fontId="18" fillId="6" borderId="0" xfId="0" applyFont="1" applyFill="1" applyAlignment="1">
      <alignment horizontal="center" vertical="center" wrapText="1"/>
    </xf>
    <xf numFmtId="0" fontId="77" fillId="0" borderId="121" xfId="0" applyFont="1" applyBorder="1" applyAlignment="1">
      <alignment horizontal="center" vertical="center" wrapText="1"/>
    </xf>
    <xf numFmtId="0" fontId="48" fillId="0" borderId="121" xfId="0" applyFont="1" applyBorder="1" applyAlignment="1">
      <alignment horizontal="left" vertical="center" wrapText="1"/>
    </xf>
    <xf numFmtId="1" fontId="4" fillId="0" borderId="1" xfId="0" applyNumberFormat="1" applyFont="1" applyBorder="1" applyAlignment="1">
      <alignment horizontal="center" vertical="center"/>
    </xf>
    <xf numFmtId="0" fontId="74" fillId="0" borderId="121" xfId="0" applyFont="1" applyBorder="1" applyAlignment="1">
      <alignment horizontal="center" vertical="center" wrapText="1"/>
    </xf>
    <xf numFmtId="0" fontId="70" fillId="49" borderId="1" xfId="0" applyFont="1" applyFill="1" applyBorder="1" applyAlignment="1">
      <alignment horizontal="center" vertical="center" wrapText="1"/>
    </xf>
    <xf numFmtId="0" fontId="49" fillId="49" borderId="1" xfId="0" applyFont="1" applyFill="1" applyBorder="1" applyAlignment="1">
      <alignment horizontal="center" vertical="center"/>
    </xf>
    <xf numFmtId="0" fontId="49" fillId="49" borderId="1" xfId="0" applyFont="1" applyFill="1" applyBorder="1" applyAlignment="1">
      <alignment horizontal="center" vertical="center" wrapText="1"/>
    </xf>
    <xf numFmtId="9" fontId="4" fillId="28" borderId="1" xfId="0" applyNumberFormat="1" applyFont="1" applyFill="1" applyBorder="1" applyAlignment="1">
      <alignment horizontal="center" vertical="center" wrapText="1"/>
    </xf>
    <xf numFmtId="9" fontId="4" fillId="48" borderId="1" xfId="0" applyNumberFormat="1" applyFont="1" applyFill="1" applyBorder="1" applyAlignment="1">
      <alignment horizontal="center" vertical="center" wrapText="1"/>
    </xf>
    <xf numFmtId="0" fontId="52" fillId="0" borderId="1" xfId="0" applyFont="1" applyBorder="1" applyAlignment="1">
      <alignment wrapText="1"/>
    </xf>
    <xf numFmtId="0" fontId="52" fillId="0" borderId="1" xfId="0" applyFont="1" applyBorder="1" applyAlignment="1">
      <alignment horizontal="center" vertical="center" wrapText="1"/>
    </xf>
    <xf numFmtId="0" fontId="66" fillId="0" borderId="121" xfId="0" applyFont="1" applyBorder="1" applyAlignment="1">
      <alignment vertical="center" wrapText="1"/>
    </xf>
    <xf numFmtId="9" fontId="22" fillId="0" borderId="1" xfId="8" applyFont="1" applyBorder="1" applyAlignment="1">
      <alignment horizontal="center" vertical="center"/>
    </xf>
    <xf numFmtId="1" fontId="22" fillId="0" borderId="1" xfId="0" applyNumberFormat="1" applyFont="1" applyBorder="1" applyAlignment="1">
      <alignment horizontal="center" vertical="center"/>
    </xf>
    <xf numFmtId="3" fontId="23" fillId="0" borderId="1" xfId="0" applyNumberFormat="1" applyFont="1" applyBorder="1" applyAlignment="1">
      <alignment vertical="center"/>
    </xf>
    <xf numFmtId="0" fontId="20" fillId="0" borderId="0" xfId="0" applyFont="1" applyAlignment="1">
      <alignment horizontal="center" vertical="center" wrapText="1"/>
    </xf>
    <xf numFmtId="0" fontId="70" fillId="0" borderId="0" xfId="0" applyFont="1" applyAlignment="1">
      <alignment vertical="center"/>
    </xf>
    <xf numFmtId="0" fontId="91" fillId="0" borderId="0" xfId="0" applyFont="1"/>
    <xf numFmtId="0" fontId="143" fillId="40" borderId="7" xfId="0" applyFont="1" applyFill="1" applyBorder="1" applyAlignment="1">
      <alignment vertical="center"/>
    </xf>
    <xf numFmtId="0" fontId="144" fillId="20" borderId="62" xfId="0" applyFont="1" applyFill="1" applyBorder="1" applyAlignment="1">
      <alignment horizontal="center" vertical="center"/>
    </xf>
    <xf numFmtId="0" fontId="72" fillId="0" borderId="121" xfId="0" applyFont="1" applyBorder="1" applyAlignment="1">
      <alignment horizontal="center" vertical="center" wrapText="1"/>
    </xf>
    <xf numFmtId="3" fontId="2" fillId="14" borderId="117" xfId="0" applyNumberFormat="1" applyFont="1" applyFill="1" applyBorder="1" applyAlignment="1">
      <alignment horizontal="center" vertical="center" wrapText="1"/>
    </xf>
    <xf numFmtId="9" fontId="7" fillId="23" borderId="117" xfId="8" applyFont="1" applyFill="1" applyBorder="1" applyAlignment="1">
      <alignment horizontal="center" vertical="center" wrapText="1"/>
    </xf>
    <xf numFmtId="3" fontId="2" fillId="0" borderId="117" xfId="0" applyNumberFormat="1" applyFont="1" applyBorder="1" applyAlignment="1">
      <alignment horizontal="center" vertical="center" wrapText="1"/>
    </xf>
    <xf numFmtId="0" fontId="60" fillId="0" borderId="121" xfId="0" applyFont="1" applyBorder="1" applyAlignment="1">
      <alignment horizontal="center" vertical="center" wrapText="1"/>
    </xf>
    <xf numFmtId="0" fontId="72" fillId="0" borderId="121" xfId="0" applyFont="1" applyBorder="1" applyAlignment="1">
      <alignment horizontal="center" vertical="center" textRotation="90" wrapText="1"/>
    </xf>
    <xf numFmtId="0" fontId="77" fillId="0" borderId="121" xfId="0" applyFont="1" applyBorder="1" applyAlignment="1">
      <alignment horizontal="center" vertical="center" textRotation="90" wrapText="1"/>
    </xf>
    <xf numFmtId="0" fontId="60" fillId="0" borderId="136" xfId="0" applyFont="1" applyBorder="1" applyAlignment="1">
      <alignment horizontal="left" vertical="center" wrapText="1"/>
    </xf>
    <xf numFmtId="0" fontId="20" fillId="28" borderId="16" xfId="0" applyFont="1" applyFill="1" applyBorder="1" applyAlignment="1">
      <alignment horizontal="center" vertical="center" textRotation="90"/>
    </xf>
    <xf numFmtId="0" fontId="67" fillId="28" borderId="135" xfId="0" applyFont="1" applyFill="1" applyBorder="1" applyAlignment="1">
      <alignment horizontal="center" vertical="center" textRotation="90"/>
    </xf>
    <xf numFmtId="0" fontId="8" fillId="28" borderId="168" xfId="0" applyFont="1" applyFill="1" applyBorder="1" applyAlignment="1">
      <alignment horizontal="center" vertical="center"/>
    </xf>
    <xf numFmtId="0" fontId="67" fillId="28" borderId="163" xfId="0" applyFont="1" applyFill="1" applyBorder="1" applyAlignment="1">
      <alignment horizontal="center" vertical="center" textRotation="90"/>
    </xf>
    <xf numFmtId="0" fontId="67" fillId="5" borderId="163" xfId="0" applyFont="1" applyFill="1" applyBorder="1" applyAlignment="1">
      <alignment horizontal="center" vertical="center" textRotation="90"/>
    </xf>
    <xf numFmtId="0" fontId="0" fillId="49" borderId="0" xfId="0" applyFill="1"/>
    <xf numFmtId="0" fontId="0" fillId="44" borderId="0" xfId="0" applyFill="1"/>
    <xf numFmtId="0" fontId="0" fillId="39" borderId="0" xfId="0" applyFill="1"/>
    <xf numFmtId="0" fontId="0" fillId="39" borderId="0" xfId="0" applyFill="1" applyAlignment="1">
      <alignment wrapText="1"/>
    </xf>
    <xf numFmtId="0" fontId="0" fillId="51" borderId="0" xfId="0" applyFill="1"/>
    <xf numFmtId="0" fontId="0" fillId="51" borderId="0" xfId="0" applyFill="1" applyAlignment="1">
      <alignment wrapText="1"/>
    </xf>
    <xf numFmtId="0" fontId="0" fillId="48" borderId="0" xfId="0" applyFill="1"/>
    <xf numFmtId="0" fontId="0" fillId="48" borderId="0" xfId="0" applyFill="1" applyAlignment="1">
      <alignment wrapText="1"/>
    </xf>
    <xf numFmtId="0" fontId="0" fillId="52" borderId="0" xfId="0" applyFill="1"/>
    <xf numFmtId="0" fontId="0" fillId="52" borderId="0" xfId="0" applyFill="1" applyAlignment="1">
      <alignment wrapText="1"/>
    </xf>
    <xf numFmtId="0" fontId="0" fillId="53" borderId="0" xfId="0" applyFill="1"/>
    <xf numFmtId="0" fontId="0" fillId="54" borderId="0" xfId="0" applyFill="1"/>
    <xf numFmtId="0" fontId="0" fillId="0" borderId="75" xfId="0" applyBorder="1"/>
    <xf numFmtId="9" fontId="76" fillId="28" borderId="75" xfId="0" applyNumberFormat="1" applyFont="1" applyFill="1" applyBorder="1" applyAlignment="1">
      <alignment horizontal="center" vertical="center" wrapText="1"/>
    </xf>
    <xf numFmtId="0" fontId="147" fillId="40" borderId="75" xfId="0" applyFont="1" applyFill="1" applyBorder="1" applyAlignment="1">
      <alignment horizontal="center" vertical="center" wrapText="1"/>
    </xf>
    <xf numFmtId="0" fontId="147" fillId="40" borderId="75" xfId="0" applyFont="1" applyFill="1" applyBorder="1" applyAlignment="1">
      <alignment horizontal="center" vertical="center"/>
    </xf>
    <xf numFmtId="0" fontId="0" fillId="51" borderId="0" xfId="0" applyFill="1" applyAlignment="1">
      <alignment vertical="center" wrapText="1"/>
    </xf>
    <xf numFmtId="0" fontId="0" fillId="50" borderId="0" xfId="0" applyFill="1"/>
    <xf numFmtId="49" fontId="147" fillId="40" borderId="75" xfId="0" applyNumberFormat="1" applyFont="1" applyFill="1" applyBorder="1" applyAlignment="1">
      <alignment horizontal="center" vertical="center"/>
    </xf>
    <xf numFmtId="49" fontId="147" fillId="40" borderId="75" xfId="0" applyNumberFormat="1" applyFont="1" applyFill="1" applyBorder="1" applyAlignment="1">
      <alignment horizontal="center" vertical="center" wrapText="1"/>
    </xf>
    <xf numFmtId="0" fontId="0" fillId="0" borderId="75" xfId="0" applyBorder="1" applyAlignment="1">
      <alignment vertical="center"/>
    </xf>
    <xf numFmtId="171" fontId="0" fillId="0" borderId="75" xfId="10" applyNumberFormat="1" applyFont="1" applyBorder="1" applyAlignment="1">
      <alignment horizontal="center" vertical="center"/>
    </xf>
    <xf numFmtId="1" fontId="0" fillId="0" borderId="75" xfId="0" applyNumberFormat="1" applyBorder="1" applyAlignment="1">
      <alignment horizontal="center" vertical="center"/>
    </xf>
    <xf numFmtId="9" fontId="0" fillId="0" borderId="75" xfId="8" applyFont="1" applyBorder="1" applyAlignment="1">
      <alignment horizontal="center" vertical="center"/>
    </xf>
    <xf numFmtId="0" fontId="0" fillId="55" borderId="75" xfId="0" applyFill="1" applyBorder="1" applyAlignment="1">
      <alignment vertical="center" wrapText="1"/>
    </xf>
    <xf numFmtId="1" fontId="0" fillId="0" borderId="75" xfId="0" applyNumberFormat="1" applyBorder="1" applyAlignment="1">
      <alignment horizontal="left" vertical="center" wrapText="1"/>
    </xf>
    <xf numFmtId="0" fontId="0" fillId="0" borderId="75" xfId="0" applyBorder="1" applyAlignment="1">
      <alignment vertical="center" wrapText="1"/>
    </xf>
    <xf numFmtId="0" fontId="0" fillId="0" borderId="0" xfId="0" applyAlignment="1">
      <alignment vertical="center"/>
    </xf>
    <xf numFmtId="0" fontId="0" fillId="7" borderId="0" xfId="0" applyFill="1"/>
    <xf numFmtId="0" fontId="0" fillId="7" borderId="0" xfId="0" applyFill="1" applyAlignment="1">
      <alignment wrapText="1"/>
    </xf>
    <xf numFmtId="0" fontId="148" fillId="0" borderId="0" xfId="0" applyFont="1" applyAlignment="1">
      <alignment horizontal="center" vertical="center" wrapText="1"/>
    </xf>
    <xf numFmtId="0" fontId="0" fillId="49" borderId="0" xfId="0" applyFill="1" applyAlignment="1">
      <alignment wrapText="1"/>
    </xf>
    <xf numFmtId="0" fontId="0" fillId="12" borderId="0" xfId="0" applyFill="1" applyAlignment="1">
      <alignment wrapText="1"/>
    </xf>
    <xf numFmtId="169" fontId="0" fillId="0" borderId="0" xfId="10" applyNumberFormat="1" applyFont="1"/>
    <xf numFmtId="0" fontId="95" fillId="40" borderId="77" xfId="0" applyFont="1" applyFill="1" applyBorder="1" applyAlignment="1">
      <alignment horizontal="center" vertical="center"/>
    </xf>
    <xf numFmtId="0" fontId="95" fillId="40" borderId="28" xfId="0" applyFont="1" applyFill="1" applyBorder="1" applyAlignment="1">
      <alignment horizontal="center" vertical="center"/>
    </xf>
    <xf numFmtId="0" fontId="96" fillId="3" borderId="33" xfId="0" applyFont="1" applyFill="1" applyBorder="1" applyAlignment="1">
      <alignment horizontal="center" vertical="center"/>
    </xf>
    <xf numFmtId="0" fontId="96" fillId="22" borderId="0" xfId="0" applyFont="1" applyFill="1" applyAlignment="1">
      <alignment horizontal="center" vertical="center"/>
    </xf>
    <xf numFmtId="0" fontId="96" fillId="22" borderId="33" xfId="0" applyFont="1" applyFill="1" applyBorder="1" applyAlignment="1">
      <alignment horizontal="center" vertical="center"/>
    </xf>
    <xf numFmtId="0" fontId="95" fillId="40" borderId="84" xfId="0" applyFont="1" applyFill="1" applyBorder="1" applyAlignment="1">
      <alignment horizontal="center" vertical="center"/>
    </xf>
    <xf numFmtId="0" fontId="77" fillId="28" borderId="123" xfId="0" applyFont="1" applyFill="1" applyBorder="1" applyAlignment="1">
      <alignment horizontal="center" vertical="center" wrapText="1"/>
    </xf>
    <xf numFmtId="0" fontId="77" fillId="28" borderId="123" xfId="0" applyFont="1" applyFill="1" applyBorder="1" applyAlignment="1">
      <alignment horizontal="center" vertical="center" textRotation="90" wrapText="1"/>
    </xf>
    <xf numFmtId="0" fontId="4" fillId="6" borderId="0" xfId="0" applyFont="1" applyFill="1" applyAlignment="1">
      <alignment vertical="top" wrapText="1"/>
    </xf>
    <xf numFmtId="0" fontId="11" fillId="6" borderId="0" xfId="0" applyFont="1" applyFill="1" applyAlignment="1">
      <alignment vertical="top" wrapText="1"/>
    </xf>
    <xf numFmtId="0" fontId="0" fillId="6" borderId="0" xfId="0" applyFill="1" applyAlignment="1">
      <alignment vertical="top"/>
    </xf>
    <xf numFmtId="0" fontId="11" fillId="6" borderId="7" xfId="0" applyFont="1" applyFill="1" applyBorder="1" applyAlignment="1">
      <alignment vertical="top" wrapText="1"/>
    </xf>
    <xf numFmtId="0" fontId="4" fillId="0" borderId="0" xfId="0" applyFont="1" applyAlignment="1">
      <alignment vertical="top" wrapText="1"/>
    </xf>
    <xf numFmtId="0" fontId="60" fillId="0" borderId="16" xfId="0" applyFont="1" applyBorder="1" applyAlignment="1">
      <alignment horizontal="left" vertical="top" wrapText="1"/>
    </xf>
    <xf numFmtId="0" fontId="149" fillId="0" borderId="0" xfId="0" applyFont="1"/>
    <xf numFmtId="0" fontId="60" fillId="28" borderId="16" xfId="0" applyFont="1" applyFill="1" applyBorder="1" applyAlignment="1">
      <alignment horizontal="left" vertical="top" wrapText="1"/>
    </xf>
    <xf numFmtId="0" fontId="67" fillId="28" borderId="16" xfId="0" applyFont="1" applyFill="1" applyBorder="1" applyAlignment="1">
      <alignment vertical="center" wrapText="1"/>
    </xf>
    <xf numFmtId="0" fontId="20" fillId="0" borderId="16" xfId="0" applyFont="1" applyBorder="1" applyAlignment="1">
      <alignment vertical="center" wrapText="1"/>
    </xf>
    <xf numFmtId="0" fontId="67" fillId="0" borderId="16" xfId="0" applyFont="1" applyBorder="1" applyAlignment="1">
      <alignment vertical="center" wrapText="1"/>
    </xf>
    <xf numFmtId="0" fontId="67" fillId="0" borderId="16" xfId="0" applyFont="1" applyBorder="1" applyAlignment="1">
      <alignment horizontal="left" vertical="top" wrapText="1"/>
    </xf>
    <xf numFmtId="0" fontId="60" fillId="0" borderId="196" xfId="0" applyFont="1" applyBorder="1" applyAlignment="1">
      <alignment horizontal="left" vertical="center" wrapText="1"/>
    </xf>
    <xf numFmtId="0" fontId="72" fillId="0" borderId="122" xfId="0" applyFont="1" applyBorder="1" applyAlignment="1">
      <alignment vertical="center" wrapText="1"/>
    </xf>
    <xf numFmtId="0" fontId="72" fillId="0" borderId="123" xfId="0" applyFont="1" applyBorder="1" applyAlignment="1">
      <alignment vertical="center" wrapText="1"/>
    </xf>
    <xf numFmtId="0" fontId="74" fillId="0" borderId="148" xfId="0" applyFont="1" applyBorder="1" applyAlignment="1">
      <alignment horizontal="center" vertical="center" wrapText="1"/>
    </xf>
    <xf numFmtId="0" fontId="72" fillId="0" borderId="1" xfId="0" applyFont="1" applyBorder="1" applyAlignment="1">
      <alignment vertical="center" wrapText="1"/>
    </xf>
    <xf numFmtId="0" fontId="77" fillId="0" borderId="123" xfId="0" applyFont="1" applyBorder="1" applyAlignment="1">
      <alignment horizontal="center" vertical="center" wrapText="1"/>
    </xf>
    <xf numFmtId="0" fontId="72" fillId="0" borderId="122" xfId="0" applyFont="1" applyBorder="1" applyAlignment="1">
      <alignment horizontal="center" vertical="center" wrapText="1"/>
    </xf>
    <xf numFmtId="0" fontId="4" fillId="0" borderId="200" xfId="0" applyFont="1" applyBorder="1" applyAlignment="1">
      <alignment vertical="center" wrapText="1"/>
    </xf>
    <xf numFmtId="3" fontId="7" fillId="0" borderId="126" xfId="0" applyNumberFormat="1" applyFont="1" applyBorder="1" applyAlignment="1">
      <alignment horizontal="center" vertical="center" wrapText="1"/>
    </xf>
    <xf numFmtId="0" fontId="48" fillId="0" borderId="123" xfId="0" applyFont="1" applyBorder="1" applyAlignment="1">
      <alignment horizontal="center" vertical="center" wrapText="1"/>
    </xf>
    <xf numFmtId="0" fontId="73" fillId="0" borderId="123" xfId="0" applyFont="1" applyBorder="1" applyAlignment="1">
      <alignment horizontal="center" vertical="center" wrapText="1"/>
    </xf>
    <xf numFmtId="0" fontId="72" fillId="0" borderId="123" xfId="0" applyFont="1" applyBorder="1" applyAlignment="1">
      <alignment horizontal="center" vertical="center" wrapText="1"/>
    </xf>
    <xf numFmtId="0" fontId="67" fillId="0" borderId="150" xfId="0" applyFont="1" applyBorder="1" applyAlignment="1">
      <alignment horizontal="center" vertical="center" textRotation="90" wrapText="1"/>
    </xf>
    <xf numFmtId="0" fontId="67" fillId="0" borderId="168" xfId="0" applyFont="1" applyBorder="1" applyAlignment="1">
      <alignment horizontal="center" vertical="center" textRotation="90" wrapText="1"/>
    </xf>
    <xf numFmtId="0" fontId="67" fillId="0" borderId="0" xfId="0" applyFont="1" applyAlignment="1">
      <alignment horizontal="left" vertical="center" wrapText="1"/>
    </xf>
    <xf numFmtId="0" fontId="4" fillId="0" borderId="135" xfId="0" applyFont="1" applyBorder="1" applyAlignment="1">
      <alignment vertical="center"/>
    </xf>
    <xf numFmtId="0" fontId="0" fillId="44" borderId="0" xfId="0" applyFill="1" applyAlignment="1">
      <alignment wrapText="1"/>
    </xf>
    <xf numFmtId="0" fontId="0" fillId="0" borderId="1" xfId="0" applyBorder="1" applyAlignment="1">
      <alignment wrapText="1"/>
    </xf>
    <xf numFmtId="0" fontId="4" fillId="0" borderId="166" xfId="0" applyFont="1" applyBorder="1" applyAlignment="1">
      <alignment vertical="center"/>
    </xf>
    <xf numFmtId="0" fontId="4" fillId="0" borderId="166" xfId="0" applyFont="1" applyBorder="1" applyAlignment="1">
      <alignment horizontal="center" vertical="center" textRotation="90" wrapText="1"/>
    </xf>
    <xf numFmtId="0" fontId="67" fillId="0" borderId="166" xfId="0" applyFont="1" applyBorder="1" applyAlignment="1">
      <alignment horizontal="left" vertical="top" wrapText="1"/>
    </xf>
    <xf numFmtId="0" fontId="67" fillId="0" borderId="167" xfId="0" applyFont="1" applyBorder="1" applyAlignment="1">
      <alignment horizontal="left" vertical="top" wrapText="1"/>
    </xf>
    <xf numFmtId="0" fontId="67" fillId="0" borderId="168" xfId="0" applyFont="1" applyBorder="1" applyAlignment="1">
      <alignment horizontal="left" vertical="top" wrapText="1"/>
    </xf>
    <xf numFmtId="0" fontId="60" fillId="0" borderId="166" xfId="0" applyFont="1" applyBorder="1" applyAlignment="1">
      <alignment horizontal="left" vertical="center" wrapText="1"/>
    </xf>
    <xf numFmtId="0" fontId="60" fillId="0" borderId="167" xfId="0" applyFont="1" applyBorder="1" applyAlignment="1">
      <alignment horizontal="left" vertical="center" wrapText="1"/>
    </xf>
    <xf numFmtId="0" fontId="60" fillId="0" borderId="168" xfId="0" applyFont="1" applyBorder="1" applyAlignment="1">
      <alignment horizontal="left" vertical="center" wrapText="1"/>
    </xf>
    <xf numFmtId="0" fontId="67" fillId="0" borderId="166" xfId="0" applyFont="1" applyBorder="1" applyAlignment="1">
      <alignment horizontal="left" vertical="center" wrapText="1"/>
    </xf>
    <xf numFmtId="0" fontId="67" fillId="0" borderId="167" xfId="0" applyFont="1" applyBorder="1" applyAlignment="1">
      <alignment horizontal="left" vertical="center" wrapText="1"/>
    </xf>
    <xf numFmtId="0" fontId="67" fillId="0" borderId="168" xfId="0" applyFont="1" applyBorder="1" applyAlignment="1">
      <alignment horizontal="left" vertical="center" wrapText="1"/>
    </xf>
    <xf numFmtId="0" fontId="41" fillId="0" borderId="16" xfId="0" applyFont="1" applyBorder="1" applyAlignment="1">
      <alignment horizontal="left" vertical="top" wrapText="1"/>
    </xf>
    <xf numFmtId="0" fontId="60" fillId="0" borderId="166" xfId="0" applyFont="1" applyBorder="1" applyAlignment="1">
      <alignment horizontal="center" vertical="center" wrapText="1"/>
    </xf>
    <xf numFmtId="0" fontId="60" fillId="0" borderId="167" xfId="0" applyFont="1" applyBorder="1" applyAlignment="1">
      <alignment horizontal="center" vertical="center" wrapText="1"/>
    </xf>
    <xf numFmtId="0" fontId="60" fillId="0" borderId="168" xfId="0" applyFont="1" applyBorder="1" applyAlignment="1">
      <alignment horizontal="center" vertical="center" wrapText="1"/>
    </xf>
    <xf numFmtId="0" fontId="20" fillId="0" borderId="136" xfId="0" applyFont="1" applyBorder="1" applyAlignment="1">
      <alignment horizontal="center" vertical="center" textRotation="90"/>
    </xf>
    <xf numFmtId="0" fontId="60" fillId="0" borderId="0" xfId="0" applyFont="1" applyAlignment="1">
      <alignment horizontal="left" vertical="center" wrapText="1"/>
    </xf>
    <xf numFmtId="0" fontId="60" fillId="28" borderId="0" xfId="0" applyFont="1" applyFill="1" applyAlignment="1">
      <alignment horizontal="left" vertical="center" wrapText="1"/>
    </xf>
    <xf numFmtId="0" fontId="67" fillId="28" borderId="0" xfId="0" applyFont="1" applyFill="1" applyAlignment="1">
      <alignment vertical="center" wrapText="1"/>
    </xf>
    <xf numFmtId="0" fontId="67" fillId="28" borderId="0" xfId="0" applyFont="1" applyFill="1" applyAlignment="1">
      <alignment horizontal="left" vertical="center" wrapText="1"/>
    </xf>
    <xf numFmtId="0" fontId="67" fillId="0" borderId="0" xfId="0" applyFont="1" applyAlignment="1">
      <alignment vertical="center" wrapText="1"/>
    </xf>
    <xf numFmtId="0" fontId="4" fillId="0" borderId="166" xfId="0" applyFont="1" applyBorder="1" applyAlignment="1">
      <alignment vertical="center" wrapText="1"/>
    </xf>
    <xf numFmtId="0" fontId="4" fillId="0" borderId="168" xfId="0" applyFont="1" applyBorder="1" applyAlignment="1">
      <alignment vertical="center" wrapText="1"/>
    </xf>
    <xf numFmtId="0" fontId="60" fillId="28" borderId="83" xfId="0" applyFont="1" applyFill="1" applyBorder="1" applyAlignment="1">
      <alignment horizontal="left" vertical="top" wrapText="1"/>
    </xf>
    <xf numFmtId="0" fontId="67" fillId="28" borderId="83" xfId="0" applyFont="1" applyFill="1" applyBorder="1" applyAlignment="1">
      <alignment horizontal="left" vertical="center" wrapText="1"/>
    </xf>
    <xf numFmtId="0" fontId="60" fillId="28" borderId="83" xfId="0" applyFont="1" applyFill="1" applyBorder="1" applyAlignment="1">
      <alignment horizontal="left" vertical="center" wrapText="1"/>
    </xf>
    <xf numFmtId="1" fontId="72" fillId="0" borderId="116" xfId="0" applyNumberFormat="1" applyFont="1" applyBorder="1" applyAlignment="1">
      <alignment horizontal="center" vertical="center" textRotation="90" wrapText="1"/>
    </xf>
    <xf numFmtId="1" fontId="72" fillId="0" borderId="121" xfId="0" applyNumberFormat="1" applyFont="1" applyBorder="1" applyAlignment="1">
      <alignment horizontal="center" vertical="center" textRotation="90" wrapText="1"/>
    </xf>
    <xf numFmtId="0" fontId="77" fillId="28" borderId="121" xfId="0" applyFont="1" applyFill="1" applyBorder="1" applyAlignment="1">
      <alignment vertical="center" wrapText="1"/>
    </xf>
    <xf numFmtId="0" fontId="77" fillId="28" borderId="123" xfId="0" applyFont="1" applyFill="1" applyBorder="1" applyAlignment="1">
      <alignment vertical="center" wrapText="1"/>
    </xf>
    <xf numFmtId="0" fontId="60" fillId="28" borderId="16" xfId="0" applyFont="1" applyFill="1" applyBorder="1" applyAlignment="1">
      <alignment horizontal="center" vertical="center" textRotation="90" wrapText="1"/>
    </xf>
    <xf numFmtId="3" fontId="72" fillId="0" borderId="121" xfId="0" applyNumberFormat="1" applyFont="1" applyBorder="1" applyAlignment="1">
      <alignment horizontal="center" vertical="center" textRotation="90" wrapText="1"/>
    </xf>
    <xf numFmtId="49" fontId="75" fillId="0" borderId="116" xfId="0" applyNumberFormat="1" applyFont="1" applyBorder="1" applyAlignment="1">
      <alignment horizontal="center" vertical="center" textRotation="90" wrapText="1"/>
    </xf>
    <xf numFmtId="0" fontId="74" fillId="0" borderId="1" xfId="0" applyFont="1" applyBorder="1" applyAlignment="1">
      <alignment horizontal="center" vertical="center" wrapText="1"/>
    </xf>
    <xf numFmtId="0" fontId="48" fillId="0" borderId="121" xfId="0" applyFont="1" applyBorder="1" applyAlignment="1">
      <alignment vertical="center" wrapText="1"/>
    </xf>
    <xf numFmtId="0" fontId="74" fillId="0" borderId="213" xfId="0" applyFont="1" applyBorder="1" applyAlignment="1">
      <alignment horizontal="center" vertical="center" wrapText="1"/>
    </xf>
    <xf numFmtId="49" fontId="66" fillId="0" borderId="116" xfId="0" applyNumberFormat="1" applyFont="1" applyBorder="1" applyAlignment="1">
      <alignment horizontal="center" vertical="center" textRotation="90" wrapText="1"/>
    </xf>
    <xf numFmtId="0" fontId="72" fillId="0" borderId="121" xfId="0" applyFont="1" applyBorder="1" applyAlignment="1">
      <alignment vertical="center" wrapText="1"/>
    </xf>
    <xf numFmtId="0" fontId="127" fillId="0" borderId="1" xfId="0" applyFont="1" applyBorder="1" applyAlignment="1">
      <alignment horizontal="center" vertical="center" textRotation="90" wrapText="1"/>
    </xf>
    <xf numFmtId="3" fontId="72" fillId="0" borderId="122" xfId="10" applyNumberFormat="1" applyFont="1" applyFill="1" applyBorder="1" applyAlignment="1">
      <alignment horizontal="center" vertical="center" textRotation="90" wrapText="1"/>
    </xf>
    <xf numFmtId="9" fontId="7" fillId="22" borderId="126" xfId="0" applyNumberFormat="1" applyFont="1" applyFill="1" applyBorder="1" applyAlignment="1">
      <alignment horizontal="center" vertical="center" wrapText="1"/>
    </xf>
    <xf numFmtId="0" fontId="4" fillId="0" borderId="168" xfId="0" applyFont="1" applyBorder="1" applyAlignment="1">
      <alignment horizontal="center" vertical="center" textRotation="90"/>
    </xf>
    <xf numFmtId="3" fontId="72" fillId="0" borderId="151" xfId="10" applyNumberFormat="1" applyFont="1" applyFill="1" applyBorder="1" applyAlignment="1">
      <alignment horizontal="center" vertical="center" textRotation="90" wrapText="1"/>
    </xf>
    <xf numFmtId="0" fontId="74" fillId="28" borderId="123" xfId="0" applyFont="1" applyFill="1" applyBorder="1" applyAlignment="1">
      <alignment horizontal="center" vertical="center" wrapText="1"/>
    </xf>
    <xf numFmtId="0" fontId="41" fillId="0" borderId="168" xfId="0" applyFont="1" applyBorder="1" applyAlignment="1">
      <alignment horizontal="center" vertical="center" textRotation="90"/>
    </xf>
    <xf numFmtId="0" fontId="4" fillId="0" borderId="163" xfId="0" applyFont="1" applyBorder="1" applyAlignment="1">
      <alignment vertical="center"/>
    </xf>
    <xf numFmtId="0" fontId="72" fillId="0" borderId="148" xfId="0" applyFont="1" applyBorder="1" applyAlignment="1">
      <alignment horizontal="center" vertical="center" textRotation="90" wrapText="1"/>
    </xf>
    <xf numFmtId="0" fontId="20" fillId="0" borderId="1" xfId="0" applyFont="1" applyBorder="1" applyAlignment="1">
      <alignment vertical="center"/>
    </xf>
    <xf numFmtId="0" fontId="31" fillId="0" borderId="121" xfId="0" applyFont="1" applyBorder="1" applyAlignment="1">
      <alignment horizontal="center" vertical="center" wrapText="1"/>
    </xf>
    <xf numFmtId="0" fontId="22" fillId="0" borderId="116" xfId="0" applyFont="1" applyBorder="1" applyAlignment="1">
      <alignment vertical="center" textRotation="90" wrapText="1"/>
    </xf>
    <xf numFmtId="0" fontId="77" fillId="0" borderId="122" xfId="0" applyFont="1" applyBorder="1" applyAlignment="1">
      <alignment horizontal="center" vertical="center" wrapText="1"/>
    </xf>
    <xf numFmtId="0" fontId="74" fillId="0" borderId="25" xfId="0" applyFont="1" applyBorder="1" applyAlignment="1">
      <alignment horizontal="center" vertical="center" textRotation="90" wrapText="1"/>
    </xf>
    <xf numFmtId="0" fontId="74" fillId="0" borderId="67" xfId="0" applyFont="1" applyBorder="1" applyAlignment="1">
      <alignment horizontal="center" vertical="center" textRotation="90" wrapText="1"/>
    </xf>
    <xf numFmtId="0" fontId="80" fillId="0" borderId="25" xfId="0" applyFont="1" applyBorder="1" applyAlignment="1">
      <alignment horizontal="center" vertical="center" wrapText="1"/>
    </xf>
    <xf numFmtId="0" fontId="29" fillId="0" borderId="67" xfId="0" applyFont="1" applyBorder="1" applyAlignment="1">
      <alignment horizontal="center" vertical="center" textRotation="90" wrapText="1"/>
    </xf>
    <xf numFmtId="0" fontId="127" fillId="0" borderId="122" xfId="0" applyFont="1" applyBorder="1" applyAlignment="1">
      <alignment horizontal="center" vertical="center" textRotation="90" wrapText="1"/>
    </xf>
    <xf numFmtId="0" fontId="22" fillId="0" borderId="121" xfId="0" applyFont="1" applyBorder="1" applyAlignment="1">
      <alignment horizontal="center" vertical="center" textRotation="90" wrapText="1"/>
    </xf>
    <xf numFmtId="0" fontId="72" fillId="28" borderId="116" xfId="0" applyFont="1" applyFill="1" applyBorder="1" applyAlignment="1">
      <alignment horizontal="center" vertical="center" textRotation="90" wrapText="1"/>
    </xf>
    <xf numFmtId="0" fontId="20" fillId="0" borderId="163" xfId="0" applyFont="1" applyBorder="1" applyAlignment="1">
      <alignment vertical="center" textRotation="90"/>
    </xf>
    <xf numFmtId="0" fontId="0" fillId="14" borderId="0" xfId="0" applyFill="1"/>
    <xf numFmtId="0" fontId="236" fillId="0" borderId="0" xfId="0" applyFont="1"/>
    <xf numFmtId="0" fontId="237" fillId="0" borderId="0" xfId="0" applyFont="1"/>
    <xf numFmtId="0" fontId="238" fillId="0" borderId="0" xfId="0" applyFont="1" applyAlignment="1">
      <alignment horizontal="center" vertical="center" wrapText="1"/>
    </xf>
    <xf numFmtId="0" fontId="31" fillId="23" borderId="30" xfId="5" applyFont="1" applyFill="1" applyBorder="1" applyAlignment="1" applyProtection="1">
      <alignment horizontal="center" vertical="center" wrapText="1"/>
    </xf>
    <xf numFmtId="0" fontId="105" fillId="14" borderId="30" xfId="0" applyFont="1" applyFill="1" applyBorder="1" applyAlignment="1">
      <alignment horizontal="center" vertical="center" wrapText="1"/>
    </xf>
    <xf numFmtId="0" fontId="31" fillId="14" borderId="31" xfId="4" applyFont="1" applyFill="1" applyBorder="1" applyAlignment="1" applyProtection="1">
      <alignment horizontal="center" vertical="center" wrapText="1"/>
    </xf>
    <xf numFmtId="0" fontId="31" fillId="22" borderId="30" xfId="4" applyFont="1" applyFill="1" applyBorder="1" applyAlignment="1" applyProtection="1">
      <alignment horizontal="center" vertical="center" wrapText="1"/>
    </xf>
    <xf numFmtId="0" fontId="31" fillId="23" borderId="31" xfId="4" applyFont="1" applyFill="1" applyBorder="1" applyAlignment="1" applyProtection="1">
      <alignment horizontal="center" vertical="center" wrapText="1"/>
    </xf>
    <xf numFmtId="0" fontId="31" fillId="23" borderId="30" xfId="4" applyFont="1" applyFill="1" applyBorder="1" applyAlignment="1" applyProtection="1">
      <alignment horizontal="center" vertical="center" wrapText="1"/>
    </xf>
    <xf numFmtId="0" fontId="105" fillId="23" borderId="30" xfId="0" applyFont="1" applyFill="1" applyBorder="1" applyAlignment="1">
      <alignment horizontal="center" vertical="center" wrapText="1"/>
    </xf>
    <xf numFmtId="0" fontId="31" fillId="14" borderId="82" xfId="5" applyFont="1" applyFill="1" applyBorder="1" applyAlignment="1">
      <alignment horizontal="center" vertical="center"/>
    </xf>
    <xf numFmtId="0" fontId="31" fillId="48" borderId="30" xfId="4" applyFont="1" applyFill="1" applyBorder="1" applyAlignment="1" applyProtection="1">
      <alignment horizontal="center" vertical="center" wrapText="1"/>
    </xf>
    <xf numFmtId="0" fontId="105" fillId="7" borderId="30" xfId="0" applyFont="1" applyFill="1" applyBorder="1" applyAlignment="1">
      <alignment horizontal="center" vertical="center" wrapText="1"/>
    </xf>
    <xf numFmtId="0" fontId="31" fillId="0" borderId="82" xfId="5" applyFont="1" applyFill="1" applyBorder="1" applyAlignment="1">
      <alignment horizontal="center" vertical="center"/>
    </xf>
    <xf numFmtId="0" fontId="31" fillId="23" borderId="82" xfId="5" applyFont="1" applyFill="1" applyBorder="1" applyAlignment="1">
      <alignment horizontal="center" vertical="center"/>
    </xf>
    <xf numFmtId="0" fontId="31" fillId="14" borderId="30" xfId="4" applyFont="1" applyFill="1" applyBorder="1" applyAlignment="1" applyProtection="1">
      <alignment horizontal="center" vertical="center" wrapText="1"/>
    </xf>
    <xf numFmtId="0" fontId="31" fillId="7" borderId="30" xfId="4" applyFont="1" applyFill="1" applyBorder="1" applyAlignment="1" applyProtection="1">
      <alignment horizontal="center" vertical="center" wrapText="1"/>
    </xf>
    <xf numFmtId="0" fontId="31" fillId="0" borderId="105" xfId="5" applyFont="1" applyFill="1" applyBorder="1" applyAlignment="1">
      <alignment horizontal="center" vertical="center"/>
    </xf>
    <xf numFmtId="0" fontId="31" fillId="0" borderId="30" xfId="5" applyFont="1" applyFill="1" applyBorder="1" applyAlignment="1" applyProtection="1">
      <alignment horizontal="center" vertical="center" wrapText="1"/>
    </xf>
    <xf numFmtId="0" fontId="31" fillId="23" borderId="30" xfId="6" applyFont="1" applyFill="1" applyBorder="1" applyAlignment="1" applyProtection="1">
      <alignment horizontal="center" vertical="center" wrapText="1"/>
    </xf>
    <xf numFmtId="0" fontId="105" fillId="48" borderId="30" xfId="0" applyFont="1" applyFill="1" applyBorder="1" applyAlignment="1">
      <alignment horizontal="center" vertical="center" wrapText="1"/>
    </xf>
    <xf numFmtId="0" fontId="105" fillId="28" borderId="30" xfId="0" applyFont="1" applyFill="1" applyBorder="1" applyAlignment="1">
      <alignment horizontal="center" vertical="center" wrapText="1"/>
    </xf>
    <xf numFmtId="0" fontId="31" fillId="7" borderId="30" xfId="5" applyFont="1" applyFill="1" applyBorder="1" applyAlignment="1">
      <alignment horizontal="center" vertical="center"/>
    </xf>
    <xf numFmtId="0" fontId="31" fillId="0" borderId="30" xfId="5" applyFont="1" applyFill="1" applyBorder="1" applyAlignment="1">
      <alignment horizontal="center" vertical="center"/>
    </xf>
    <xf numFmtId="0" fontId="31" fillId="7" borderId="31" xfId="5" applyFont="1" applyFill="1" applyBorder="1" applyAlignment="1" applyProtection="1">
      <alignment horizontal="center" vertical="center" wrapText="1"/>
    </xf>
    <xf numFmtId="0" fontId="105" fillId="0" borderId="30" xfId="0" applyFont="1" applyBorder="1" applyAlignment="1">
      <alignment horizontal="center" vertical="center" wrapText="1"/>
    </xf>
    <xf numFmtId="0" fontId="31" fillId="0" borderId="31" xfId="5" applyFont="1" applyFill="1" applyBorder="1" applyAlignment="1" applyProtection="1">
      <alignment horizontal="center" vertical="center" wrapText="1"/>
    </xf>
    <xf numFmtId="0" fontId="4" fillId="0" borderId="174" xfId="0" applyFont="1" applyBorder="1" applyAlignment="1">
      <alignment horizontal="center" vertical="center" textRotation="90"/>
    </xf>
    <xf numFmtId="0" fontId="4" fillId="0" borderId="167" xfId="0" applyFont="1" applyBorder="1" applyAlignment="1">
      <alignment horizontal="center" vertical="center" textRotation="90"/>
    </xf>
    <xf numFmtId="0" fontId="67" fillId="0" borderId="135" xfId="0" applyFont="1" applyBorder="1" applyAlignment="1">
      <alignment horizontal="center" vertical="center" textRotation="90"/>
    </xf>
    <xf numFmtId="0" fontId="8" fillId="28" borderId="168" xfId="0" applyFont="1" applyFill="1" applyBorder="1" applyAlignment="1">
      <alignment vertical="center" wrapText="1"/>
    </xf>
    <xf numFmtId="0" fontId="8" fillId="5" borderId="16" xfId="0" applyFont="1" applyFill="1" applyBorder="1" applyAlignment="1">
      <alignment vertical="center" wrapText="1"/>
    </xf>
    <xf numFmtId="0" fontId="4" fillId="0" borderId="174" xfId="0" applyFont="1" applyBorder="1" applyAlignment="1">
      <alignment vertical="center" wrapText="1"/>
    </xf>
    <xf numFmtId="0" fontId="4" fillId="0" borderId="167" xfId="0" applyFont="1" applyBorder="1" applyAlignment="1">
      <alignment vertical="center" wrapText="1"/>
    </xf>
    <xf numFmtId="9" fontId="4" fillId="0" borderId="1" xfId="8" applyFont="1" applyBorder="1" applyAlignment="1">
      <alignment horizontal="center" vertical="center"/>
    </xf>
    <xf numFmtId="170" fontId="76" fillId="28" borderId="75" xfId="0" applyNumberFormat="1" applyFont="1" applyFill="1" applyBorder="1" applyAlignment="1">
      <alignment horizontal="center" vertical="center" wrapText="1"/>
    </xf>
    <xf numFmtId="0" fontId="295" fillId="0" borderId="0" xfId="0" applyFont="1" applyAlignment="1">
      <alignment horizontal="center" vertical="center" wrapText="1"/>
    </xf>
    <xf numFmtId="0" fontId="296" fillId="0" borderId="31" xfId="0" applyFont="1" applyBorder="1" applyAlignment="1">
      <alignment vertical="center" wrapText="1"/>
    </xf>
    <xf numFmtId="0" fontId="296" fillId="0" borderId="182" xfId="0" applyFont="1" applyBorder="1" applyAlignment="1">
      <alignment vertical="center" wrapText="1"/>
    </xf>
    <xf numFmtId="0" fontId="296" fillId="0" borderId="30" xfId="0" applyFont="1" applyBorder="1" applyAlignment="1">
      <alignment horizontal="left" vertical="center"/>
    </xf>
    <xf numFmtId="0" fontId="296" fillId="0" borderId="30" xfId="0" applyFont="1" applyBorder="1" applyAlignment="1">
      <alignment vertical="center" wrapText="1"/>
    </xf>
    <xf numFmtId="0" fontId="297" fillId="0" borderId="30" xfId="0" applyFont="1" applyBorder="1" applyAlignment="1">
      <alignment vertical="center" wrapText="1"/>
    </xf>
    <xf numFmtId="0" fontId="116" fillId="0" borderId="30" xfId="0" applyFont="1" applyBorder="1" applyAlignment="1">
      <alignment vertical="center" wrapText="1"/>
    </xf>
    <xf numFmtId="0" fontId="90" fillId="0" borderId="1" xfId="0" applyFont="1" applyBorder="1" applyAlignment="1">
      <alignment horizontal="center" vertical="center"/>
    </xf>
    <xf numFmtId="0" fontId="90" fillId="0" borderId="1" xfId="0" applyFont="1" applyBorder="1" applyAlignment="1">
      <alignment horizontal="center" vertical="center" wrapText="1"/>
    </xf>
    <xf numFmtId="9" fontId="295" fillId="0" borderId="1" xfId="8" applyFont="1" applyBorder="1" applyAlignment="1">
      <alignment horizontal="center" vertical="center"/>
    </xf>
    <xf numFmtId="1" fontId="295" fillId="0" borderId="1" xfId="0" applyNumberFormat="1" applyFont="1" applyBorder="1" applyAlignment="1">
      <alignment horizontal="center" vertical="center"/>
    </xf>
    <xf numFmtId="3" fontId="90" fillId="0" borderId="1" xfId="0" applyNumberFormat="1" applyFont="1" applyBorder="1" applyAlignment="1">
      <alignment vertical="center"/>
    </xf>
    <xf numFmtId="0" fontId="90" fillId="45" borderId="0" xfId="0" applyFont="1" applyFill="1" applyAlignment="1">
      <alignment horizontal="center" wrapText="1"/>
    </xf>
    <xf numFmtId="0" fontId="298" fillId="0" borderId="0" xfId="0" applyFont="1" applyAlignment="1">
      <alignment horizontal="center" vertical="center" wrapText="1"/>
    </xf>
    <xf numFmtId="0" fontId="116" fillId="0" borderId="30" xfId="0" applyFont="1" applyBorder="1" applyAlignment="1">
      <alignment vertical="center"/>
    </xf>
    <xf numFmtId="0" fontId="116" fillId="0" borderId="93" xfId="0" applyFont="1" applyBorder="1" applyAlignment="1">
      <alignment vertical="center" wrapText="1"/>
    </xf>
    <xf numFmtId="1" fontId="0" fillId="0" borderId="241" xfId="0" applyNumberFormat="1" applyBorder="1" applyAlignment="1">
      <alignment horizontal="center" vertical="center"/>
    </xf>
    <xf numFmtId="3" fontId="7" fillId="0" borderId="127" xfId="0" applyNumberFormat="1" applyFont="1" applyBorder="1" applyAlignment="1">
      <alignment vertical="center" wrapText="1"/>
    </xf>
    <xf numFmtId="0" fontId="4" fillId="6" borderId="9" xfId="0" applyFont="1" applyFill="1" applyBorder="1" applyAlignment="1">
      <alignment horizontal="center" wrapText="1"/>
    </xf>
    <xf numFmtId="0" fontId="4" fillId="6" borderId="9" xfId="0" applyFont="1" applyFill="1" applyBorder="1" applyAlignment="1">
      <alignment horizontal="center"/>
    </xf>
    <xf numFmtId="0" fontId="74" fillId="0" borderId="195" xfId="0" applyFont="1" applyBorder="1" applyAlignment="1">
      <alignment horizontal="center" vertical="center" wrapText="1"/>
    </xf>
    <xf numFmtId="0" fontId="4" fillId="0" borderId="249" xfId="0" applyFont="1" applyBorder="1" applyAlignment="1">
      <alignment vertical="center" wrapText="1"/>
    </xf>
    <xf numFmtId="0" fontId="74" fillId="0" borderId="253" xfId="0" applyFont="1" applyBorder="1" applyAlignment="1">
      <alignment horizontal="center" vertical="center" wrapText="1"/>
    </xf>
    <xf numFmtId="0" fontId="74" fillId="0" borderId="254" xfId="0" applyFont="1" applyBorder="1" applyAlignment="1">
      <alignment horizontal="center" vertical="center" wrapText="1"/>
    </xf>
    <xf numFmtId="0" fontId="31" fillId="7" borderId="30" xfId="5" applyFont="1" applyFill="1" applyBorder="1" applyAlignment="1" applyProtection="1">
      <alignment horizontal="center" vertical="center" wrapText="1"/>
    </xf>
    <xf numFmtId="0" fontId="108" fillId="7" borderId="30" xfId="5" applyFont="1" applyFill="1" applyBorder="1" applyAlignment="1" applyProtection="1">
      <alignment horizontal="center" vertical="center" wrapText="1"/>
    </xf>
    <xf numFmtId="0" fontId="108" fillId="23" borderId="30" xfId="5" applyFont="1" applyFill="1" applyBorder="1" applyAlignment="1" applyProtection="1">
      <alignment horizontal="center" vertical="center" wrapText="1"/>
    </xf>
    <xf numFmtId="0" fontId="108" fillId="48" borderId="30" xfId="4" applyFont="1" applyFill="1" applyBorder="1" applyAlignment="1" applyProtection="1">
      <alignment horizontal="center" vertical="center" wrapText="1"/>
    </xf>
    <xf numFmtId="0" fontId="108" fillId="22" borderId="30" xfId="4" applyFont="1" applyFill="1" applyBorder="1" applyAlignment="1" applyProtection="1">
      <alignment horizontal="center" vertical="center" wrapText="1"/>
    </xf>
    <xf numFmtId="0" fontId="72" fillId="0" borderId="255" xfId="0" applyFont="1" applyBorder="1" applyAlignment="1">
      <alignment horizontal="center" vertical="center" wrapText="1"/>
    </xf>
    <xf numFmtId="0" fontId="72" fillId="0" borderId="256" xfId="0" applyFont="1" applyBorder="1" applyAlignment="1">
      <alignment horizontal="center" vertical="center" wrapText="1"/>
    </xf>
    <xf numFmtId="0" fontId="72" fillId="0" borderId="257" xfId="0" applyFont="1" applyBorder="1" applyAlignment="1">
      <alignment horizontal="center" vertical="center" wrapText="1"/>
    </xf>
    <xf numFmtId="0" fontId="74" fillId="0" borderId="118" xfId="0" applyFont="1" applyBorder="1" applyAlignment="1">
      <alignment horizontal="center" vertical="center" wrapText="1"/>
    </xf>
    <xf numFmtId="0" fontId="72" fillId="0" borderId="101" xfId="0" applyFont="1" applyBorder="1" applyAlignment="1">
      <alignment horizontal="center" vertical="center" wrapText="1"/>
    </xf>
    <xf numFmtId="0" fontId="299" fillId="14" borderId="0" xfId="0" applyFont="1" applyFill="1" applyAlignment="1">
      <alignment horizontal="left" vertical="center"/>
    </xf>
    <xf numFmtId="0" fontId="133" fillId="39" borderId="85" xfId="0" applyFont="1" applyFill="1" applyBorder="1" applyAlignment="1">
      <alignment horizontal="center" vertical="center" wrapText="1"/>
    </xf>
    <xf numFmtId="0" fontId="0" fillId="35" borderId="0" xfId="0" applyFill="1" applyAlignment="1">
      <alignment vertical="center"/>
    </xf>
    <xf numFmtId="0" fontId="0" fillId="14" borderId="0" xfId="0" applyFill="1" applyAlignment="1">
      <alignment wrapText="1"/>
    </xf>
    <xf numFmtId="0" fontId="133" fillId="39" borderId="46" xfId="0" applyFont="1" applyFill="1" applyBorder="1" applyAlignment="1">
      <alignment horizontal="center" vertical="center" wrapText="1"/>
    </xf>
    <xf numFmtId="0" fontId="301" fillId="0" borderId="0" xfId="0" applyFont="1"/>
    <xf numFmtId="0" fontId="133" fillId="35" borderId="85" xfId="0" applyFont="1" applyFill="1" applyBorder="1" applyAlignment="1">
      <alignment horizontal="center" vertical="center" wrapText="1"/>
    </xf>
    <xf numFmtId="0" fontId="0" fillId="35" borderId="84" xfId="0" applyFill="1" applyBorder="1" applyAlignment="1">
      <alignment vertical="center"/>
    </xf>
    <xf numFmtId="0" fontId="0" fillId="14" borderId="77" xfId="0" applyFill="1" applyBorder="1" applyAlignment="1">
      <alignment vertical="center"/>
    </xf>
    <xf numFmtId="0" fontId="0" fillId="28" borderId="84" xfId="0" applyFill="1" applyBorder="1"/>
    <xf numFmtId="0" fontId="0" fillId="28" borderId="28" xfId="0" applyFill="1" applyBorder="1"/>
    <xf numFmtId="0" fontId="0" fillId="28" borderId="83" xfId="0" applyFill="1" applyBorder="1"/>
    <xf numFmtId="0" fontId="0" fillId="28" borderId="33" xfId="0" applyFill="1" applyBorder="1"/>
    <xf numFmtId="0" fontId="0" fillId="28" borderId="79" xfId="0" applyFill="1" applyBorder="1"/>
    <xf numFmtId="0" fontId="0" fillId="28" borderId="85" xfId="0" applyFill="1" applyBorder="1"/>
    <xf numFmtId="0" fontId="0" fillId="28" borderId="37" xfId="0" applyFill="1" applyBorder="1"/>
    <xf numFmtId="0" fontId="0" fillId="14" borderId="83" xfId="0" applyFill="1" applyBorder="1" applyAlignment="1">
      <alignment vertical="center"/>
    </xf>
    <xf numFmtId="0" fontId="52" fillId="39" borderId="0" xfId="0" applyFont="1" applyFill="1" applyAlignment="1">
      <alignment horizontal="center" vertical="center"/>
    </xf>
    <xf numFmtId="0" fontId="52" fillId="39" borderId="0" xfId="0" applyFont="1" applyFill="1" applyAlignment="1">
      <alignment vertical="center"/>
    </xf>
    <xf numFmtId="0" fontId="133" fillId="14" borderId="0" xfId="0" applyFont="1" applyFill="1" applyAlignment="1">
      <alignment horizontal="center" vertical="center" wrapText="1"/>
    </xf>
    <xf numFmtId="0" fontId="53" fillId="0" borderId="0" xfId="0" applyFont="1"/>
    <xf numFmtId="171" fontId="302" fillId="0" borderId="0" xfId="10" applyNumberFormat="1" applyFont="1"/>
    <xf numFmtId="169" fontId="302" fillId="0" borderId="0" xfId="10" applyNumberFormat="1" applyFont="1"/>
    <xf numFmtId="9" fontId="303" fillId="0" borderId="0" xfId="8" applyFont="1"/>
    <xf numFmtId="0" fontId="0" fillId="35" borderId="28" xfId="0" applyFill="1" applyBorder="1" applyAlignment="1">
      <alignment vertical="center"/>
    </xf>
    <xf numFmtId="0" fontId="0" fillId="35" borderId="33" xfId="0" applyFill="1" applyBorder="1" applyAlignment="1">
      <alignment vertical="center"/>
    </xf>
    <xf numFmtId="0" fontId="304" fillId="0" borderId="31" xfId="0" applyFont="1" applyBorder="1" applyAlignment="1">
      <alignment vertical="center" wrapText="1"/>
    </xf>
    <xf numFmtId="0" fontId="10" fillId="0" borderId="0" xfId="0" applyFont="1" applyAlignment="1">
      <alignment horizontal="center" vertical="center" wrapText="1"/>
    </xf>
    <xf numFmtId="0" fontId="305" fillId="40" borderId="32" xfId="0" applyFont="1" applyFill="1" applyBorder="1" applyAlignment="1">
      <alignment horizontal="center" vertical="center" wrapText="1"/>
    </xf>
    <xf numFmtId="9" fontId="297" fillId="0" borderId="1" xfId="8" applyFont="1" applyBorder="1" applyAlignment="1">
      <alignment horizontal="center" vertical="center"/>
    </xf>
    <xf numFmtId="1" fontId="297" fillId="0" borderId="1" xfId="0" applyNumberFormat="1" applyFont="1" applyBorder="1" applyAlignment="1">
      <alignment horizontal="center" vertical="center"/>
    </xf>
    <xf numFmtId="3" fontId="297" fillId="0" borderId="1" xfId="0" applyNumberFormat="1" applyFont="1" applyBorder="1" applyAlignment="1">
      <alignment vertical="center"/>
    </xf>
    <xf numFmtId="0" fontId="31" fillId="23" borderId="40" xfId="4" applyFont="1" applyFill="1" applyBorder="1" applyAlignment="1" applyProtection="1">
      <alignment horizontal="center" vertical="center" wrapText="1"/>
    </xf>
    <xf numFmtId="0" fontId="304" fillId="0" borderId="262" xfId="0" applyFont="1" applyBorder="1" applyAlignment="1">
      <alignment vertical="center" wrapText="1"/>
    </xf>
    <xf numFmtId="0" fontId="128" fillId="0" borderId="1" xfId="0" applyFont="1" applyBorder="1" applyAlignment="1">
      <alignment horizontal="center" vertical="center" wrapText="1"/>
    </xf>
    <xf numFmtId="3" fontId="7" fillId="0" borderId="127" xfId="0" applyNumberFormat="1" applyFont="1" applyBorder="1" applyAlignment="1">
      <alignment horizontal="center" vertical="center" wrapText="1"/>
    </xf>
    <xf numFmtId="9" fontId="7" fillId="23" borderId="127" xfId="8" applyFont="1" applyFill="1" applyBorder="1" applyAlignment="1">
      <alignment horizontal="center" vertical="center" wrapText="1"/>
    </xf>
    <xf numFmtId="0" fontId="72" fillId="0" borderId="1" xfId="0" applyFont="1" applyBorder="1" applyAlignment="1">
      <alignment horizontal="center" vertical="center" wrapText="1"/>
    </xf>
    <xf numFmtId="10" fontId="72" fillId="0" borderId="1" xfId="0" applyNumberFormat="1" applyFont="1" applyBorder="1" applyAlignment="1">
      <alignment horizontal="center" vertical="center" wrapText="1"/>
    </xf>
    <xf numFmtId="10" fontId="72" fillId="0" borderId="1" xfId="0" applyNumberFormat="1" applyFont="1" applyBorder="1" applyAlignment="1">
      <alignment vertical="center" wrapText="1"/>
    </xf>
    <xf numFmtId="9" fontId="72" fillId="28" borderId="1" xfId="2877" applyFont="1" applyFill="1" applyBorder="1" applyAlignment="1">
      <alignment vertical="center" wrapText="1"/>
    </xf>
    <xf numFmtId="0" fontId="72" fillId="0" borderId="1" xfId="0" applyFont="1" applyBorder="1" applyAlignment="1">
      <alignment horizontal="left" vertical="center" wrapText="1"/>
    </xf>
    <xf numFmtId="0" fontId="73" fillId="0" borderId="1" xfId="0" applyFont="1" applyBorder="1" applyAlignment="1">
      <alignment horizontal="left" vertical="center" wrapText="1"/>
    </xf>
    <xf numFmtId="0" fontId="22" fillId="0" borderId="123" xfId="0" applyFont="1" applyBorder="1" applyAlignment="1">
      <alignment horizontal="center" vertical="center" textRotation="90" wrapText="1"/>
    </xf>
    <xf numFmtId="3" fontId="7" fillId="0" borderId="46" xfId="0" applyNumberFormat="1" applyFont="1" applyBorder="1" applyAlignment="1">
      <alignment horizontal="center" vertical="center"/>
    </xf>
    <xf numFmtId="3" fontId="7" fillId="6" borderId="128" xfId="0" applyNumberFormat="1" applyFont="1" applyFill="1" applyBorder="1" applyAlignment="1">
      <alignment horizontal="center" vertical="center" wrapText="1"/>
    </xf>
    <xf numFmtId="0" fontId="72" fillId="28" borderId="123" xfId="0" applyFont="1" applyFill="1" applyBorder="1" applyAlignment="1">
      <alignment horizontal="center" vertical="center" textRotation="90" wrapText="1"/>
    </xf>
    <xf numFmtId="0" fontId="72" fillId="28" borderId="123" xfId="0" applyFont="1" applyFill="1" applyBorder="1" applyAlignment="1">
      <alignment horizontal="center" vertical="center" wrapText="1"/>
    </xf>
    <xf numFmtId="0" fontId="67" fillId="28" borderId="123" xfId="0" applyFont="1" applyFill="1" applyBorder="1" applyAlignment="1">
      <alignment horizontal="center" vertical="center" textRotation="90" wrapText="1"/>
    </xf>
    <xf numFmtId="1" fontId="22" fillId="0" borderId="123" xfId="0" applyNumberFormat="1" applyFont="1" applyBorder="1" applyAlignment="1">
      <alignment horizontal="center" vertical="center" textRotation="90" wrapText="1"/>
    </xf>
    <xf numFmtId="3" fontId="58" fillId="6" borderId="0" xfId="0" applyNumberFormat="1" applyFont="1" applyFill="1" applyAlignment="1">
      <alignment horizontal="left" vertical="center" wrapText="1"/>
    </xf>
    <xf numFmtId="3" fontId="54" fillId="6" borderId="0" xfId="0" applyNumberFormat="1" applyFont="1" applyFill="1" applyAlignment="1">
      <alignment horizontal="center" vertical="center" wrapText="1"/>
    </xf>
    <xf numFmtId="0" fontId="20" fillId="0" borderId="135" xfId="0" applyFont="1" applyBorder="1" applyAlignment="1">
      <alignment horizontal="center" vertical="center" textRotation="90"/>
    </xf>
    <xf numFmtId="9" fontId="4" fillId="0" borderId="0" xfId="0" applyNumberFormat="1" applyFont="1" applyAlignment="1">
      <alignment horizontal="center" vertical="center" wrapText="1"/>
    </xf>
    <xf numFmtId="3" fontId="4" fillId="0" borderId="0" xfId="0" applyNumberFormat="1" applyFont="1" applyAlignment="1">
      <alignment horizontal="center" vertical="center" wrapText="1"/>
    </xf>
    <xf numFmtId="9" fontId="2" fillId="22" borderId="159" xfId="0" applyNumberFormat="1" applyFont="1" applyFill="1" applyBorder="1" applyAlignment="1">
      <alignment horizontal="center" vertical="center" wrapText="1"/>
    </xf>
    <xf numFmtId="0" fontId="9" fillId="0" borderId="154" xfId="0" applyFont="1" applyBorder="1" applyAlignment="1">
      <alignment horizontal="center" vertical="center" wrapText="1"/>
    </xf>
    <xf numFmtId="3" fontId="22" fillId="0" borderId="123" xfId="0" applyNumberFormat="1" applyFont="1" applyBorder="1" applyAlignment="1">
      <alignment horizontal="center" vertical="center" textRotation="90" wrapText="1"/>
    </xf>
    <xf numFmtId="0" fontId="309" fillId="0" borderId="268" xfId="0" applyFont="1" applyBorder="1" applyAlignment="1">
      <alignment horizontal="center" vertical="center" wrapText="1" readingOrder="1"/>
    </xf>
    <xf numFmtId="0" fontId="306" fillId="0" borderId="267" xfId="0" applyFont="1" applyBorder="1" applyAlignment="1">
      <alignment horizontal="center" vertical="center" wrapText="1"/>
    </xf>
    <xf numFmtId="0" fontId="309" fillId="0" borderId="269" xfId="0" applyFont="1" applyBorder="1" applyAlignment="1">
      <alignment horizontal="center" vertical="center" wrapText="1" readingOrder="1"/>
    </xf>
    <xf numFmtId="0" fontId="309" fillId="0" borderId="266" xfId="0" applyFont="1" applyBorder="1" applyAlignment="1">
      <alignment horizontal="center" vertical="center" wrapText="1" readingOrder="1"/>
    </xf>
    <xf numFmtId="0" fontId="309" fillId="0" borderId="270" xfId="0" applyFont="1" applyBorder="1" applyAlignment="1">
      <alignment horizontal="left" vertical="center" wrapText="1" readingOrder="1"/>
    </xf>
    <xf numFmtId="3" fontId="309" fillId="0" borderId="271" xfId="0" applyNumberFormat="1" applyFont="1" applyBorder="1" applyAlignment="1">
      <alignment horizontal="center" vertical="center" wrapText="1" readingOrder="1"/>
    </xf>
    <xf numFmtId="3" fontId="309" fillId="0" borderId="270" xfId="0" applyNumberFormat="1" applyFont="1" applyBorder="1" applyAlignment="1">
      <alignment horizontal="center" vertical="center" wrapText="1" readingOrder="1"/>
    </xf>
    <xf numFmtId="0" fontId="308" fillId="0" borderId="264" xfId="0" applyFont="1" applyBorder="1" applyAlignment="1">
      <alignment horizontal="left" vertical="center" wrapText="1" readingOrder="1"/>
    </xf>
    <xf numFmtId="3" fontId="308" fillId="0" borderId="268" xfId="0" applyNumberFormat="1" applyFont="1" applyBorder="1" applyAlignment="1">
      <alignment horizontal="center" vertical="center" wrapText="1" readingOrder="1"/>
    </xf>
    <xf numFmtId="3" fontId="308" fillId="0" borderId="264" xfId="0" applyNumberFormat="1" applyFont="1" applyBorder="1" applyAlignment="1">
      <alignment horizontal="center" vertical="center" wrapText="1" readingOrder="1"/>
    </xf>
    <xf numFmtId="0" fontId="307" fillId="0" borderId="264" xfId="0" applyFont="1" applyBorder="1" applyAlignment="1">
      <alignment horizontal="right" vertical="center" wrapText="1" readingOrder="1"/>
    </xf>
    <xf numFmtId="3" fontId="307" fillId="0" borderId="268" xfId="0" applyNumberFormat="1" applyFont="1" applyBorder="1" applyAlignment="1">
      <alignment horizontal="center" vertical="center" wrapText="1" readingOrder="1"/>
    </xf>
    <xf numFmtId="3" fontId="307" fillId="0" borderId="264" xfId="0" applyNumberFormat="1" applyFont="1" applyBorder="1" applyAlignment="1">
      <alignment horizontal="center" vertical="center" wrapText="1" readingOrder="1"/>
    </xf>
    <xf numFmtId="0" fontId="307" fillId="0" borderId="268" xfId="0" applyFont="1" applyBorder="1" applyAlignment="1">
      <alignment horizontal="center" vertical="center" wrapText="1" readingOrder="1"/>
    </xf>
    <xf numFmtId="0" fontId="307" fillId="0" borderId="264" xfId="0" applyFont="1" applyBorder="1" applyAlignment="1">
      <alignment horizontal="center" vertical="center" wrapText="1" readingOrder="1"/>
    </xf>
    <xf numFmtId="0" fontId="309" fillId="0" borderId="264" xfId="0" applyFont="1" applyBorder="1" applyAlignment="1">
      <alignment horizontal="left" vertical="center" wrapText="1" readingOrder="1"/>
    </xf>
    <xf numFmtId="3" fontId="309" fillId="0" borderId="268" xfId="0" applyNumberFormat="1" applyFont="1" applyBorder="1" applyAlignment="1">
      <alignment horizontal="center" vertical="center" wrapText="1" readingOrder="1"/>
    </xf>
    <xf numFmtId="3" fontId="309" fillId="0" borderId="264" xfId="0" applyNumberFormat="1" applyFont="1" applyBorder="1" applyAlignment="1">
      <alignment horizontal="center" vertical="center" wrapText="1" readingOrder="1"/>
    </xf>
    <xf numFmtId="0" fontId="307" fillId="0" borderId="264" xfId="0" applyFont="1" applyBorder="1" applyAlignment="1">
      <alignment horizontal="left" vertical="center" wrapText="1" readingOrder="1"/>
    </xf>
    <xf numFmtId="0" fontId="308" fillId="0" borderId="268" xfId="0" applyFont="1" applyBorder="1" applyAlignment="1">
      <alignment horizontal="center" vertical="center" wrapText="1" readingOrder="1"/>
    </xf>
    <xf numFmtId="0" fontId="308" fillId="0" borderId="264" xfId="0" applyFont="1" applyBorder="1" applyAlignment="1">
      <alignment horizontal="center" vertical="center" wrapText="1" readingOrder="1"/>
    </xf>
    <xf numFmtId="10" fontId="309" fillId="0" borderId="268" xfId="0" applyNumberFormat="1" applyFont="1" applyBorder="1" applyAlignment="1">
      <alignment horizontal="center" vertical="center" wrapText="1" readingOrder="1"/>
    </xf>
    <xf numFmtId="10" fontId="309" fillId="0" borderId="264" xfId="0" applyNumberFormat="1" applyFont="1" applyBorder="1" applyAlignment="1">
      <alignment horizontal="center" vertical="center" wrapText="1" readingOrder="1"/>
    </xf>
    <xf numFmtId="0" fontId="306" fillId="7" borderId="272" xfId="0" applyFont="1" applyFill="1" applyBorder="1" applyAlignment="1">
      <alignment horizontal="center" vertical="center" wrapText="1"/>
    </xf>
    <xf numFmtId="3" fontId="307" fillId="7" borderId="264" xfId="0" applyNumberFormat="1" applyFont="1" applyFill="1" applyBorder="1" applyAlignment="1">
      <alignment horizontal="center" vertical="center" wrapText="1" readingOrder="1"/>
    </xf>
    <xf numFmtId="3" fontId="308" fillId="7" borderId="264" xfId="0" applyNumberFormat="1" applyFont="1" applyFill="1" applyBorder="1" applyAlignment="1">
      <alignment horizontal="center" vertical="center" wrapText="1" readingOrder="1"/>
    </xf>
    <xf numFmtId="0" fontId="306" fillId="0" borderId="268" xfId="0" applyFont="1" applyBorder="1" applyAlignment="1">
      <alignment horizontal="center" vertical="center" wrapText="1"/>
    </xf>
    <xf numFmtId="0" fontId="306" fillId="7" borderId="271" xfId="0" applyFont="1" applyFill="1" applyBorder="1" applyAlignment="1">
      <alignment horizontal="center" vertical="center" wrapText="1"/>
    </xf>
    <xf numFmtId="3" fontId="307" fillId="7" borderId="0" xfId="0" applyNumberFormat="1" applyFont="1" applyFill="1" applyAlignment="1">
      <alignment horizontal="center" vertical="center" wrapText="1" readingOrder="1"/>
    </xf>
    <xf numFmtId="9" fontId="308" fillId="7" borderId="0" xfId="8" applyFont="1" applyFill="1" applyBorder="1" applyAlignment="1">
      <alignment horizontal="center" vertical="center" wrapText="1" readingOrder="1"/>
    </xf>
    <xf numFmtId="0" fontId="77" fillId="0" borderId="0" xfId="0" applyFont="1" applyAlignment="1">
      <alignment vertical="center" textRotation="90" wrapText="1"/>
    </xf>
    <xf numFmtId="0" fontId="77" fillId="0" borderId="248" xfId="0" applyFont="1" applyBorder="1" applyAlignment="1">
      <alignment vertical="center" textRotation="90" wrapText="1"/>
    </xf>
    <xf numFmtId="170" fontId="72" fillId="0" borderId="73" xfId="0" applyNumberFormat="1" applyFont="1" applyBorder="1" applyAlignment="1">
      <alignment horizontal="center" vertical="center" textRotation="90" wrapText="1"/>
    </xf>
    <xf numFmtId="9" fontId="72" fillId="0" borderId="73" xfId="0" applyNumberFormat="1" applyFont="1" applyBorder="1" applyAlignment="1">
      <alignment horizontal="center" vertical="center" textRotation="90" wrapText="1"/>
    </xf>
    <xf numFmtId="0" fontId="72" fillId="0" borderId="243" xfId="0" applyFont="1" applyBorder="1" applyAlignment="1">
      <alignment horizontal="center" vertical="center" textRotation="90" wrapText="1"/>
    </xf>
    <xf numFmtId="0" fontId="72" fillId="0" borderId="118" xfId="0" applyFont="1" applyBorder="1" applyAlignment="1">
      <alignment horizontal="center" vertical="center" wrapText="1"/>
    </xf>
    <xf numFmtId="0" fontId="72" fillId="0" borderId="195" xfId="0" applyFont="1" applyBorder="1" applyAlignment="1">
      <alignment horizontal="center" vertical="center" textRotation="90" wrapText="1"/>
    </xf>
    <xf numFmtId="0" fontId="72" fillId="0" borderId="101" xfId="0" applyFont="1" applyBorder="1" applyAlignment="1">
      <alignment horizontal="center" vertical="center" textRotation="90" wrapText="1"/>
    </xf>
    <xf numFmtId="0" fontId="72" fillId="0" borderId="154" xfId="0" applyFont="1" applyBorder="1" applyAlignment="1">
      <alignment horizontal="center" vertical="center" textRotation="90" wrapText="1"/>
    </xf>
    <xf numFmtId="49" fontId="73" fillId="0" borderId="150" xfId="0" applyNumberFormat="1" applyFont="1" applyBorder="1" applyAlignment="1">
      <alignment horizontal="center" vertical="center" textRotation="90" wrapText="1"/>
    </xf>
    <xf numFmtId="0" fontId="9" fillId="0" borderId="41" xfId="0" applyFont="1" applyBorder="1" applyAlignment="1">
      <alignment horizontal="center" vertical="center" wrapText="1"/>
    </xf>
    <xf numFmtId="0" fontId="22" fillId="0" borderId="101" xfId="0" applyFont="1" applyBorder="1" applyAlignment="1">
      <alignment horizontal="center" vertical="center" textRotation="90" wrapText="1"/>
    </xf>
    <xf numFmtId="0" fontId="311" fillId="15" borderId="0" xfId="0" applyFont="1" applyFill="1" applyAlignment="1">
      <alignment horizontal="center" vertical="center" wrapText="1"/>
    </xf>
    <xf numFmtId="0" fontId="127" fillId="0" borderId="116" xfId="0" applyFont="1" applyBorder="1" applyAlignment="1">
      <alignment horizontal="left" vertical="center" wrapText="1"/>
    </xf>
    <xf numFmtId="0" fontId="127" fillId="0" borderId="116" xfId="0" applyFont="1" applyBorder="1" applyAlignment="1">
      <alignment vertical="center" wrapText="1"/>
    </xf>
    <xf numFmtId="0" fontId="313" fillId="26" borderId="116" xfId="0" applyFont="1" applyFill="1" applyBorder="1" applyAlignment="1">
      <alignment horizontal="center" vertical="center" textRotation="90" wrapText="1"/>
    </xf>
    <xf numFmtId="0" fontId="127" fillId="0" borderId="116" xfId="0" applyFont="1" applyBorder="1" applyAlignment="1">
      <alignment horizontal="center" vertical="center" wrapText="1"/>
    </xf>
    <xf numFmtId="0" fontId="295" fillId="0" borderId="73" xfId="0" applyFont="1" applyBorder="1" applyAlignment="1">
      <alignment vertical="center" wrapText="1"/>
    </xf>
    <xf numFmtId="9" fontId="295" fillId="23" borderId="117" xfId="0" applyNumberFormat="1" applyFont="1" applyFill="1" applyBorder="1" applyAlignment="1">
      <alignment horizontal="center" vertical="center" wrapText="1"/>
    </xf>
    <xf numFmtId="3" fontId="295" fillId="0" borderId="117" xfId="0" applyNumberFormat="1" applyFont="1" applyBorder="1" applyAlignment="1">
      <alignment vertical="center" wrapText="1"/>
    </xf>
    <xf numFmtId="0" fontId="295" fillId="0" borderId="86" xfId="0" applyFont="1" applyBorder="1" applyAlignment="1">
      <alignment vertical="center"/>
    </xf>
    <xf numFmtId="0" fontId="127" fillId="0" borderId="78" xfId="0" applyFont="1" applyBorder="1" applyAlignment="1">
      <alignment horizontal="left" vertical="center" wrapText="1"/>
    </xf>
    <xf numFmtId="0" fontId="127" fillId="0" borderId="116" xfId="0" applyFont="1" applyBorder="1" applyAlignment="1">
      <alignment vertical="top" wrapText="1"/>
    </xf>
    <xf numFmtId="0" fontId="127" fillId="28" borderId="1" xfId="0" applyFont="1" applyFill="1" applyBorder="1" applyAlignment="1">
      <alignment vertical="center" wrapText="1"/>
    </xf>
    <xf numFmtId="0" fontId="127" fillId="28" borderId="121" xfId="0" applyFont="1" applyFill="1" applyBorder="1" applyAlignment="1">
      <alignment horizontal="center" vertical="center" wrapText="1"/>
    </xf>
    <xf numFmtId="0" fontId="295" fillId="0" borderId="0" xfId="0" applyFont="1" applyAlignment="1">
      <alignment vertical="center" wrapText="1"/>
    </xf>
    <xf numFmtId="9" fontId="295" fillId="23" borderId="117" xfId="0" applyNumberFormat="1" applyFont="1" applyFill="1" applyBorder="1" applyAlignment="1">
      <alignment vertical="center" wrapText="1"/>
    </xf>
    <xf numFmtId="3" fontId="295" fillId="0" borderId="127" xfId="0" applyNumberFormat="1" applyFont="1" applyBorder="1" applyAlignment="1">
      <alignment vertical="center" wrapText="1"/>
    </xf>
    <xf numFmtId="0" fontId="295" fillId="0" borderId="17" xfId="0" applyFont="1" applyBorder="1" applyAlignment="1">
      <alignment horizontal="center" vertical="center" textRotation="90" wrapText="1"/>
    </xf>
    <xf numFmtId="0" fontId="127" fillId="0" borderId="1" xfId="0" applyFont="1" applyBorder="1" applyAlignment="1">
      <alignment horizontal="left" vertical="center" wrapText="1"/>
    </xf>
    <xf numFmtId="0" fontId="127" fillId="0" borderId="123" xfId="0" applyFont="1" applyBorder="1" applyAlignment="1">
      <alignment horizontal="left" vertical="center" wrapText="1"/>
    </xf>
    <xf numFmtId="0" fontId="295" fillId="0" borderId="54" xfId="0" applyFont="1" applyBorder="1" applyAlignment="1">
      <alignment vertical="center" wrapText="1"/>
    </xf>
    <xf numFmtId="0" fontId="313" fillId="10" borderId="116" xfId="0" applyFont="1" applyFill="1" applyBorder="1" applyAlignment="1">
      <alignment horizontal="center" vertical="center" textRotation="90" wrapText="1"/>
    </xf>
    <xf numFmtId="3" fontId="295" fillId="0" borderId="117" xfId="0" applyNumberFormat="1" applyFont="1" applyBorder="1" applyAlignment="1">
      <alignment vertical="center"/>
    </xf>
    <xf numFmtId="0" fontId="127" fillId="28" borderId="1" xfId="0" applyFont="1" applyFill="1" applyBorder="1" applyAlignment="1">
      <alignment horizontal="left" vertical="center" wrapText="1"/>
    </xf>
    <xf numFmtId="9" fontId="295" fillId="29" borderId="117" xfId="0" applyNumberFormat="1" applyFont="1" applyFill="1" applyBorder="1" applyAlignment="1">
      <alignment horizontal="center" vertical="center" wrapText="1"/>
    </xf>
    <xf numFmtId="0" fontId="313" fillId="26" borderId="121" xfId="0" applyFont="1" applyFill="1" applyBorder="1" applyAlignment="1">
      <alignment horizontal="center" vertical="center" textRotation="90" wrapText="1"/>
    </xf>
    <xf numFmtId="9" fontId="295" fillId="29" borderId="126" xfId="0" applyNumberFormat="1" applyFont="1" applyFill="1" applyBorder="1" applyAlignment="1">
      <alignment horizontal="center" vertical="center" wrapText="1"/>
    </xf>
    <xf numFmtId="3" fontId="295" fillId="0" borderId="126" xfId="0" applyNumberFormat="1" applyFont="1" applyBorder="1" applyAlignment="1">
      <alignment vertical="center" wrapText="1"/>
    </xf>
    <xf numFmtId="3" fontId="295" fillId="0" borderId="126" xfId="0" applyNumberFormat="1" applyFont="1" applyBorder="1" applyAlignment="1">
      <alignment horizontal="center" vertical="center" wrapText="1"/>
    </xf>
    <xf numFmtId="0" fontId="295" fillId="0" borderId="19" xfId="0" applyFont="1" applyBorder="1" applyAlignment="1">
      <alignment horizontal="center" vertical="center" wrapText="1"/>
    </xf>
    <xf numFmtId="0" fontId="313" fillId="26" borderId="123" xfId="0" applyFont="1" applyFill="1" applyBorder="1" applyAlignment="1">
      <alignment horizontal="center" vertical="center" textRotation="90" wrapText="1"/>
    </xf>
    <xf numFmtId="3" fontId="295" fillId="0" borderId="127" xfId="0" applyNumberFormat="1" applyFont="1" applyBorder="1" applyAlignment="1">
      <alignment horizontal="center" vertical="center" wrapText="1"/>
    </xf>
    <xf numFmtId="0" fontId="313" fillId="27" borderId="116" xfId="0" applyFont="1" applyFill="1" applyBorder="1" applyAlignment="1">
      <alignment horizontal="center" vertical="center" textRotation="90" wrapText="1"/>
    </xf>
    <xf numFmtId="9" fontId="295" fillId="29" borderId="117" xfId="8" applyFont="1" applyFill="1" applyBorder="1" applyAlignment="1">
      <alignment horizontal="center" vertical="center" wrapText="1"/>
    </xf>
    <xf numFmtId="0" fontId="295" fillId="0" borderId="48" xfId="0" applyFont="1" applyBorder="1" applyAlignment="1">
      <alignment horizontal="center" vertical="center" wrapText="1"/>
    </xf>
    <xf numFmtId="9" fontId="295" fillId="29" borderId="126" xfId="8" applyFont="1" applyFill="1" applyBorder="1" applyAlignment="1">
      <alignment horizontal="center" vertical="center" wrapText="1"/>
    </xf>
    <xf numFmtId="3" fontId="295" fillId="0" borderId="0" xfId="0" applyNumberFormat="1" applyFont="1" applyAlignment="1">
      <alignment vertical="center" wrapText="1"/>
    </xf>
    <xf numFmtId="3" fontId="127" fillId="0" borderId="27" xfId="0" applyNumberFormat="1" applyFont="1" applyBorder="1" applyAlignment="1">
      <alignment vertical="center" wrapText="1"/>
    </xf>
    <xf numFmtId="0" fontId="127" fillId="0" borderId="166" xfId="0" applyFont="1" applyBorder="1" applyAlignment="1">
      <alignment vertical="center" wrapText="1"/>
    </xf>
    <xf numFmtId="3" fontId="90" fillId="0" borderId="128" xfId="0" applyNumberFormat="1" applyFont="1" applyBorder="1" applyAlignment="1">
      <alignment horizontal="center" vertical="center" wrapText="1"/>
    </xf>
    <xf numFmtId="0" fontId="295" fillId="0" borderId="17" xfId="0" applyFont="1" applyBorder="1" applyAlignment="1">
      <alignment horizontal="center" vertical="center" wrapText="1"/>
    </xf>
    <xf numFmtId="0" fontId="127" fillId="0" borderId="167" xfId="0" applyFont="1" applyBorder="1" applyAlignment="1">
      <alignment vertical="center" wrapText="1"/>
    </xf>
    <xf numFmtId="0" fontId="127" fillId="0" borderId="168" xfId="0" applyFont="1" applyBorder="1" applyAlignment="1">
      <alignment vertical="center" wrapText="1"/>
    </xf>
    <xf numFmtId="3" fontId="295" fillId="28" borderId="117" xfId="0" applyNumberFormat="1" applyFont="1" applyFill="1" applyBorder="1" applyAlignment="1">
      <alignment vertical="center" wrapText="1"/>
    </xf>
    <xf numFmtId="0" fontId="127" fillId="0" borderId="16" xfId="0" applyFont="1" applyBorder="1" applyAlignment="1">
      <alignment horizontal="left" vertical="center" wrapText="1"/>
    </xf>
    <xf numFmtId="0" fontId="127" fillId="28" borderId="16" xfId="0" applyFont="1" applyFill="1" applyBorder="1" applyAlignment="1">
      <alignment vertical="center" wrapText="1"/>
    </xf>
    <xf numFmtId="9" fontId="295" fillId="14" borderId="117" xfId="8" applyFont="1" applyFill="1" applyBorder="1" applyAlignment="1">
      <alignment horizontal="center" vertical="center" wrapText="1"/>
    </xf>
    <xf numFmtId="0" fontId="295" fillId="0" borderId="74" xfId="0" applyFont="1" applyBorder="1" applyAlignment="1">
      <alignment horizontal="center" vertical="center" wrapText="1"/>
    </xf>
    <xf numFmtId="9" fontId="90" fillId="14" borderId="117" xfId="0" applyNumberFormat="1" applyFont="1" applyFill="1" applyBorder="1" applyAlignment="1">
      <alignment horizontal="center" vertical="center" wrapText="1"/>
    </xf>
    <xf numFmtId="0" fontId="295" fillId="0" borderId="108" xfId="0" applyFont="1" applyBorder="1" applyAlignment="1">
      <alignment vertical="center"/>
    </xf>
    <xf numFmtId="0" fontId="127" fillId="28" borderId="16" xfId="0" applyFont="1" applyFill="1" applyBorder="1" applyAlignment="1">
      <alignment horizontal="left" vertical="top" wrapText="1"/>
    </xf>
    <xf numFmtId="0" fontId="127" fillId="0" borderId="16" xfId="0" applyFont="1" applyBorder="1" applyAlignment="1">
      <alignment horizontal="left" vertical="top" wrapText="1"/>
    </xf>
    <xf numFmtId="0" fontId="127" fillId="28" borderId="116" xfId="0" applyFont="1" applyFill="1" applyBorder="1" applyAlignment="1">
      <alignment horizontal="left" vertical="center" wrapText="1"/>
    </xf>
    <xf numFmtId="9" fontId="127" fillId="29" borderId="117" xfId="8" applyFont="1" applyFill="1" applyBorder="1" applyAlignment="1">
      <alignment horizontal="center" vertical="center" wrapText="1"/>
    </xf>
    <xf numFmtId="9" fontId="127" fillId="7" borderId="117" xfId="8" applyFont="1" applyFill="1" applyBorder="1" applyAlignment="1">
      <alignment horizontal="center" vertical="center" wrapText="1"/>
    </xf>
    <xf numFmtId="0" fontId="127" fillId="0" borderId="136" xfId="0" applyFont="1" applyBorder="1" applyAlignment="1">
      <alignment horizontal="left" vertical="center" wrapText="1"/>
    </xf>
    <xf numFmtId="0" fontId="127" fillId="0" borderId="116" xfId="0" applyFont="1" applyBorder="1" applyAlignment="1">
      <alignment horizontal="center" vertical="top" wrapText="1"/>
    </xf>
    <xf numFmtId="0" fontId="127" fillId="28" borderId="1" xfId="0" applyFont="1" applyFill="1" applyBorder="1" applyAlignment="1">
      <alignment horizontal="center" vertical="center" wrapText="1"/>
    </xf>
    <xf numFmtId="0" fontId="295" fillId="0" borderId="119" xfId="0" applyFont="1" applyBorder="1" applyAlignment="1">
      <alignment horizontal="center" vertical="center" wrapText="1"/>
    </xf>
    <xf numFmtId="9" fontId="295" fillId="46" borderId="117" xfId="0" applyNumberFormat="1" applyFont="1" applyFill="1" applyBorder="1" applyAlignment="1">
      <alignment horizontal="center" vertical="center" wrapText="1"/>
    </xf>
    <xf numFmtId="3" fontId="127" fillId="28" borderId="117" xfId="0" applyNumberFormat="1" applyFont="1" applyFill="1" applyBorder="1" applyAlignment="1">
      <alignment horizontal="center" vertical="center" wrapText="1"/>
    </xf>
    <xf numFmtId="3" fontId="295" fillId="28" borderId="169" xfId="0" applyNumberFormat="1" applyFont="1" applyFill="1" applyBorder="1" applyAlignment="1">
      <alignment horizontal="center" vertical="center" wrapText="1"/>
    </xf>
    <xf numFmtId="0" fontId="295" fillId="0" borderId="164" xfId="0" applyFont="1" applyBorder="1" applyAlignment="1">
      <alignment vertical="center"/>
    </xf>
    <xf numFmtId="0" fontId="127" fillId="28" borderId="116" xfId="0" applyFont="1" applyFill="1" applyBorder="1" applyAlignment="1">
      <alignment horizontal="left" vertical="top" wrapText="1"/>
    </xf>
    <xf numFmtId="3" fontId="295" fillId="28" borderId="169" xfId="0" applyNumberFormat="1" applyFont="1" applyFill="1" applyBorder="1" applyAlignment="1">
      <alignment vertical="center" wrapText="1"/>
    </xf>
    <xf numFmtId="3" fontId="127" fillId="28" borderId="117" xfId="0" applyNumberFormat="1" applyFont="1" applyFill="1" applyBorder="1" applyAlignment="1">
      <alignment horizontal="center" vertical="center"/>
    </xf>
    <xf numFmtId="0" fontId="127" fillId="28" borderId="1" xfId="0" applyFont="1" applyFill="1" applyBorder="1" applyAlignment="1">
      <alignment horizontal="left" vertical="top" wrapText="1"/>
    </xf>
    <xf numFmtId="9" fontId="295" fillId="46" borderId="170" xfId="0" applyNumberFormat="1" applyFont="1" applyFill="1" applyBorder="1" applyAlignment="1">
      <alignment horizontal="center" vertical="center" wrapText="1"/>
    </xf>
    <xf numFmtId="0" fontId="127" fillId="28" borderId="1" xfId="0" applyFont="1" applyFill="1" applyBorder="1" applyAlignment="1">
      <alignment vertical="top" wrapText="1"/>
    </xf>
    <xf numFmtId="9" fontId="90" fillId="22" borderId="128" xfId="0" applyNumberFormat="1" applyFont="1" applyFill="1" applyBorder="1" applyAlignment="1">
      <alignment horizontal="center" vertical="center" wrapText="1"/>
    </xf>
    <xf numFmtId="0" fontId="127" fillId="28" borderId="122" xfId="0" applyFont="1" applyFill="1" applyBorder="1" applyAlignment="1">
      <alignment vertical="top" wrapText="1"/>
    </xf>
    <xf numFmtId="0" fontId="127" fillId="0" borderId="121" xfId="0" applyFont="1" applyBorder="1" applyAlignment="1">
      <alignment vertical="center" wrapText="1"/>
    </xf>
    <xf numFmtId="9" fontId="295" fillId="22" borderId="117" xfId="0" applyNumberFormat="1" applyFont="1" applyFill="1" applyBorder="1" applyAlignment="1">
      <alignment horizontal="center" vertical="center" wrapText="1"/>
    </xf>
    <xf numFmtId="3" fontId="295" fillId="0" borderId="117" xfId="0" applyNumberFormat="1" applyFont="1" applyBorder="1" applyAlignment="1">
      <alignment horizontal="right" vertical="center" wrapText="1"/>
    </xf>
    <xf numFmtId="9" fontId="90" fillId="22" borderId="117" xfId="0" applyNumberFormat="1" applyFont="1" applyFill="1" applyBorder="1" applyAlignment="1">
      <alignment horizontal="center" vertical="center" wrapText="1"/>
    </xf>
    <xf numFmtId="3" fontId="90" fillId="0" borderId="117" xfId="0" applyNumberFormat="1" applyFont="1" applyBorder="1" applyAlignment="1">
      <alignment horizontal="center" vertical="center" wrapText="1"/>
    </xf>
    <xf numFmtId="0" fontId="127" fillId="0" borderId="123" xfId="0" applyFont="1" applyBorder="1" applyAlignment="1">
      <alignment horizontal="center" vertical="center" wrapText="1"/>
    </xf>
    <xf numFmtId="0" fontId="127" fillId="0" borderId="55" xfId="0" applyFont="1" applyBorder="1" applyAlignment="1">
      <alignment vertical="top" wrapText="1"/>
    </xf>
    <xf numFmtId="0" fontId="127" fillId="0" borderId="0" xfId="0" applyFont="1" applyAlignment="1">
      <alignment vertical="top" wrapText="1"/>
    </xf>
    <xf numFmtId="0" fontId="127" fillId="28" borderId="0" xfId="0" applyFont="1" applyFill="1" applyAlignment="1">
      <alignment vertical="top" wrapText="1"/>
    </xf>
    <xf numFmtId="0" fontId="295" fillId="0" borderId="69" xfId="0" applyFont="1" applyBorder="1" applyAlignment="1">
      <alignment horizontal="center" vertical="center" wrapText="1"/>
    </xf>
    <xf numFmtId="0" fontId="295" fillId="0" borderId="18" xfId="0" applyFont="1" applyBorder="1" applyAlignment="1">
      <alignment horizontal="center" vertical="center" wrapText="1"/>
    </xf>
    <xf numFmtId="0" fontId="295" fillId="0" borderId="90" xfId="0" applyFont="1" applyBorder="1" applyAlignment="1">
      <alignment vertical="center"/>
    </xf>
    <xf numFmtId="0" fontId="127" fillId="0" borderId="28" xfId="12" applyFont="1" applyBorder="1" applyAlignment="1">
      <alignment horizontal="center" vertical="center" wrapText="1"/>
    </xf>
    <xf numFmtId="9" fontId="127" fillId="7" borderId="126" xfId="8" applyFont="1" applyFill="1" applyBorder="1" applyAlignment="1">
      <alignment horizontal="center" vertical="center" wrapText="1"/>
    </xf>
    <xf numFmtId="0" fontId="127" fillId="0" borderId="166" xfId="0" applyFont="1" applyBorder="1" applyAlignment="1">
      <alignment horizontal="left" vertical="center" wrapText="1"/>
    </xf>
    <xf numFmtId="9" fontId="295" fillId="0" borderId="127" xfId="0" applyNumberFormat="1" applyFont="1" applyBorder="1" applyAlignment="1">
      <alignment horizontal="center" vertical="center" wrapText="1"/>
    </xf>
    <xf numFmtId="0" fontId="127" fillId="0" borderId="168" xfId="0" applyFont="1" applyBorder="1" applyAlignment="1">
      <alignment horizontal="center" vertical="center" wrapText="1"/>
    </xf>
    <xf numFmtId="0" fontId="127" fillId="0" borderId="116" xfId="0" applyFont="1" applyBorder="1" applyAlignment="1">
      <alignment horizontal="left" vertical="top" wrapText="1"/>
    </xf>
    <xf numFmtId="0" fontId="295" fillId="28" borderId="74" xfId="0" applyFont="1" applyFill="1" applyBorder="1" applyAlignment="1">
      <alignment horizontal="center" vertical="center" wrapText="1"/>
    </xf>
    <xf numFmtId="3" fontId="295" fillId="28" borderId="117" xfId="0" applyNumberFormat="1" applyFont="1" applyFill="1" applyBorder="1" applyAlignment="1">
      <alignment horizontal="center" vertical="center" wrapText="1"/>
    </xf>
    <xf numFmtId="0" fontId="295" fillId="0" borderId="16" xfId="0" applyFont="1" applyBorder="1" applyAlignment="1">
      <alignment vertical="center" wrapText="1"/>
    </xf>
    <xf numFmtId="3" fontId="295" fillId="0" borderId="117" xfId="0" applyNumberFormat="1" applyFont="1" applyBorder="1" applyAlignment="1">
      <alignment horizontal="center" vertical="center" wrapText="1"/>
    </xf>
    <xf numFmtId="0" fontId="295" fillId="0" borderId="96" xfId="0" applyFont="1" applyBorder="1" applyAlignment="1">
      <alignment vertical="center"/>
    </xf>
    <xf numFmtId="0" fontId="313" fillId="0" borderId="116" xfId="0" applyFont="1" applyBorder="1" applyAlignment="1">
      <alignment horizontal="center" vertical="center" textRotation="90" wrapText="1"/>
    </xf>
    <xf numFmtId="9" fontId="295" fillId="0" borderId="117" xfId="0" applyNumberFormat="1" applyFont="1" applyBorder="1" applyAlignment="1">
      <alignment horizontal="center" vertical="center" wrapText="1"/>
    </xf>
    <xf numFmtId="0" fontId="295" fillId="0" borderId="16" xfId="0" applyFont="1" applyBorder="1" applyAlignment="1">
      <alignment vertical="center"/>
    </xf>
    <xf numFmtId="9" fontId="127" fillId="7" borderId="0" xfId="8" applyFont="1" applyFill="1" applyBorder="1" applyAlignment="1">
      <alignment horizontal="center" vertical="center" wrapText="1"/>
    </xf>
    <xf numFmtId="9" fontId="295" fillId="7" borderId="117" xfId="0" applyNumberFormat="1" applyFont="1" applyFill="1" applyBorder="1" applyAlignment="1">
      <alignment horizontal="center" vertical="center" wrapText="1"/>
    </xf>
    <xf numFmtId="168" fontId="295" fillId="0" borderId="117" xfId="0" applyNumberFormat="1" applyFont="1" applyBorder="1" applyAlignment="1">
      <alignment vertical="center" wrapText="1"/>
    </xf>
    <xf numFmtId="0" fontId="127" fillId="0" borderId="0" xfId="0" applyFont="1" applyAlignment="1">
      <alignment horizontal="center" vertical="center" wrapText="1"/>
    </xf>
    <xf numFmtId="9" fontId="90" fillId="7" borderId="128" xfId="0" applyNumberFormat="1" applyFont="1" applyFill="1" applyBorder="1" applyAlignment="1">
      <alignment vertical="center" wrapText="1"/>
    </xf>
    <xf numFmtId="3" fontId="90" fillId="0" borderId="128" xfId="0" applyNumberFormat="1" applyFont="1" applyBorder="1" applyAlignment="1">
      <alignment vertical="center" wrapText="1"/>
    </xf>
    <xf numFmtId="0" fontId="295" fillId="0" borderId="74" xfId="0" applyFont="1" applyBorder="1" applyAlignment="1">
      <alignment vertical="center" wrapText="1"/>
    </xf>
    <xf numFmtId="0" fontId="295" fillId="0" borderId="15" xfId="0" applyFont="1" applyBorder="1" applyAlignment="1">
      <alignment horizontal="center" vertical="center" wrapText="1"/>
    </xf>
    <xf numFmtId="0" fontId="295" fillId="0" borderId="14" xfId="0" applyFont="1" applyBorder="1" applyAlignment="1">
      <alignment horizontal="center" vertical="center" wrapText="1"/>
    </xf>
    <xf numFmtId="0" fontId="295" fillId="0" borderId="15" xfId="0" applyFont="1" applyBorder="1" applyAlignment="1">
      <alignment vertical="center" wrapText="1"/>
    </xf>
    <xf numFmtId="0" fontId="295" fillId="0" borderId="14" xfId="0" applyFont="1" applyBorder="1" applyAlignment="1">
      <alignment vertical="center" wrapText="1"/>
    </xf>
    <xf numFmtId="0" fontId="295" fillId="0" borderId="117" xfId="0" applyFont="1" applyBorder="1" applyAlignment="1">
      <alignment vertical="center" wrapText="1"/>
    </xf>
    <xf numFmtId="9" fontId="295" fillId="14" borderId="117" xfId="0" applyNumberFormat="1" applyFont="1" applyFill="1" applyBorder="1" applyAlignment="1">
      <alignment horizontal="center" vertical="center" wrapText="1"/>
    </xf>
    <xf numFmtId="0" fontId="127" fillId="0" borderId="16" xfId="0" applyFont="1" applyBorder="1" applyAlignment="1">
      <alignment vertical="center" wrapText="1"/>
    </xf>
    <xf numFmtId="0" fontId="127" fillId="0" borderId="121" xfId="0" applyFont="1" applyBorder="1" applyAlignment="1">
      <alignment horizontal="center" vertical="top" wrapText="1"/>
    </xf>
    <xf numFmtId="0" fontId="127" fillId="0" borderId="122" xfId="0" applyFont="1" applyBorder="1" applyAlignment="1">
      <alignment horizontal="center" vertical="top" wrapText="1"/>
    </xf>
    <xf numFmtId="0" fontId="127" fillId="0" borderId="123" xfId="0" applyFont="1" applyBorder="1" applyAlignment="1">
      <alignment horizontal="center" vertical="top" wrapText="1"/>
    </xf>
    <xf numFmtId="9" fontId="295" fillId="7" borderId="127" xfId="0" applyNumberFormat="1" applyFont="1" applyFill="1" applyBorder="1" applyAlignment="1">
      <alignment horizontal="center" vertical="center" wrapText="1"/>
    </xf>
    <xf numFmtId="3" fontId="295" fillId="0" borderId="127" xfId="0" applyNumberFormat="1" applyFont="1" applyBorder="1" applyAlignment="1">
      <alignment horizontal="left" vertical="center" wrapText="1"/>
    </xf>
    <xf numFmtId="1" fontId="295" fillId="0" borderId="127" xfId="0" applyNumberFormat="1" applyFont="1" applyBorder="1" applyAlignment="1">
      <alignment horizontal="center" vertical="center" wrapText="1"/>
    </xf>
    <xf numFmtId="0" fontId="127" fillId="28" borderId="0" xfId="0" applyFont="1" applyFill="1" applyAlignment="1">
      <alignment horizontal="center" vertical="center" wrapText="1"/>
    </xf>
    <xf numFmtId="0" fontId="127" fillId="28" borderId="32" xfId="0" applyFont="1" applyFill="1" applyBorder="1" applyAlignment="1">
      <alignment horizontal="left" vertical="center" wrapText="1"/>
    </xf>
    <xf numFmtId="0" fontId="127" fillId="28" borderId="1" xfId="0" applyFont="1" applyFill="1" applyBorder="1" applyAlignment="1">
      <alignment horizontal="center" vertical="top" wrapText="1"/>
    </xf>
    <xf numFmtId="9" fontId="127" fillId="28" borderId="1" xfId="0" applyNumberFormat="1" applyFont="1" applyFill="1" applyBorder="1" applyAlignment="1">
      <alignment horizontal="center" vertical="center" wrapText="1"/>
    </xf>
    <xf numFmtId="3" fontId="127" fillId="28" borderId="46" xfId="0" applyNumberFormat="1" applyFont="1" applyFill="1" applyBorder="1" applyAlignment="1">
      <alignment horizontal="left" vertical="center" wrapText="1"/>
    </xf>
    <xf numFmtId="0" fontId="127" fillId="28" borderId="46" xfId="0" applyFont="1" applyFill="1" applyBorder="1" applyAlignment="1">
      <alignment horizontal="left" vertical="top" wrapText="1"/>
    </xf>
    <xf numFmtId="3" fontId="127" fillId="28" borderId="160" xfId="0" applyNumberFormat="1" applyFont="1" applyFill="1" applyBorder="1" applyAlignment="1">
      <alignment horizontal="left" vertical="center" wrapText="1"/>
    </xf>
    <xf numFmtId="3" fontId="127" fillId="28" borderId="1" xfId="0" applyNumberFormat="1" applyFont="1" applyFill="1" applyBorder="1" applyAlignment="1">
      <alignment vertical="center" wrapText="1"/>
    </xf>
    <xf numFmtId="3" fontId="127" fillId="28" borderId="1" xfId="0" applyNumberFormat="1" applyFont="1" applyFill="1" applyBorder="1" applyAlignment="1">
      <alignment horizontal="left" vertical="center" wrapText="1"/>
    </xf>
    <xf numFmtId="3" fontId="127" fillId="28" borderId="46" xfId="0" applyNumberFormat="1" applyFont="1" applyFill="1" applyBorder="1" applyAlignment="1">
      <alignment vertical="center" wrapText="1"/>
    </xf>
    <xf numFmtId="3" fontId="127" fillId="28" borderId="76" xfId="0" applyNumberFormat="1" applyFont="1" applyFill="1" applyBorder="1" applyAlignment="1">
      <alignment horizontal="center" vertical="center" wrapText="1"/>
    </xf>
    <xf numFmtId="0" fontId="127" fillId="28" borderId="32" xfId="0" applyFont="1" applyFill="1" applyBorder="1" applyAlignment="1">
      <alignment horizontal="left" vertical="top" wrapText="1"/>
    </xf>
    <xf numFmtId="9" fontId="295" fillId="20" borderId="117" xfId="0" applyNumberFormat="1" applyFont="1" applyFill="1" applyBorder="1" applyAlignment="1">
      <alignment horizontal="center" vertical="center" wrapText="1"/>
    </xf>
    <xf numFmtId="1" fontId="295" fillId="0" borderId="117" xfId="0" applyNumberFormat="1" applyFont="1" applyBorder="1" applyAlignment="1">
      <alignment vertical="center" wrapText="1"/>
    </xf>
    <xf numFmtId="9" fontId="295" fillId="0" borderId="117" xfId="8" applyFont="1" applyBorder="1" applyAlignment="1">
      <alignment horizontal="center" vertical="center" wrapText="1"/>
    </xf>
    <xf numFmtId="0" fontId="127" fillId="0" borderId="0" xfId="0" applyFont="1" applyAlignment="1">
      <alignment vertical="center" wrapText="1"/>
    </xf>
    <xf numFmtId="0" fontId="127" fillId="0" borderId="163" xfId="0" applyFont="1" applyBorder="1" applyAlignment="1">
      <alignment horizontal="left" vertical="top" wrapText="1"/>
    </xf>
    <xf numFmtId="0" fontId="127" fillId="0" borderId="163" xfId="0" applyFont="1" applyBorder="1" applyAlignment="1">
      <alignment horizontal="left" vertical="center" wrapText="1"/>
    </xf>
    <xf numFmtId="9" fontId="90" fillId="23" borderId="117" xfId="0" applyNumberFormat="1" applyFont="1" applyFill="1" applyBorder="1" applyAlignment="1">
      <alignment horizontal="center" vertical="center" wrapText="1"/>
    </xf>
    <xf numFmtId="3" fontId="90" fillId="0" borderId="117" xfId="0" applyNumberFormat="1" applyFont="1" applyBorder="1" applyAlignment="1">
      <alignment vertical="center" wrapText="1"/>
    </xf>
    <xf numFmtId="9" fontId="127" fillId="0" borderId="117" xfId="1" applyNumberFormat="1" applyFont="1" applyBorder="1" applyAlignment="1">
      <alignment horizontal="center" vertical="center" wrapText="1"/>
    </xf>
    <xf numFmtId="0" fontId="295" fillId="0" borderId="0" xfId="0" applyFont="1" applyAlignment="1">
      <alignment vertical="center"/>
    </xf>
    <xf numFmtId="0" fontId="90" fillId="0" borderId="117" xfId="0" applyFont="1" applyBorder="1" applyAlignment="1">
      <alignment horizontal="center" vertical="center" wrapText="1"/>
    </xf>
    <xf numFmtId="3" fontId="313" fillId="0" borderId="117" xfId="0" applyNumberFormat="1" applyFont="1" applyBorder="1" applyAlignment="1">
      <alignment vertical="center" wrapText="1"/>
    </xf>
    <xf numFmtId="0" fontId="127" fillId="28" borderId="116" xfId="0" applyFont="1" applyFill="1" applyBorder="1" applyAlignment="1">
      <alignment vertical="top" wrapText="1"/>
    </xf>
    <xf numFmtId="0" fontId="127" fillId="0" borderId="116" xfId="12" applyFont="1" applyBorder="1" applyAlignment="1">
      <alignment vertical="center" wrapText="1"/>
    </xf>
    <xf numFmtId="0" fontId="127" fillId="0" borderId="116" xfId="12" applyFont="1" applyBorder="1" applyAlignment="1">
      <alignment horizontal="center" vertical="center" wrapText="1"/>
    </xf>
    <xf numFmtId="3" fontId="295" fillId="0" borderId="117" xfId="12" applyNumberFormat="1" applyFont="1" applyBorder="1" applyAlignment="1">
      <alignment horizontal="center" vertical="center" wrapText="1"/>
    </xf>
    <xf numFmtId="9" fontId="90" fillId="7" borderId="117" xfId="0" applyNumberFormat="1" applyFont="1" applyFill="1" applyBorder="1" applyAlignment="1">
      <alignment horizontal="center" vertical="center" wrapText="1"/>
    </xf>
    <xf numFmtId="0" fontId="127" fillId="28" borderId="116" xfId="0" applyFont="1" applyFill="1" applyBorder="1" applyAlignment="1">
      <alignment vertical="center" wrapText="1"/>
    </xf>
    <xf numFmtId="4" fontId="295" fillId="0" borderId="117" xfId="12" applyNumberFormat="1" applyFont="1" applyBorder="1" applyAlignment="1">
      <alignment horizontal="center" vertical="center" wrapText="1"/>
    </xf>
    <xf numFmtId="3" fontId="127" fillId="0" borderId="116" xfId="0" applyNumberFormat="1" applyFont="1" applyBorder="1" applyAlignment="1">
      <alignment vertical="center" wrapText="1"/>
    </xf>
    <xf numFmtId="1" fontId="90" fillId="0" borderId="117" xfId="0" applyNumberFormat="1" applyFont="1" applyBorder="1" applyAlignment="1">
      <alignment horizontal="center" vertical="center" wrapText="1"/>
    </xf>
    <xf numFmtId="9" fontId="127" fillId="0" borderId="116" xfId="8" applyFont="1" applyBorder="1" applyAlignment="1">
      <alignment vertical="top" wrapText="1"/>
    </xf>
    <xf numFmtId="0" fontId="127" fillId="0" borderId="149" xfId="0" applyFont="1" applyBorder="1" applyAlignment="1">
      <alignment horizontal="center" vertical="center" wrapText="1"/>
    </xf>
    <xf numFmtId="0" fontId="127" fillId="0" borderId="181" xfId="0" applyFont="1" applyBorder="1" applyAlignment="1">
      <alignment horizontal="center" vertical="center" wrapText="1"/>
    </xf>
    <xf numFmtId="9" fontId="90" fillId="23" borderId="117" xfId="8" applyFont="1" applyFill="1" applyBorder="1" applyAlignment="1">
      <alignment horizontal="center" vertical="center" wrapText="1"/>
    </xf>
    <xf numFmtId="0" fontId="295" fillId="0" borderId="117" xfId="0" applyFont="1" applyBorder="1" applyAlignment="1">
      <alignment horizontal="center" vertical="center" wrapText="1"/>
    </xf>
    <xf numFmtId="9" fontId="90" fillId="0" borderId="117" xfId="8" applyFont="1" applyBorder="1" applyAlignment="1">
      <alignment horizontal="center" vertical="center" wrapText="1"/>
    </xf>
    <xf numFmtId="0" fontId="295" fillId="0" borderId="1" xfId="0" applyFont="1" applyBorder="1" applyAlignment="1">
      <alignment vertical="center" wrapText="1"/>
    </xf>
    <xf numFmtId="0" fontId="127" fillId="0" borderId="1" xfId="0" applyFont="1" applyBorder="1" applyAlignment="1">
      <alignment vertical="center" wrapText="1"/>
    </xf>
    <xf numFmtId="0" fontId="295" fillId="0" borderId="107" xfId="0" applyFont="1" applyBorder="1" applyAlignment="1">
      <alignment vertical="center" wrapText="1"/>
    </xf>
    <xf numFmtId="0" fontId="295" fillId="0" borderId="27" xfId="0" applyFont="1" applyBorder="1" applyAlignment="1">
      <alignment vertical="center" wrapText="1"/>
    </xf>
    <xf numFmtId="0" fontId="295" fillId="0" borderId="48" xfId="0" applyFont="1" applyBorder="1" applyAlignment="1">
      <alignment vertical="center" wrapText="1"/>
    </xf>
    <xf numFmtId="0" fontId="295" fillId="0" borderId="1" xfId="0" applyFont="1" applyBorder="1" applyAlignment="1">
      <alignment vertical="center"/>
    </xf>
    <xf numFmtId="9" fontId="295" fillId="0" borderId="1" xfId="0" applyNumberFormat="1" applyFont="1" applyBorder="1" applyAlignment="1">
      <alignment horizontal="center" vertical="center"/>
    </xf>
    <xf numFmtId="0" fontId="295" fillId="0" borderId="1" xfId="0" applyFont="1" applyBorder="1" applyAlignment="1">
      <alignment horizontal="center" vertical="center"/>
    </xf>
    <xf numFmtId="0" fontId="127" fillId="0" borderId="1" xfId="0" applyFont="1" applyBorder="1" applyAlignment="1">
      <alignment vertical="top" wrapText="1"/>
    </xf>
    <xf numFmtId="0" fontId="127" fillId="0" borderId="195" xfId="0" applyFont="1" applyBorder="1" applyAlignment="1">
      <alignment vertical="top" wrapText="1"/>
    </xf>
    <xf numFmtId="0" fontId="127" fillId="0" borderId="121" xfId="0" applyFont="1" applyBorder="1" applyAlignment="1">
      <alignment horizontal="left" vertical="top" wrapText="1"/>
    </xf>
    <xf numFmtId="3" fontId="295" fillId="0" borderId="117" xfId="0" applyNumberFormat="1" applyFont="1" applyBorder="1" applyAlignment="1">
      <alignment horizontal="left" vertical="top" wrapText="1"/>
    </xf>
    <xf numFmtId="0" fontId="127" fillId="0" borderId="122" xfId="0" applyFont="1" applyBorder="1" applyAlignment="1">
      <alignment horizontal="left" vertical="top" wrapText="1"/>
    </xf>
    <xf numFmtId="0" fontId="295" fillId="0" borderId="0" xfId="0" applyFont="1" applyAlignment="1">
      <alignment vertical="top" wrapText="1"/>
    </xf>
    <xf numFmtId="3" fontId="295" fillId="0" borderId="117" xfId="0" applyNumberFormat="1" applyFont="1" applyBorder="1" applyAlignment="1">
      <alignment horizontal="left" vertical="center" wrapText="1"/>
    </xf>
    <xf numFmtId="0" fontId="127" fillId="0" borderId="118" xfId="0" applyFont="1" applyBorder="1" applyAlignment="1">
      <alignment horizontal="center" vertical="top" wrapText="1"/>
    </xf>
    <xf numFmtId="0" fontId="127" fillId="0" borderId="1" xfId="0" applyFont="1" applyBorder="1" applyAlignment="1">
      <alignment horizontal="left" vertical="top" wrapText="1"/>
    </xf>
    <xf numFmtId="0" fontId="127" fillId="0" borderId="0" xfId="0" applyFont="1" applyAlignment="1">
      <alignment horizontal="left" vertical="top" wrapText="1"/>
    </xf>
    <xf numFmtId="0" fontId="127" fillId="0" borderId="151" xfId="0" applyFont="1" applyBorder="1" applyAlignment="1">
      <alignment horizontal="left" vertical="top" wrapText="1"/>
    </xf>
    <xf numFmtId="0" fontId="127" fillId="0" borderId="123" xfId="0" applyFont="1" applyBorder="1" applyAlignment="1">
      <alignment horizontal="left" vertical="top" wrapText="1"/>
    </xf>
    <xf numFmtId="0" fontId="295" fillId="0" borderId="101" xfId="0" applyFont="1" applyBorder="1" applyAlignment="1">
      <alignment wrapText="1"/>
    </xf>
    <xf numFmtId="0" fontId="295" fillId="0" borderId="101" xfId="0" applyFont="1" applyBorder="1" applyAlignment="1">
      <alignment vertical="top" wrapText="1"/>
    </xf>
    <xf numFmtId="9" fontId="90" fillId="0" borderId="126" xfId="0" applyNumberFormat="1" applyFont="1" applyBorder="1" applyAlignment="1">
      <alignment vertical="center" wrapText="1"/>
    </xf>
    <xf numFmtId="0" fontId="295" fillId="0" borderId="126" xfId="0" applyFont="1" applyBorder="1" applyAlignment="1">
      <alignment vertical="center" wrapText="1"/>
    </xf>
    <xf numFmtId="0" fontId="295" fillId="0" borderId="243" xfId="0" applyFont="1" applyBorder="1" applyAlignment="1">
      <alignment vertical="top" wrapText="1"/>
    </xf>
    <xf numFmtId="0" fontId="295" fillId="0" borderId="243" xfId="0" applyFont="1" applyBorder="1" applyAlignment="1">
      <alignment wrapText="1"/>
    </xf>
    <xf numFmtId="9" fontId="90" fillId="0" borderId="128" xfId="0" applyNumberFormat="1" applyFont="1" applyBorder="1" applyAlignment="1">
      <alignment vertical="center" wrapText="1"/>
    </xf>
    <xf numFmtId="0" fontId="295" fillId="0" borderId="128" xfId="0" applyFont="1" applyBorder="1" applyAlignment="1">
      <alignment vertical="center" wrapText="1"/>
    </xf>
    <xf numFmtId="0" fontId="295" fillId="0" borderId="244" xfId="0" applyFont="1" applyBorder="1" applyAlignment="1">
      <alignment vertical="top" wrapText="1"/>
    </xf>
    <xf numFmtId="0" fontId="295" fillId="0" borderId="244" xfId="0" applyFont="1" applyBorder="1" applyAlignment="1">
      <alignment wrapText="1"/>
    </xf>
    <xf numFmtId="0" fontId="127" fillId="0" borderId="195" xfId="0" applyFont="1" applyBorder="1" applyAlignment="1">
      <alignment vertical="center" wrapText="1"/>
    </xf>
    <xf numFmtId="0" fontId="72" fillId="0" borderId="1" xfId="0" applyFont="1" applyBorder="1" applyAlignment="1">
      <alignment horizontal="center" vertical="center" textRotation="90" wrapText="1"/>
    </xf>
    <xf numFmtId="0" fontId="67" fillId="0" borderId="121" xfId="0" applyFont="1" applyBorder="1" applyAlignment="1">
      <alignment horizontal="center" vertical="center" wrapText="1"/>
    </xf>
    <xf numFmtId="0" fontId="20" fillId="0" borderId="121" xfId="0" applyFont="1" applyBorder="1" applyAlignment="1">
      <alignment horizontal="center" vertical="center" textRotation="90" wrapText="1"/>
    </xf>
    <xf numFmtId="0" fontId="127" fillId="0" borderId="121" xfId="0" applyFont="1" applyBorder="1" applyAlignment="1">
      <alignment vertical="top" wrapText="1"/>
    </xf>
    <xf numFmtId="0" fontId="4" fillId="0" borderId="66" xfId="0" applyFont="1" applyBorder="1" applyAlignment="1">
      <alignment vertical="center" wrapText="1"/>
    </xf>
    <xf numFmtId="0" fontId="20" fillId="0" borderId="0" xfId="0" applyFont="1" applyAlignment="1">
      <alignment horizontal="center" vertical="center" textRotation="90" wrapText="1"/>
    </xf>
    <xf numFmtId="0" fontId="31" fillId="7" borderId="30" xfId="6" applyFont="1" applyFill="1" applyBorder="1" applyAlignment="1" applyProtection="1">
      <alignment horizontal="center" vertical="center" wrapText="1"/>
    </xf>
    <xf numFmtId="0" fontId="306" fillId="0" borderId="268" xfId="0" applyFont="1" applyBorder="1" applyAlignment="1">
      <alignment vertical="center" wrapText="1"/>
    </xf>
    <xf numFmtId="0" fontId="316" fillId="0" borderId="269" xfId="0" applyFont="1" applyBorder="1" applyAlignment="1">
      <alignment horizontal="center" vertical="center" wrapText="1" readingOrder="1"/>
    </xf>
    <xf numFmtId="0" fontId="316" fillId="0" borderId="266" xfId="0" applyFont="1" applyBorder="1" applyAlignment="1">
      <alignment horizontal="center" vertical="center" wrapText="1" readingOrder="1"/>
    </xf>
    <xf numFmtId="0" fontId="316" fillId="0" borderId="270" xfId="0" applyFont="1" applyBorder="1" applyAlignment="1">
      <alignment horizontal="left" vertical="center" wrapText="1" readingOrder="1"/>
    </xf>
    <xf numFmtId="3" fontId="316" fillId="0" borderId="271" xfId="0" applyNumberFormat="1" applyFont="1" applyBorder="1" applyAlignment="1">
      <alignment horizontal="center" vertical="center" wrapText="1" readingOrder="1"/>
    </xf>
    <xf numFmtId="3" fontId="316" fillId="0" borderId="270" xfId="0" applyNumberFormat="1" applyFont="1" applyBorder="1" applyAlignment="1">
      <alignment horizontal="center" vertical="center" wrapText="1" readingOrder="1"/>
    </xf>
    <xf numFmtId="0" fontId="317" fillId="0" borderId="264" xfId="0" applyFont="1" applyBorder="1" applyAlignment="1">
      <alignment horizontal="left" vertical="center" wrapText="1" readingOrder="1"/>
    </xf>
    <xf numFmtId="3" fontId="317" fillId="0" borderId="268" xfId="0" applyNumberFormat="1" applyFont="1" applyBorder="1" applyAlignment="1">
      <alignment horizontal="center" vertical="center" wrapText="1" readingOrder="1"/>
    </xf>
    <xf numFmtId="3" fontId="317" fillId="0" borderId="264" xfId="0" applyNumberFormat="1" applyFont="1" applyBorder="1" applyAlignment="1">
      <alignment horizontal="center" vertical="center" wrapText="1" readingOrder="1"/>
    </xf>
    <xf numFmtId="0" fontId="316" fillId="0" borderId="264" xfId="0" applyFont="1" applyBorder="1" applyAlignment="1">
      <alignment horizontal="left" vertical="center" wrapText="1" readingOrder="1"/>
    </xf>
    <xf numFmtId="3" fontId="316" fillId="0" borderId="268" xfId="0" applyNumberFormat="1" applyFont="1" applyBorder="1" applyAlignment="1">
      <alignment horizontal="center" vertical="center" wrapText="1" readingOrder="1"/>
    </xf>
    <xf numFmtId="3" fontId="316" fillId="0" borderId="264" xfId="0" applyNumberFormat="1" applyFont="1" applyBorder="1" applyAlignment="1">
      <alignment horizontal="center" vertical="center" wrapText="1" readingOrder="1"/>
    </xf>
    <xf numFmtId="9" fontId="0" fillId="7" borderId="0" xfId="8" applyFont="1" applyFill="1"/>
    <xf numFmtId="170" fontId="0" fillId="7" borderId="0" xfId="8" applyNumberFormat="1" applyFont="1" applyFill="1"/>
    <xf numFmtId="3" fontId="0" fillId="7" borderId="0" xfId="0" applyNumberFormat="1" applyFill="1"/>
    <xf numFmtId="0" fontId="31" fillId="14" borderId="30" xfId="5" applyFont="1" applyFill="1" applyBorder="1" applyAlignment="1" applyProtection="1">
      <alignment horizontal="center" vertical="center" wrapText="1"/>
    </xf>
    <xf numFmtId="3" fontId="20" fillId="0" borderId="117" xfId="0" applyNumberFormat="1" applyFont="1" applyBorder="1" applyAlignment="1">
      <alignment horizontal="center" vertical="center" wrapText="1"/>
    </xf>
    <xf numFmtId="3" fontId="313" fillId="0" borderId="126" xfId="0" applyNumberFormat="1" applyFont="1" applyBorder="1" applyAlignment="1">
      <alignment horizontal="center" vertical="center" wrapText="1"/>
    </xf>
    <xf numFmtId="3" fontId="29" fillId="0" borderId="126" xfId="0" applyNumberFormat="1" applyFont="1" applyBorder="1" applyAlignment="1">
      <alignment horizontal="center" vertical="center" wrapText="1"/>
    </xf>
    <xf numFmtId="0" fontId="4" fillId="0" borderId="167" xfId="0" applyFont="1" applyBorder="1" applyAlignment="1">
      <alignment vertical="center"/>
    </xf>
    <xf numFmtId="3" fontId="73" fillId="0" borderId="126" xfId="0" applyNumberFormat="1" applyFont="1" applyBorder="1" applyAlignment="1">
      <alignment horizontal="center" vertical="center" wrapText="1"/>
    </xf>
    <xf numFmtId="3" fontId="72" fillId="0" borderId="122" xfId="0" applyNumberFormat="1" applyFont="1" applyBorder="1" applyAlignment="1">
      <alignment horizontal="center" vertical="center" textRotation="90" wrapText="1"/>
    </xf>
    <xf numFmtId="3" fontId="295" fillId="0" borderId="169" xfId="0" applyNumberFormat="1" applyFont="1" applyBorder="1" applyAlignment="1">
      <alignment vertical="center" wrapText="1"/>
    </xf>
    <xf numFmtId="9" fontId="90" fillId="14" borderId="157" xfId="0" applyNumberFormat="1" applyFont="1" applyFill="1" applyBorder="1" applyAlignment="1">
      <alignment horizontal="center" vertical="center" wrapText="1"/>
    </xf>
    <xf numFmtId="9" fontId="7" fillId="14" borderId="157" xfId="0" applyNumberFormat="1" applyFont="1" applyFill="1" applyBorder="1" applyAlignment="1">
      <alignment horizontal="center" vertical="center" wrapText="1"/>
    </xf>
    <xf numFmtId="0" fontId="77" fillId="0" borderId="244" xfId="0" applyFont="1" applyBorder="1" applyAlignment="1">
      <alignment horizontal="center" vertical="center" textRotation="90" wrapText="1"/>
    </xf>
    <xf numFmtId="0" fontId="77" fillId="0" borderId="265" xfId="0" applyFont="1" applyBorder="1" applyAlignment="1">
      <alignment horizontal="center" vertical="center" textRotation="90" wrapText="1"/>
    </xf>
    <xf numFmtId="0" fontId="72" fillId="0" borderId="73" xfId="0" applyFont="1" applyBorder="1" applyAlignment="1">
      <alignment horizontal="center" vertical="center" wrapText="1"/>
    </xf>
    <xf numFmtId="0" fontId="0" fillId="54" borderId="0" xfId="0" applyFill="1" applyAlignment="1">
      <alignment wrapText="1"/>
    </xf>
    <xf numFmtId="0" fontId="0" fillId="44" borderId="0" xfId="0" applyFill="1" applyAlignment="1">
      <alignment vertical="center" wrapText="1"/>
    </xf>
    <xf numFmtId="0" fontId="0" fillId="0" borderId="0" xfId="0" pivotButton="1"/>
    <xf numFmtId="0" fontId="0" fillId="0" borderId="0" xfId="0" applyAlignment="1">
      <alignment horizontal="left"/>
    </xf>
    <xf numFmtId="0" fontId="0" fillId="0" borderId="0" xfId="0" applyBorder="1"/>
    <xf numFmtId="0" fontId="137" fillId="0" borderId="84" xfId="0" applyFont="1" applyBorder="1" applyAlignment="1">
      <alignment horizontal="center" vertical="top"/>
    </xf>
    <xf numFmtId="0" fontId="137" fillId="0" borderId="33" xfId="0" applyFont="1" applyBorder="1" applyAlignment="1">
      <alignment horizontal="right" vertical="center" textRotation="90"/>
    </xf>
    <xf numFmtId="3" fontId="51" fillId="22" borderId="77" xfId="0" applyNumberFormat="1" applyFont="1" applyFill="1" applyBorder="1" applyAlignment="1">
      <alignment horizontal="center" vertical="center"/>
    </xf>
    <xf numFmtId="3" fontId="51" fillId="22" borderId="28" xfId="0" applyNumberFormat="1" applyFont="1" applyFill="1" applyBorder="1" applyAlignment="1">
      <alignment horizontal="center" vertical="center"/>
    </xf>
    <xf numFmtId="3" fontId="51" fillId="22" borderId="83" xfId="0" applyNumberFormat="1" applyFont="1" applyFill="1" applyBorder="1" applyAlignment="1">
      <alignment horizontal="center" vertical="center"/>
    </xf>
    <xf numFmtId="3" fontId="51" fillId="22" borderId="33" xfId="0" applyNumberFormat="1" applyFont="1" applyFill="1" applyBorder="1" applyAlignment="1">
      <alignment horizontal="center" vertical="center"/>
    </xf>
    <xf numFmtId="3" fontId="51" fillId="22" borderId="79" xfId="0" applyNumberFormat="1" applyFont="1" applyFill="1" applyBorder="1" applyAlignment="1">
      <alignment horizontal="center" vertical="center"/>
    </xf>
    <xf numFmtId="3" fontId="51" fillId="22" borderId="37" xfId="0" applyNumberFormat="1" applyFont="1" applyFill="1" applyBorder="1" applyAlignment="1">
      <alignment horizontal="center" vertical="center"/>
    </xf>
    <xf numFmtId="3" fontId="51" fillId="14" borderId="77" xfId="0" applyNumberFormat="1" applyFont="1" applyFill="1" applyBorder="1" applyAlignment="1">
      <alignment horizontal="center" vertical="center"/>
    </xf>
    <xf numFmtId="3" fontId="51" fillId="14" borderId="28" xfId="0" applyNumberFormat="1" applyFont="1" applyFill="1" applyBorder="1" applyAlignment="1">
      <alignment horizontal="center" vertical="center"/>
    </xf>
    <xf numFmtId="3" fontId="51" fillId="14" borderId="83" xfId="0" applyNumberFormat="1" applyFont="1" applyFill="1" applyBorder="1" applyAlignment="1">
      <alignment horizontal="center" vertical="center"/>
    </xf>
    <xf numFmtId="3" fontId="51" fillId="14" borderId="33" xfId="0" applyNumberFormat="1" applyFont="1" applyFill="1" applyBorder="1" applyAlignment="1">
      <alignment horizontal="center" vertical="center"/>
    </xf>
    <xf numFmtId="3" fontId="51" fillId="14" borderId="79" xfId="0" applyNumberFormat="1" applyFont="1" applyFill="1" applyBorder="1" applyAlignment="1">
      <alignment horizontal="center" vertical="center"/>
    </xf>
    <xf numFmtId="3" fontId="51" fillId="14" borderId="37" xfId="0" applyNumberFormat="1" applyFont="1" applyFill="1" applyBorder="1" applyAlignment="1">
      <alignment horizontal="center" vertical="center"/>
    </xf>
    <xf numFmtId="3" fontId="51" fillId="7" borderId="77" xfId="0" applyNumberFormat="1" applyFont="1" applyFill="1" applyBorder="1" applyAlignment="1">
      <alignment horizontal="center" vertical="center"/>
    </xf>
    <xf numFmtId="3" fontId="51" fillId="7" borderId="28" xfId="0" applyNumberFormat="1" applyFont="1" applyFill="1" applyBorder="1" applyAlignment="1">
      <alignment horizontal="center" vertical="center"/>
    </xf>
    <xf numFmtId="3" fontId="51" fillId="7" borderId="83" xfId="0" applyNumberFormat="1" applyFont="1" applyFill="1" applyBorder="1" applyAlignment="1">
      <alignment horizontal="center" vertical="center"/>
    </xf>
    <xf numFmtId="3" fontId="51" fillId="7" borderId="33" xfId="0" applyNumberFormat="1" applyFont="1" applyFill="1" applyBorder="1" applyAlignment="1">
      <alignment horizontal="center" vertical="center"/>
    </xf>
    <xf numFmtId="3" fontId="51" fillId="7" borderId="79" xfId="0" applyNumberFormat="1" applyFont="1" applyFill="1" applyBorder="1" applyAlignment="1">
      <alignment horizontal="center" vertical="center"/>
    </xf>
    <xf numFmtId="3" fontId="51" fillId="7" borderId="37" xfId="0" applyNumberFormat="1" applyFont="1" applyFill="1" applyBorder="1" applyAlignment="1">
      <alignment horizontal="center" vertical="center"/>
    </xf>
    <xf numFmtId="3" fontId="51" fillId="23" borderId="77" xfId="0" applyNumberFormat="1" applyFont="1" applyFill="1" applyBorder="1" applyAlignment="1">
      <alignment horizontal="center" vertical="center"/>
    </xf>
    <xf numFmtId="3" fontId="51" fillId="23" borderId="28" xfId="0" applyNumberFormat="1" applyFont="1" applyFill="1" applyBorder="1" applyAlignment="1">
      <alignment horizontal="center" vertical="center"/>
    </xf>
    <xf numFmtId="3" fontId="51" fillId="23" borderId="83" xfId="0" applyNumberFormat="1" applyFont="1" applyFill="1" applyBorder="1" applyAlignment="1">
      <alignment horizontal="center" vertical="center"/>
    </xf>
    <xf numFmtId="3" fontId="51" fillId="23" borderId="33" xfId="0" applyNumberFormat="1" applyFont="1" applyFill="1" applyBorder="1" applyAlignment="1">
      <alignment horizontal="center" vertical="center"/>
    </xf>
    <xf numFmtId="3" fontId="51" fillId="23" borderId="79" xfId="0" applyNumberFormat="1" applyFont="1" applyFill="1" applyBorder="1" applyAlignment="1">
      <alignment horizontal="center" vertical="center"/>
    </xf>
    <xf numFmtId="3" fontId="51" fillId="23" borderId="37" xfId="0" applyNumberFormat="1" applyFont="1" applyFill="1" applyBorder="1" applyAlignment="1">
      <alignment horizontal="center" vertical="center"/>
    </xf>
    <xf numFmtId="0" fontId="51" fillId="7" borderId="77" xfId="0" applyFont="1" applyFill="1" applyBorder="1" applyAlignment="1">
      <alignment horizontal="center" vertical="center"/>
    </xf>
    <xf numFmtId="0" fontId="51" fillId="7" borderId="28" xfId="0" applyFont="1" applyFill="1" applyBorder="1" applyAlignment="1">
      <alignment horizontal="center" vertical="center"/>
    </xf>
    <xf numFmtId="0" fontId="51" fillId="7" borderId="83" xfId="0" applyFont="1" applyFill="1" applyBorder="1" applyAlignment="1">
      <alignment horizontal="center" vertical="center"/>
    </xf>
    <xf numFmtId="0" fontId="51" fillId="7" borderId="33" xfId="0" applyFont="1" applyFill="1" applyBorder="1" applyAlignment="1">
      <alignment horizontal="center" vertical="center"/>
    </xf>
    <xf numFmtId="0" fontId="51" fillId="7" borderId="79" xfId="0" applyFont="1" applyFill="1" applyBorder="1" applyAlignment="1">
      <alignment horizontal="center" vertical="center"/>
    </xf>
    <xf numFmtId="0" fontId="51" fillId="7" borderId="37" xfId="0" applyFont="1" applyFill="1" applyBorder="1" applyAlignment="1">
      <alignment horizontal="center" vertical="center"/>
    </xf>
    <xf numFmtId="0" fontId="51" fillId="22" borderId="77" xfId="0" applyFont="1" applyFill="1" applyBorder="1" applyAlignment="1">
      <alignment horizontal="center" vertical="center"/>
    </xf>
    <xf numFmtId="0" fontId="51" fillId="22" borderId="28" xfId="0" applyFont="1" applyFill="1" applyBorder="1" applyAlignment="1">
      <alignment horizontal="center" vertical="center"/>
    </xf>
    <xf numFmtId="0" fontId="51" fillId="22" borderId="83" xfId="0" applyFont="1" applyFill="1" applyBorder="1" applyAlignment="1">
      <alignment horizontal="center" vertical="center"/>
    </xf>
    <xf numFmtId="0" fontId="51" fillId="22" borderId="33" xfId="0" applyFont="1" applyFill="1" applyBorder="1" applyAlignment="1">
      <alignment horizontal="center" vertical="center"/>
    </xf>
    <xf numFmtId="0" fontId="51" fillId="22" borderId="79" xfId="0" applyFont="1" applyFill="1" applyBorder="1" applyAlignment="1">
      <alignment horizontal="center" vertical="center"/>
    </xf>
    <xf numFmtId="0" fontId="51" fillId="22" borderId="37" xfId="0" applyFont="1" applyFill="1" applyBorder="1" applyAlignment="1">
      <alignment horizontal="center" vertical="center"/>
    </xf>
    <xf numFmtId="0" fontId="51" fillId="14" borderId="77" xfId="0" applyFont="1" applyFill="1" applyBorder="1" applyAlignment="1">
      <alignment horizontal="center" vertical="center"/>
    </xf>
    <xf numFmtId="0" fontId="51" fillId="14" borderId="28" xfId="0" applyFont="1" applyFill="1" applyBorder="1" applyAlignment="1">
      <alignment horizontal="center" vertical="center"/>
    </xf>
    <xf numFmtId="0" fontId="51" fillId="14" borderId="83" xfId="0" applyFont="1" applyFill="1" applyBorder="1" applyAlignment="1">
      <alignment horizontal="center" vertical="center"/>
    </xf>
    <xf numFmtId="0" fontId="51" fillId="14" borderId="33" xfId="0" applyFont="1" applyFill="1" applyBorder="1" applyAlignment="1">
      <alignment horizontal="center" vertical="center"/>
    </xf>
    <xf numFmtId="0" fontId="51" fillId="14" borderId="79" xfId="0" applyFont="1" applyFill="1" applyBorder="1" applyAlignment="1">
      <alignment horizontal="center" vertical="center"/>
    </xf>
    <xf numFmtId="0" fontId="51" fillId="14" borderId="37" xfId="0" applyFont="1" applyFill="1" applyBorder="1" applyAlignment="1">
      <alignment horizontal="center" vertical="center"/>
    </xf>
    <xf numFmtId="0" fontId="70" fillId="0" borderId="85" xfId="0" applyFont="1" applyBorder="1" applyAlignment="1">
      <alignment horizontal="center" vertical="center"/>
    </xf>
    <xf numFmtId="0" fontId="51" fillId="23" borderId="77" xfId="0" applyFont="1" applyFill="1" applyBorder="1" applyAlignment="1">
      <alignment horizontal="center" vertical="center"/>
    </xf>
    <xf numFmtId="0" fontId="51" fillId="23" borderId="28" xfId="0" applyFont="1" applyFill="1" applyBorder="1" applyAlignment="1">
      <alignment horizontal="center" vertical="center"/>
    </xf>
    <xf numFmtId="0" fontId="51" fillId="23" borderId="83" xfId="0" applyFont="1" applyFill="1" applyBorder="1" applyAlignment="1">
      <alignment horizontal="center" vertical="center"/>
    </xf>
    <xf numFmtId="0" fontId="51" fillId="23" borderId="33" xfId="0" applyFont="1" applyFill="1" applyBorder="1" applyAlignment="1">
      <alignment horizontal="center" vertical="center"/>
    </xf>
    <xf numFmtId="0" fontId="51" fillId="23" borderId="79" xfId="0" applyFont="1" applyFill="1" applyBorder="1" applyAlignment="1">
      <alignment horizontal="center" vertical="center"/>
    </xf>
    <xf numFmtId="0" fontId="51" fillId="23" borderId="37" xfId="0" applyFont="1" applyFill="1" applyBorder="1" applyAlignment="1">
      <alignment horizontal="center" vertical="center"/>
    </xf>
    <xf numFmtId="171" fontId="51" fillId="0" borderId="129" xfId="10" applyNumberFormat="1" applyFont="1" applyBorder="1" applyAlignment="1">
      <alignment horizontal="center" vertical="center"/>
    </xf>
    <xf numFmtId="171" fontId="51" fillId="0" borderId="130" xfId="10" applyNumberFormat="1" applyFont="1" applyBorder="1" applyAlignment="1">
      <alignment horizontal="center" vertical="center"/>
    </xf>
    <xf numFmtId="171" fontId="51" fillId="0" borderId="131" xfId="10" applyNumberFormat="1" applyFont="1" applyBorder="1" applyAlignment="1">
      <alignment horizontal="center" vertical="center"/>
    </xf>
    <xf numFmtId="171" fontId="51" fillId="0" borderId="132" xfId="10" applyNumberFormat="1" applyFont="1" applyBorder="1" applyAlignment="1">
      <alignment horizontal="center" vertical="center"/>
    </xf>
    <xf numFmtId="171" fontId="51" fillId="0" borderId="133" xfId="10" applyNumberFormat="1" applyFont="1" applyBorder="1" applyAlignment="1">
      <alignment horizontal="center" vertical="center"/>
    </xf>
    <xf numFmtId="171" fontId="51" fillId="0" borderId="134" xfId="10" applyNumberFormat="1" applyFont="1" applyBorder="1" applyAlignment="1">
      <alignment horizontal="center" vertical="center"/>
    </xf>
    <xf numFmtId="0" fontId="136" fillId="0" borderId="129" xfId="0" applyFont="1" applyBorder="1" applyAlignment="1">
      <alignment horizontal="center" vertical="center" wrapText="1"/>
    </xf>
    <xf numFmtId="0" fontId="136" fillId="0" borderId="130" xfId="0" applyFont="1" applyBorder="1" applyAlignment="1">
      <alignment horizontal="center" vertical="center" wrapText="1"/>
    </xf>
    <xf numFmtId="0" fontId="136" fillId="0" borderId="131" xfId="0" applyFont="1" applyBorder="1" applyAlignment="1">
      <alignment horizontal="center" vertical="center" wrapText="1"/>
    </xf>
    <xf numFmtId="0" fontId="136" fillId="0" borderId="132" xfId="0" applyFont="1" applyBorder="1" applyAlignment="1">
      <alignment horizontal="center" vertical="center" wrapText="1"/>
    </xf>
    <xf numFmtId="0" fontId="136" fillId="0" borderId="133" xfId="0" applyFont="1" applyBorder="1" applyAlignment="1">
      <alignment horizontal="center" vertical="center" wrapText="1"/>
    </xf>
    <xf numFmtId="0" fontId="136" fillId="0" borderId="134" xfId="0" applyFont="1" applyBorder="1" applyAlignment="1">
      <alignment horizontal="center" vertical="center" wrapText="1"/>
    </xf>
    <xf numFmtId="0" fontId="51" fillId="0" borderId="0" xfId="0" applyFont="1" applyAlignment="1">
      <alignment horizontal="center" vertical="center"/>
    </xf>
    <xf numFmtId="0" fontId="69" fillId="0" borderId="0" xfId="0" applyFont="1" applyAlignment="1">
      <alignment horizontal="center"/>
    </xf>
    <xf numFmtId="0" fontId="51" fillId="0" borderId="0" xfId="0" applyFont="1" applyAlignment="1">
      <alignment horizontal="center"/>
    </xf>
    <xf numFmtId="0" fontId="138" fillId="38" borderId="0" xfId="0" applyFont="1" applyFill="1" applyAlignment="1">
      <alignment horizontal="center" vertical="center" wrapText="1"/>
    </xf>
    <xf numFmtId="0" fontId="138" fillId="7" borderId="0" xfId="0" applyFont="1" applyFill="1" applyAlignment="1">
      <alignment horizontal="center" vertical="center" wrapText="1"/>
    </xf>
    <xf numFmtId="0" fontId="138" fillId="47" borderId="0" xfId="0" applyFont="1" applyFill="1" applyAlignment="1">
      <alignment horizontal="center" vertical="center" wrapText="1"/>
    </xf>
    <xf numFmtId="0" fontId="138" fillId="33" borderId="0" xfId="0" applyFont="1" applyFill="1" applyAlignment="1">
      <alignment horizontal="center" vertical="center" wrapText="1"/>
    </xf>
    <xf numFmtId="0" fontId="49" fillId="38" borderId="0" xfId="0" applyFont="1" applyFill="1" applyAlignment="1">
      <alignment horizontal="center" vertical="center"/>
    </xf>
    <xf numFmtId="0" fontId="49" fillId="34" borderId="0" xfId="0" applyFont="1" applyFill="1" applyAlignment="1">
      <alignment horizontal="center" vertical="center"/>
    </xf>
    <xf numFmtId="171" fontId="87" fillId="31" borderId="150" xfId="10" applyNumberFormat="1" applyFont="1" applyFill="1" applyBorder="1" applyAlignment="1">
      <alignment horizontal="center" vertical="center"/>
    </xf>
    <xf numFmtId="171" fontId="87" fillId="31" borderId="0" xfId="10" applyNumberFormat="1" applyFont="1" applyFill="1" applyBorder="1" applyAlignment="1">
      <alignment horizontal="center" vertical="center"/>
    </xf>
    <xf numFmtId="171" fontId="87" fillId="30" borderId="158" xfId="10" applyNumberFormat="1" applyFont="1" applyFill="1" applyBorder="1" applyAlignment="1">
      <alignment horizontal="center" vertical="center"/>
    </xf>
    <xf numFmtId="171" fontId="87" fillId="30" borderId="0" xfId="10" applyNumberFormat="1" applyFont="1" applyFill="1" applyBorder="1" applyAlignment="1">
      <alignment horizontal="center" vertical="center"/>
    </xf>
    <xf numFmtId="0" fontId="49" fillId="47" borderId="0" xfId="0" applyFont="1" applyFill="1" applyAlignment="1">
      <alignment horizontal="center" vertical="center" wrapText="1"/>
    </xf>
    <xf numFmtId="37" fontId="49" fillId="9" borderId="0" xfId="10" applyNumberFormat="1" applyFont="1" applyFill="1" applyAlignment="1">
      <alignment horizontal="center" vertical="center"/>
    </xf>
    <xf numFmtId="0" fontId="69" fillId="28" borderId="0" xfId="0" applyFont="1" applyFill="1" applyAlignment="1">
      <alignment horizontal="center"/>
    </xf>
    <xf numFmtId="1" fontId="112" fillId="35" borderId="142" xfId="0" applyNumberFormat="1" applyFont="1" applyFill="1" applyBorder="1" applyAlignment="1">
      <alignment horizontal="center" vertical="center"/>
    </xf>
    <xf numFmtId="1" fontId="112" fillId="35" borderId="144" xfId="0" applyNumberFormat="1" applyFont="1" applyFill="1" applyBorder="1" applyAlignment="1">
      <alignment horizontal="center" vertical="center"/>
    </xf>
    <xf numFmtId="1" fontId="109" fillId="13" borderId="87" xfId="0" applyNumberFormat="1" applyFont="1" applyFill="1" applyBorder="1" applyAlignment="1">
      <alignment horizontal="center" vertical="center"/>
    </xf>
    <xf numFmtId="1" fontId="109" fillId="13" borderId="138" xfId="0" applyNumberFormat="1" applyFont="1" applyFill="1" applyBorder="1" applyAlignment="1">
      <alignment horizontal="center" vertical="center"/>
    </xf>
    <xf numFmtId="0" fontId="70" fillId="35" borderId="140" xfId="0" applyFont="1" applyFill="1" applyBorder="1" applyAlignment="1">
      <alignment horizontal="center" vertical="center"/>
    </xf>
    <xf numFmtId="0" fontId="70" fillId="35" borderId="141" xfId="0" applyFont="1" applyFill="1" applyBorder="1" applyAlignment="1">
      <alignment horizontal="center" vertical="center"/>
    </xf>
    <xf numFmtId="0" fontId="70" fillId="35" borderId="143" xfId="0" applyFont="1" applyFill="1" applyBorder="1" applyAlignment="1">
      <alignment horizontal="center" vertical="center"/>
    </xf>
    <xf numFmtId="0" fontId="70" fillId="35" borderId="0" xfId="0" applyFont="1" applyFill="1" applyAlignment="1">
      <alignment horizontal="center" vertical="center"/>
    </xf>
    <xf numFmtId="0" fontId="70" fillId="31" borderId="148" xfId="0" applyFont="1" applyFill="1" applyBorder="1" applyAlignment="1">
      <alignment horizontal="center" vertical="center"/>
    </xf>
    <xf numFmtId="0" fontId="70" fillId="31" borderId="73" xfId="0" applyFont="1" applyFill="1" applyBorder="1" applyAlignment="1">
      <alignment horizontal="center" vertical="center"/>
    </xf>
    <xf numFmtId="0" fontId="70" fillId="31" borderId="150" xfId="0" applyFont="1" applyFill="1" applyBorder="1" applyAlignment="1">
      <alignment horizontal="center" vertical="center"/>
    </xf>
    <xf numFmtId="0" fontId="70" fillId="31" borderId="0" xfId="0" applyFont="1" applyFill="1" applyAlignment="1">
      <alignment horizontal="center" vertical="center"/>
    </xf>
    <xf numFmtId="1" fontId="110" fillId="31" borderId="149" xfId="0" applyNumberFormat="1" applyFont="1" applyFill="1" applyBorder="1" applyAlignment="1">
      <alignment horizontal="center" vertical="center"/>
    </xf>
    <xf numFmtId="1" fontId="110" fillId="31" borderId="151" xfId="0" applyNumberFormat="1" applyFont="1" applyFill="1" applyBorder="1" applyAlignment="1">
      <alignment horizontal="center" vertical="center"/>
    </xf>
    <xf numFmtId="0" fontId="70" fillId="30" borderId="155" xfId="0" applyFont="1" applyFill="1" applyBorder="1" applyAlignment="1">
      <alignment horizontal="center" vertical="center"/>
    </xf>
    <xf numFmtId="0" fontId="70" fillId="30" borderId="156" xfId="0" applyFont="1" applyFill="1" applyBorder="1" applyAlignment="1">
      <alignment horizontal="center" vertical="center"/>
    </xf>
    <xf numFmtId="0" fontId="70" fillId="30" borderId="158" xfId="0" applyFont="1" applyFill="1" applyBorder="1" applyAlignment="1">
      <alignment horizontal="center" vertical="center"/>
    </xf>
    <xf numFmtId="0" fontId="70" fillId="30" borderId="0" xfId="0" applyFont="1" applyFill="1" applyAlignment="1">
      <alignment horizontal="center" vertical="center"/>
    </xf>
    <xf numFmtId="171" fontId="49" fillId="35" borderId="0" xfId="10" applyNumberFormat="1" applyFont="1" applyFill="1" applyBorder="1" applyAlignment="1">
      <alignment horizontal="center"/>
    </xf>
    <xf numFmtId="171" fontId="49" fillId="35" borderId="144" xfId="10" applyNumberFormat="1" applyFont="1" applyFill="1" applyBorder="1" applyAlignment="1">
      <alignment horizontal="center"/>
    </xf>
    <xf numFmtId="0" fontId="49" fillId="30" borderId="0" xfId="0" applyFont="1" applyFill="1" applyAlignment="1">
      <alignment horizontal="center"/>
    </xf>
    <xf numFmtId="0" fontId="49" fillId="30" borderId="159" xfId="0" applyFont="1" applyFill="1" applyBorder="1" applyAlignment="1">
      <alignment horizontal="center"/>
    </xf>
    <xf numFmtId="171" fontId="49" fillId="31" borderId="0" xfId="10" applyNumberFormat="1" applyFont="1" applyFill="1" applyBorder="1" applyAlignment="1">
      <alignment horizontal="center"/>
    </xf>
    <xf numFmtId="171" fontId="49" fillId="31" borderId="151" xfId="10" applyNumberFormat="1" applyFont="1" applyFill="1" applyBorder="1" applyAlignment="1">
      <alignment horizontal="center"/>
    </xf>
    <xf numFmtId="0" fontId="51" fillId="32" borderId="32" xfId="0" applyFont="1" applyFill="1" applyBorder="1" applyAlignment="1">
      <alignment horizontal="center" vertical="center" textRotation="90"/>
    </xf>
    <xf numFmtId="0" fontId="51" fillId="32" borderId="42" xfId="0" applyFont="1" applyFill="1" applyBorder="1" applyAlignment="1">
      <alignment horizontal="center" vertical="center" textRotation="90"/>
    </xf>
    <xf numFmtId="0" fontId="51" fillId="32" borderId="46" xfId="0" applyFont="1" applyFill="1" applyBorder="1" applyAlignment="1">
      <alignment horizontal="center" vertical="center" textRotation="90"/>
    </xf>
    <xf numFmtId="0" fontId="70" fillId="13" borderId="136" xfId="0" applyFont="1" applyFill="1" applyBorder="1" applyAlignment="1">
      <alignment horizontal="center" vertical="center"/>
    </xf>
    <xf numFmtId="0" fontId="70" fillId="13" borderId="96" xfId="0" applyFont="1" applyFill="1" applyBorder="1" applyAlignment="1">
      <alignment horizontal="center" vertical="center"/>
    </xf>
    <xf numFmtId="0" fontId="70" fillId="13" borderId="137" xfId="0" applyFont="1" applyFill="1" applyBorder="1" applyAlignment="1">
      <alignment horizontal="center" vertical="center"/>
    </xf>
    <xf numFmtId="0" fontId="70" fillId="13" borderId="0" xfId="0" applyFont="1" applyFill="1" applyAlignment="1">
      <alignment horizontal="center" vertical="center"/>
    </xf>
    <xf numFmtId="1" fontId="111" fillId="30" borderId="157" xfId="0" applyNumberFormat="1" applyFont="1" applyFill="1" applyBorder="1" applyAlignment="1">
      <alignment horizontal="center" vertical="center"/>
    </xf>
    <xf numFmtId="1" fontId="111" fillId="30" borderId="159" xfId="0" applyNumberFormat="1" applyFont="1" applyFill="1" applyBorder="1" applyAlignment="1">
      <alignment horizontal="center" vertical="center"/>
    </xf>
    <xf numFmtId="37" fontId="69" fillId="36" borderId="0" xfId="10" applyNumberFormat="1" applyFont="1" applyFill="1" applyAlignment="1">
      <alignment horizontal="center" vertical="center"/>
    </xf>
    <xf numFmtId="37" fontId="69" fillId="12" borderId="0" xfId="10" applyNumberFormat="1" applyFont="1" applyFill="1" applyAlignment="1">
      <alignment horizontal="center" vertical="center"/>
    </xf>
    <xf numFmtId="37" fontId="69" fillId="26" borderId="0" xfId="10" applyNumberFormat="1" applyFont="1" applyFill="1" applyAlignment="1">
      <alignment horizontal="center" vertical="center"/>
    </xf>
    <xf numFmtId="0" fontId="51" fillId="0" borderId="0" xfId="0" applyFont="1" applyAlignment="1">
      <alignment horizontal="right" vertical="center"/>
    </xf>
    <xf numFmtId="171" fontId="87" fillId="13" borderId="137" xfId="10" applyNumberFormat="1" applyFont="1" applyFill="1" applyBorder="1" applyAlignment="1">
      <alignment horizontal="center" vertical="center"/>
    </xf>
    <xf numFmtId="171" fontId="87" fillId="13" borderId="0" xfId="10" applyNumberFormat="1" applyFont="1" applyFill="1" applyBorder="1" applyAlignment="1">
      <alignment horizontal="center" vertical="center"/>
    </xf>
    <xf numFmtId="171" fontId="87" fillId="35" borderId="143" xfId="11" applyNumberFormat="1" applyFont="1" applyFill="1" applyBorder="1" applyAlignment="1">
      <alignment horizontal="center" vertical="center"/>
    </xf>
    <xf numFmtId="171" fontId="87" fillId="35" borderId="0" xfId="11" applyNumberFormat="1" applyFont="1" applyFill="1" applyBorder="1" applyAlignment="1">
      <alignment horizontal="center" vertical="center"/>
    </xf>
    <xf numFmtId="0" fontId="49" fillId="13" borderId="0" xfId="0" applyFont="1" applyFill="1" applyAlignment="1">
      <alignment horizontal="center" wrapText="1"/>
    </xf>
    <xf numFmtId="0" fontId="49" fillId="13" borderId="138" xfId="0" applyFont="1" applyFill="1" applyBorder="1" applyAlignment="1">
      <alignment horizontal="center" wrapText="1"/>
    </xf>
    <xf numFmtId="172" fontId="69" fillId="37" borderId="0" xfId="0" applyNumberFormat="1" applyFont="1" applyFill="1" applyAlignment="1">
      <alignment horizontal="center" vertical="center"/>
    </xf>
    <xf numFmtId="0" fontId="73" fillId="0" borderId="32" xfId="0" applyFont="1" applyBorder="1" applyAlignment="1">
      <alignment horizontal="left" vertical="center" wrapText="1"/>
    </xf>
    <xf numFmtId="0" fontId="73" fillId="0" borderId="42" xfId="0" applyFont="1" applyBorder="1" applyAlignment="1">
      <alignment horizontal="left" vertical="center" wrapText="1"/>
    </xf>
    <xf numFmtId="0" fontId="73" fillId="0" borderId="46" xfId="0" applyFont="1" applyBorder="1" applyAlignment="1">
      <alignment horizontal="left" vertical="center" wrapText="1"/>
    </xf>
    <xf numFmtId="0" fontId="74" fillId="0" borderId="121" xfId="0" applyFont="1" applyBorder="1" applyAlignment="1">
      <alignment horizontal="center" vertical="center" wrapText="1"/>
    </xf>
    <xf numFmtId="0" fontId="74" fillId="0" borderId="122" xfId="0" applyFont="1" applyBorder="1" applyAlignment="1">
      <alignment horizontal="center" vertical="center" wrapText="1"/>
    </xf>
    <xf numFmtId="0" fontId="74" fillId="0" borderId="123" xfId="0" applyFont="1" applyBorder="1" applyAlignment="1">
      <alignment horizontal="center" vertical="center" wrapText="1"/>
    </xf>
    <xf numFmtId="0" fontId="77" fillId="0" borderId="121" xfId="0" applyFont="1" applyBorder="1" applyAlignment="1">
      <alignment horizontal="center" vertical="center" wrapText="1"/>
    </xf>
    <xf numFmtId="0" fontId="77" fillId="0" borderId="122" xfId="0" applyFont="1" applyBorder="1" applyAlignment="1">
      <alignment horizontal="center" vertical="center" wrapText="1"/>
    </xf>
    <xf numFmtId="0" fontId="77" fillId="0" borderId="123" xfId="0" applyFont="1" applyBorder="1" applyAlignment="1">
      <alignment horizontal="center" vertical="center" wrapText="1"/>
    </xf>
    <xf numFmtId="10" fontId="72" fillId="0" borderId="32" xfId="0" applyNumberFormat="1" applyFont="1" applyBorder="1" applyAlignment="1">
      <alignment horizontal="center" vertical="center" wrapText="1"/>
    </xf>
    <xf numFmtId="10" fontId="72" fillId="0" borderId="42" xfId="0" applyNumberFormat="1" applyFont="1" applyBorder="1" applyAlignment="1">
      <alignment horizontal="center" vertical="center" wrapText="1"/>
    </xf>
    <xf numFmtId="10" fontId="72" fillId="0" borderId="46" xfId="0" applyNumberFormat="1" applyFont="1" applyBorder="1" applyAlignment="1">
      <alignment horizontal="center" vertical="center" wrapText="1"/>
    </xf>
    <xf numFmtId="0" fontId="48" fillId="0" borderId="116" xfId="0" applyFont="1" applyBorder="1" applyAlignment="1">
      <alignment horizontal="center" vertical="center" wrapText="1"/>
    </xf>
    <xf numFmtId="0" fontId="77" fillId="0" borderId="284" xfId="0" applyFont="1" applyBorder="1" applyAlignment="1">
      <alignment horizontal="center" vertical="center" wrapText="1"/>
    </xf>
    <xf numFmtId="0" fontId="77" fillId="0" borderId="235" xfId="0" applyFont="1" applyBorder="1" applyAlignment="1">
      <alignment horizontal="center" vertical="center" wrapText="1"/>
    </xf>
    <xf numFmtId="0" fontId="77" fillId="0" borderId="236" xfId="0" applyFont="1" applyBorder="1" applyAlignment="1">
      <alignment horizontal="center" vertical="center" wrapText="1"/>
    </xf>
    <xf numFmtId="3" fontId="7" fillId="0" borderId="117" xfId="0" applyNumberFormat="1" applyFont="1" applyBorder="1" applyAlignment="1">
      <alignment horizontal="center" vertical="center" wrapText="1"/>
    </xf>
    <xf numFmtId="9" fontId="90" fillId="23" borderId="117" xfId="0" applyNumberFormat="1" applyFont="1" applyFill="1" applyBorder="1" applyAlignment="1">
      <alignment horizontal="center" vertical="center" wrapText="1"/>
    </xf>
    <xf numFmtId="3" fontId="90" fillId="0" borderId="117" xfId="0" applyNumberFormat="1" applyFont="1" applyBorder="1" applyAlignment="1">
      <alignment vertical="center" wrapText="1"/>
    </xf>
    <xf numFmtId="3" fontId="90" fillId="0" borderId="117" xfId="0" applyNumberFormat="1" applyFont="1" applyBorder="1" applyAlignment="1">
      <alignment horizontal="center" vertical="center" wrapText="1"/>
    </xf>
    <xf numFmtId="0" fontId="74" fillId="0" borderId="116" xfId="0" applyFont="1" applyBorder="1" applyAlignment="1">
      <alignment horizontal="center" vertical="center" wrapText="1"/>
    </xf>
    <xf numFmtId="9" fontId="7" fillId="23" borderId="117" xfId="0" applyNumberFormat="1" applyFont="1" applyFill="1" applyBorder="1" applyAlignment="1">
      <alignment horizontal="center" vertical="center" wrapText="1"/>
    </xf>
    <xf numFmtId="3" fontId="7" fillId="0" borderId="117" xfId="0" applyNumberFormat="1" applyFont="1" applyBorder="1" applyAlignment="1">
      <alignment vertical="center" wrapText="1"/>
    </xf>
    <xf numFmtId="0" fontId="4" fillId="0" borderId="166" xfId="0" applyFont="1" applyBorder="1" applyAlignment="1">
      <alignment horizontal="center" vertical="center" textRotation="90" wrapText="1"/>
    </xf>
    <xf numFmtId="0" fontId="4" fillId="0" borderId="167" xfId="0" applyFont="1" applyBorder="1" applyAlignment="1">
      <alignment horizontal="center" vertical="center" textRotation="90" wrapText="1"/>
    </xf>
    <xf numFmtId="0" fontId="4" fillId="0" borderId="168" xfId="0" applyFont="1" applyBorder="1" applyAlignment="1">
      <alignment horizontal="center" vertical="center" textRotation="90" wrapText="1"/>
    </xf>
    <xf numFmtId="0" fontId="72" fillId="0" borderId="16" xfId="0" applyFont="1" applyBorder="1" applyAlignment="1">
      <alignment horizontal="center" vertical="center" textRotation="90" wrapText="1"/>
    </xf>
    <xf numFmtId="3" fontId="295" fillId="0" borderId="126" xfId="0" applyNumberFormat="1" applyFont="1" applyBorder="1" applyAlignment="1">
      <alignment horizontal="center" vertical="center" wrapText="1"/>
    </xf>
    <xf numFmtId="0" fontId="295" fillId="0" borderId="128" xfId="0" applyFont="1" applyBorder="1" applyAlignment="1">
      <alignment horizontal="center" vertical="center" wrapText="1"/>
    </xf>
    <xf numFmtId="0" fontId="72" fillId="0" borderId="121" xfId="0" applyFont="1" applyBorder="1" applyAlignment="1">
      <alignment horizontal="center" vertical="center" wrapText="1"/>
    </xf>
    <xf numFmtId="0" fontId="72" fillId="0" borderId="123" xfId="0" applyFont="1" applyBorder="1" applyAlignment="1">
      <alignment horizontal="center" vertical="center" wrapText="1"/>
    </xf>
    <xf numFmtId="0" fontId="127" fillId="0" borderId="121" xfId="0" applyFont="1" applyBorder="1" applyAlignment="1">
      <alignment horizontal="left" vertical="center" wrapText="1"/>
    </xf>
    <xf numFmtId="0" fontId="127" fillId="0" borderId="123" xfId="0" applyFont="1" applyBorder="1" applyAlignment="1">
      <alignment horizontal="left" vertical="center" wrapText="1"/>
    </xf>
    <xf numFmtId="0" fontId="72" fillId="0" borderId="122" xfId="0" applyFont="1" applyBorder="1" applyAlignment="1">
      <alignment horizontal="center" vertical="center" wrapText="1"/>
    </xf>
    <xf numFmtId="9" fontId="90" fillId="0" borderId="126" xfId="0" applyNumberFormat="1" applyFont="1" applyBorder="1" applyAlignment="1">
      <alignment horizontal="center" vertical="center" wrapText="1"/>
    </xf>
    <xf numFmtId="9" fontId="90" fillId="0" borderId="128" xfId="0" applyNumberFormat="1" applyFont="1" applyBorder="1" applyAlignment="1">
      <alignment horizontal="center" vertical="center" wrapText="1"/>
    </xf>
    <xf numFmtId="1" fontId="295" fillId="0" borderId="126" xfId="0" applyNumberFormat="1" applyFont="1" applyBorder="1" applyAlignment="1">
      <alignment horizontal="center" vertical="center" wrapText="1"/>
    </xf>
    <xf numFmtId="0" fontId="127" fillId="0" borderId="121" xfId="0" applyFont="1" applyBorder="1" applyAlignment="1">
      <alignment vertical="center" wrapText="1"/>
    </xf>
    <xf numFmtId="0" fontId="127" fillId="0" borderId="123" xfId="0" applyFont="1" applyBorder="1" applyAlignment="1">
      <alignment vertical="center" wrapText="1"/>
    </xf>
    <xf numFmtId="3" fontId="313" fillId="0" borderId="126" xfId="0" applyNumberFormat="1" applyFont="1" applyBorder="1" applyAlignment="1">
      <alignment horizontal="center" vertical="center" wrapText="1"/>
    </xf>
    <xf numFmtId="3" fontId="313" fillId="0" borderId="128" xfId="0" applyNumberFormat="1" applyFont="1" applyBorder="1" applyAlignment="1">
      <alignment horizontal="center" vertical="center" wrapText="1"/>
    </xf>
    <xf numFmtId="3" fontId="313" fillId="0" borderId="127" xfId="0" applyNumberFormat="1" applyFont="1" applyBorder="1" applyAlignment="1">
      <alignment horizontal="center" vertical="center" wrapText="1"/>
    </xf>
    <xf numFmtId="3" fontId="295" fillId="0" borderId="128" xfId="0" applyNumberFormat="1" applyFont="1" applyBorder="1" applyAlignment="1">
      <alignment horizontal="center" vertical="center" wrapText="1"/>
    </xf>
    <xf numFmtId="3" fontId="29" fillId="0" borderId="126" xfId="0" applyNumberFormat="1" applyFont="1" applyBorder="1" applyAlignment="1">
      <alignment horizontal="center" vertical="center" wrapText="1"/>
    </xf>
    <xf numFmtId="3" fontId="29" fillId="0" borderId="128" xfId="0" applyNumberFormat="1" applyFont="1" applyBorder="1" applyAlignment="1">
      <alignment horizontal="center" vertical="center" wrapText="1"/>
    </xf>
    <xf numFmtId="3" fontId="29" fillId="0" borderId="127" xfId="0" applyNumberFormat="1" applyFont="1" applyBorder="1" applyAlignment="1">
      <alignment horizontal="center" vertical="center" wrapText="1"/>
    </xf>
    <xf numFmtId="0" fontId="22" fillId="0" borderId="16" xfId="0" applyFont="1" applyBorder="1" applyAlignment="1">
      <alignment horizontal="center" vertical="center" textRotation="90" wrapText="1"/>
    </xf>
    <xf numFmtId="0" fontId="72" fillId="0" borderId="116" xfId="0" applyFont="1" applyBorder="1" applyAlignment="1">
      <alignment horizontal="center" vertical="center" textRotation="90" wrapText="1"/>
    </xf>
    <xf numFmtId="0" fontId="41" fillId="0" borderId="16" xfId="0" applyFont="1" applyBorder="1" applyAlignment="1">
      <alignment horizontal="center" vertical="center" textRotation="90" wrapText="1"/>
    </xf>
    <xf numFmtId="3" fontId="295" fillId="0" borderId="127" xfId="0" applyNumberFormat="1" applyFont="1" applyBorder="1" applyAlignment="1">
      <alignment horizontal="center" vertical="center" wrapText="1"/>
    </xf>
    <xf numFmtId="0" fontId="127" fillId="0" borderId="121" xfId="0" applyFont="1" applyBorder="1" applyAlignment="1">
      <alignment horizontal="center" vertical="top" wrapText="1"/>
    </xf>
    <xf numFmtId="0" fontId="127" fillId="0" borderId="122" xfId="0" applyFont="1" applyBorder="1" applyAlignment="1">
      <alignment horizontal="center" vertical="top" wrapText="1"/>
    </xf>
    <xf numFmtId="0" fontId="127" fillId="0" borderId="123" xfId="0" applyFont="1" applyBorder="1" applyAlignment="1">
      <alignment horizontal="center" vertical="top" wrapText="1"/>
    </xf>
    <xf numFmtId="0" fontId="127" fillId="0" borderId="121" xfId="0" applyFont="1" applyBorder="1" applyAlignment="1">
      <alignment horizontal="center" vertical="center" wrapText="1"/>
    </xf>
    <xf numFmtId="0" fontId="127" fillId="0" borderId="122" xfId="0" applyFont="1" applyBorder="1" applyAlignment="1">
      <alignment horizontal="center" vertical="center" wrapText="1"/>
    </xf>
    <xf numFmtId="0" fontId="127" fillId="0" borderId="151" xfId="0" applyFont="1" applyBorder="1" applyAlignment="1">
      <alignment horizontal="center" vertical="center" wrapText="1"/>
    </xf>
    <xf numFmtId="0" fontId="127" fillId="0" borderId="123" xfId="0" applyFont="1" applyBorder="1" applyAlignment="1">
      <alignment horizontal="center" vertical="center" wrapText="1"/>
    </xf>
    <xf numFmtId="0" fontId="127" fillId="0" borderId="166" xfId="0" applyFont="1" applyBorder="1" applyAlignment="1">
      <alignment horizontal="left" vertical="center" wrapText="1"/>
    </xf>
    <xf numFmtId="0" fontId="127" fillId="0" borderId="168" xfId="0" applyFont="1" applyBorder="1" applyAlignment="1">
      <alignment horizontal="left" vertical="center" wrapText="1"/>
    </xf>
    <xf numFmtId="0" fontId="72" fillId="0" borderId="121" xfId="0" applyFont="1" applyBorder="1" applyAlignment="1">
      <alignment horizontal="center" vertical="center" textRotation="90" wrapText="1"/>
    </xf>
    <xf numFmtId="0" fontId="72" fillId="0" borderId="122" xfId="0" applyFont="1" applyBorder="1" applyAlignment="1">
      <alignment horizontal="center" vertical="center" textRotation="90" wrapText="1"/>
    </xf>
    <xf numFmtId="0" fontId="72" fillId="0" borderId="123" xfId="0" applyFont="1" applyBorder="1" applyAlignment="1">
      <alignment horizontal="center" vertical="center" textRotation="90" wrapText="1"/>
    </xf>
    <xf numFmtId="9" fontId="7" fillId="14" borderId="117" xfId="0" applyNumberFormat="1" applyFont="1" applyFill="1" applyBorder="1" applyAlignment="1">
      <alignment horizontal="center" vertical="center" wrapText="1"/>
    </xf>
    <xf numFmtId="3" fontId="29" fillId="0" borderId="117" xfId="0" applyNumberFormat="1" applyFont="1" applyBorder="1" applyAlignment="1">
      <alignment horizontal="center" vertical="center" wrapText="1"/>
    </xf>
    <xf numFmtId="0" fontId="20" fillId="0" borderId="16" xfId="0" applyFont="1" applyBorder="1" applyAlignment="1">
      <alignment horizontal="center" vertical="center" textRotation="90"/>
    </xf>
    <xf numFmtId="0" fontId="67" fillId="0" borderId="121" xfId="0" applyFont="1" applyBorder="1" applyAlignment="1">
      <alignment horizontal="center" vertical="center" wrapText="1"/>
    </xf>
    <xf numFmtId="0" fontId="67" fillId="0" borderId="122" xfId="0" applyFont="1" applyBorder="1" applyAlignment="1">
      <alignment horizontal="center" vertical="center" wrapText="1"/>
    </xf>
    <xf numFmtId="0" fontId="67" fillId="0" borderId="123" xfId="0" applyFont="1" applyBorder="1" applyAlignment="1">
      <alignment horizontal="center" vertical="center" wrapText="1"/>
    </xf>
    <xf numFmtId="0" fontId="77" fillId="0" borderId="121" xfId="0" applyFont="1" applyBorder="1" applyAlignment="1">
      <alignment horizontal="center" vertical="center" textRotation="90" wrapText="1"/>
    </xf>
    <xf numFmtId="0" fontId="77" fillId="0" borderId="122" xfId="0" applyFont="1" applyBorder="1" applyAlignment="1">
      <alignment horizontal="center" vertical="center" textRotation="90" wrapText="1"/>
    </xf>
    <xf numFmtId="0" fontId="77" fillId="0" borderId="123" xfId="0" applyFont="1" applyBorder="1" applyAlignment="1">
      <alignment horizontal="center" vertical="center" textRotation="90" wrapText="1"/>
    </xf>
    <xf numFmtId="0" fontId="74" fillId="0" borderId="32" xfId="0" applyFont="1" applyBorder="1" applyAlignment="1">
      <alignment horizontal="center" vertical="center" wrapText="1"/>
    </xf>
    <xf numFmtId="0" fontId="74" fillId="0" borderId="42" xfId="0" applyFont="1" applyBorder="1" applyAlignment="1">
      <alignment horizontal="center" vertical="center" wrapText="1"/>
    </xf>
    <xf numFmtId="0" fontId="74" fillId="0" borderId="46" xfId="0" applyFont="1" applyBorder="1" applyAlignment="1">
      <alignment horizontal="center" vertical="center" wrapText="1"/>
    </xf>
    <xf numFmtId="0" fontId="48" fillId="0" borderId="121" xfId="0" applyFont="1" applyBorder="1" applyAlignment="1">
      <alignment horizontal="center" vertical="center" wrapText="1"/>
    </xf>
    <xf numFmtId="0" fontId="48" fillId="0" borderId="122" xfId="0" applyFont="1" applyBorder="1" applyAlignment="1">
      <alignment horizontal="center" vertical="center" wrapText="1"/>
    </xf>
    <xf numFmtId="0" fontId="48" fillId="0" borderId="123" xfId="0" applyFont="1" applyBorder="1" applyAlignment="1">
      <alignment horizontal="center" vertical="center" wrapText="1"/>
    </xf>
    <xf numFmtId="0" fontId="72" fillId="0" borderId="116" xfId="0" applyFont="1" applyBorder="1" applyAlignment="1">
      <alignment horizontal="center" vertical="center" wrapText="1"/>
    </xf>
    <xf numFmtId="0" fontId="31" fillId="0" borderId="234" xfId="0" applyFont="1" applyBorder="1" applyAlignment="1">
      <alignment horizontal="center" vertical="center" wrapText="1"/>
    </xf>
    <xf numFmtId="0" fontId="31" fillId="0" borderId="235" xfId="0" applyFont="1" applyBorder="1" applyAlignment="1">
      <alignment horizontal="center" vertical="center" wrapText="1"/>
    </xf>
    <xf numFmtId="0" fontId="31" fillId="0" borderId="236" xfId="0" applyFont="1" applyBorder="1" applyAlignment="1">
      <alignment horizontal="center" vertical="center" wrapText="1"/>
    </xf>
    <xf numFmtId="0" fontId="127" fillId="0" borderId="172" xfId="0" applyFont="1" applyBorder="1" applyAlignment="1">
      <alignment horizontal="center" vertical="center" wrapText="1"/>
    </xf>
    <xf numFmtId="0" fontId="30" fillId="0" borderId="121" xfId="0" applyFont="1" applyBorder="1" applyAlignment="1">
      <alignment horizontal="center" vertical="center" wrapText="1"/>
    </xf>
    <xf numFmtId="0" fontId="30" fillId="0" borderId="122" xfId="0" applyFont="1" applyBorder="1" applyAlignment="1">
      <alignment horizontal="center" vertical="center" wrapText="1"/>
    </xf>
    <xf numFmtId="0" fontId="30" fillId="0" borderId="123" xfId="0" applyFont="1" applyBorder="1" applyAlignment="1">
      <alignment horizontal="center" vertical="center" wrapText="1"/>
    </xf>
    <xf numFmtId="0" fontId="31" fillId="0" borderId="121" xfId="0" applyFont="1" applyBorder="1" applyAlignment="1">
      <alignment horizontal="center" vertical="center" wrapText="1"/>
    </xf>
    <xf numFmtId="0" fontId="31" fillId="0" borderId="122" xfId="0" applyFont="1" applyBorder="1" applyAlignment="1">
      <alignment horizontal="center" vertical="center" wrapText="1"/>
    </xf>
    <xf numFmtId="0" fontId="30" fillId="0" borderId="116" xfId="0" applyFont="1" applyBorder="1" applyAlignment="1">
      <alignment horizontal="center" vertical="center" wrapText="1"/>
    </xf>
    <xf numFmtId="49" fontId="73" fillId="0" borderId="121" xfId="0" applyNumberFormat="1" applyFont="1" applyBorder="1" applyAlignment="1">
      <alignment horizontal="center" vertical="center" textRotation="90" wrapText="1"/>
    </xf>
    <xf numFmtId="49" fontId="73" fillId="0" borderId="122" xfId="0" applyNumberFormat="1" applyFont="1" applyBorder="1" applyAlignment="1">
      <alignment horizontal="center" vertical="center" textRotation="90" wrapText="1"/>
    </xf>
    <xf numFmtId="49" fontId="73" fillId="0" borderId="277" xfId="0" applyNumberFormat="1" applyFont="1" applyBorder="1" applyAlignment="1">
      <alignment horizontal="center" vertical="center" textRotation="90" wrapText="1"/>
    </xf>
    <xf numFmtId="0" fontId="72" fillId="0" borderId="243" xfId="0" applyFont="1" applyBorder="1" applyAlignment="1">
      <alignment horizontal="center" vertical="center" wrapText="1"/>
    </xf>
    <xf numFmtId="0" fontId="72" fillId="0" borderId="245" xfId="0" applyFont="1" applyBorder="1" applyAlignment="1">
      <alignment horizontal="center" vertical="center" wrapText="1"/>
    </xf>
    <xf numFmtId="0" fontId="22" fillId="0" borderId="243" xfId="0" applyFont="1" applyBorder="1" applyAlignment="1">
      <alignment horizontal="center" vertical="center" textRotation="90" wrapText="1"/>
    </xf>
    <xf numFmtId="0" fontId="22" fillId="0" borderId="245" xfId="0" applyFont="1" applyBorder="1" applyAlignment="1">
      <alignment horizontal="center" vertical="center" textRotation="90" wrapText="1"/>
    </xf>
    <xf numFmtId="3" fontId="127" fillId="0" borderId="121" xfId="0" applyNumberFormat="1" applyFont="1" applyBorder="1" applyAlignment="1">
      <alignment horizontal="center" vertical="center" textRotation="90" wrapText="1"/>
    </xf>
    <xf numFmtId="3" fontId="127" fillId="0" borderId="122" xfId="0" applyNumberFormat="1" applyFont="1" applyBorder="1" applyAlignment="1">
      <alignment horizontal="center" vertical="center" textRotation="90" wrapText="1"/>
    </xf>
    <xf numFmtId="3" fontId="127" fillId="0" borderId="123" xfId="0" applyNumberFormat="1" applyFont="1" applyBorder="1" applyAlignment="1">
      <alignment horizontal="center" vertical="center" textRotation="90" wrapText="1"/>
    </xf>
    <xf numFmtId="3" fontId="72" fillId="0" borderId="121" xfId="0" applyNumberFormat="1" applyFont="1" applyBorder="1" applyAlignment="1">
      <alignment horizontal="center" vertical="center" textRotation="90" wrapText="1"/>
    </xf>
    <xf numFmtId="3" fontId="72" fillId="0" borderId="122" xfId="0" applyNumberFormat="1" applyFont="1" applyBorder="1" applyAlignment="1">
      <alignment horizontal="center" vertical="center" textRotation="90" wrapText="1"/>
    </xf>
    <xf numFmtId="3" fontId="72" fillId="0" borderId="123" xfId="0" applyNumberFormat="1" applyFont="1" applyBorder="1" applyAlignment="1">
      <alignment horizontal="center" vertical="center" textRotation="90" wrapText="1"/>
    </xf>
    <xf numFmtId="9" fontId="14" fillId="23" borderId="126" xfId="0" applyNumberFormat="1" applyFont="1" applyFill="1" applyBorder="1" applyAlignment="1">
      <alignment horizontal="center" vertical="center" wrapText="1"/>
    </xf>
    <xf numFmtId="9" fontId="14" fillId="23" borderId="128" xfId="0" applyNumberFormat="1" applyFont="1" applyFill="1" applyBorder="1" applyAlignment="1">
      <alignment horizontal="center" vertical="center" wrapText="1"/>
    </xf>
    <xf numFmtId="9" fontId="14" fillId="23" borderId="127" xfId="0" applyNumberFormat="1" applyFont="1" applyFill="1" applyBorder="1" applyAlignment="1">
      <alignment horizontal="center" vertical="center" wrapText="1"/>
    </xf>
    <xf numFmtId="0" fontId="127" fillId="0" borderId="121" xfId="0" applyFont="1" applyBorder="1" applyAlignment="1">
      <alignment horizontal="center" vertical="center" textRotation="90" wrapText="1"/>
    </xf>
    <xf numFmtId="0" fontId="127" fillId="0" borderId="123" xfId="0" applyFont="1" applyBorder="1" applyAlignment="1">
      <alignment horizontal="center" vertical="center" textRotation="90" wrapText="1"/>
    </xf>
    <xf numFmtId="0" fontId="127" fillId="0" borderId="122" xfId="0" applyFont="1" applyBorder="1" applyAlignment="1">
      <alignment horizontal="center" vertical="center" textRotation="90" wrapText="1"/>
    </xf>
    <xf numFmtId="0" fontId="22" fillId="0" borderId="116" xfId="0" applyFont="1" applyBorder="1" applyAlignment="1">
      <alignment horizontal="center" vertical="center" textRotation="90" wrapText="1"/>
    </xf>
    <xf numFmtId="0" fontId="72" fillId="0" borderId="32" xfId="0" applyFont="1" applyBorder="1" applyAlignment="1">
      <alignment horizontal="center" vertical="center" wrapText="1"/>
    </xf>
    <xf numFmtId="0" fontId="72" fillId="0" borderId="46" xfId="0" applyFont="1" applyBorder="1" applyAlignment="1">
      <alignment horizontal="center" vertical="center" wrapText="1"/>
    </xf>
    <xf numFmtId="0" fontId="72" fillId="0" borderId="42" xfId="0" applyFont="1" applyBorder="1" applyAlignment="1">
      <alignment horizontal="center" vertical="center" wrapText="1"/>
    </xf>
    <xf numFmtId="0" fontId="22" fillId="0" borderId="166" xfId="0" applyFont="1" applyBorder="1" applyAlignment="1">
      <alignment horizontal="center" vertical="center" textRotation="90" wrapText="1"/>
    </xf>
    <xf numFmtId="0" fontId="22" fillId="0" borderId="167" xfId="0" applyFont="1" applyBorder="1" applyAlignment="1">
      <alignment horizontal="center" vertical="center" textRotation="90" wrapText="1"/>
    </xf>
    <xf numFmtId="0" fontId="22" fillId="0" borderId="168" xfId="0" applyFont="1" applyBorder="1" applyAlignment="1">
      <alignment horizontal="center" vertical="center" textRotation="90" wrapText="1"/>
    </xf>
    <xf numFmtId="0" fontId="127" fillId="0" borderId="87" xfId="0" applyFont="1" applyBorder="1" applyAlignment="1">
      <alignment horizontal="left" vertical="center" wrapText="1"/>
    </xf>
    <xf numFmtId="0" fontId="127" fillId="0" borderId="139" xfId="0" applyFont="1" applyBorder="1" applyAlignment="1">
      <alignment horizontal="left" vertical="center" wrapText="1"/>
    </xf>
    <xf numFmtId="0" fontId="127" fillId="0" borderId="167" xfId="0" applyFont="1" applyBorder="1" applyAlignment="1">
      <alignment horizontal="left" vertical="center" wrapText="1"/>
    </xf>
    <xf numFmtId="9" fontId="90" fillId="14" borderId="126" xfId="0" applyNumberFormat="1" applyFont="1" applyFill="1" applyBorder="1" applyAlignment="1">
      <alignment horizontal="center" vertical="center" wrapText="1"/>
    </xf>
    <xf numFmtId="9" fontId="90" fillId="14" borderId="128" xfId="0" applyNumberFormat="1" applyFont="1" applyFill="1" applyBorder="1" applyAlignment="1">
      <alignment horizontal="center" vertical="center" wrapText="1"/>
    </xf>
    <xf numFmtId="9" fontId="90" fillId="14" borderId="127" xfId="0" applyNumberFormat="1" applyFont="1" applyFill="1" applyBorder="1" applyAlignment="1">
      <alignment horizontal="center" vertical="center" wrapText="1"/>
    </xf>
    <xf numFmtId="9" fontId="90" fillId="23" borderId="126" xfId="8" applyFont="1" applyFill="1" applyBorder="1" applyAlignment="1">
      <alignment horizontal="center" vertical="center" wrapText="1"/>
    </xf>
    <xf numFmtId="9" fontId="90" fillId="23" borderId="128" xfId="8" applyFont="1" applyFill="1" applyBorder="1" applyAlignment="1">
      <alignment horizontal="center" vertical="center" wrapText="1"/>
    </xf>
    <xf numFmtId="9" fontId="90" fillId="23" borderId="127" xfId="8" applyFont="1" applyFill="1" applyBorder="1" applyAlignment="1">
      <alignment horizontal="center" vertical="center" wrapText="1"/>
    </xf>
    <xf numFmtId="3" fontId="90" fillId="0" borderId="126" xfId="0" applyNumberFormat="1" applyFont="1" applyBorder="1" applyAlignment="1">
      <alignment horizontal="center" vertical="center" wrapText="1"/>
    </xf>
    <xf numFmtId="3" fontId="90" fillId="0" borderId="128" xfId="0" applyNumberFormat="1" applyFont="1" applyBorder="1" applyAlignment="1">
      <alignment horizontal="center" vertical="center" wrapText="1"/>
    </xf>
    <xf numFmtId="3" fontId="90" fillId="0" borderId="127" xfId="0" applyNumberFormat="1" applyFont="1" applyBorder="1" applyAlignment="1">
      <alignment horizontal="center" vertical="center" wrapText="1"/>
    </xf>
    <xf numFmtId="9" fontId="132" fillId="23" borderId="126" xfId="0" applyNumberFormat="1" applyFont="1" applyFill="1" applyBorder="1" applyAlignment="1">
      <alignment horizontal="center" vertical="center" wrapText="1"/>
    </xf>
    <xf numFmtId="9" fontId="132" fillId="23" borderId="128" xfId="0" applyNumberFormat="1" applyFont="1" applyFill="1" applyBorder="1" applyAlignment="1">
      <alignment horizontal="center" vertical="center" wrapText="1"/>
    </xf>
    <xf numFmtId="9" fontId="132" fillId="23" borderId="127" xfId="0" applyNumberFormat="1" applyFont="1" applyFill="1" applyBorder="1" applyAlignment="1">
      <alignment horizontal="center" vertical="center" wrapText="1"/>
    </xf>
    <xf numFmtId="9" fontId="90" fillId="14" borderId="117" xfId="0" applyNumberFormat="1" applyFont="1" applyFill="1" applyBorder="1" applyAlignment="1">
      <alignment horizontal="center" vertical="center" wrapText="1"/>
    </xf>
    <xf numFmtId="0" fontId="90" fillId="0" borderId="126" xfId="0" applyFont="1" applyBorder="1" applyAlignment="1">
      <alignment horizontal="center" vertical="center" wrapText="1"/>
    </xf>
    <xf numFmtId="0" fontId="90" fillId="0" borderId="128" xfId="0" applyFont="1" applyBorder="1" applyAlignment="1">
      <alignment horizontal="center" vertical="center" wrapText="1"/>
    </xf>
    <xf numFmtId="0" fontId="90" fillId="0" borderId="127" xfId="0" applyFont="1" applyBorder="1" applyAlignment="1">
      <alignment horizontal="center" vertical="center" wrapText="1"/>
    </xf>
    <xf numFmtId="9" fontId="90" fillId="22" borderId="117" xfId="0" applyNumberFormat="1" applyFont="1" applyFill="1" applyBorder="1" applyAlignment="1">
      <alignment horizontal="center" vertical="center" wrapText="1"/>
    </xf>
    <xf numFmtId="9" fontId="90" fillId="7" borderId="155" xfId="0" applyNumberFormat="1" applyFont="1" applyFill="1" applyBorder="1" applyAlignment="1">
      <alignment horizontal="center" vertical="center" wrapText="1"/>
    </xf>
    <xf numFmtId="9" fontId="90" fillId="7" borderId="158" xfId="0" applyNumberFormat="1" applyFont="1" applyFill="1" applyBorder="1" applyAlignment="1">
      <alignment horizontal="center" vertical="center" wrapText="1"/>
    </xf>
    <xf numFmtId="0" fontId="295" fillId="0" borderId="230" xfId="0" applyFont="1" applyBorder="1" applyAlignment="1">
      <alignment horizontal="center" vertical="center" wrapText="1"/>
    </xf>
    <xf numFmtId="0" fontId="295" fillId="0" borderId="171" xfId="0" applyFont="1" applyBorder="1" applyAlignment="1">
      <alignment horizontal="center" vertical="center" wrapText="1"/>
    </xf>
    <xf numFmtId="0" fontId="295" fillId="0" borderId="173" xfId="0" applyFont="1" applyBorder="1" applyAlignment="1">
      <alignment horizontal="center" vertical="center" wrapText="1"/>
    </xf>
    <xf numFmtId="0" fontId="295" fillId="0" borderId="27" xfId="0" applyFont="1" applyBorder="1" applyAlignment="1">
      <alignment horizontal="center" vertical="center" wrapText="1"/>
    </xf>
    <xf numFmtId="0" fontId="295" fillId="0" borderId="17" xfId="0" applyFont="1" applyBorder="1" applyAlignment="1">
      <alignment horizontal="center" vertical="center" wrapText="1"/>
    </xf>
    <xf numFmtId="0" fontId="295" fillId="0" borderId="18" xfId="0" applyFont="1" applyBorder="1" applyAlignment="1">
      <alignment horizontal="center" vertical="center" wrapText="1"/>
    </xf>
    <xf numFmtId="3" fontId="295" fillId="0" borderId="126" xfId="0" applyNumberFormat="1" applyFont="1" applyBorder="1" applyAlignment="1">
      <alignment horizontal="left" vertical="center" wrapText="1"/>
    </xf>
    <xf numFmtId="3" fontId="295" fillId="0" borderId="128" xfId="0" applyNumberFormat="1" applyFont="1" applyBorder="1" applyAlignment="1">
      <alignment horizontal="left" vertical="center" wrapText="1"/>
    </xf>
    <xf numFmtId="3" fontId="295" fillId="0" borderId="127" xfId="0" applyNumberFormat="1" applyFont="1" applyBorder="1" applyAlignment="1">
      <alignment horizontal="left" vertical="center" wrapText="1"/>
    </xf>
    <xf numFmtId="0" fontId="127" fillId="0" borderId="166" xfId="0" applyFont="1" applyBorder="1" applyAlignment="1">
      <alignment horizontal="center" vertical="center" wrapText="1"/>
    </xf>
    <xf numFmtId="0" fontId="127" fillId="0" borderId="167" xfId="0" applyFont="1" applyBorder="1" applyAlignment="1">
      <alignment horizontal="center" vertical="center" wrapText="1"/>
    </xf>
    <xf numFmtId="0" fontId="127" fillId="0" borderId="168" xfId="0" applyFont="1" applyBorder="1" applyAlignment="1">
      <alignment horizontal="center" vertical="center" wrapText="1"/>
    </xf>
    <xf numFmtId="9" fontId="90" fillId="22" borderId="126" xfId="0" applyNumberFormat="1" applyFont="1" applyFill="1" applyBorder="1" applyAlignment="1">
      <alignment horizontal="center" vertical="center" wrapText="1"/>
    </xf>
    <xf numFmtId="9" fontId="90" fillId="22" borderId="128" xfId="0" applyNumberFormat="1" applyFont="1" applyFill="1" applyBorder="1" applyAlignment="1">
      <alignment horizontal="center" vertical="center" wrapText="1"/>
    </xf>
    <xf numFmtId="9" fontId="90" fillId="22" borderId="127" xfId="0" applyNumberFormat="1" applyFont="1" applyFill="1" applyBorder="1" applyAlignment="1">
      <alignment horizontal="center" vertical="center" wrapText="1"/>
    </xf>
    <xf numFmtId="1" fontId="313" fillId="0" borderId="126" xfId="0" applyNumberFormat="1" applyFont="1" applyBorder="1" applyAlignment="1">
      <alignment horizontal="center" vertical="center" wrapText="1"/>
    </xf>
    <xf numFmtId="1" fontId="313" fillId="0" borderId="128" xfId="0" applyNumberFormat="1" applyFont="1" applyBorder="1" applyAlignment="1">
      <alignment horizontal="center" vertical="center" wrapText="1"/>
    </xf>
    <xf numFmtId="1" fontId="313" fillId="0" borderId="127" xfId="0" applyNumberFormat="1" applyFont="1" applyBorder="1" applyAlignment="1">
      <alignment horizontal="center" vertical="center" wrapText="1"/>
    </xf>
    <xf numFmtId="3" fontId="90" fillId="0" borderId="159" xfId="0" applyNumberFormat="1" applyFont="1" applyBorder="1" applyAlignment="1">
      <alignment horizontal="center" vertical="center" wrapText="1"/>
    </xf>
    <xf numFmtId="3" fontId="90" fillId="0" borderId="239" xfId="0" applyNumberFormat="1" applyFont="1" applyBorder="1" applyAlignment="1">
      <alignment horizontal="center" vertical="center" wrapText="1"/>
    </xf>
    <xf numFmtId="0" fontId="295" fillId="0" borderId="231" xfId="0" applyFont="1" applyBorder="1" applyAlignment="1">
      <alignment horizontal="center" vertical="center"/>
    </xf>
    <xf numFmtId="0" fontId="295" fillId="0" borderId="232" xfId="0" applyFont="1" applyBorder="1" applyAlignment="1">
      <alignment horizontal="center" vertical="center"/>
    </xf>
    <xf numFmtId="0" fontId="295" fillId="0" borderId="233" xfId="0" applyFont="1" applyBorder="1" applyAlignment="1">
      <alignment horizontal="center" vertical="center"/>
    </xf>
    <xf numFmtId="9" fontId="2" fillId="7" borderId="126" xfId="0" applyNumberFormat="1" applyFont="1" applyFill="1" applyBorder="1" applyAlignment="1">
      <alignment horizontal="center" vertical="center" wrapText="1"/>
    </xf>
    <xf numFmtId="9" fontId="2" fillId="7" borderId="128" xfId="0" applyNumberFormat="1" applyFont="1" applyFill="1" applyBorder="1" applyAlignment="1">
      <alignment horizontal="center" vertical="center" wrapText="1"/>
    </xf>
    <xf numFmtId="3" fontId="108" fillId="0" borderId="126" xfId="0" applyNumberFormat="1" applyFont="1" applyBorder="1" applyAlignment="1">
      <alignment horizontal="center" vertical="center" wrapText="1"/>
    </xf>
    <xf numFmtId="3" fontId="108" fillId="0" borderId="128" xfId="0" applyNumberFormat="1" applyFont="1" applyBorder="1" applyAlignment="1">
      <alignment horizontal="center" vertical="center" wrapText="1"/>
    </xf>
    <xf numFmtId="9" fontId="90" fillId="14" borderId="126" xfId="8" applyFont="1" applyFill="1" applyBorder="1" applyAlignment="1">
      <alignment horizontal="center" vertical="center" wrapText="1"/>
    </xf>
    <xf numFmtId="9" fontId="90" fillId="14" borderId="128" xfId="8" applyFont="1" applyFill="1" applyBorder="1" applyAlignment="1">
      <alignment horizontal="center" vertical="center" wrapText="1"/>
    </xf>
    <xf numFmtId="9" fontId="90" fillId="14" borderId="127" xfId="8" applyFont="1" applyFill="1" applyBorder="1" applyAlignment="1">
      <alignment horizontal="center" vertical="center" wrapText="1"/>
    </xf>
    <xf numFmtId="3" fontId="7" fillId="0" borderId="126" xfId="0" applyNumberFormat="1" applyFont="1" applyBorder="1" applyAlignment="1">
      <alignment horizontal="center" vertical="center" wrapText="1"/>
    </xf>
    <xf numFmtId="3" fontId="7" fillId="0" borderId="128" xfId="0" applyNumberFormat="1" applyFont="1" applyBorder="1" applyAlignment="1">
      <alignment horizontal="center" vertical="center" wrapText="1"/>
    </xf>
    <xf numFmtId="3" fontId="7" fillId="0" borderId="127" xfId="0" applyNumberFormat="1" applyFont="1" applyBorder="1" applyAlignment="1">
      <alignment horizontal="center" vertical="center" wrapText="1"/>
    </xf>
    <xf numFmtId="9" fontId="7" fillId="23" borderId="126" xfId="8" applyFont="1" applyFill="1" applyBorder="1" applyAlignment="1">
      <alignment horizontal="center" vertical="center" wrapText="1"/>
    </xf>
    <xf numFmtId="9" fontId="7" fillId="23" borderId="128" xfId="8" applyFont="1" applyFill="1" applyBorder="1" applyAlignment="1">
      <alignment horizontal="center" vertical="center" wrapText="1"/>
    </xf>
    <xf numFmtId="9" fontId="7" fillId="23" borderId="127" xfId="8" applyFont="1" applyFill="1" applyBorder="1" applyAlignment="1">
      <alignment horizontal="center" vertical="center" wrapText="1"/>
    </xf>
    <xf numFmtId="0" fontId="4" fillId="0" borderId="166" xfId="0" applyFont="1" applyBorder="1" applyAlignment="1">
      <alignment vertical="center"/>
    </xf>
    <xf numFmtId="0" fontId="4" fillId="0" borderId="167" xfId="0" applyFont="1" applyBorder="1" applyAlignment="1">
      <alignment vertical="center"/>
    </xf>
    <xf numFmtId="0" fontId="4" fillId="0" borderId="168" xfId="0" applyFont="1" applyBorder="1" applyAlignment="1">
      <alignment vertical="center"/>
    </xf>
    <xf numFmtId="0" fontId="67" fillId="0" borderId="178" xfId="0" applyFont="1" applyBorder="1" applyAlignment="1">
      <alignment horizontal="center" vertical="center" textRotation="90" wrapText="1"/>
    </xf>
    <xf numFmtId="0" fontId="67" fillId="0" borderId="179" xfId="0" applyFont="1" applyBorder="1" applyAlignment="1">
      <alignment horizontal="center" vertical="center" textRotation="90" wrapText="1"/>
    </xf>
    <xf numFmtId="0" fontId="67" fillId="0" borderId="180" xfId="0" applyFont="1" applyBorder="1" applyAlignment="1">
      <alignment horizontal="center" vertical="center" textRotation="90" wrapText="1"/>
    </xf>
    <xf numFmtId="0" fontId="67" fillId="0" borderId="166" xfId="0" applyFont="1" applyBorder="1" applyAlignment="1">
      <alignment horizontal="center" vertical="center" textRotation="90" wrapText="1"/>
    </xf>
    <xf numFmtId="0" fontId="67" fillId="0" borderId="167" xfId="0" applyFont="1" applyBorder="1" applyAlignment="1">
      <alignment horizontal="center" vertical="center" textRotation="90" wrapText="1"/>
    </xf>
    <xf numFmtId="0" fontId="67" fillId="0" borderId="168" xfId="0" applyFont="1" applyBorder="1" applyAlignment="1">
      <alignment horizontal="center" vertical="center" textRotation="90" wrapText="1"/>
    </xf>
    <xf numFmtId="9" fontId="7" fillId="23" borderId="126" xfId="0" applyNumberFormat="1" applyFont="1" applyFill="1" applyBorder="1" applyAlignment="1">
      <alignment horizontal="center" vertical="center" wrapText="1"/>
    </xf>
    <xf numFmtId="9" fontId="7" fillId="23" borderId="128" xfId="0" applyNumberFormat="1" applyFont="1" applyFill="1" applyBorder="1" applyAlignment="1">
      <alignment horizontal="center" vertical="center" wrapText="1"/>
    </xf>
    <xf numFmtId="9" fontId="7" fillId="29" borderId="126" xfId="0" applyNumberFormat="1" applyFont="1" applyFill="1" applyBorder="1" applyAlignment="1">
      <alignment horizontal="center" vertical="center" wrapText="1"/>
    </xf>
    <xf numFmtId="9" fontId="7" fillId="29" borderId="128" xfId="0" applyNumberFormat="1" applyFont="1" applyFill="1" applyBorder="1" applyAlignment="1">
      <alignment horizontal="center" vertical="center" wrapText="1"/>
    </xf>
    <xf numFmtId="9" fontId="7" fillId="29" borderId="127" xfId="0" applyNumberFormat="1" applyFont="1" applyFill="1" applyBorder="1" applyAlignment="1">
      <alignment horizontal="center" vertical="center" wrapText="1"/>
    </xf>
    <xf numFmtId="168" fontId="29" fillId="0" borderId="126" xfId="0" applyNumberFormat="1" applyFont="1" applyBorder="1" applyAlignment="1">
      <alignment horizontal="center" vertical="center" wrapText="1"/>
    </xf>
    <xf numFmtId="168" fontId="29" fillId="0" borderId="128" xfId="0" applyNumberFormat="1" applyFont="1" applyBorder="1" applyAlignment="1">
      <alignment horizontal="center" vertical="center" wrapText="1"/>
    </xf>
    <xf numFmtId="168" fontId="29" fillId="0" borderId="127" xfId="0" applyNumberFormat="1" applyFont="1" applyBorder="1" applyAlignment="1">
      <alignment horizontal="center" vertical="center" wrapText="1"/>
    </xf>
    <xf numFmtId="0" fontId="20" fillId="0" borderId="175" xfId="0" applyFont="1" applyBorder="1" applyAlignment="1">
      <alignment horizontal="center" vertical="center" textRotation="90"/>
    </xf>
    <xf numFmtId="0" fontId="20" fillId="0" borderId="176" xfId="0" applyFont="1" applyBorder="1" applyAlignment="1">
      <alignment horizontal="center" vertical="center" textRotation="90"/>
    </xf>
    <xf numFmtId="0" fontId="20" fillId="0" borderId="177" xfId="0" applyFont="1" applyBorder="1" applyAlignment="1">
      <alignment horizontal="center" vertical="center" textRotation="90"/>
    </xf>
    <xf numFmtId="9" fontId="295" fillId="0" borderId="126" xfId="0" applyNumberFormat="1" applyFont="1" applyBorder="1" applyAlignment="1">
      <alignment horizontal="center" vertical="center" wrapText="1"/>
    </xf>
    <xf numFmtId="9" fontId="295" fillId="0" borderId="128" xfId="0" applyNumberFormat="1" applyFont="1" applyBorder="1" applyAlignment="1">
      <alignment horizontal="center" vertical="center" wrapText="1"/>
    </xf>
    <xf numFmtId="9" fontId="295" fillId="0" borderId="127" xfId="0" applyNumberFormat="1" applyFont="1" applyBorder="1" applyAlignment="1">
      <alignment horizontal="center" vertical="center" wrapText="1"/>
    </xf>
    <xf numFmtId="0" fontId="127" fillId="0" borderId="116" xfId="0" applyFont="1" applyBorder="1" applyAlignment="1">
      <alignment horizontal="center" vertical="center" wrapText="1"/>
    </xf>
    <xf numFmtId="0" fontId="313" fillId="26" borderId="121" xfId="0" applyFont="1" applyFill="1" applyBorder="1" applyAlignment="1">
      <alignment horizontal="center" vertical="center" textRotation="90" wrapText="1"/>
    </xf>
    <xf numFmtId="0" fontId="313" fillId="26" borderId="122" xfId="0" applyFont="1" applyFill="1" applyBorder="1" applyAlignment="1">
      <alignment horizontal="center" vertical="center" textRotation="90" wrapText="1"/>
    </xf>
    <xf numFmtId="0" fontId="313" fillId="26" borderId="123" xfId="0" applyFont="1" applyFill="1" applyBorder="1" applyAlignment="1">
      <alignment horizontal="center" vertical="center" textRotation="90" wrapText="1"/>
    </xf>
    <xf numFmtId="9" fontId="295" fillId="7" borderId="126" xfId="0" applyNumberFormat="1" applyFont="1" applyFill="1" applyBorder="1" applyAlignment="1">
      <alignment horizontal="center" vertical="center" wrapText="1"/>
    </xf>
    <xf numFmtId="9" fontId="295" fillId="7" borderId="128" xfId="0" applyNumberFormat="1" applyFont="1" applyFill="1" applyBorder="1" applyAlignment="1">
      <alignment horizontal="center" vertical="center" wrapText="1"/>
    </xf>
    <xf numFmtId="9" fontId="295" fillId="7" borderId="127" xfId="0" applyNumberFormat="1" applyFont="1" applyFill="1" applyBorder="1" applyAlignment="1">
      <alignment horizontal="center" vertical="center" wrapText="1"/>
    </xf>
    <xf numFmtId="0" fontId="295" fillId="0" borderId="126" xfId="0" applyFont="1" applyBorder="1" applyAlignment="1">
      <alignment horizontal="center" vertical="center" wrapText="1"/>
    </xf>
    <xf numFmtId="0" fontId="295" fillId="0" borderId="127" xfId="0" applyFont="1" applyBorder="1" applyAlignment="1">
      <alignment horizontal="center" vertical="center" wrapText="1"/>
    </xf>
    <xf numFmtId="0" fontId="313" fillId="26" borderId="116" xfId="0" applyFont="1" applyFill="1" applyBorder="1" applyAlignment="1">
      <alignment horizontal="center" vertical="center" textRotation="90" wrapText="1"/>
    </xf>
    <xf numFmtId="0" fontId="127" fillId="0" borderId="121" xfId="0" applyFont="1" applyBorder="1" applyAlignment="1">
      <alignment vertical="top" wrapText="1"/>
    </xf>
    <xf numFmtId="0" fontId="315" fillId="0" borderId="122" xfId="0" applyFont="1" applyBorder="1" applyAlignment="1">
      <alignment vertical="top" wrapText="1"/>
    </xf>
    <xf numFmtId="0" fontId="315" fillId="0" borderId="123" xfId="0" applyFont="1" applyBorder="1" applyAlignment="1">
      <alignment vertical="top" wrapText="1"/>
    </xf>
    <xf numFmtId="0" fontId="60" fillId="0" borderId="166" xfId="0" applyFont="1" applyBorder="1" applyAlignment="1">
      <alignment horizontal="center" vertical="center" wrapText="1"/>
    </xf>
    <xf numFmtId="0" fontId="60" fillId="0" borderId="167" xfId="0" applyFont="1" applyBorder="1" applyAlignment="1">
      <alignment horizontal="center" vertical="center" wrapText="1"/>
    </xf>
    <xf numFmtId="0" fontId="60" fillId="0" borderId="168" xfId="0" applyFont="1" applyBorder="1" applyAlignment="1">
      <alignment horizontal="center" vertical="center" wrapText="1"/>
    </xf>
    <xf numFmtId="0" fontId="41" fillId="0" borderId="166" xfId="0" applyFont="1" applyBorder="1" applyAlignment="1">
      <alignment horizontal="center" vertical="center" textRotation="90"/>
    </xf>
    <xf numFmtId="0" fontId="41" fillId="0" borderId="168" xfId="0" applyFont="1" applyBorder="1" applyAlignment="1">
      <alignment horizontal="center" vertical="center" textRotation="90"/>
    </xf>
    <xf numFmtId="9" fontId="90" fillId="23" borderId="126" xfId="0" applyNumberFormat="1" applyFont="1" applyFill="1" applyBorder="1" applyAlignment="1">
      <alignment horizontal="center" vertical="center" wrapText="1"/>
    </xf>
    <xf numFmtId="9" fontId="90" fillId="23" borderId="128" xfId="0" applyNumberFormat="1" applyFont="1" applyFill="1" applyBorder="1" applyAlignment="1">
      <alignment horizontal="center" vertical="center" wrapText="1"/>
    </xf>
    <xf numFmtId="168" fontId="313" fillId="0" borderId="126" xfId="0" applyNumberFormat="1" applyFont="1" applyBorder="1" applyAlignment="1">
      <alignment horizontal="center" vertical="center" wrapText="1"/>
    </xf>
    <xf numFmtId="168" fontId="313" fillId="0" borderId="128" xfId="0" applyNumberFormat="1" applyFont="1" applyBorder="1" applyAlignment="1">
      <alignment horizontal="center" vertical="center" wrapText="1"/>
    </xf>
    <xf numFmtId="168" fontId="313" fillId="0" borderId="127" xfId="0" applyNumberFormat="1" applyFont="1" applyBorder="1" applyAlignment="1">
      <alignment horizontal="center" vertical="center" wrapText="1"/>
    </xf>
    <xf numFmtId="0" fontId="295" fillId="0" borderId="16" xfId="0" applyFont="1" applyBorder="1" applyAlignment="1">
      <alignment horizontal="left" vertical="top" wrapText="1"/>
    </xf>
    <xf numFmtId="0" fontId="4" fillId="0" borderId="116" xfId="0" applyFont="1" applyBorder="1" applyAlignment="1">
      <alignment horizontal="center" vertical="center" textRotation="90" wrapText="1"/>
    </xf>
    <xf numFmtId="0" fontId="4" fillId="0" borderId="16" xfId="0" applyFont="1" applyBorder="1" applyAlignment="1">
      <alignment vertical="center"/>
    </xf>
    <xf numFmtId="9" fontId="4" fillId="22" borderId="1" xfId="0" applyNumberFormat="1" applyFont="1" applyFill="1" applyBorder="1" applyAlignment="1">
      <alignment horizontal="center" vertical="center" wrapText="1"/>
    </xf>
    <xf numFmtId="3" fontId="20" fillId="0" borderId="1" xfId="0" applyNumberFormat="1" applyFont="1" applyBorder="1" applyAlignment="1">
      <alignment horizontal="center" vertical="center"/>
    </xf>
    <xf numFmtId="0" fontId="20" fillId="0" borderId="163" xfId="0" applyFont="1" applyBorder="1" applyAlignment="1">
      <alignment horizontal="center" vertical="center" textRotation="90"/>
    </xf>
    <xf numFmtId="3" fontId="7" fillId="0" borderId="1" xfId="0" applyNumberFormat="1" applyFont="1" applyBorder="1" applyAlignment="1">
      <alignment horizontal="center" vertical="center"/>
    </xf>
    <xf numFmtId="9" fontId="4" fillId="23" borderId="1" xfId="0" applyNumberFormat="1" applyFont="1" applyFill="1" applyBorder="1" applyAlignment="1">
      <alignment horizontal="center" vertical="center" wrapText="1"/>
    </xf>
    <xf numFmtId="3" fontId="20" fillId="0" borderId="32" xfId="0" applyNumberFormat="1" applyFont="1" applyBorder="1" applyAlignment="1">
      <alignment horizontal="center" vertical="center"/>
    </xf>
    <xf numFmtId="3" fontId="20" fillId="0" borderId="46" xfId="0" applyNumberFormat="1" applyFont="1" applyBorder="1" applyAlignment="1">
      <alignment horizontal="center" vertical="center"/>
    </xf>
    <xf numFmtId="9" fontId="4" fillId="0" borderId="126" xfId="0" applyNumberFormat="1" applyFont="1" applyBorder="1" applyAlignment="1">
      <alignment horizontal="center" vertical="center" wrapText="1"/>
    </xf>
    <xf numFmtId="9" fontId="4" fillId="0" borderId="128" xfId="0" applyNumberFormat="1" applyFont="1" applyBorder="1" applyAlignment="1">
      <alignment horizontal="center" vertical="center" wrapText="1"/>
    </xf>
    <xf numFmtId="9" fontId="4" fillId="0" borderId="127" xfId="0" applyNumberFormat="1" applyFont="1" applyBorder="1" applyAlignment="1">
      <alignment horizontal="center" vertical="center" wrapText="1"/>
    </xf>
    <xf numFmtId="3" fontId="4" fillId="0" borderId="126" xfId="0" applyNumberFormat="1" applyFont="1" applyBorder="1" applyAlignment="1">
      <alignment horizontal="center" vertical="center" wrapText="1"/>
    </xf>
    <xf numFmtId="3" fontId="4" fillId="0" borderId="128" xfId="0" applyNumberFormat="1" applyFont="1" applyBorder="1" applyAlignment="1">
      <alignment horizontal="center" vertical="center" wrapText="1"/>
    </xf>
    <xf numFmtId="3" fontId="4" fillId="0" borderId="127" xfId="0" applyNumberFormat="1" applyFont="1" applyBorder="1" applyAlignment="1">
      <alignment horizontal="center" vertical="center" wrapText="1"/>
    </xf>
    <xf numFmtId="9" fontId="4" fillId="0" borderId="32" xfId="0" applyNumberFormat="1" applyFont="1" applyBorder="1" applyAlignment="1">
      <alignment horizontal="center" vertical="center" wrapText="1"/>
    </xf>
    <xf numFmtId="9" fontId="4" fillId="0" borderId="42" xfId="0" applyNumberFormat="1" applyFont="1" applyBorder="1" applyAlignment="1">
      <alignment horizontal="center" vertical="center" wrapText="1"/>
    </xf>
    <xf numFmtId="9" fontId="4" fillId="0" borderId="46" xfId="0" applyNumberFormat="1" applyFont="1" applyBorder="1" applyAlignment="1">
      <alignment horizontal="center" vertical="center" wrapText="1"/>
    </xf>
    <xf numFmtId="3" fontId="20" fillId="0" borderId="42" xfId="0" applyNumberFormat="1" applyFont="1" applyBorder="1" applyAlignment="1">
      <alignment horizontal="center" vertical="center"/>
    </xf>
    <xf numFmtId="3" fontId="7" fillId="0" borderId="32" xfId="0" applyNumberFormat="1" applyFont="1" applyBorder="1" applyAlignment="1">
      <alignment horizontal="center" vertical="center"/>
    </xf>
    <xf numFmtId="3" fontId="7" fillId="0" borderId="42" xfId="0" applyNumberFormat="1" applyFont="1" applyBorder="1" applyAlignment="1">
      <alignment horizontal="center" vertical="center"/>
    </xf>
    <xf numFmtId="3" fontId="7" fillId="0" borderId="46" xfId="0" applyNumberFormat="1" applyFont="1" applyBorder="1" applyAlignment="1">
      <alignment horizontal="center" vertical="center"/>
    </xf>
    <xf numFmtId="0" fontId="4" fillId="0" borderId="166" xfId="0" applyFont="1" applyBorder="1" applyAlignment="1">
      <alignment horizontal="center" vertical="center"/>
    </xf>
    <xf numFmtId="0" fontId="4" fillId="0" borderId="167" xfId="0" applyFont="1" applyBorder="1" applyAlignment="1">
      <alignment horizontal="center" vertical="center"/>
    </xf>
    <xf numFmtId="0" fontId="4" fillId="0" borderId="168" xfId="0" applyFont="1" applyBorder="1" applyAlignment="1">
      <alignment horizontal="center" vertical="center"/>
    </xf>
    <xf numFmtId="10" fontId="14" fillId="23" borderId="126" xfId="0" applyNumberFormat="1" applyFont="1" applyFill="1" applyBorder="1" applyAlignment="1">
      <alignment horizontal="center" vertical="center" wrapText="1"/>
    </xf>
    <xf numFmtId="10" fontId="14" fillId="23" borderId="128" xfId="0" applyNumberFormat="1" applyFont="1" applyFill="1" applyBorder="1" applyAlignment="1">
      <alignment horizontal="center" vertical="center" wrapText="1"/>
    </xf>
    <xf numFmtId="10" fontId="14" fillId="23" borderId="127" xfId="0" applyNumberFormat="1" applyFont="1" applyFill="1" applyBorder="1" applyAlignment="1">
      <alignment horizontal="center" vertical="center" wrapText="1"/>
    </xf>
    <xf numFmtId="9" fontId="2" fillId="7" borderId="127" xfId="0" applyNumberFormat="1" applyFont="1" applyFill="1" applyBorder="1" applyAlignment="1">
      <alignment horizontal="center" vertical="center" wrapText="1"/>
    </xf>
    <xf numFmtId="3" fontId="108" fillId="0" borderId="127" xfId="0" applyNumberFormat="1" applyFont="1" applyBorder="1" applyAlignment="1">
      <alignment horizontal="center" vertical="center" wrapText="1"/>
    </xf>
    <xf numFmtId="1" fontId="29" fillId="0" borderId="126" xfId="0" applyNumberFormat="1" applyFont="1" applyBorder="1" applyAlignment="1">
      <alignment horizontal="center" vertical="center" wrapText="1"/>
    </xf>
    <xf numFmtId="1" fontId="29" fillId="0" borderId="128" xfId="0" applyNumberFormat="1" applyFont="1" applyBorder="1" applyAlignment="1">
      <alignment horizontal="center" vertical="center" wrapText="1"/>
    </xf>
    <xf numFmtId="1" fontId="29" fillId="0" borderId="127" xfId="0" applyNumberFormat="1" applyFont="1" applyBorder="1" applyAlignment="1">
      <alignment horizontal="center" vertical="center" wrapText="1"/>
    </xf>
    <xf numFmtId="3" fontId="7" fillId="28" borderId="126" xfId="0" applyNumberFormat="1" applyFont="1" applyFill="1" applyBorder="1" applyAlignment="1">
      <alignment horizontal="center" vertical="center" wrapText="1"/>
    </xf>
    <xf numFmtId="3" fontId="7" fillId="28" borderId="128" xfId="0" applyNumberFormat="1" applyFont="1" applyFill="1" applyBorder="1" applyAlignment="1">
      <alignment horizontal="center" vertical="center" wrapText="1"/>
    </xf>
    <xf numFmtId="3" fontId="7" fillId="28" borderId="127" xfId="0" applyNumberFormat="1" applyFont="1" applyFill="1" applyBorder="1" applyAlignment="1">
      <alignment horizontal="center" vertical="center" wrapText="1"/>
    </xf>
    <xf numFmtId="0" fontId="7" fillId="0" borderId="128" xfId="0" applyFont="1" applyBorder="1" applyAlignment="1">
      <alignment horizontal="center" vertical="center" wrapText="1"/>
    </xf>
    <xf numFmtId="0" fontId="7" fillId="0" borderId="127" xfId="0" applyFont="1" applyBorder="1" applyAlignment="1">
      <alignment horizontal="center" vertical="center" wrapText="1"/>
    </xf>
    <xf numFmtId="9" fontId="14" fillId="7" borderId="126" xfId="0" applyNumberFormat="1" applyFont="1" applyFill="1" applyBorder="1" applyAlignment="1">
      <alignment horizontal="center" vertical="center" wrapText="1"/>
    </xf>
    <xf numFmtId="9" fontId="14" fillId="7" borderId="128" xfId="0" applyNumberFormat="1" applyFont="1" applyFill="1" applyBorder="1" applyAlignment="1">
      <alignment horizontal="center" vertical="center" wrapText="1"/>
    </xf>
    <xf numFmtId="9" fontId="14" fillId="7" borderId="127" xfId="0" applyNumberFormat="1" applyFont="1" applyFill="1" applyBorder="1" applyAlignment="1">
      <alignment horizontal="center" vertical="center" wrapText="1"/>
    </xf>
    <xf numFmtId="9" fontId="7" fillId="23" borderId="192" xfId="0" applyNumberFormat="1" applyFont="1" applyFill="1" applyBorder="1" applyAlignment="1">
      <alignment horizontal="center" vertical="center" wrapText="1"/>
    </xf>
    <xf numFmtId="9" fontId="7" fillId="23" borderId="193" xfId="0" applyNumberFormat="1" applyFont="1" applyFill="1" applyBorder="1" applyAlignment="1">
      <alignment horizontal="center" vertical="center" wrapText="1"/>
    </xf>
    <xf numFmtId="9" fontId="7" fillId="23" borderId="194" xfId="0" applyNumberFormat="1" applyFont="1" applyFill="1" applyBorder="1" applyAlignment="1">
      <alignment horizontal="center" vertical="center" wrapText="1"/>
    </xf>
    <xf numFmtId="3" fontId="73" fillId="0" borderId="117" xfId="0" applyNumberFormat="1" applyFont="1" applyBorder="1" applyAlignment="1">
      <alignment horizontal="center" vertical="center" wrapText="1"/>
    </xf>
    <xf numFmtId="9" fontId="14" fillId="46" borderId="157" xfId="0" applyNumberFormat="1" applyFont="1" applyFill="1" applyBorder="1" applyAlignment="1">
      <alignment horizontal="center" vertical="center" wrapText="1"/>
    </xf>
    <xf numFmtId="9" fontId="14" fillId="46" borderId="159" xfId="0" applyNumberFormat="1" applyFont="1" applyFill="1" applyBorder="1" applyAlignment="1">
      <alignment horizontal="center" vertical="center" wrapText="1"/>
    </xf>
    <xf numFmtId="9" fontId="14" fillId="46" borderId="128" xfId="0" applyNumberFormat="1" applyFont="1" applyFill="1" applyBorder="1" applyAlignment="1">
      <alignment horizontal="center" vertical="center" wrapText="1"/>
    </xf>
    <xf numFmtId="3" fontId="29" fillId="28" borderId="126" xfId="0" applyNumberFormat="1" applyFont="1" applyFill="1" applyBorder="1" applyAlignment="1">
      <alignment horizontal="center" vertical="center" wrapText="1"/>
    </xf>
    <xf numFmtId="3" fontId="29" fillId="28" borderId="128" xfId="0" applyNumberFormat="1" applyFont="1" applyFill="1" applyBorder="1" applyAlignment="1">
      <alignment horizontal="center" vertical="center" wrapText="1"/>
    </xf>
    <xf numFmtId="9" fontId="14" fillId="14" borderId="126" xfId="8" applyFont="1" applyFill="1" applyBorder="1" applyAlignment="1">
      <alignment horizontal="center" vertical="center" wrapText="1"/>
    </xf>
    <xf numFmtId="9" fontId="14" fillId="14" borderId="128" xfId="8" applyFont="1" applyFill="1" applyBorder="1" applyAlignment="1">
      <alignment horizontal="center" vertical="center" wrapText="1"/>
    </xf>
    <xf numFmtId="9" fontId="14" fillId="14" borderId="127" xfId="8" applyFont="1" applyFill="1" applyBorder="1" applyAlignment="1">
      <alignment horizontal="center" vertical="center" wrapText="1"/>
    </xf>
    <xf numFmtId="3" fontId="73" fillId="0" borderId="126" xfId="0" applyNumberFormat="1" applyFont="1" applyBorder="1" applyAlignment="1">
      <alignment horizontal="center" vertical="center" wrapText="1"/>
    </xf>
    <xf numFmtId="3" fontId="73" fillId="0" borderId="127" xfId="0" applyNumberFormat="1" applyFont="1" applyBorder="1" applyAlignment="1">
      <alignment horizontal="center" vertical="center" wrapText="1"/>
    </xf>
    <xf numFmtId="3" fontId="7" fillId="6" borderId="126" xfId="0" applyNumberFormat="1" applyFont="1" applyFill="1" applyBorder="1" applyAlignment="1">
      <alignment horizontal="center" vertical="center" wrapText="1"/>
    </xf>
    <xf numFmtId="3" fontId="7" fillId="6" borderId="128" xfId="0" applyNumberFormat="1" applyFont="1" applyFill="1" applyBorder="1" applyAlignment="1">
      <alignment horizontal="center" vertical="center" wrapText="1"/>
    </xf>
    <xf numFmtId="3" fontId="7" fillId="6" borderId="127" xfId="0" applyNumberFormat="1" applyFont="1" applyFill="1" applyBorder="1" applyAlignment="1">
      <alignment horizontal="center" vertical="center" wrapText="1"/>
    </xf>
    <xf numFmtId="9" fontId="2" fillId="22" borderId="126" xfId="0" applyNumberFormat="1" applyFont="1" applyFill="1" applyBorder="1" applyAlignment="1">
      <alignment horizontal="center" vertical="center" wrapText="1"/>
    </xf>
    <xf numFmtId="9" fontId="2" fillId="22" borderId="128" xfId="0" applyNumberFormat="1" applyFont="1" applyFill="1" applyBorder="1" applyAlignment="1">
      <alignment horizontal="center" vertical="center" wrapText="1"/>
    </xf>
    <xf numFmtId="9" fontId="2" fillId="22" borderId="127" xfId="0" applyNumberFormat="1" applyFont="1" applyFill="1" applyBorder="1" applyAlignment="1">
      <alignment horizontal="center" vertical="center" wrapText="1"/>
    </xf>
    <xf numFmtId="9" fontId="7" fillId="22" borderId="117" xfId="0" applyNumberFormat="1" applyFont="1" applyFill="1" applyBorder="1" applyAlignment="1">
      <alignment horizontal="center" vertical="center" wrapText="1"/>
    </xf>
    <xf numFmtId="9" fontId="7" fillId="22" borderId="126" xfId="0" applyNumberFormat="1" applyFont="1" applyFill="1" applyBorder="1" applyAlignment="1">
      <alignment horizontal="center" vertical="center" wrapText="1"/>
    </xf>
    <xf numFmtId="9" fontId="7" fillId="22" borderId="128" xfId="0" applyNumberFormat="1" applyFont="1" applyFill="1" applyBorder="1" applyAlignment="1">
      <alignment horizontal="center" vertical="center" wrapText="1"/>
    </xf>
    <xf numFmtId="0" fontId="127" fillId="0" borderId="1" xfId="0" applyFont="1" applyBorder="1" applyAlignment="1">
      <alignment horizontal="left" vertical="center" wrapText="1"/>
    </xf>
    <xf numFmtId="0" fontId="295" fillId="0" borderId="164" xfId="0" applyFont="1" applyBorder="1" applyAlignment="1">
      <alignment vertical="center"/>
    </xf>
    <xf numFmtId="0" fontId="295" fillId="0" borderId="20" xfId="0" applyFont="1" applyBorder="1" applyAlignment="1">
      <alignment vertical="center"/>
    </xf>
    <xf numFmtId="0" fontId="295" fillId="0" borderId="165" xfId="0" applyFont="1" applyBorder="1" applyAlignment="1">
      <alignment vertical="center"/>
    </xf>
    <xf numFmtId="0" fontId="295" fillId="0" borderId="19" xfId="0" applyFont="1" applyBorder="1" applyAlignment="1">
      <alignment horizontal="center" vertical="center" wrapText="1"/>
    </xf>
    <xf numFmtId="0" fontId="295" fillId="0" borderId="107" xfId="0" applyFont="1" applyBorder="1" applyAlignment="1">
      <alignment horizontal="center" vertical="center" wrapText="1"/>
    </xf>
    <xf numFmtId="1" fontId="90" fillId="0" borderId="126" xfId="0" applyNumberFormat="1" applyFont="1" applyBorder="1" applyAlignment="1">
      <alignment horizontal="center" vertical="center"/>
    </xf>
    <xf numFmtId="1" fontId="90" fillId="0" borderId="128" xfId="0" applyNumberFormat="1" applyFont="1" applyBorder="1" applyAlignment="1">
      <alignment horizontal="center" vertical="center"/>
    </xf>
    <xf numFmtId="1" fontId="90" fillId="0" borderId="127" xfId="0" applyNumberFormat="1" applyFont="1" applyBorder="1" applyAlignment="1">
      <alignment horizontal="center" vertical="center"/>
    </xf>
    <xf numFmtId="9" fontId="132" fillId="46" borderId="157" xfId="0" applyNumberFormat="1" applyFont="1" applyFill="1" applyBorder="1" applyAlignment="1">
      <alignment horizontal="center" vertical="center" wrapText="1"/>
    </xf>
    <xf numFmtId="9" fontId="132" fillId="46" borderId="159" xfId="0" applyNumberFormat="1" applyFont="1" applyFill="1" applyBorder="1" applyAlignment="1">
      <alignment horizontal="center" vertical="center" wrapText="1"/>
    </xf>
    <xf numFmtId="9" fontId="132" fillId="46" borderId="128" xfId="0" applyNumberFormat="1" applyFont="1" applyFill="1" applyBorder="1" applyAlignment="1">
      <alignment horizontal="center" vertical="center" wrapText="1"/>
    </xf>
    <xf numFmtId="0" fontId="295" fillId="0" borderId="201" xfId="0" applyFont="1" applyBorder="1" applyAlignment="1">
      <alignment horizontal="center" vertical="center" wrapText="1"/>
    </xf>
    <xf numFmtId="3" fontId="313" fillId="0" borderId="117" xfId="0" applyNumberFormat="1" applyFont="1" applyBorder="1" applyAlignment="1">
      <alignment horizontal="center" vertical="center" wrapText="1"/>
    </xf>
    <xf numFmtId="0" fontId="127" fillId="0" borderId="122" xfId="0" applyFont="1" applyBorder="1" applyAlignment="1">
      <alignment horizontal="left" vertical="center" wrapText="1"/>
    </xf>
    <xf numFmtId="10" fontId="132" fillId="23" borderId="126" xfId="0" applyNumberFormat="1" applyFont="1" applyFill="1" applyBorder="1" applyAlignment="1">
      <alignment horizontal="center" vertical="center" wrapText="1"/>
    </xf>
    <xf numFmtId="10" fontId="132" fillId="23" borderId="128" xfId="0" applyNumberFormat="1" applyFont="1" applyFill="1" applyBorder="1" applyAlignment="1">
      <alignment horizontal="center" vertical="center" wrapText="1"/>
    </xf>
    <xf numFmtId="10" fontId="132" fillId="23" borderId="127" xfId="0" applyNumberFormat="1" applyFont="1" applyFill="1" applyBorder="1" applyAlignment="1">
      <alignment horizontal="center" vertical="center" wrapText="1"/>
    </xf>
    <xf numFmtId="9" fontId="295" fillId="23" borderId="126" xfId="0" applyNumberFormat="1" applyFont="1" applyFill="1" applyBorder="1" applyAlignment="1">
      <alignment horizontal="center" vertical="center" wrapText="1"/>
    </xf>
    <xf numFmtId="9" fontId="295" fillId="23" borderId="128" xfId="0" applyNumberFormat="1" applyFont="1" applyFill="1" applyBorder="1" applyAlignment="1">
      <alignment horizontal="center" vertical="center" wrapText="1"/>
    </xf>
    <xf numFmtId="9" fontId="295" fillId="23" borderId="127" xfId="0" applyNumberFormat="1" applyFont="1" applyFill="1" applyBorder="1" applyAlignment="1">
      <alignment horizontal="center" vertical="center" wrapText="1"/>
    </xf>
    <xf numFmtId="0" fontId="295" fillId="0" borderId="48" xfId="0" applyFont="1" applyBorder="1" applyAlignment="1">
      <alignment horizontal="center" vertical="center" wrapText="1"/>
    </xf>
    <xf numFmtId="3" fontId="313" fillId="28" borderId="126" xfId="0" applyNumberFormat="1" applyFont="1" applyFill="1" applyBorder="1" applyAlignment="1">
      <alignment horizontal="center" vertical="center" wrapText="1"/>
    </xf>
    <xf numFmtId="3" fontId="313" fillId="28" borderId="128" xfId="0" applyNumberFormat="1" applyFont="1" applyFill="1" applyBorder="1" applyAlignment="1">
      <alignment horizontal="center" vertical="center" wrapText="1"/>
    </xf>
    <xf numFmtId="0" fontId="17" fillId="3" borderId="4" xfId="0" applyFont="1" applyFill="1" applyBorder="1" applyAlignment="1">
      <alignment horizontal="center" vertical="center" wrapText="1"/>
    </xf>
    <xf numFmtId="0" fontId="17" fillId="3" borderId="32" xfId="0" applyFont="1" applyFill="1" applyBorder="1" applyAlignment="1">
      <alignment horizontal="center" vertical="center" wrapText="1"/>
    </xf>
    <xf numFmtId="0" fontId="71" fillId="3" borderId="4" xfId="0" applyFont="1" applyFill="1" applyBorder="1" applyAlignment="1">
      <alignment horizontal="center" vertical="center" textRotation="90" wrapText="1"/>
    </xf>
    <xf numFmtId="0" fontId="71" fillId="3" borderId="32" xfId="0" applyFont="1" applyFill="1" applyBorder="1" applyAlignment="1">
      <alignment horizontal="center" vertical="center" textRotation="90" wrapText="1"/>
    </xf>
    <xf numFmtId="0" fontId="4" fillId="0" borderId="16" xfId="0" applyFont="1" applyBorder="1" applyAlignment="1">
      <alignment horizontal="center" vertical="center" textRotation="90" wrapText="1"/>
    </xf>
    <xf numFmtId="0" fontId="295" fillId="0" borderId="164" xfId="0" applyFont="1" applyBorder="1" applyAlignment="1">
      <alignment horizontal="center" vertical="center"/>
    </xf>
    <xf numFmtId="0" fontId="295" fillId="0" borderId="20" xfId="0" applyFont="1" applyBorder="1" applyAlignment="1">
      <alignment horizontal="center" vertical="center"/>
    </xf>
    <xf numFmtId="0" fontId="295" fillId="0" borderId="165" xfId="0" applyFont="1" applyBorder="1" applyAlignment="1">
      <alignment horizontal="center" vertical="center"/>
    </xf>
    <xf numFmtId="0" fontId="71" fillId="3" borderId="11" xfId="0" applyFont="1" applyFill="1" applyBorder="1" applyAlignment="1">
      <alignment horizontal="center" vertical="center" textRotation="90" wrapText="1"/>
    </xf>
    <xf numFmtId="0" fontId="71" fillId="3" borderId="281" xfId="0" applyFont="1" applyFill="1" applyBorder="1" applyAlignment="1">
      <alignment horizontal="center" vertical="center" textRotation="90" wrapText="1"/>
    </xf>
    <xf numFmtId="0" fontId="122" fillId="25" borderId="124" xfId="0" applyFont="1" applyFill="1" applyBorder="1" applyAlignment="1">
      <alignment horizontal="center" vertical="center" wrapText="1"/>
    </xf>
    <xf numFmtId="0" fontId="122" fillId="25" borderId="9" xfId="0" applyFont="1" applyFill="1" applyBorder="1" applyAlignment="1">
      <alignment horizontal="center" vertical="center" wrapText="1"/>
    </xf>
    <xf numFmtId="0" fontId="122" fillId="25" borderId="125" xfId="0" applyFont="1" applyFill="1" applyBorder="1" applyAlignment="1">
      <alignment horizontal="center" vertical="center" wrapText="1"/>
    </xf>
    <xf numFmtId="0" fontId="14" fillId="2" borderId="116" xfId="0" applyFont="1" applyFill="1" applyBorder="1" applyAlignment="1">
      <alignment horizontal="center" vertical="center" textRotation="90" wrapText="1"/>
    </xf>
    <xf numFmtId="3" fontId="127" fillId="0" borderId="121" xfId="10" applyNumberFormat="1" applyFont="1" applyBorder="1" applyAlignment="1">
      <alignment horizontal="center" vertical="center" textRotation="90" wrapText="1"/>
    </xf>
    <xf numFmtId="3" fontId="127" fillId="0" borderId="122" xfId="10" applyNumberFormat="1" applyFont="1" applyBorder="1" applyAlignment="1">
      <alignment horizontal="center" vertical="center" textRotation="90" wrapText="1"/>
    </xf>
    <xf numFmtId="3" fontId="127" fillId="0" borderId="123" xfId="10" applyNumberFormat="1" applyFont="1" applyBorder="1" applyAlignment="1">
      <alignment horizontal="center" vertical="center" textRotation="90" wrapText="1"/>
    </xf>
    <xf numFmtId="0" fontId="4" fillId="6" borderId="8" xfId="0" applyFont="1" applyFill="1" applyBorder="1" applyAlignment="1">
      <alignment horizontal="center"/>
    </xf>
    <xf numFmtId="0" fontId="4" fillId="6" borderId="9" xfId="0" applyFont="1" applyFill="1" applyBorder="1" applyAlignment="1">
      <alignment horizontal="center"/>
    </xf>
    <xf numFmtId="0" fontId="84" fillId="11" borderId="64" xfId="0" applyFont="1" applyFill="1" applyBorder="1" applyAlignment="1">
      <alignment horizontal="center" vertical="center" textRotation="90" wrapText="1"/>
    </xf>
    <xf numFmtId="0" fontId="84" fillId="11" borderId="280" xfId="0" applyFont="1" applyFill="1" applyBorder="1" applyAlignment="1">
      <alignment horizontal="center" vertical="center" textRotation="90" wrapText="1"/>
    </xf>
    <xf numFmtId="0" fontId="47" fillId="11" borderId="64" xfId="0" applyFont="1" applyFill="1" applyBorder="1" applyAlignment="1">
      <alignment horizontal="center"/>
    </xf>
    <xf numFmtId="0" fontId="47" fillId="11" borderId="280" xfId="0" applyFont="1" applyFill="1" applyBorder="1" applyAlignment="1">
      <alignment horizontal="center"/>
    </xf>
    <xf numFmtId="0" fontId="4" fillId="0" borderId="16" xfId="0" applyFont="1" applyBorder="1" applyAlignment="1">
      <alignment horizontal="center" vertical="center"/>
    </xf>
    <xf numFmtId="0" fontId="84" fillId="11" borderId="282" xfId="0" applyFont="1" applyFill="1" applyBorder="1" applyAlignment="1">
      <alignment horizontal="center" vertical="center" textRotation="90"/>
    </xf>
    <xf numFmtId="0" fontId="84" fillId="11" borderId="283" xfId="0" applyFont="1" applyFill="1" applyBorder="1" applyAlignment="1">
      <alignment horizontal="center" vertical="center" textRotation="90"/>
    </xf>
    <xf numFmtId="9" fontId="132" fillId="7" borderId="126" xfId="0" applyNumberFormat="1" applyFont="1" applyFill="1" applyBorder="1" applyAlignment="1">
      <alignment horizontal="center" vertical="center" wrapText="1"/>
    </xf>
    <xf numFmtId="9" fontId="132" fillId="7" borderId="128" xfId="0" applyNumberFormat="1" applyFont="1" applyFill="1" applyBorder="1" applyAlignment="1">
      <alignment horizontal="center" vertical="center" wrapText="1"/>
    </xf>
    <xf numFmtId="9" fontId="132" fillId="7" borderId="127" xfId="0" applyNumberFormat="1" applyFont="1" applyFill="1" applyBorder="1" applyAlignment="1">
      <alignment horizontal="center" vertical="center" wrapText="1"/>
    </xf>
    <xf numFmtId="0" fontId="16" fillId="2" borderId="116" xfId="0" applyFont="1" applyFill="1" applyBorder="1" applyAlignment="1">
      <alignment horizontal="center" vertical="center" wrapText="1"/>
    </xf>
    <xf numFmtId="0" fontId="16" fillId="2" borderId="118" xfId="0" applyFont="1" applyFill="1" applyBorder="1" applyAlignment="1">
      <alignment horizontal="center" vertical="center" wrapText="1"/>
    </xf>
    <xf numFmtId="0" fontId="56" fillId="4" borderId="117" xfId="0" applyFont="1" applyFill="1" applyBorder="1" applyAlignment="1">
      <alignment horizontal="center" vertical="center" textRotation="90" wrapText="1"/>
    </xf>
    <xf numFmtId="9" fontId="132" fillId="14" borderId="126" xfId="8" applyFont="1" applyFill="1" applyBorder="1" applyAlignment="1">
      <alignment horizontal="center" vertical="center" wrapText="1"/>
    </xf>
    <xf numFmtId="9" fontId="132" fillId="14" borderId="128" xfId="8" applyFont="1" applyFill="1" applyBorder="1" applyAlignment="1">
      <alignment horizontal="center" vertical="center" wrapText="1"/>
    </xf>
    <xf numFmtId="9" fontId="132" fillId="14" borderId="127" xfId="8" applyFont="1" applyFill="1" applyBorder="1" applyAlignment="1">
      <alignment horizontal="center" vertical="center" wrapText="1"/>
    </xf>
    <xf numFmtId="9" fontId="4" fillId="23" borderId="32" xfId="0" applyNumberFormat="1" applyFont="1" applyFill="1" applyBorder="1" applyAlignment="1">
      <alignment horizontal="center" vertical="center" wrapText="1"/>
    </xf>
    <xf numFmtId="9" fontId="4" fillId="23" borderId="42" xfId="0" applyNumberFormat="1" applyFont="1" applyFill="1" applyBorder="1" applyAlignment="1">
      <alignment horizontal="center" vertical="center" wrapText="1"/>
    </xf>
    <xf numFmtId="9" fontId="4" fillId="23" borderId="46" xfId="0" applyNumberFormat="1" applyFont="1" applyFill="1" applyBorder="1" applyAlignment="1">
      <alignment horizontal="center" vertical="center" wrapText="1"/>
    </xf>
    <xf numFmtId="0" fontId="295" fillId="0" borderId="202" xfId="0" applyFont="1" applyBorder="1" applyAlignment="1">
      <alignment horizontal="center" vertical="center" textRotation="90" wrapText="1"/>
    </xf>
    <xf numFmtId="0" fontId="295" fillId="0" borderId="17" xfId="0" applyFont="1" applyBorder="1" applyAlignment="1">
      <alignment horizontal="center" vertical="center" textRotation="90" wrapText="1"/>
    </xf>
    <xf numFmtId="0" fontId="295" fillId="0" borderId="27" xfId="0" applyFont="1" applyBorder="1" applyAlignment="1">
      <alignment horizontal="center" vertical="center" textRotation="90" wrapText="1"/>
    </xf>
    <xf numFmtId="0" fontId="295" fillId="0" borderId="18" xfId="0" applyFont="1" applyBorder="1" applyAlignment="1">
      <alignment horizontal="center" vertical="center" textRotation="90" wrapText="1"/>
    </xf>
    <xf numFmtId="0" fontId="12" fillId="6" borderId="0" xfId="0" applyFont="1" applyFill="1" applyAlignment="1">
      <alignment horizontal="center" vertical="center" wrapText="1"/>
    </xf>
    <xf numFmtId="0" fontId="65" fillId="6" borderId="53" xfId="0" applyFont="1" applyFill="1" applyBorder="1" applyAlignment="1">
      <alignment horizontal="left" vertical="center" wrapText="1"/>
    </xf>
    <xf numFmtId="0" fontId="65" fillId="6" borderId="54" xfId="0" applyFont="1" applyFill="1" applyBorder="1" applyAlignment="1">
      <alignment horizontal="left" vertical="center" wrapText="1"/>
    </xf>
    <xf numFmtId="0" fontId="65" fillId="6" borderId="55" xfId="0" applyFont="1" applyFill="1" applyBorder="1" applyAlignment="1">
      <alignment horizontal="left" vertical="center" wrapText="1"/>
    </xf>
    <xf numFmtId="0" fontId="57" fillId="2" borderId="116" xfId="0" applyFont="1" applyFill="1" applyBorder="1" applyAlignment="1">
      <alignment horizontal="center" vertical="center" textRotation="90" wrapText="1"/>
    </xf>
    <xf numFmtId="0" fontId="57" fillId="2" borderId="116" xfId="0" applyFont="1" applyFill="1" applyBorder="1" applyAlignment="1">
      <alignment horizontal="center" vertical="center" wrapText="1"/>
    </xf>
    <xf numFmtId="0" fontId="311" fillId="15" borderId="70" xfId="0" applyFont="1" applyFill="1" applyBorder="1" applyAlignment="1">
      <alignment horizontal="center" vertical="center" wrapText="1"/>
    </xf>
    <xf numFmtId="0" fontId="42" fillId="6" borderId="51" xfId="0" applyFont="1" applyFill="1" applyBorder="1" applyAlignment="1">
      <alignment horizontal="left" vertical="center" wrapText="1"/>
    </xf>
    <xf numFmtId="0" fontId="42" fillId="6" borderId="56" xfId="0" applyFont="1" applyFill="1" applyBorder="1" applyAlignment="1">
      <alignment horizontal="left" vertical="center" wrapText="1"/>
    </xf>
    <xf numFmtId="0" fontId="46" fillId="2" borderId="116" xfId="0" applyFont="1" applyFill="1" applyBorder="1" applyAlignment="1">
      <alignment horizontal="center" vertical="center" wrapText="1"/>
    </xf>
    <xf numFmtId="0" fontId="4" fillId="6" borderId="3" xfId="0" applyFont="1" applyFill="1" applyBorder="1" applyAlignment="1">
      <alignment horizontal="center" wrapText="1"/>
    </xf>
    <xf numFmtId="0" fontId="4" fillId="6" borderId="6" xfId="0" applyFont="1" applyFill="1" applyBorder="1" applyAlignment="1">
      <alignment horizontal="center" wrapText="1"/>
    </xf>
    <xf numFmtId="0" fontId="42" fillId="6" borderId="52" xfId="0" applyFont="1" applyFill="1" applyBorder="1" applyAlignment="1">
      <alignment horizontal="left" vertical="center" wrapText="1"/>
    </xf>
    <xf numFmtId="49" fontId="73" fillId="0" borderId="123" xfId="0" applyNumberFormat="1" applyFont="1" applyBorder="1" applyAlignment="1">
      <alignment horizontal="center" vertical="center" textRotation="90" wrapText="1"/>
    </xf>
    <xf numFmtId="0" fontId="9" fillId="0" borderId="116" xfId="0" applyFont="1" applyBorder="1" applyAlignment="1">
      <alignment horizontal="center" vertical="center" wrapText="1"/>
    </xf>
    <xf numFmtId="0" fontId="10" fillId="0" borderId="116" xfId="0" applyFont="1" applyBorder="1" applyAlignment="1">
      <alignment horizontal="center" vertical="center" wrapText="1"/>
    </xf>
    <xf numFmtId="0" fontId="73" fillId="0" borderId="0" xfId="0" applyFont="1" applyAlignment="1">
      <alignment horizontal="left" vertical="center" wrapText="1"/>
    </xf>
    <xf numFmtId="169" fontId="12" fillId="28" borderId="77" xfId="10" applyNumberFormat="1" applyFont="1" applyFill="1" applyBorder="1" applyAlignment="1">
      <alignment horizontal="center" vertical="center" wrapText="1"/>
    </xf>
    <xf numFmtId="169" fontId="12" fillId="28" borderId="84" xfId="10" applyNumberFormat="1" applyFont="1" applyFill="1" applyBorder="1" applyAlignment="1">
      <alignment horizontal="center" vertical="center" wrapText="1"/>
    </xf>
    <xf numFmtId="169" fontId="12" fillId="28" borderId="28" xfId="10" applyNumberFormat="1" applyFont="1" applyFill="1" applyBorder="1" applyAlignment="1">
      <alignment horizontal="center" vertical="center" wrapText="1"/>
    </xf>
    <xf numFmtId="169" fontId="12" fillId="28" borderId="79" xfId="10" applyNumberFormat="1" applyFont="1" applyFill="1" applyBorder="1" applyAlignment="1">
      <alignment horizontal="center" vertical="center" wrapText="1"/>
    </xf>
    <xf numFmtId="169" fontId="12" fillId="28" borderId="85" xfId="10" applyNumberFormat="1" applyFont="1" applyFill="1" applyBorder="1" applyAlignment="1">
      <alignment horizontal="center" vertical="center" wrapText="1"/>
    </xf>
    <xf numFmtId="169" fontId="12" fillId="28" borderId="37" xfId="10" applyNumberFormat="1" applyFont="1" applyFill="1" applyBorder="1" applyAlignment="1">
      <alignment horizontal="center" vertical="center" wrapText="1"/>
    </xf>
    <xf numFmtId="0" fontId="125" fillId="10" borderId="10" xfId="0" applyFont="1" applyFill="1" applyBorder="1" applyAlignment="1">
      <alignment horizontal="center" vertical="center"/>
    </xf>
    <xf numFmtId="0" fontId="125" fillId="10" borderId="11" xfId="0" applyFont="1" applyFill="1" applyBorder="1" applyAlignment="1">
      <alignment horizontal="center" vertical="center"/>
    </xf>
    <xf numFmtId="0" fontId="125" fillId="10" borderId="13" xfId="0" applyFont="1" applyFill="1" applyBorder="1" applyAlignment="1">
      <alignment horizontal="center" vertical="center"/>
    </xf>
    <xf numFmtId="0" fontId="15" fillId="4" borderId="117" xfId="0" applyFont="1" applyFill="1" applyBorder="1" applyAlignment="1">
      <alignment horizontal="center" vertical="center" textRotation="90" wrapText="1"/>
    </xf>
    <xf numFmtId="0" fontId="121" fillId="5" borderId="20" xfId="0" applyFont="1" applyFill="1" applyBorder="1" applyAlignment="1">
      <alignment horizontal="center" vertical="center" wrapText="1"/>
    </xf>
    <xf numFmtId="0" fontId="121" fillId="5" borderId="24" xfId="0" applyFont="1" applyFill="1" applyBorder="1" applyAlignment="1">
      <alignment horizontal="center" vertical="center" wrapText="1"/>
    </xf>
    <xf numFmtId="0" fontId="122" fillId="25" borderId="26" xfId="0" applyFont="1" applyFill="1" applyBorder="1" applyAlignment="1">
      <alignment horizontal="center" vertical="center" wrapText="1"/>
    </xf>
    <xf numFmtId="0" fontId="126" fillId="12" borderId="8" xfId="0" applyFont="1" applyFill="1" applyBorder="1" applyAlignment="1">
      <alignment horizontal="center" vertical="center"/>
    </xf>
    <xf numFmtId="0" fontId="126" fillId="12" borderId="9" xfId="0" applyFont="1" applyFill="1" applyBorder="1" applyAlignment="1">
      <alignment horizontal="center" vertical="center"/>
    </xf>
    <xf numFmtId="0" fontId="126" fillId="12" borderId="279" xfId="0" applyFont="1" applyFill="1" applyBorder="1" applyAlignment="1">
      <alignment horizontal="center" vertical="center"/>
    </xf>
    <xf numFmtId="0" fontId="113" fillId="6" borderId="52" xfId="0" applyFont="1" applyFill="1" applyBorder="1" applyAlignment="1">
      <alignment horizontal="left" vertical="center" wrapText="1"/>
    </xf>
    <xf numFmtId="0" fontId="13" fillId="6" borderId="0" xfId="0" applyFont="1" applyFill="1" applyAlignment="1">
      <alignment horizontal="center" vertical="center" wrapText="1"/>
    </xf>
    <xf numFmtId="0" fontId="15" fillId="4" borderId="117" xfId="0" applyFont="1" applyFill="1" applyBorder="1" applyAlignment="1">
      <alignment horizontal="center" vertical="center" wrapText="1"/>
    </xf>
    <xf numFmtId="0" fontId="45" fillId="15" borderId="47" xfId="0" applyFont="1" applyFill="1" applyBorder="1" applyAlignment="1">
      <alignment horizontal="center" vertical="center" wrapText="1"/>
    </xf>
    <xf numFmtId="0" fontId="45" fillId="15" borderId="0" xfId="0" applyFont="1" applyFill="1" applyAlignment="1">
      <alignment horizontal="center" vertical="center" wrapText="1"/>
    </xf>
    <xf numFmtId="0" fontId="19" fillId="6" borderId="0" xfId="0" applyFont="1" applyFill="1" applyAlignment="1">
      <alignment horizontal="center" vertical="center" wrapText="1"/>
    </xf>
    <xf numFmtId="0" fontId="311" fillId="15" borderId="68" xfId="0" applyFont="1" applyFill="1" applyBorder="1" applyAlignment="1">
      <alignment horizontal="center" vertical="center" wrapText="1"/>
    </xf>
    <xf numFmtId="0" fontId="311" fillId="15" borderId="69" xfId="0" applyFont="1" applyFill="1" applyBorder="1" applyAlignment="1">
      <alignment horizontal="center" vertical="center" wrapText="1"/>
    </xf>
    <xf numFmtId="0" fontId="132" fillId="2" borderId="121" xfId="0" applyFont="1" applyFill="1" applyBorder="1" applyAlignment="1">
      <alignment horizontal="center" vertical="center" textRotation="90" wrapText="1"/>
    </xf>
    <xf numFmtId="0" fontId="132" fillId="2" borderId="123" xfId="0" applyFont="1" applyFill="1" applyBorder="1" applyAlignment="1">
      <alignment horizontal="center" vertical="center" textRotation="90" wrapText="1"/>
    </xf>
    <xf numFmtId="0" fontId="120" fillId="2" borderId="116" xfId="0" applyFont="1" applyFill="1" applyBorder="1" applyAlignment="1">
      <alignment horizontal="center" vertical="center" textRotation="90" wrapText="1"/>
    </xf>
    <xf numFmtId="0" fontId="4" fillId="6" borderId="8" xfId="0" applyFont="1" applyFill="1" applyBorder="1" applyAlignment="1">
      <alignment horizontal="center" wrapText="1"/>
    </xf>
    <xf numFmtId="0" fontId="4" fillId="6" borderId="9" xfId="0" applyFont="1" applyFill="1" applyBorder="1" applyAlignment="1">
      <alignment horizontal="center" wrapText="1"/>
    </xf>
    <xf numFmtId="0" fontId="4" fillId="6" borderId="23" xfId="0" applyFont="1" applyFill="1" applyBorder="1" applyAlignment="1">
      <alignment horizontal="center" wrapText="1"/>
    </xf>
    <xf numFmtId="0" fontId="124" fillId="8" borderId="65" xfId="0" applyFont="1" applyFill="1" applyBorder="1" applyAlignment="1">
      <alignment horizontal="center" vertical="center"/>
    </xf>
    <xf numFmtId="0" fontId="124" fillId="8" borderId="49" xfId="0" applyFont="1" applyFill="1" applyBorder="1" applyAlignment="1">
      <alignment horizontal="center" vertical="center"/>
    </xf>
    <xf numFmtId="0" fontId="124" fillId="8" borderId="63" xfId="0" applyFont="1" applyFill="1" applyBorder="1" applyAlignment="1">
      <alignment horizontal="center" vertical="center"/>
    </xf>
    <xf numFmtId="0" fontId="43" fillId="2" borderId="116" xfId="0" applyFont="1" applyFill="1" applyBorder="1" applyAlignment="1">
      <alignment horizontal="center" vertical="center" textRotation="90" wrapText="1"/>
    </xf>
    <xf numFmtId="0" fontId="121" fillId="5" borderId="18" xfId="0" applyFont="1" applyFill="1" applyBorder="1" applyAlignment="1">
      <alignment horizontal="center" vertical="center" textRotation="90" wrapText="1"/>
    </xf>
    <xf numFmtId="0" fontId="121" fillId="5" borderId="14" xfId="0" applyFont="1" applyFill="1" applyBorder="1" applyAlignment="1">
      <alignment horizontal="center" vertical="center" textRotation="90" wrapText="1"/>
    </xf>
    <xf numFmtId="0" fontId="123" fillId="9" borderId="65" xfId="0" applyFont="1" applyFill="1" applyBorder="1" applyAlignment="1">
      <alignment horizontal="center" vertical="center" wrapText="1"/>
    </xf>
    <xf numFmtId="0" fontId="123" fillId="9" borderId="49" xfId="0" applyFont="1" applyFill="1" applyBorder="1" applyAlignment="1">
      <alignment horizontal="center" vertical="center" wrapText="1"/>
    </xf>
    <xf numFmtId="0" fontId="123" fillId="9" borderId="9" xfId="0" applyFont="1" applyFill="1" applyBorder="1" applyAlignment="1">
      <alignment horizontal="center" vertical="center" wrapText="1"/>
    </xf>
    <xf numFmtId="0" fontId="123" fillId="9" borderId="23" xfId="0" applyFont="1" applyFill="1" applyBorder="1" applyAlignment="1">
      <alignment horizontal="center" vertical="center" wrapText="1"/>
    </xf>
    <xf numFmtId="0" fontId="56" fillId="4" borderId="117" xfId="0" applyFont="1" applyFill="1" applyBorder="1" applyAlignment="1">
      <alignment horizontal="center" vertical="center" wrapText="1"/>
    </xf>
    <xf numFmtId="0" fontId="117" fillId="42" borderId="0" xfId="0" applyFont="1" applyFill="1" applyAlignment="1">
      <alignment horizontal="center" vertical="center" wrapText="1"/>
    </xf>
    <xf numFmtId="0" fontId="117" fillId="41" borderId="0" xfId="0" applyFont="1" applyFill="1" applyAlignment="1">
      <alignment horizontal="center" vertical="center" wrapText="1"/>
    </xf>
    <xf numFmtId="169" fontId="12" fillId="28" borderId="83" xfId="10" applyNumberFormat="1" applyFont="1" applyFill="1" applyBorder="1" applyAlignment="1">
      <alignment horizontal="center" vertical="center" wrapText="1"/>
    </xf>
    <xf numFmtId="169" fontId="12" fillId="28" borderId="0" xfId="10" applyNumberFormat="1" applyFont="1" applyFill="1" applyBorder="1" applyAlignment="1">
      <alignment horizontal="center" vertical="center" wrapText="1"/>
    </xf>
    <xf numFmtId="169" fontId="12" fillId="28" borderId="33" xfId="10" applyNumberFormat="1" applyFont="1" applyFill="1" applyBorder="1" applyAlignment="1">
      <alignment horizontal="center" vertical="center" wrapText="1"/>
    </xf>
    <xf numFmtId="0" fontId="63" fillId="3" borderId="59" xfId="0" applyFont="1" applyFill="1" applyBorder="1" applyAlignment="1">
      <alignment horizontal="center" vertical="center" textRotation="90" wrapText="1"/>
    </xf>
    <xf numFmtId="0" fontId="63" fillId="3" borderId="60" xfId="0" applyFont="1" applyFill="1" applyBorder="1" applyAlignment="1">
      <alignment horizontal="center" vertical="center" textRotation="90" wrapText="1"/>
    </xf>
    <xf numFmtId="0" fontId="62" fillId="4" borderId="117" xfId="0" applyFont="1" applyFill="1" applyBorder="1" applyAlignment="1">
      <alignment horizontal="center" vertical="center" textRotation="90" wrapText="1"/>
    </xf>
    <xf numFmtId="0" fontId="117" fillId="13" borderId="0" xfId="0" applyFont="1" applyFill="1" applyAlignment="1">
      <alignment horizontal="center" vertical="center" wrapText="1"/>
    </xf>
    <xf numFmtId="0" fontId="312" fillId="7" borderId="26" xfId="0" applyFont="1" applyFill="1" applyBorder="1" applyAlignment="1">
      <alignment horizontal="center" vertical="center"/>
    </xf>
    <xf numFmtId="0" fontId="312" fillId="7" borderId="9" xfId="0" applyFont="1" applyFill="1" applyBorder="1" applyAlignment="1">
      <alignment horizontal="center" vertical="center"/>
    </xf>
    <xf numFmtId="0" fontId="312" fillId="7" borderId="49" xfId="0" applyFont="1" applyFill="1" applyBorder="1" applyAlignment="1">
      <alignment horizontal="center" vertical="center"/>
    </xf>
    <xf numFmtId="9" fontId="12" fillId="28" borderId="77" xfId="8" applyFont="1" applyFill="1" applyBorder="1" applyAlignment="1">
      <alignment horizontal="center" vertical="center" wrapText="1"/>
    </xf>
    <xf numFmtId="9" fontId="12" fillId="28" borderId="84" xfId="8" applyFont="1" applyFill="1" applyBorder="1" applyAlignment="1">
      <alignment horizontal="center" vertical="center" wrapText="1"/>
    </xf>
    <xf numFmtId="9" fontId="12" fillId="28" borderId="28" xfId="8" applyFont="1" applyFill="1" applyBorder="1" applyAlignment="1">
      <alignment horizontal="center" vertical="center" wrapText="1"/>
    </xf>
    <xf numFmtId="9" fontId="12" fillId="28" borderId="83" xfId="8" applyFont="1" applyFill="1" applyBorder="1" applyAlignment="1">
      <alignment horizontal="center" vertical="center" wrapText="1"/>
    </xf>
    <xf numFmtId="9" fontId="12" fillId="28" borderId="0" xfId="8" applyFont="1" applyFill="1" applyBorder="1" applyAlignment="1">
      <alignment horizontal="center" vertical="center" wrapText="1"/>
    </xf>
    <xf numFmtId="9" fontId="12" fillId="28" borderId="33" xfId="8" applyFont="1" applyFill="1" applyBorder="1" applyAlignment="1">
      <alignment horizontal="center" vertical="center" wrapText="1"/>
    </xf>
    <xf numFmtId="9" fontId="12" fillId="28" borderId="79" xfId="8" applyFont="1" applyFill="1" applyBorder="1" applyAlignment="1">
      <alignment horizontal="center" vertical="center" wrapText="1"/>
    </xf>
    <xf numFmtId="9" fontId="12" fillId="28" borderId="85" xfId="8" applyFont="1" applyFill="1" applyBorder="1" applyAlignment="1">
      <alignment horizontal="center" vertical="center" wrapText="1"/>
    </xf>
    <xf numFmtId="9" fontId="12" fillId="28" borderId="37" xfId="8" applyFont="1" applyFill="1" applyBorder="1" applyAlignment="1">
      <alignment horizontal="center" vertical="center" wrapText="1"/>
    </xf>
    <xf numFmtId="0" fontId="44" fillId="6" borderId="0" xfId="0" applyFont="1" applyFill="1" applyAlignment="1">
      <alignment horizontal="left" vertical="center" wrapText="1"/>
    </xf>
    <xf numFmtId="0" fontId="42" fillId="6" borderId="71" xfId="0" applyFont="1" applyFill="1" applyBorder="1" applyAlignment="1">
      <alignment horizontal="left" vertical="center" wrapText="1"/>
    </xf>
    <xf numFmtId="0" fontId="42" fillId="6" borderId="72" xfId="0" applyFont="1" applyFill="1" applyBorder="1" applyAlignment="1">
      <alignment horizontal="left" vertical="center" wrapText="1"/>
    </xf>
    <xf numFmtId="0" fontId="4" fillId="6" borderId="5" xfId="0" applyFont="1" applyFill="1" applyBorder="1" applyAlignment="1">
      <alignment horizontal="center"/>
    </xf>
    <xf numFmtId="0" fontId="4" fillId="6" borderId="3" xfId="0" applyFont="1" applyFill="1" applyBorder="1" applyAlignment="1">
      <alignment horizontal="center"/>
    </xf>
    <xf numFmtId="0" fontId="4" fillId="6" borderId="6" xfId="0" applyFont="1" applyFill="1" applyBorder="1" applyAlignment="1">
      <alignment horizontal="center"/>
    </xf>
    <xf numFmtId="0" fontId="4" fillId="6" borderId="5" xfId="0" applyFont="1" applyFill="1" applyBorder="1" applyAlignment="1">
      <alignment horizontal="center" wrapText="1"/>
    </xf>
    <xf numFmtId="0" fontId="22" fillId="0" borderId="122" xfId="0" applyFont="1" applyBorder="1" applyAlignment="1">
      <alignment horizontal="center" vertical="center" textRotation="90" wrapText="1"/>
    </xf>
    <xf numFmtId="49" fontId="73" fillId="0" borderId="243" xfId="0" applyNumberFormat="1" applyFont="1" applyBorder="1" applyAlignment="1">
      <alignment horizontal="center" vertical="center" textRotation="90" wrapText="1"/>
    </xf>
    <xf numFmtId="49" fontId="73" fillId="0" borderId="244" xfId="0" applyNumberFormat="1" applyFont="1" applyBorder="1" applyAlignment="1">
      <alignment horizontal="center" vertical="center" textRotation="90" wrapText="1"/>
    </xf>
    <xf numFmtId="49" fontId="73" fillId="0" borderId="245" xfId="0" applyNumberFormat="1" applyFont="1" applyBorder="1" applyAlignment="1">
      <alignment horizontal="center" vertical="center" textRotation="90" wrapText="1"/>
    </xf>
    <xf numFmtId="0" fontId="9" fillId="0" borderId="50" xfId="0" applyFont="1" applyBorder="1" applyAlignment="1">
      <alignment vertical="center" wrapText="1"/>
    </xf>
    <xf numFmtId="0" fontId="9" fillId="0" borderId="25" xfId="0" applyFont="1" applyBorder="1" applyAlignment="1">
      <alignment vertical="center" wrapText="1"/>
    </xf>
    <xf numFmtId="0" fontId="9" fillId="0" borderId="50" xfId="0" applyFont="1" applyBorder="1" applyAlignment="1">
      <alignment horizontal="center" vertical="center" wrapText="1"/>
    </xf>
    <xf numFmtId="0" fontId="9" fillId="0" borderId="22" xfId="0" applyFont="1" applyBorder="1" applyAlignment="1">
      <alignment horizontal="center" vertical="center" wrapText="1"/>
    </xf>
    <xf numFmtId="0" fontId="29" fillId="0" borderId="92" xfId="0" applyFont="1" applyBorder="1" applyAlignment="1">
      <alignment horizontal="center" vertical="center" textRotation="90" wrapText="1"/>
    </xf>
    <xf numFmtId="0" fontId="29" fillId="0" borderId="94" xfId="0" applyFont="1" applyBorder="1" applyAlignment="1">
      <alignment horizontal="center" vertical="center" textRotation="90" wrapText="1"/>
    </xf>
    <xf numFmtId="0" fontId="74" fillId="0" borderId="66" xfId="0" applyFont="1" applyBorder="1" applyAlignment="1">
      <alignment horizontal="center" vertical="center" textRotation="90" wrapText="1"/>
    </xf>
    <xf numFmtId="0" fontId="74" fillId="0" borderId="67" xfId="0" applyFont="1" applyBorder="1" applyAlignment="1">
      <alignment horizontal="center" vertical="center" textRotation="90" wrapText="1"/>
    </xf>
    <xf numFmtId="0" fontId="74" fillId="0" borderId="88" xfId="0" applyFont="1" applyBorder="1" applyAlignment="1">
      <alignment horizontal="center" vertical="center" textRotation="90" wrapText="1"/>
    </xf>
    <xf numFmtId="0" fontId="74" fillId="0" borderId="25" xfId="0" applyFont="1" applyBorder="1" applyAlignment="1">
      <alignment horizontal="center" vertical="center" textRotation="90" wrapText="1"/>
    </xf>
    <xf numFmtId="0" fontId="80" fillId="0" borderId="50" xfId="0" applyFont="1" applyBorder="1" applyAlignment="1">
      <alignment horizontal="center" vertical="center" wrapText="1"/>
    </xf>
    <xf numFmtId="0" fontId="80" fillId="0" borderId="25" xfId="0" applyFont="1" applyBorder="1" applyAlignment="1">
      <alignment horizontal="center" vertical="center" wrapText="1"/>
    </xf>
    <xf numFmtId="3" fontId="74" fillId="0" borderId="50" xfId="0" applyNumberFormat="1" applyFont="1" applyBorder="1" applyAlignment="1">
      <alignment horizontal="center" vertical="center" textRotation="90" wrapText="1"/>
    </xf>
    <xf numFmtId="3" fontId="74" fillId="0" borderId="25" xfId="0" applyNumberFormat="1" applyFont="1" applyBorder="1" applyAlignment="1">
      <alignment horizontal="center" vertical="center" textRotation="90" wrapText="1"/>
    </xf>
    <xf numFmtId="3" fontId="74" fillId="0" borderId="22" xfId="0" applyNumberFormat="1" applyFont="1" applyBorder="1" applyAlignment="1">
      <alignment horizontal="center" vertical="center" textRotation="90" wrapText="1"/>
    </xf>
    <xf numFmtId="0" fontId="73" fillId="0" borderId="121" xfId="0" applyFont="1" applyBorder="1" applyAlignment="1">
      <alignment horizontal="center" vertical="center" wrapText="1"/>
    </xf>
    <xf numFmtId="0" fontId="73" fillId="0" borderId="122" xfId="0" applyFont="1" applyBorder="1" applyAlignment="1">
      <alignment horizontal="center" vertical="center" wrapText="1"/>
    </xf>
    <xf numFmtId="49" fontId="29" fillId="0" borderId="121" xfId="0" applyNumberFormat="1" applyFont="1" applyBorder="1" applyAlignment="1">
      <alignment horizontal="center" vertical="center" textRotation="90" wrapText="1"/>
    </xf>
    <xf numFmtId="49" fontId="29" fillId="0" borderId="122" xfId="0" applyNumberFormat="1" applyFont="1" applyBorder="1" applyAlignment="1">
      <alignment horizontal="center" vertical="center" textRotation="90" wrapText="1"/>
    </xf>
    <xf numFmtId="49" fontId="29" fillId="0" borderId="123" xfId="0" applyNumberFormat="1" applyFont="1" applyBorder="1" applyAlignment="1">
      <alignment horizontal="center" vertical="center" textRotation="90" wrapText="1"/>
    </xf>
    <xf numFmtId="0" fontId="29" fillId="0" borderId="121" xfId="0" applyFont="1" applyBorder="1" applyAlignment="1">
      <alignment horizontal="center" vertical="center" wrapText="1"/>
    </xf>
    <xf numFmtId="0" fontId="29" fillId="0" borderId="122" xfId="0" applyFont="1" applyBorder="1" applyAlignment="1">
      <alignment horizontal="center" vertical="center" wrapText="1"/>
    </xf>
    <xf numFmtId="0" fontId="29" fillId="0" borderId="123" xfId="0" applyFont="1" applyBorder="1" applyAlignment="1">
      <alignment horizontal="center" vertical="center" wrapText="1"/>
    </xf>
    <xf numFmtId="49" fontId="66" fillId="0" borderId="121" xfId="0" applyNumberFormat="1" applyFont="1" applyBorder="1" applyAlignment="1">
      <alignment horizontal="center" vertical="center" textRotation="90" wrapText="1"/>
    </xf>
    <xf numFmtId="49" fontId="66" fillId="0" borderId="122" xfId="0" applyNumberFormat="1" applyFont="1" applyBorder="1" applyAlignment="1">
      <alignment horizontal="center" vertical="center" textRotation="90" wrapText="1"/>
    </xf>
    <xf numFmtId="49" fontId="66" fillId="0" borderId="123" xfId="0" applyNumberFormat="1" applyFont="1" applyBorder="1" applyAlignment="1">
      <alignment horizontal="center" vertical="center" textRotation="90" wrapText="1"/>
    </xf>
    <xf numFmtId="0" fontId="30" fillId="0" borderId="101" xfId="0" applyFont="1" applyBorder="1" applyAlignment="1">
      <alignment horizontal="center" vertical="center" wrapText="1"/>
    </xf>
    <xf numFmtId="49" fontId="74" fillId="0" borderId="66" xfId="0" applyNumberFormat="1" applyFont="1" applyBorder="1" applyAlignment="1">
      <alignment horizontal="center" vertical="center" textRotation="90" wrapText="1"/>
    </xf>
    <xf numFmtId="49" fontId="74" fillId="0" borderId="67" xfId="0" applyNumberFormat="1" applyFont="1" applyBorder="1" applyAlignment="1">
      <alignment horizontal="center" vertical="center" textRotation="90" wrapText="1"/>
    </xf>
    <xf numFmtId="49" fontId="74" fillId="0" borderId="91" xfId="0" applyNumberFormat="1" applyFont="1" applyBorder="1" applyAlignment="1">
      <alignment horizontal="center" vertical="center" textRotation="90" wrapText="1"/>
    </xf>
    <xf numFmtId="0" fontId="73" fillId="0" borderId="123" xfId="0" applyFont="1" applyBorder="1" applyAlignment="1">
      <alignment horizontal="center" vertical="center" wrapText="1"/>
    </xf>
    <xf numFmtId="0" fontId="9" fillId="0" borderId="121" xfId="0" applyFont="1" applyBorder="1" applyAlignment="1">
      <alignment horizontal="center" vertical="center" wrapText="1"/>
    </xf>
    <xf numFmtId="0" fontId="9" fillId="0" borderId="122" xfId="0" applyFont="1" applyBorder="1" applyAlignment="1">
      <alignment horizontal="center" vertical="center" wrapText="1"/>
    </xf>
    <xf numFmtId="0" fontId="22" fillId="0" borderId="121" xfId="0" applyFont="1" applyBorder="1" applyAlignment="1">
      <alignment horizontal="center" vertical="center" textRotation="90" wrapText="1"/>
    </xf>
    <xf numFmtId="0" fontId="22" fillId="0" borderId="123" xfId="0" applyFont="1" applyBorder="1" applyAlignment="1">
      <alignment horizontal="center" vertical="center" textRotation="90" wrapText="1"/>
    </xf>
    <xf numFmtId="0" fontId="74" fillId="0" borderId="229" xfId="0" applyFont="1" applyBorder="1" applyAlignment="1">
      <alignment horizontal="center" vertical="center" wrapText="1"/>
    </xf>
    <xf numFmtId="0" fontId="72" fillId="28" borderId="121" xfId="0" applyFont="1" applyFill="1" applyBorder="1" applyAlignment="1">
      <alignment horizontal="center" vertical="center" wrapText="1"/>
    </xf>
    <xf numFmtId="0" fontId="72" fillId="28" borderId="123" xfId="0" applyFont="1" applyFill="1" applyBorder="1" applyAlignment="1">
      <alignment horizontal="center" vertical="center" wrapText="1"/>
    </xf>
    <xf numFmtId="0" fontId="72" fillId="28" borderId="121" xfId="0" applyFont="1" applyFill="1" applyBorder="1" applyAlignment="1">
      <alignment horizontal="center" vertical="center" textRotation="90" wrapText="1"/>
    </xf>
    <xf numFmtId="0" fontId="72" fillId="28" borderId="123" xfId="0" applyFont="1" applyFill="1" applyBorder="1" applyAlignment="1">
      <alignment horizontal="center" vertical="center" textRotation="90" wrapText="1"/>
    </xf>
    <xf numFmtId="0" fontId="67" fillId="28" borderId="121" xfId="0" applyFont="1" applyFill="1" applyBorder="1" applyAlignment="1">
      <alignment horizontal="center" vertical="center" textRotation="90" wrapText="1"/>
    </xf>
    <xf numFmtId="0" fontId="67" fillId="28" borderId="123" xfId="0" applyFont="1" applyFill="1" applyBorder="1" applyAlignment="1">
      <alignment horizontal="center" vertical="center" textRotation="90" wrapText="1"/>
    </xf>
    <xf numFmtId="0" fontId="77" fillId="28" borderId="121" xfId="0" applyFont="1" applyFill="1" applyBorder="1" applyAlignment="1">
      <alignment horizontal="center" vertical="center" wrapText="1"/>
    </xf>
    <xf numFmtId="0" fontId="77" fillId="28" borderId="123" xfId="0" applyFont="1" applyFill="1" applyBorder="1" applyAlignment="1">
      <alignment horizontal="center" vertical="center" wrapText="1"/>
    </xf>
    <xf numFmtId="0" fontId="75" fillId="0" borderId="121" xfId="0" applyFont="1" applyBorder="1" applyAlignment="1">
      <alignment horizontal="center" vertical="center" wrapText="1"/>
    </xf>
    <xf numFmtId="0" fontId="75" fillId="0" borderId="122" xfId="0" applyFont="1" applyBorder="1" applyAlignment="1">
      <alignment horizontal="center" vertical="center" wrapText="1"/>
    </xf>
    <xf numFmtId="0" fontId="75" fillId="0" borderId="123" xfId="0" applyFont="1" applyBorder="1" applyAlignment="1">
      <alignment horizontal="center" vertical="center" wrapText="1"/>
    </xf>
    <xf numFmtId="49" fontId="73" fillId="0" borderId="278" xfId="0" applyNumberFormat="1" applyFont="1" applyBorder="1" applyAlignment="1">
      <alignment horizontal="center" vertical="center" textRotation="90" wrapText="1"/>
    </xf>
    <xf numFmtId="0" fontId="31" fillId="0" borderId="116" xfId="0" applyFont="1" applyBorder="1" applyAlignment="1">
      <alignment horizontal="center" vertical="center" wrapText="1"/>
    </xf>
    <xf numFmtId="0" fontId="127" fillId="0" borderId="32" xfId="0" applyFont="1" applyBorder="1" applyAlignment="1">
      <alignment horizontal="center" vertical="center" textRotation="90" wrapText="1"/>
    </xf>
    <xf numFmtId="0" fontId="127" fillId="0" borderId="42" xfId="0" applyFont="1" applyBorder="1" applyAlignment="1">
      <alignment horizontal="center" vertical="center" textRotation="90" wrapText="1"/>
    </xf>
    <xf numFmtId="0" fontId="127" fillId="0" borderId="46" xfId="0" applyFont="1" applyBorder="1" applyAlignment="1">
      <alignment horizontal="center" vertical="center" textRotation="90" wrapText="1"/>
    </xf>
    <xf numFmtId="0" fontId="127" fillId="0" borderId="28" xfId="0" applyFont="1" applyBorder="1" applyAlignment="1">
      <alignment horizontal="center" vertical="center" textRotation="90" wrapText="1"/>
    </xf>
    <xf numFmtId="0" fontId="127" fillId="0" borderId="33" xfId="0" applyFont="1" applyBorder="1" applyAlignment="1">
      <alignment horizontal="center" vertical="center" textRotation="90" wrapText="1"/>
    </xf>
    <xf numFmtId="0" fontId="127" fillId="0" borderId="263" xfId="0" applyFont="1" applyBorder="1" applyAlignment="1">
      <alignment horizontal="center" vertical="center" textRotation="90" wrapText="1"/>
    </xf>
    <xf numFmtId="0" fontId="72" fillId="0" borderId="1" xfId="0" applyFont="1" applyBorder="1" applyAlignment="1">
      <alignment horizontal="center" vertical="center" textRotation="90" wrapText="1"/>
    </xf>
    <xf numFmtId="0" fontId="27" fillId="0" borderId="116" xfId="0" applyFont="1" applyBorder="1" applyAlignment="1">
      <alignment horizontal="center" vertical="center" wrapText="1"/>
    </xf>
    <xf numFmtId="0" fontId="67" fillId="0" borderId="121" xfId="0" applyFont="1" applyBorder="1" applyAlignment="1">
      <alignment horizontal="center" vertical="center" textRotation="90" wrapText="1"/>
    </xf>
    <xf numFmtId="0" fontId="67" fillId="0" borderId="122" xfId="0" applyFont="1" applyBorder="1" applyAlignment="1">
      <alignment horizontal="center" vertical="center" textRotation="90" wrapText="1"/>
    </xf>
    <xf numFmtId="0" fontId="67" fillId="0" borderId="123" xfId="0" applyFont="1" applyBorder="1" applyAlignment="1">
      <alignment horizontal="center" vertical="center" textRotation="90" wrapText="1"/>
    </xf>
    <xf numFmtId="0" fontId="77" fillId="28" borderId="121" xfId="0" applyFont="1" applyFill="1" applyBorder="1" applyAlignment="1">
      <alignment horizontal="center" vertical="center" textRotation="90" wrapText="1"/>
    </xf>
    <xf numFmtId="0" fontId="77" fillId="28" borderId="123" xfId="0" applyFont="1" applyFill="1" applyBorder="1" applyAlignment="1">
      <alignment horizontal="center" vertical="center" textRotation="90" wrapText="1"/>
    </xf>
    <xf numFmtId="3" fontId="22" fillId="0" borderId="122" xfId="0" applyNumberFormat="1" applyFont="1" applyBorder="1" applyAlignment="1">
      <alignment horizontal="center" vertical="center" textRotation="90" wrapText="1"/>
    </xf>
    <xf numFmtId="0" fontId="20" fillId="0" borderId="121" xfId="0" applyFont="1" applyBorder="1" applyAlignment="1">
      <alignment horizontal="center" vertical="center" textRotation="90" wrapText="1"/>
    </xf>
    <xf numFmtId="0" fontId="20" fillId="0" borderId="122" xfId="0" applyFont="1" applyBorder="1" applyAlignment="1">
      <alignment horizontal="center" vertical="center" textRotation="90" wrapText="1"/>
    </xf>
    <xf numFmtId="0" fontId="20" fillId="0" borderId="123" xfId="0" applyFont="1" applyBorder="1" applyAlignment="1">
      <alignment horizontal="center" vertical="center" textRotation="90" wrapText="1"/>
    </xf>
    <xf numFmtId="3" fontId="22" fillId="0" borderId="121" xfId="0" applyNumberFormat="1" applyFont="1" applyBorder="1" applyAlignment="1">
      <alignment horizontal="center" vertical="center" textRotation="90" wrapText="1"/>
    </xf>
    <xf numFmtId="3" fontId="22" fillId="0" borderId="123" xfId="0" applyNumberFormat="1" applyFont="1" applyBorder="1" applyAlignment="1">
      <alignment horizontal="center" vertical="center" textRotation="90" wrapText="1"/>
    </xf>
    <xf numFmtId="0" fontId="9" fillId="0" borderId="149" xfId="0" applyFont="1" applyBorder="1" applyAlignment="1">
      <alignment horizontal="center" vertical="center" wrapText="1"/>
    </xf>
    <xf numFmtId="0" fontId="9" fillId="0" borderId="154" xfId="0" applyFont="1" applyBorder="1" applyAlignment="1">
      <alignment horizontal="center" vertical="center" wrapText="1"/>
    </xf>
    <xf numFmtId="9" fontId="90" fillId="23" borderId="127" xfId="0" applyNumberFormat="1" applyFont="1" applyFill="1" applyBorder="1" applyAlignment="1">
      <alignment horizontal="center" vertical="center" wrapText="1"/>
    </xf>
    <xf numFmtId="9" fontId="90" fillId="7" borderId="126" xfId="0" applyNumberFormat="1" applyFont="1" applyFill="1" applyBorder="1" applyAlignment="1">
      <alignment horizontal="center" vertical="center" wrapText="1"/>
    </xf>
    <xf numFmtId="9" fontId="90" fillId="7" borderId="128" xfId="0" applyNumberFormat="1" applyFont="1" applyFill="1" applyBorder="1" applyAlignment="1">
      <alignment horizontal="center" vertical="center" wrapText="1"/>
    </xf>
    <xf numFmtId="9" fontId="90" fillId="7" borderId="127" xfId="0" applyNumberFormat="1" applyFont="1" applyFill="1" applyBorder="1" applyAlignment="1">
      <alignment horizontal="center" vertical="center" wrapText="1"/>
    </xf>
    <xf numFmtId="0" fontId="127" fillId="28" borderId="172" xfId="0" applyFont="1" applyFill="1" applyBorder="1" applyAlignment="1">
      <alignment vertical="top" wrapText="1"/>
    </xf>
    <xf numFmtId="0" fontId="127" fillId="28" borderId="123" xfId="0" applyFont="1" applyFill="1" applyBorder="1" applyAlignment="1">
      <alignment vertical="top" wrapText="1"/>
    </xf>
    <xf numFmtId="0" fontId="9" fillId="0" borderId="123" xfId="0" applyFont="1" applyBorder="1" applyAlignment="1">
      <alignment horizontal="center" vertical="center" wrapText="1"/>
    </xf>
    <xf numFmtId="3" fontId="295" fillId="0" borderId="117" xfId="0" applyNumberFormat="1" applyFont="1" applyBorder="1" applyAlignment="1">
      <alignment horizontal="right" vertical="center" wrapText="1"/>
    </xf>
    <xf numFmtId="3" fontId="72" fillId="0" borderId="121" xfId="10" applyNumberFormat="1" applyFont="1" applyFill="1" applyBorder="1" applyAlignment="1">
      <alignment horizontal="center" vertical="center" textRotation="90" wrapText="1"/>
    </xf>
    <xf numFmtId="3" fontId="72" fillId="0" borderId="122" xfId="10" applyNumberFormat="1" applyFont="1" applyFill="1" applyBorder="1" applyAlignment="1">
      <alignment horizontal="center" vertical="center" textRotation="90" wrapText="1"/>
    </xf>
    <xf numFmtId="0" fontId="295" fillId="0" borderId="119" xfId="0" applyFont="1" applyBorder="1" applyAlignment="1">
      <alignment horizontal="center" vertical="center" wrapText="1"/>
    </xf>
    <xf numFmtId="0" fontId="295" fillId="0" borderId="0" xfId="0" applyFont="1" applyAlignment="1">
      <alignment horizontal="center" vertical="center" wrapText="1"/>
    </xf>
    <xf numFmtId="0" fontId="295" fillId="0" borderId="69" xfId="0" applyFont="1" applyBorder="1" applyAlignment="1">
      <alignment horizontal="center" vertical="center" wrapText="1"/>
    </xf>
    <xf numFmtId="3" fontId="90" fillId="28" borderId="126" xfId="0" applyNumberFormat="1" applyFont="1" applyFill="1" applyBorder="1" applyAlignment="1">
      <alignment horizontal="center" vertical="center" wrapText="1"/>
    </xf>
    <xf numFmtId="3" fontId="90" fillId="28" borderId="128" xfId="0" applyNumberFormat="1" applyFont="1" applyFill="1" applyBorder="1" applyAlignment="1">
      <alignment horizontal="center" vertical="center" wrapText="1"/>
    </xf>
    <xf numFmtId="3" fontId="90" fillId="28" borderId="127" xfId="0" applyNumberFormat="1" applyFont="1" applyFill="1" applyBorder="1" applyAlignment="1">
      <alignment horizontal="center" vertical="center" wrapText="1"/>
    </xf>
    <xf numFmtId="0" fontId="127" fillId="0" borderId="116" xfId="0" applyFont="1" applyBorder="1" applyAlignment="1">
      <alignment horizontal="left" vertical="center" wrapText="1"/>
    </xf>
    <xf numFmtId="1" fontId="22" fillId="0" borderId="122" xfId="0" applyNumberFormat="1" applyFont="1" applyBorder="1" applyAlignment="1">
      <alignment horizontal="center" vertical="center" textRotation="90" wrapText="1"/>
    </xf>
    <xf numFmtId="1" fontId="22" fillId="0" borderId="123" xfId="0" applyNumberFormat="1" applyFont="1" applyBorder="1" applyAlignment="1">
      <alignment horizontal="center" vertical="center" textRotation="90" wrapText="1"/>
    </xf>
    <xf numFmtId="9" fontId="90" fillId="29" borderId="126" xfId="0" applyNumberFormat="1" applyFont="1" applyFill="1" applyBorder="1" applyAlignment="1">
      <alignment horizontal="center" vertical="center" wrapText="1"/>
    </xf>
    <xf numFmtId="9" fontId="90" fillId="29" borderId="128" xfId="0" applyNumberFormat="1" applyFont="1" applyFill="1" applyBorder="1" applyAlignment="1">
      <alignment horizontal="center" vertical="center" wrapText="1"/>
    </xf>
    <xf numFmtId="9" fontId="90" fillId="29" borderId="127" xfId="0" applyNumberFormat="1" applyFont="1" applyFill="1" applyBorder="1" applyAlignment="1">
      <alignment horizontal="center" vertical="center" wrapText="1"/>
    </xf>
    <xf numFmtId="9" fontId="295" fillId="22" borderId="117" xfId="0" applyNumberFormat="1" applyFont="1" applyFill="1" applyBorder="1" applyAlignment="1">
      <alignment horizontal="center" vertical="center" wrapText="1"/>
    </xf>
    <xf numFmtId="0" fontId="4" fillId="0" borderId="197" xfId="0" applyFont="1" applyBorder="1" applyAlignment="1">
      <alignment horizontal="center" wrapText="1"/>
    </xf>
    <xf numFmtId="0" fontId="4" fillId="0" borderId="198" xfId="0" applyFont="1" applyBorder="1" applyAlignment="1">
      <alignment horizontal="center" wrapText="1"/>
    </xf>
    <xf numFmtId="0" fontId="4" fillId="0" borderId="258" xfId="0" applyFont="1" applyBorder="1" applyAlignment="1">
      <alignment horizontal="center" wrapText="1"/>
    </xf>
    <xf numFmtId="0" fontId="4" fillId="0" borderId="259" xfId="0" applyFont="1" applyBorder="1" applyAlignment="1">
      <alignment horizontal="center" wrapText="1"/>
    </xf>
    <xf numFmtId="0" fontId="30" fillId="0" borderId="243" xfId="0" applyFont="1" applyBorder="1" applyAlignment="1">
      <alignment horizontal="center" vertical="center" wrapText="1"/>
    </xf>
    <xf numFmtId="0" fontId="30" fillId="0" borderId="244" xfId="0" applyFont="1" applyBorder="1" applyAlignment="1">
      <alignment horizontal="center" vertical="center" wrapText="1"/>
    </xf>
    <xf numFmtId="0" fontId="30" fillId="0" borderId="260" xfId="0" applyFont="1" applyBorder="1" applyAlignment="1">
      <alignment horizontal="center" vertical="center" wrapText="1"/>
    </xf>
    <xf numFmtId="0" fontId="4" fillId="0" borderId="250" xfId="0" applyFont="1" applyBorder="1" applyAlignment="1">
      <alignment horizontal="center" wrapText="1"/>
    </xf>
    <xf numFmtId="0" fontId="4" fillId="0" borderId="251" xfId="0" applyFont="1" applyBorder="1" applyAlignment="1">
      <alignment horizontal="center" wrapText="1"/>
    </xf>
    <xf numFmtId="0" fontId="4" fillId="0" borderId="252" xfId="0" applyFont="1" applyBorder="1" applyAlignment="1">
      <alignment horizontal="center" wrapText="1"/>
    </xf>
    <xf numFmtId="0" fontId="4" fillId="0" borderId="199" xfId="0" applyFont="1" applyBorder="1" applyAlignment="1">
      <alignment horizontal="center" wrapText="1"/>
    </xf>
    <xf numFmtId="0" fontId="4" fillId="0" borderId="273" xfId="0" applyFont="1" applyBorder="1" applyAlignment="1">
      <alignment horizontal="center" wrapText="1"/>
    </xf>
    <xf numFmtId="0" fontId="4" fillId="0" borderId="274" xfId="0" applyFont="1" applyBorder="1" applyAlignment="1">
      <alignment horizontal="center" wrapText="1"/>
    </xf>
    <xf numFmtId="0" fontId="4" fillId="0" borderId="276" xfId="0" applyFont="1" applyBorder="1" applyAlignment="1">
      <alignment horizontal="center" wrapText="1"/>
    </xf>
    <xf numFmtId="0" fontId="79" fillId="0" borderId="273" xfId="0" applyFont="1" applyBorder="1" applyAlignment="1">
      <alignment horizontal="center" vertical="center" wrapText="1"/>
    </xf>
    <xf numFmtId="0" fontId="79" fillId="0" borderId="274" xfId="0" applyFont="1" applyBorder="1" applyAlignment="1">
      <alignment horizontal="center" vertical="center" wrapText="1"/>
    </xf>
    <xf numFmtId="0" fontId="79" fillId="0" borderId="275" xfId="0" applyFont="1" applyBorder="1" applyAlignment="1">
      <alignment horizontal="center" vertical="center" wrapText="1"/>
    </xf>
    <xf numFmtId="0" fontId="72" fillId="0" borderId="73" xfId="0" applyFont="1" applyBorder="1" applyAlignment="1">
      <alignment horizontal="center" vertical="center" wrapText="1"/>
    </xf>
    <xf numFmtId="0" fontId="72" fillId="0" borderId="0" xfId="0" applyFont="1" applyAlignment="1">
      <alignment horizontal="center" vertical="center" wrapText="1"/>
    </xf>
    <xf numFmtId="0" fontId="72" fillId="0" borderId="153" xfId="0" applyFont="1" applyBorder="1" applyAlignment="1">
      <alignment horizontal="center" vertical="center" wrapText="1"/>
    </xf>
    <xf numFmtId="0" fontId="31" fillId="22" borderId="121" xfId="0" applyFont="1" applyFill="1" applyBorder="1" applyAlignment="1">
      <alignment horizontal="center" vertical="center" wrapText="1"/>
    </xf>
    <xf numFmtId="0" fontId="31" fillId="22" borderId="122" xfId="0" applyFont="1" applyFill="1" applyBorder="1" applyAlignment="1">
      <alignment horizontal="center" vertical="center" wrapText="1"/>
    </xf>
    <xf numFmtId="0" fontId="31" fillId="22" borderId="123" xfId="0" applyFont="1" applyFill="1" applyBorder="1" applyAlignment="1">
      <alignment horizontal="center" vertical="center" wrapText="1"/>
    </xf>
    <xf numFmtId="0" fontId="4" fillId="0" borderId="246" xfId="0" applyFont="1" applyBorder="1" applyAlignment="1">
      <alignment horizontal="center" wrapText="1"/>
    </xf>
    <xf numFmtId="0" fontId="4" fillId="0" borderId="247" xfId="0" applyFont="1" applyBorder="1" applyAlignment="1">
      <alignment horizontal="center" wrapText="1"/>
    </xf>
    <xf numFmtId="0" fontId="77" fillId="0" borderId="243" xfId="0" applyFont="1" applyBorder="1" applyAlignment="1">
      <alignment horizontal="center" vertical="center" textRotation="90" wrapText="1"/>
    </xf>
    <xf numFmtId="0" fontId="77" fillId="0" borderId="244" xfId="0" applyFont="1" applyBorder="1" applyAlignment="1">
      <alignment horizontal="center" vertical="center" textRotation="90" wrapText="1"/>
    </xf>
    <xf numFmtId="0" fontId="77" fillId="0" borderId="245" xfId="0" applyFont="1" applyBorder="1" applyAlignment="1">
      <alignment horizontal="center" vertical="center" textRotation="90" wrapText="1"/>
    </xf>
    <xf numFmtId="0" fontId="140" fillId="0" borderId="73" xfId="0" applyFont="1" applyBorder="1" applyAlignment="1">
      <alignment horizontal="center" vertical="center" textRotation="90" wrapText="1"/>
    </xf>
    <xf numFmtId="0" fontId="140" fillId="0" borderId="0" xfId="0" applyFont="1" applyAlignment="1">
      <alignment horizontal="center" vertical="center" textRotation="90" wrapText="1"/>
    </xf>
    <xf numFmtId="0" fontId="140" fillId="0" borderId="248" xfId="0" applyFont="1" applyBorder="1" applyAlignment="1">
      <alignment horizontal="center" vertical="center" textRotation="90" wrapText="1"/>
    </xf>
    <xf numFmtId="0" fontId="140" fillId="0" borderId="243" xfId="0" applyFont="1" applyBorder="1" applyAlignment="1">
      <alignment horizontal="center" vertical="center" textRotation="90" wrapText="1"/>
    </xf>
    <xf numFmtId="0" fontId="140" fillId="0" borderId="244" xfId="0" applyFont="1" applyBorder="1" applyAlignment="1">
      <alignment horizontal="center" vertical="center" textRotation="90" wrapText="1"/>
    </xf>
    <xf numFmtId="0" fontId="140" fillId="0" borderId="245" xfId="0" applyFont="1" applyBorder="1" applyAlignment="1">
      <alignment horizontal="center" vertical="center" textRotation="90" wrapText="1"/>
    </xf>
    <xf numFmtId="0" fontId="31" fillId="0" borderId="123" xfId="0" applyFont="1" applyBorder="1" applyAlignment="1">
      <alignment horizontal="center" vertical="center" wrapText="1"/>
    </xf>
    <xf numFmtId="0" fontId="72" fillId="0" borderId="243" xfId="0" applyFont="1" applyBorder="1" applyAlignment="1">
      <alignment horizontal="center" vertical="center" textRotation="90" wrapText="1"/>
    </xf>
    <xf numFmtId="0" fontId="72" fillId="0" borderId="244" xfId="0" applyFont="1" applyBorder="1" applyAlignment="1">
      <alignment horizontal="center" vertical="center" textRotation="90" wrapText="1"/>
    </xf>
    <xf numFmtId="0" fontId="128" fillId="0" borderId="197" xfId="0" applyFont="1" applyBorder="1" applyAlignment="1">
      <alignment horizontal="center" vertical="center" wrapText="1"/>
    </xf>
    <xf numFmtId="0" fontId="128" fillId="0" borderId="198" xfId="0" applyFont="1" applyBorder="1" applyAlignment="1">
      <alignment horizontal="center" vertical="center" wrapText="1"/>
    </xf>
    <xf numFmtId="0" fontId="128" fillId="0" borderId="199" xfId="0" applyFont="1" applyBorder="1" applyAlignment="1">
      <alignment horizontal="center" vertical="center" wrapText="1"/>
    </xf>
    <xf numFmtId="0" fontId="74" fillId="0" borderId="243" xfId="0" applyFont="1" applyBorder="1" applyAlignment="1">
      <alignment horizontal="center" vertical="center" wrapText="1"/>
    </xf>
    <xf numFmtId="0" fontId="74" fillId="0" borderId="244" xfId="0" applyFont="1" applyBorder="1" applyAlignment="1">
      <alignment horizontal="center" vertical="center" wrapText="1"/>
    </xf>
    <xf numFmtId="0" fontId="74" fillId="0" borderId="245" xfId="0" applyFont="1" applyBorder="1" applyAlignment="1">
      <alignment horizontal="center" vertical="center" wrapText="1"/>
    </xf>
    <xf numFmtId="0" fontId="7" fillId="0" borderId="121" xfId="0" applyFont="1" applyBorder="1" applyAlignment="1">
      <alignment horizontal="center" vertical="center" wrapText="1"/>
    </xf>
    <xf numFmtId="0" fontId="7" fillId="0" borderId="277" xfId="0" applyFont="1" applyBorder="1" applyAlignment="1">
      <alignment horizontal="center" vertical="center" wrapText="1"/>
    </xf>
    <xf numFmtId="0" fontId="72" fillId="0" borderId="121" xfId="0" applyFont="1" applyBorder="1" applyAlignment="1">
      <alignment horizontal="center" vertical="center" textRotation="90"/>
    </xf>
    <xf numFmtId="0" fontId="72" fillId="0" borderId="122" xfId="0" applyFont="1" applyBorder="1" applyAlignment="1">
      <alignment horizontal="center" vertical="center" textRotation="90"/>
    </xf>
    <xf numFmtId="0" fontId="31" fillId="22" borderId="116" xfId="0" applyFont="1" applyFill="1" applyBorder="1" applyAlignment="1">
      <alignment horizontal="center" vertical="center" wrapText="1"/>
    </xf>
    <xf numFmtId="0" fontId="4" fillId="0" borderId="237" xfId="0" applyFont="1" applyBorder="1" applyAlignment="1">
      <alignment horizontal="center" vertical="center" wrapText="1"/>
    </xf>
    <xf numFmtId="0" fontId="4" fillId="0" borderId="238" xfId="0" applyFont="1" applyBorder="1" applyAlignment="1">
      <alignment horizontal="center" vertical="center" wrapText="1"/>
    </xf>
    <xf numFmtId="0" fontId="306" fillId="0" borderId="268" xfId="0" applyFont="1" applyBorder="1" applyAlignment="1">
      <alignment vertical="center" wrapText="1"/>
    </xf>
    <xf numFmtId="0" fontId="306" fillId="0" borderId="264" xfId="0" applyFont="1" applyBorder="1" applyAlignment="1">
      <alignment vertical="center" wrapText="1"/>
    </xf>
    <xf numFmtId="0" fontId="316" fillId="0" borderId="264" xfId="0" applyFont="1" applyBorder="1" applyAlignment="1">
      <alignment horizontal="center" vertical="center" wrapText="1" readingOrder="1"/>
    </xf>
    <xf numFmtId="0" fontId="316" fillId="0" borderId="266" xfId="0" applyFont="1" applyBorder="1" applyAlignment="1">
      <alignment horizontal="center" vertical="center" wrapText="1" readingOrder="1"/>
    </xf>
    <xf numFmtId="0" fontId="105" fillId="6" borderId="99" xfId="0" applyFont="1" applyFill="1" applyBorder="1" applyAlignment="1">
      <alignment horizontal="center" vertical="center" wrapText="1"/>
    </xf>
    <xf numFmtId="0" fontId="105" fillId="6" borderId="100" xfId="0" applyFont="1" applyFill="1" applyBorder="1" applyAlignment="1">
      <alignment horizontal="center" vertical="center" wrapText="1"/>
    </xf>
    <xf numFmtId="0" fontId="96" fillId="3" borderId="0" xfId="0" applyFont="1" applyFill="1" applyAlignment="1">
      <alignment horizontal="center" vertical="center"/>
    </xf>
    <xf numFmtId="0" fontId="96" fillId="3" borderId="33" xfId="0" applyFont="1" applyFill="1" applyBorder="1" applyAlignment="1">
      <alignment horizontal="center" vertical="center"/>
    </xf>
    <xf numFmtId="0" fontId="96" fillId="23" borderId="85" xfId="0" applyFont="1" applyFill="1" applyBorder="1" applyAlignment="1">
      <alignment horizontal="center" vertical="center"/>
    </xf>
    <xf numFmtId="0" fontId="96" fillId="23" borderId="37" xfId="0" applyFont="1" applyFill="1" applyBorder="1" applyAlignment="1">
      <alignment horizontal="center" vertical="center"/>
    </xf>
    <xf numFmtId="0" fontId="96" fillId="14" borderId="0" xfId="0" applyFont="1" applyFill="1" applyAlignment="1">
      <alignment horizontal="center" vertical="center"/>
    </xf>
    <xf numFmtId="0" fontId="96" fillId="14" borderId="33" xfId="0" applyFont="1" applyFill="1" applyBorder="1" applyAlignment="1">
      <alignment horizontal="center" vertical="center"/>
    </xf>
    <xf numFmtId="0" fontId="96" fillId="22" borderId="0" xfId="0" applyFont="1" applyFill="1" applyAlignment="1">
      <alignment horizontal="center" vertical="center"/>
    </xf>
    <xf numFmtId="0" fontId="96" fillId="22" borderId="33" xfId="0" applyFont="1" applyFill="1" applyBorder="1" applyAlignment="1">
      <alignment horizontal="center" vertical="center"/>
    </xf>
    <xf numFmtId="0" fontId="34" fillId="11" borderId="30" xfId="0" applyFont="1" applyFill="1" applyBorder="1" applyAlignment="1">
      <alignment horizontal="center" vertical="center" wrapText="1"/>
    </xf>
    <xf numFmtId="0" fontId="83" fillId="21" borderId="33" xfId="0" applyFont="1" applyFill="1" applyBorder="1" applyAlignment="1">
      <alignment horizontal="center" vertical="center" textRotation="90" wrapText="1"/>
    </xf>
    <xf numFmtId="0" fontId="83" fillId="21" borderId="37" xfId="0" applyFont="1" applyFill="1" applyBorder="1" applyAlignment="1">
      <alignment horizontal="center" vertical="center" textRotation="90" wrapText="1"/>
    </xf>
    <xf numFmtId="0" fontId="34" fillId="11" borderId="35" xfId="0" applyFont="1" applyFill="1" applyBorder="1" applyAlignment="1">
      <alignment horizontal="center" vertical="center" wrapText="1"/>
    </xf>
    <xf numFmtId="0" fontId="34" fillId="11" borderId="39" xfId="0" applyFont="1" applyFill="1" applyBorder="1" applyAlignment="1">
      <alignment horizontal="center" vertical="center" wrapText="1"/>
    </xf>
    <xf numFmtId="0" fontId="95" fillId="40" borderId="77" xfId="0" applyFont="1" applyFill="1" applyBorder="1" applyAlignment="1">
      <alignment horizontal="center" vertical="center"/>
    </xf>
    <xf numFmtId="0" fontId="95" fillId="40" borderId="28" xfId="0" applyFont="1" applyFill="1" applyBorder="1" applyAlignment="1">
      <alignment horizontal="center" vertical="center"/>
    </xf>
    <xf numFmtId="0" fontId="95" fillId="40" borderId="84" xfId="0" applyFont="1" applyFill="1" applyBorder="1" applyAlignment="1">
      <alignment horizontal="center" vertical="center"/>
    </xf>
    <xf numFmtId="0" fontId="96" fillId="7" borderId="0" xfId="0" applyFont="1" applyFill="1" applyAlignment="1">
      <alignment horizontal="center" vertical="center"/>
    </xf>
    <xf numFmtId="0" fontId="96" fillId="7" borderId="33" xfId="0" applyFont="1" applyFill="1" applyBorder="1" applyAlignment="1">
      <alignment horizontal="center" vertical="center"/>
    </xf>
    <xf numFmtId="0" fontId="105" fillId="6" borderId="95" xfId="0" applyFont="1" applyFill="1" applyBorder="1" applyAlignment="1">
      <alignment horizontal="center" vertical="center" wrapText="1"/>
    </xf>
    <xf numFmtId="0" fontId="105" fillId="6" borderId="97" xfId="0" applyFont="1" applyFill="1" applyBorder="1" applyAlignment="1">
      <alignment horizontal="center" vertical="center" wrapText="1"/>
    </xf>
    <xf numFmtId="0" fontId="105" fillId="6" borderId="40" xfId="0" applyFont="1" applyFill="1" applyBorder="1" applyAlignment="1">
      <alignment horizontal="center" vertical="center" wrapText="1"/>
    </xf>
    <xf numFmtId="0" fontId="105" fillId="6" borderId="93" xfId="0" applyFont="1" applyFill="1" applyBorder="1" applyAlignment="1">
      <alignment horizontal="center" vertical="center" wrapText="1"/>
    </xf>
    <xf numFmtId="0" fontId="105" fillId="6" borderId="104" xfId="0" applyFont="1" applyFill="1" applyBorder="1" applyAlignment="1">
      <alignment horizontal="center" vertical="center" wrapText="1"/>
    </xf>
    <xf numFmtId="0" fontId="105" fillId="6" borderId="98" xfId="0" applyFont="1" applyFill="1" applyBorder="1" applyAlignment="1">
      <alignment horizontal="center" vertical="center" wrapText="1"/>
    </xf>
    <xf numFmtId="0" fontId="115" fillId="40" borderId="113" xfId="0" applyFont="1" applyFill="1" applyBorder="1" applyAlignment="1">
      <alignment horizontal="center" vertical="center"/>
    </xf>
    <xf numFmtId="0" fontId="115" fillId="40" borderId="114" xfId="0" applyFont="1" applyFill="1" applyBorder="1" applyAlignment="1">
      <alignment horizontal="center" vertical="center"/>
    </xf>
    <xf numFmtId="0" fontId="115" fillId="40" borderId="115" xfId="0" applyFont="1" applyFill="1" applyBorder="1" applyAlignment="1">
      <alignment horizontal="center" vertical="center"/>
    </xf>
    <xf numFmtId="9" fontId="83" fillId="3" borderId="28" xfId="0" applyNumberFormat="1" applyFont="1" applyFill="1" applyBorder="1" applyAlignment="1">
      <alignment horizontal="center" vertical="center" textRotation="90" wrapText="1"/>
    </xf>
    <xf numFmtId="0" fontId="83" fillId="3" borderId="33" xfId="0" applyFont="1" applyFill="1" applyBorder="1" applyAlignment="1">
      <alignment horizontal="center" vertical="center" textRotation="90" wrapText="1"/>
    </xf>
    <xf numFmtId="0" fontId="83" fillId="3" borderId="37" xfId="0" applyFont="1" applyFill="1" applyBorder="1" applyAlignment="1">
      <alignment horizontal="center" vertical="center" textRotation="90" wrapText="1"/>
    </xf>
    <xf numFmtId="0" fontId="34" fillId="11" borderId="31" xfId="0" applyFont="1" applyFill="1" applyBorder="1" applyAlignment="1">
      <alignment horizontal="center" vertical="center" wrapText="1"/>
    </xf>
    <xf numFmtId="0" fontId="27" fillId="0" borderId="31" xfId="0" applyFont="1" applyBorder="1" applyAlignment="1">
      <alignment horizontal="center" vertical="center"/>
    </xf>
    <xf numFmtId="0" fontId="27" fillId="0" borderId="39" xfId="0" applyFont="1" applyBorder="1" applyAlignment="1">
      <alignment horizontal="center" vertical="center"/>
    </xf>
    <xf numFmtId="0" fontId="105" fillId="6" borderId="40" xfId="0" applyFont="1" applyFill="1" applyBorder="1" applyAlignment="1">
      <alignment horizontal="center" vertical="center"/>
    </xf>
    <xf numFmtId="0" fontId="105" fillId="6" borderId="93" xfId="0" applyFont="1" applyFill="1" applyBorder="1" applyAlignment="1">
      <alignment horizontal="center" vertical="center"/>
    </xf>
    <xf numFmtId="0" fontId="105" fillId="6" borderId="30" xfId="0" applyFont="1" applyFill="1" applyBorder="1" applyAlignment="1">
      <alignment horizontal="center" vertical="center" wrapText="1"/>
    </xf>
    <xf numFmtId="0" fontId="22" fillId="0" borderId="31" xfId="0" applyFont="1" applyBorder="1" applyAlignment="1">
      <alignment horizontal="center" vertical="center"/>
    </xf>
    <xf numFmtId="0" fontId="22" fillId="0" borderId="35" xfId="0" applyFont="1" applyBorder="1" applyAlignment="1">
      <alignment horizontal="center" vertical="center"/>
    </xf>
    <xf numFmtId="0" fontId="22" fillId="0" borderId="39" xfId="0" applyFont="1" applyBorder="1" applyAlignment="1">
      <alignment horizontal="center" vertical="center"/>
    </xf>
    <xf numFmtId="1" fontId="31" fillId="11" borderId="31" xfId="0" applyNumberFormat="1" applyFont="1" applyFill="1" applyBorder="1" applyAlignment="1">
      <alignment horizontal="center" vertical="center" wrapText="1"/>
    </xf>
    <xf numFmtId="1" fontId="31" fillId="11" borderId="35" xfId="0" applyNumberFormat="1" applyFont="1" applyFill="1" applyBorder="1" applyAlignment="1">
      <alignment horizontal="center" vertical="center" wrapText="1"/>
    </xf>
    <xf numFmtId="1" fontId="31" fillId="11" borderId="39" xfId="0" applyNumberFormat="1" applyFont="1" applyFill="1" applyBorder="1" applyAlignment="1">
      <alignment horizontal="center" vertical="center" wrapText="1"/>
    </xf>
    <xf numFmtId="0" fontId="27" fillId="0" borderId="35" xfId="0" applyFont="1" applyBorder="1" applyAlignment="1">
      <alignment horizontal="center" vertical="center"/>
    </xf>
    <xf numFmtId="0" fontId="105" fillId="6" borderId="110" xfId="0" applyFont="1" applyFill="1" applyBorder="1" applyAlignment="1">
      <alignment horizontal="center" vertical="center"/>
    </xf>
    <xf numFmtId="9" fontId="89" fillId="16" borderId="45" xfId="0" applyNumberFormat="1" applyFont="1" applyFill="1" applyBorder="1" applyAlignment="1">
      <alignment horizontal="center" vertical="center" textRotation="90" wrapText="1"/>
    </xf>
    <xf numFmtId="9" fontId="89" fillId="16" borderId="42" xfId="0" applyNumberFormat="1" applyFont="1" applyFill="1" applyBorder="1" applyAlignment="1">
      <alignment horizontal="center" vertical="center" textRotation="90" wrapText="1"/>
    </xf>
    <xf numFmtId="9" fontId="89" fillId="16" borderId="46" xfId="0" applyNumberFormat="1" applyFont="1" applyFill="1" applyBorder="1" applyAlignment="1">
      <alignment horizontal="center" vertical="center" textRotation="90" wrapText="1"/>
    </xf>
    <xf numFmtId="1" fontId="3" fillId="11" borderId="29" xfId="0" applyNumberFormat="1" applyFont="1" applyFill="1" applyBorder="1" applyAlignment="1">
      <alignment horizontal="center" vertical="center" wrapText="1"/>
    </xf>
    <xf numFmtId="1" fontId="3" fillId="11" borderId="34" xfId="0" applyNumberFormat="1" applyFont="1" applyFill="1" applyBorder="1" applyAlignment="1">
      <alignment horizontal="center" vertical="center" wrapText="1"/>
    </xf>
    <xf numFmtId="1" fontId="3" fillId="11" borderId="38" xfId="0" applyNumberFormat="1" applyFont="1" applyFill="1" applyBorder="1" applyAlignment="1">
      <alignment horizontal="center" vertical="center" wrapText="1"/>
    </xf>
    <xf numFmtId="1" fontId="29" fillId="11" borderId="30" xfId="0" applyNumberFormat="1" applyFont="1" applyFill="1" applyBorder="1" applyAlignment="1">
      <alignment horizontal="center" vertical="top" wrapText="1"/>
    </xf>
    <xf numFmtId="1" fontId="30" fillId="11" borderId="31" xfId="0" applyNumberFormat="1" applyFont="1" applyFill="1" applyBorder="1" applyAlignment="1">
      <alignment horizontal="center" vertical="center" wrapText="1"/>
    </xf>
    <xf numFmtId="1" fontId="30" fillId="11" borderId="35" xfId="0" applyNumberFormat="1" applyFont="1" applyFill="1" applyBorder="1" applyAlignment="1">
      <alignment horizontal="center" vertical="center" wrapText="1"/>
    </xf>
    <xf numFmtId="1" fontId="30" fillId="11" borderId="39" xfId="0" applyNumberFormat="1" applyFont="1" applyFill="1" applyBorder="1" applyAlignment="1">
      <alignment horizontal="center" vertical="center" wrapText="1"/>
    </xf>
    <xf numFmtId="9" fontId="83" fillId="7" borderId="28" xfId="0" applyNumberFormat="1" applyFont="1" applyFill="1" applyBorder="1" applyAlignment="1">
      <alignment horizontal="center" vertical="center" textRotation="90" wrapText="1"/>
    </xf>
    <xf numFmtId="0" fontId="83" fillId="7" borderId="33" xfId="0" applyFont="1" applyFill="1" applyBorder="1" applyAlignment="1">
      <alignment horizontal="center" vertical="center" textRotation="90" wrapText="1"/>
    </xf>
    <xf numFmtId="0" fontId="83" fillId="7" borderId="37" xfId="0" applyFont="1" applyFill="1" applyBorder="1" applyAlignment="1">
      <alignment horizontal="center" vertical="center" textRotation="90" wrapText="1"/>
    </xf>
    <xf numFmtId="1" fontId="7" fillId="11" borderId="29" xfId="0" applyNumberFormat="1" applyFont="1" applyFill="1" applyBorder="1" applyAlignment="1">
      <alignment horizontal="center" vertical="top" wrapText="1"/>
    </xf>
    <xf numFmtId="1" fontId="7" fillId="11" borderId="34" xfId="0" applyNumberFormat="1" applyFont="1" applyFill="1" applyBorder="1" applyAlignment="1">
      <alignment horizontal="center" vertical="top" wrapText="1"/>
    </xf>
    <xf numFmtId="1" fontId="7" fillId="11" borderId="38" xfId="0" applyNumberFormat="1" applyFont="1" applyFill="1" applyBorder="1" applyAlignment="1">
      <alignment horizontal="center" vertical="top" wrapText="1"/>
    </xf>
    <xf numFmtId="1" fontId="29" fillId="11" borderId="31" xfId="0" applyNumberFormat="1" applyFont="1" applyFill="1" applyBorder="1" applyAlignment="1">
      <alignment horizontal="center" vertical="top" wrapText="1"/>
    </xf>
    <xf numFmtId="1" fontId="29" fillId="11" borderId="35" xfId="0" applyNumberFormat="1" applyFont="1" applyFill="1" applyBorder="1" applyAlignment="1">
      <alignment horizontal="center" vertical="top" wrapText="1"/>
    </xf>
    <xf numFmtId="1" fontId="29" fillId="11" borderId="39" xfId="0" applyNumberFormat="1" applyFont="1" applyFill="1" applyBorder="1" applyAlignment="1">
      <alignment horizontal="center" vertical="top" wrapText="1"/>
    </xf>
    <xf numFmtId="0" fontId="146" fillId="0" borderId="0" xfId="0" applyFont="1" applyAlignment="1">
      <alignment horizontal="center" vertical="center"/>
    </xf>
    <xf numFmtId="0" fontId="145" fillId="0" borderId="0" xfId="0" applyFont="1" applyAlignment="1">
      <alignment horizontal="left" vertical="center" wrapText="1"/>
    </xf>
    <xf numFmtId="0" fontId="27" fillId="0" borderId="31" xfId="0" applyFont="1" applyBorder="1" applyAlignment="1">
      <alignment horizontal="center" vertical="center" wrapText="1"/>
    </xf>
    <xf numFmtId="0" fontId="27" fillId="0" borderId="39" xfId="0" applyFont="1" applyBorder="1" applyAlignment="1">
      <alignment horizontal="center" vertical="center" wrapText="1"/>
    </xf>
    <xf numFmtId="0" fontId="33" fillId="12" borderId="0" xfId="0" applyFont="1" applyFill="1" applyAlignment="1">
      <alignment horizontal="left" vertical="center"/>
    </xf>
    <xf numFmtId="0" fontId="115" fillId="40" borderId="32" xfId="0" applyFont="1" applyFill="1" applyBorder="1" applyAlignment="1">
      <alignment horizontal="center" vertical="center" textRotation="90" wrapText="1"/>
    </xf>
    <xf numFmtId="0" fontId="115" fillId="40" borderId="42" xfId="0" applyFont="1" applyFill="1" applyBorder="1" applyAlignment="1">
      <alignment horizontal="center" vertical="center" textRotation="90" wrapText="1"/>
    </xf>
    <xf numFmtId="0" fontId="115" fillId="40" borderId="112" xfId="0" applyFont="1" applyFill="1" applyBorder="1" applyAlignment="1">
      <alignment horizontal="center" vertical="center" textRotation="90" wrapText="1"/>
    </xf>
    <xf numFmtId="0" fontId="131" fillId="40" borderId="0" xfId="0" applyFont="1" applyFill="1" applyAlignment="1">
      <alignment horizontal="center"/>
    </xf>
    <xf numFmtId="9" fontId="83" fillId="10" borderId="41" xfId="0" applyNumberFormat="1" applyFont="1" applyFill="1" applyBorder="1" applyAlignment="1">
      <alignment horizontal="center" vertical="center" textRotation="90" wrapText="1"/>
    </xf>
    <xf numFmtId="0" fontId="83" fillId="10" borderId="41" xfId="0" applyFont="1" applyFill="1" applyBorder="1" applyAlignment="1">
      <alignment horizontal="center" vertical="center" textRotation="90" wrapText="1"/>
    </xf>
    <xf numFmtId="0" fontId="131" fillId="40" borderId="0" xfId="0" applyFont="1" applyFill="1" applyAlignment="1">
      <alignment horizontal="center" vertical="center"/>
    </xf>
    <xf numFmtId="0" fontId="309" fillId="0" borderId="268" xfId="0" applyFont="1" applyBorder="1" applyAlignment="1">
      <alignment horizontal="center" vertical="center" wrapText="1" readingOrder="1"/>
    </xf>
    <xf numFmtId="0" fontId="309" fillId="0" borderId="264" xfId="0" applyFont="1" applyBorder="1" applyAlignment="1">
      <alignment horizontal="center" vertical="center" wrapText="1" readingOrder="1"/>
    </xf>
    <xf numFmtId="0" fontId="309" fillId="7" borderId="269" xfId="0" applyFont="1" applyFill="1" applyBorder="1" applyAlignment="1">
      <alignment horizontal="center" vertical="center" wrapText="1" readingOrder="1"/>
    </xf>
    <xf numFmtId="0" fontId="309" fillId="7" borderId="266" xfId="0" applyFont="1" applyFill="1" applyBorder="1" applyAlignment="1">
      <alignment horizontal="center" vertical="center" wrapText="1" readingOrder="1"/>
    </xf>
    <xf numFmtId="0" fontId="309" fillId="0" borderId="266" xfId="0" applyFont="1" applyBorder="1" applyAlignment="1">
      <alignment horizontal="center" vertical="center" wrapText="1" readingOrder="1"/>
    </xf>
    <xf numFmtId="0" fontId="83" fillId="21" borderId="84" xfId="0" applyFont="1" applyFill="1" applyBorder="1" applyAlignment="1">
      <alignment horizontal="center" vertical="center" textRotation="90" wrapText="1"/>
    </xf>
    <xf numFmtId="0" fontId="83" fillId="21" borderId="0" xfId="0" applyFont="1" applyFill="1" applyAlignment="1">
      <alignment horizontal="center" vertical="center" textRotation="90" wrapText="1"/>
    </xf>
    <xf numFmtId="0" fontId="34" fillId="11" borderId="43" xfId="0" applyFont="1" applyFill="1" applyBorder="1" applyAlignment="1">
      <alignment horizontal="center" vertical="center" wrapText="1"/>
    </xf>
    <xf numFmtId="0" fontId="34" fillId="11" borderId="182" xfId="0" applyFont="1" applyFill="1" applyBorder="1" applyAlignment="1">
      <alignment horizontal="center" vertical="center" wrapText="1"/>
    </xf>
    <xf numFmtId="0" fontId="34" fillId="11" borderId="109" xfId="0" applyFont="1" applyFill="1" applyBorder="1" applyAlignment="1">
      <alignment horizontal="center" vertical="center" wrapText="1"/>
    </xf>
    <xf numFmtId="0" fontId="34" fillId="11" borderId="184" xfId="0" applyFont="1" applyFill="1" applyBorder="1" applyAlignment="1">
      <alignment horizontal="center" vertical="center" wrapText="1"/>
    </xf>
    <xf numFmtId="0" fontId="34" fillId="11" borderId="188" xfId="0" applyFont="1" applyFill="1" applyBorder="1" applyAlignment="1">
      <alignment horizontal="center" vertical="center" wrapText="1"/>
    </xf>
    <xf numFmtId="0" fontId="34" fillId="11" borderId="189" xfId="0" applyFont="1" applyFill="1" applyBorder="1" applyAlignment="1">
      <alignment horizontal="center" vertical="center" wrapText="1"/>
    </xf>
    <xf numFmtId="0" fontId="100" fillId="21" borderId="190" xfId="0" applyFont="1" applyFill="1" applyBorder="1" applyAlignment="1">
      <alignment horizontal="center" vertical="center" wrapText="1"/>
    </xf>
    <xf numFmtId="0" fontId="100" fillId="21" borderId="191" xfId="0" applyFont="1" applyFill="1" applyBorder="1" applyAlignment="1">
      <alignment horizontal="center" vertical="center" wrapText="1"/>
    </xf>
    <xf numFmtId="0" fontId="100" fillId="7" borderId="190" xfId="0" applyFont="1" applyFill="1" applyBorder="1" applyAlignment="1">
      <alignment horizontal="center" vertical="center" wrapText="1"/>
    </xf>
    <xf numFmtId="0" fontId="100" fillId="7" borderId="191" xfId="0" applyFont="1" applyFill="1" applyBorder="1" applyAlignment="1">
      <alignment horizontal="center" vertical="center" wrapText="1"/>
    </xf>
    <xf numFmtId="9" fontId="102" fillId="16" borderId="83" xfId="0" applyNumberFormat="1" applyFont="1" applyFill="1" applyBorder="1" applyAlignment="1">
      <alignment horizontal="center" vertical="center" wrapText="1"/>
    </xf>
    <xf numFmtId="9" fontId="102" fillId="16" borderId="0" xfId="0" applyNumberFormat="1" applyFont="1" applyFill="1" applyAlignment="1">
      <alignment horizontal="center" vertical="center" wrapText="1"/>
    </xf>
    <xf numFmtId="0" fontId="131" fillId="0" borderId="0" xfId="0" applyFont="1" applyAlignment="1">
      <alignment horizontal="center" vertical="center"/>
    </xf>
    <xf numFmtId="0" fontId="115" fillId="40" borderId="84" xfId="0" applyFont="1" applyFill="1" applyBorder="1" applyAlignment="1">
      <alignment horizontal="center" vertical="center" textRotation="90" wrapText="1"/>
    </xf>
    <xf numFmtId="0" fontId="115" fillId="40" borderId="0" xfId="0" applyFont="1" applyFill="1" applyAlignment="1">
      <alignment horizontal="center" vertical="center" textRotation="90" wrapText="1"/>
    </xf>
    <xf numFmtId="1" fontId="3" fillId="11" borderId="183" xfId="0" applyNumberFormat="1" applyFont="1" applyFill="1" applyBorder="1" applyAlignment="1">
      <alignment horizontal="center" vertical="center" wrapText="1"/>
    </xf>
    <xf numFmtId="1" fontId="3" fillId="11" borderId="182" xfId="0" applyNumberFormat="1" applyFont="1" applyFill="1" applyBorder="1" applyAlignment="1">
      <alignment horizontal="center" vertical="center" wrapText="1"/>
    </xf>
    <xf numFmtId="1" fontId="3" fillId="11" borderId="83" xfId="0" applyNumberFormat="1" applyFont="1" applyFill="1" applyBorder="1" applyAlignment="1">
      <alignment horizontal="center" vertical="center" wrapText="1"/>
    </xf>
    <xf numFmtId="1" fontId="3" fillId="11" borderId="184" xfId="0" applyNumberFormat="1" applyFont="1" applyFill="1" applyBorder="1" applyAlignment="1">
      <alignment horizontal="center" vertical="center" wrapText="1"/>
    </xf>
    <xf numFmtId="1" fontId="3" fillId="11" borderId="185" xfId="0" applyNumberFormat="1" applyFont="1" applyFill="1" applyBorder="1" applyAlignment="1">
      <alignment horizontal="center" vertical="center" wrapText="1"/>
    </xf>
    <xf numFmtId="1" fontId="3" fillId="11" borderId="186" xfId="0" applyNumberFormat="1" applyFont="1" applyFill="1" applyBorder="1" applyAlignment="1">
      <alignment horizontal="center" vertical="center" wrapText="1"/>
    </xf>
    <xf numFmtId="1" fontId="30" fillId="11" borderId="43" xfId="0" applyNumberFormat="1" applyFont="1" applyFill="1" applyBorder="1" applyAlignment="1">
      <alignment horizontal="center" vertical="center" wrapText="1"/>
    </xf>
    <xf numFmtId="1" fontId="30" fillId="11" borderId="182" xfId="0" applyNumberFormat="1" applyFont="1" applyFill="1" applyBorder="1" applyAlignment="1">
      <alignment horizontal="center" vertical="center" wrapText="1"/>
    </xf>
    <xf numFmtId="1" fontId="30" fillId="11" borderId="109" xfId="0" applyNumberFormat="1" applyFont="1" applyFill="1" applyBorder="1" applyAlignment="1">
      <alignment horizontal="center" vertical="center" wrapText="1"/>
    </xf>
    <xf numFmtId="1" fontId="30" fillId="11" borderId="184" xfId="0" applyNumberFormat="1" applyFont="1" applyFill="1" applyBorder="1" applyAlignment="1">
      <alignment horizontal="center" vertical="center" wrapText="1"/>
    </xf>
    <xf numFmtId="1" fontId="30" fillId="11" borderId="187" xfId="0" applyNumberFormat="1" applyFont="1" applyFill="1" applyBorder="1" applyAlignment="1">
      <alignment horizontal="center" vertical="center" wrapText="1"/>
    </xf>
    <xf numFmtId="1" fontId="30" fillId="11" borderId="186" xfId="0" applyNumberFormat="1" applyFont="1" applyFill="1" applyBorder="1" applyAlignment="1">
      <alignment horizontal="center" vertical="center" wrapText="1"/>
    </xf>
    <xf numFmtId="1" fontId="31" fillId="11" borderId="43" xfId="0" applyNumberFormat="1" applyFont="1" applyFill="1" applyBorder="1" applyAlignment="1">
      <alignment horizontal="center" vertical="center" wrapText="1"/>
    </xf>
    <xf numFmtId="1" fontId="31" fillId="11" borderId="182" xfId="0" applyNumberFormat="1" applyFont="1" applyFill="1" applyBorder="1" applyAlignment="1">
      <alignment horizontal="center" vertical="center" wrapText="1"/>
    </xf>
    <xf numFmtId="1" fontId="31" fillId="11" borderId="109" xfId="0" applyNumberFormat="1" applyFont="1" applyFill="1" applyBorder="1" applyAlignment="1">
      <alignment horizontal="center" vertical="center" wrapText="1"/>
    </xf>
    <xf numFmtId="1" fontId="31" fillId="11" borderId="184" xfId="0" applyNumberFormat="1" applyFont="1" applyFill="1" applyBorder="1" applyAlignment="1">
      <alignment horizontal="center" vertical="center" wrapText="1"/>
    </xf>
    <xf numFmtId="1" fontId="31" fillId="11" borderId="187" xfId="0" applyNumberFormat="1" applyFont="1" applyFill="1" applyBorder="1" applyAlignment="1">
      <alignment horizontal="center" vertical="center" wrapText="1"/>
    </xf>
    <xf numFmtId="1" fontId="31" fillId="11" borderId="186" xfId="0" applyNumberFormat="1" applyFont="1" applyFill="1" applyBorder="1" applyAlignment="1">
      <alignment horizontal="center" vertical="center" wrapText="1"/>
    </xf>
    <xf numFmtId="9" fontId="83" fillId="7" borderId="32" xfId="0" applyNumberFormat="1" applyFont="1" applyFill="1" applyBorder="1" applyAlignment="1">
      <alignment horizontal="center" vertical="center" textRotation="90" wrapText="1"/>
    </xf>
    <xf numFmtId="9" fontId="83" fillId="7" borderId="42" xfId="0" applyNumberFormat="1" applyFont="1" applyFill="1" applyBorder="1" applyAlignment="1">
      <alignment horizontal="center" vertical="center" textRotation="90" wrapText="1"/>
    </xf>
    <xf numFmtId="9" fontId="83" fillId="7" borderId="46" xfId="0" applyNumberFormat="1" applyFont="1" applyFill="1" applyBorder="1" applyAlignment="1">
      <alignment horizontal="center" vertical="center" textRotation="90" wrapText="1"/>
    </xf>
    <xf numFmtId="0" fontId="34" fillId="11" borderId="183" xfId="0" applyFont="1" applyFill="1" applyBorder="1" applyAlignment="1">
      <alignment horizontal="center" vertical="center" wrapText="1"/>
    </xf>
    <xf numFmtId="0" fontId="34" fillId="11" borderId="83" xfId="0" applyFont="1" applyFill="1" applyBorder="1" applyAlignment="1">
      <alignment horizontal="center" vertical="center" wrapText="1"/>
    </xf>
    <xf numFmtId="0" fontId="34" fillId="11" borderId="185" xfId="0" applyFont="1" applyFill="1" applyBorder="1" applyAlignment="1">
      <alignment horizontal="center" vertical="center" wrapText="1"/>
    </xf>
    <xf numFmtId="0" fontId="34" fillId="11" borderId="186" xfId="0" applyFont="1" applyFill="1" applyBorder="1" applyAlignment="1">
      <alignment horizontal="center" vertical="center" wrapText="1"/>
    </xf>
    <xf numFmtId="0" fontId="34" fillId="11" borderId="187" xfId="0" applyFont="1" applyFill="1" applyBorder="1" applyAlignment="1">
      <alignment horizontal="center" vertical="center" wrapText="1"/>
    </xf>
    <xf numFmtId="1" fontId="0" fillId="0" borderId="240" xfId="0" applyNumberFormat="1" applyBorder="1" applyAlignment="1">
      <alignment horizontal="center" vertical="center"/>
    </xf>
    <xf numFmtId="1" fontId="0" fillId="0" borderId="241" xfId="0" applyNumberFormat="1" applyBorder="1" applyAlignment="1">
      <alignment horizontal="center" vertical="center"/>
    </xf>
    <xf numFmtId="0" fontId="108" fillId="0" borderId="1" xfId="0" applyFont="1" applyBorder="1" applyAlignment="1">
      <alignment horizontal="center" textRotation="90" wrapText="1"/>
    </xf>
    <xf numFmtId="0" fontId="52" fillId="39" borderId="85" xfId="0" applyFont="1" applyFill="1" applyBorder="1" applyAlignment="1">
      <alignment horizontal="center" vertical="center"/>
    </xf>
    <xf numFmtId="0" fontId="300" fillId="12" borderId="81" xfId="0" applyFont="1" applyFill="1" applyBorder="1" applyAlignment="1">
      <alignment horizontal="center" vertical="center"/>
    </xf>
    <xf numFmtId="0" fontId="300" fillId="12" borderId="261" xfId="0" applyFont="1" applyFill="1" applyBorder="1" applyAlignment="1">
      <alignment horizontal="center" vertical="center"/>
    </xf>
    <xf numFmtId="0" fontId="133" fillId="0" borderId="0" xfId="0" applyFont="1" applyAlignment="1">
      <alignment horizontal="center"/>
    </xf>
    <xf numFmtId="0" fontId="0" fillId="0" borderId="0" xfId="0" applyAlignment="1">
      <alignment horizontal="center"/>
    </xf>
    <xf numFmtId="0" fontId="134" fillId="44" borderId="0" xfId="0" applyFont="1" applyFill="1" applyAlignment="1">
      <alignment horizontal="center"/>
    </xf>
  </cellXfs>
  <cellStyles count="3049">
    <cellStyle name="_x000d__x000a_JournalTemplate=C:\COMFO\CTALK\JOURSTD.TPL_x000d__x000a_LbStateAddress=3 3 0 251 1 89 2 311_x000d__x000a_LbStateJou" xfId="27"/>
    <cellStyle name="_x000d__x000a_JournalTemplate=C:\COMFO\CTALK\JOURSTD.TPL_x000d__x000a_LbStateAddress=3 3 0 251 1 89 2 311_x000d__x000a_LbStateJou 2" xfId="28"/>
    <cellStyle name="_x000d__x000a_JournalTemplate=C:\COMFO\CTALK\JOURSTD.TPL_x000d__x000a_LbStateAddress=3 3 0 251 1 89 2 311_x000d__x000a_LbStateJou_Модель 2011-2015" xfId="29"/>
    <cellStyle name="%" xfId="30"/>
    <cellStyle name="% 2" xfId="31"/>
    <cellStyle name="% 3" xfId="1534"/>
    <cellStyle name="%_Модель 2011-2015" xfId="32"/>
    <cellStyle name="%_Новая ЕВА План развития на 2010-2014гг. (16.10.09)" xfId="33"/>
    <cellStyle name="%_План развития 2011-2015" xfId="34"/>
    <cellStyle name="%_План развития с маневр.  на 2011-2015гг.на 16.09.10г." xfId="35"/>
    <cellStyle name="%_План развития УТВЕРЖДЕННЫЙ (2.12.09)" xfId="36"/>
    <cellStyle name="%_ПП" xfId="37"/>
    <cellStyle name="%_Свод по ДО 2011 корректировка от 04.05.11" xfId="38"/>
    <cellStyle name="?_x0001_??ь@ ?????? Roman Cyr????_x0002__x0002_?_x0007___x0001_–_x001d___x0001_З?W_x0001_7_x0001_7_x0001__x0002__x0002_†_x0002_?W†_x0002__x0018_©МW_x001f__x0001_†_x0002_7_x0001_&quot;_x000c_hЄ2©”T_x0005_?B?hЄG_x0019_pЄG_x0019_O_x000a_в?_x0008_«????$э«К З$Р?Џ,pЄG_x0019_|?&gt;¬†_x0002__x0005_$__x0019_V«V«C?IN_x0005_?0?P©_x0008_???G_x0019_±@7%??В‡Ђ_x0018_???_x0010_??_x0004_?????/%4?Џ,/%/%Љ©щ57%Џ,Џ,–©jA7%Џ,Џ,Џ,Ё©g?G%Ђ_x0018_??Џ,4?_x0010_?Џ,Ж©БЉL_x0014__x0004_?4?$_x0012_4?=“$_x0002_??_x0010_??‹d?_x0010_?Џ,Ф©'6h_x0017__x0004_?4?L_x0014_4?" xfId="39"/>
    <cellStyle name="??_Sheet1" xfId="1535"/>
    <cellStyle name="_(запрос)Прочие ФХД 2 пг 11.08 без продажи" xfId="40"/>
    <cellStyle name="_~4272991" xfId="41"/>
    <cellStyle name="_~4279974" xfId="42"/>
    <cellStyle name="_~4279974 2" xfId="43"/>
    <cellStyle name="_~4279974_08-13 с оптимиз  АУР, матер, топл, сортир 04.11.08" xfId="44"/>
    <cellStyle name="_~4279974_ЛСЦПР" xfId="45"/>
    <cellStyle name="_~4279974_Модель 2011-2015" xfId="46"/>
    <cellStyle name="_~4279974_Моделька с повыш тарифа" xfId="47"/>
    <cellStyle name="_~4279974_Налоги по 8НК Жанат 2" xfId="48"/>
    <cellStyle name="_~4279974_План налогов на  2009-2013 г АО КТС окончательный" xfId="49"/>
    <cellStyle name="_~4279974_План развития 2010-2014 годы Лизинг" xfId="50"/>
    <cellStyle name="_~4279974_План развития 2011-2015" xfId="51"/>
    <cellStyle name="_~4279974_План развития с маневр.  на 2011-2015гг.на 16.09.10г." xfId="52"/>
    <cellStyle name="_~4279974_План развития УТВЕРЖДЕННЫЙ (2.12.09)" xfId="53"/>
    <cellStyle name="_~4279974_ПП" xfId="54"/>
    <cellStyle name="_~4279974_Свод по ДО 2011 корректировка от 04.05.11" xfId="55"/>
    <cellStyle name="_~4279974_Шаблон ПР" xfId="56"/>
    <cellStyle name="_~4767845" xfId="57"/>
    <cellStyle name="_~5468540" xfId="58"/>
    <cellStyle name="_~6740299" xfId="59"/>
    <cellStyle name="_~7882089" xfId="60"/>
    <cellStyle name="_~8173174" xfId="61"/>
    <cellStyle name="_~9313901" xfId="62"/>
    <cellStyle name="_01.01.2009" xfId="63"/>
    <cellStyle name="_1 1 2010-2020" xfId="64"/>
    <cellStyle name="_1 вар баланс, 4НК косв, 8НК для КТЖ" xfId="65"/>
    <cellStyle name="_1 квартал 2007 Группа" xfId="66"/>
    <cellStyle name="_1 квартал КТЖ" xfId="67"/>
    <cellStyle name="_1 квартал КТЖ_Свод по ДО 2011 корректировка от 04.05.11" xfId="68"/>
    <cellStyle name="_1 квартал мать" xfId="69"/>
    <cellStyle name="_1 квартал мать 2" xfId="70"/>
    <cellStyle name="_1 квартал мать_08-13 с оптимиз  АУР, матер, топл, сортир 04.11.08" xfId="71"/>
    <cellStyle name="_1 квартал мать_ЛСЦПР" xfId="72"/>
    <cellStyle name="_1 квартал мать_Модель 2011-2015" xfId="73"/>
    <cellStyle name="_1 квартал мать_Моделька с повыш тарифа" xfId="74"/>
    <cellStyle name="_1 квартал мать_Налоги по 8НК Жанат 2" xfId="75"/>
    <cellStyle name="_1 квартал мать_План налогов на  2009-2013 г АО КТС окончательный" xfId="76"/>
    <cellStyle name="_1 квартал мать_План развития 2010-2014 годы Лизинг" xfId="77"/>
    <cellStyle name="_1 квартал мать_План развития 2011-2015" xfId="78"/>
    <cellStyle name="_1 квартал мать_План развития с маневр.  на 2011-2015гг.на 16.09.10г." xfId="79"/>
    <cellStyle name="_1 квартал мать_План развития УТВЕРЖДЕННЫЙ (2.12.09)" xfId="80"/>
    <cellStyle name="_1 квартал мать_ПП" xfId="81"/>
    <cellStyle name="_1 квартал мать_Свод по ДО 2011 корректировка от 04.05.11" xfId="82"/>
    <cellStyle name="_1 квартал мать_Шаблон ПР" xfId="83"/>
    <cellStyle name="_1 полугодие КТЖ 10.08.07 Анализ" xfId="84"/>
    <cellStyle name="_1 полугодие КТЖ 10.08.07 Анализ_Свод по ДО 2011 корректировка от 04.05.11" xfId="85"/>
    <cellStyle name="_1 полугодие КТЖ 17.08.07 Анализ" xfId="86"/>
    <cellStyle name="_1 полугодие КТЖ 17.08.07 Анализ_Свод по ДО 2011 корректировка от 04.05.11" xfId="87"/>
    <cellStyle name="_1. ПКВ 1015" xfId="88"/>
    <cellStyle name="_1.Для слайда на 2010 год (утвержденный бюджет)" xfId="89"/>
    <cellStyle name="_10ц по участкам" xfId="1536"/>
    <cellStyle name="_177 ктк_экон.модель" xfId="90"/>
    <cellStyle name="_18 ктк_экон.модель" xfId="91"/>
    <cellStyle name="_2 вар. скоррек. бюджета на 2008 года (БК1 и БК6) 03.11.08" xfId="92"/>
    <cellStyle name="_2,3 БО" xfId="93"/>
    <cellStyle name="_2,3 БО_Свод по ПР 2011 по ДО (27.09.10) изм.АОТ, ЛКЗ" xfId="94"/>
    <cellStyle name="_2,3 БО_Свод по ПР 2011 по ДО (27.09.10) изм.АОТ, ЛКЗ_Свод по ДО 2011 корректировка от 04.05.11" xfId="95"/>
    <cellStyle name="_2. Формы ПР" xfId="96"/>
    <cellStyle name="_2. Формы ПР_new" xfId="97"/>
    <cellStyle name="_2.формы ПР утв.-прогноз" xfId="98"/>
    <cellStyle name="_20.08.08 Формы для АО формирование бюджетов на 2009г" xfId="99"/>
    <cellStyle name="_20.08.08 Формы для АО формирование бюджетов на 2009г_АВЗ. план-расчёт ТЭР-2010 для КТЖ" xfId="100"/>
    <cellStyle name="_20.08.08 Формы для АО формирование бюджетов на 2009г_АВЗ.Консолидированный план-расчёт ТЭР-2010.xls последний вариант" xfId="101"/>
    <cellStyle name="_20.08.08 Формы для АО формирование бюджетов на 2009г_Бюджет 2009 - 325 (за счет снижения цены и без повышения) (2 кв по мес)" xfId="102"/>
    <cellStyle name="_20.08.08 Формы для АО формирование бюджетов на 2009г_н. от.  №2" xfId="103"/>
    <cellStyle name="_20.08.08 Формы для АО формирование бюджетов на 2009г_ТЭР правильный" xfId="104"/>
    <cellStyle name="_2004-2012 гг. потребность" xfId="105"/>
    <cellStyle name="_2008 КТЖ полугодие 31.10 22-43" xfId="106"/>
    <cellStyle name="_20100907 приложение 5 таблица факторов ф  1П-3 (1)" xfId="107"/>
    <cellStyle name="_20100907-приложение 2 План развития 1П" xfId="108"/>
    <cellStyle name="_21.11_11.30 БО-6, БО-5 АО НК КТЖ 02" xfId="109"/>
    <cellStyle name="_21.11_11.30 БО-6, БО-5 АО НК КТЖ 02 2" xfId="110"/>
    <cellStyle name="_21.11_11.30 БО-6, БО-5 АО НК КТЖ 02_08-13 с оптимиз  АУР, матер, топл, сортир 04.11.08" xfId="111"/>
    <cellStyle name="_21.11_11.30 БО-6, БО-5 АО НК КТЖ 02_ЛСЦПР" xfId="112"/>
    <cellStyle name="_21.11_11.30 БО-6, БО-5 АО НК КТЖ 02_Модель 2011-2015" xfId="113"/>
    <cellStyle name="_21.11_11.30 БО-6, БО-5 АО НК КТЖ 02_Моделька с повыш тарифа" xfId="114"/>
    <cellStyle name="_21.11_11.30 БО-6, БО-5 АО НК КТЖ 02_Налоги по 8НК Жанат 2" xfId="115"/>
    <cellStyle name="_21.11_11.30 БО-6, БО-5 АО НК КТЖ 02_План налогов на  2009-2013 г АО КТС окончательный" xfId="116"/>
    <cellStyle name="_21.11_11.30 БО-6, БО-5 АО НК КТЖ 02_План развития 2010-2014 годы Лизинг" xfId="117"/>
    <cellStyle name="_21.11_11.30 БО-6, БО-5 АО НК КТЖ 02_План развития 2011-2015" xfId="118"/>
    <cellStyle name="_21.11_11.30 БО-6, БО-5 АО НК КТЖ 02_План развития с маневр.  на 2011-2015гг.на 16.09.10г." xfId="119"/>
    <cellStyle name="_21.11_11.30 БО-6, БО-5 АО НК КТЖ 02_План развития УТВЕРЖДЕННЫЙ (2.12.09)" xfId="120"/>
    <cellStyle name="_21.11_11.30 БО-6, БО-5 АО НК КТЖ 02_ПП" xfId="121"/>
    <cellStyle name="_21.11_11.30 БО-6, БО-5 АО НК КТЖ 02_Свод по ДО 2011 корректировка от 04.05.11" xfId="122"/>
    <cellStyle name="_21.11_11.30 БО-6, БО-5 АО НК КТЖ 02_Шаблон ПР" xfId="123"/>
    <cellStyle name="_2ТЭ10 ТОУ-8, КР" xfId="124"/>
    <cellStyle name="_31.03.08ПР(1) " xfId="125"/>
    <cellStyle name="_4 БК Азамат" xfId="126"/>
    <cellStyle name="_4 БК, 5 БК группа (без Утверждения)" xfId="127"/>
    <cellStyle name="_4,5 НК" xfId="128"/>
    <cellStyle name="_4,5 НК 20,03 15.24" xfId="129"/>
    <cellStyle name="_4,5 НК 20,03 15.24_Свод по ДО 2011 корректировка от 04.05.11" xfId="130"/>
    <cellStyle name="_4,5 НК 28,03,03" xfId="131"/>
    <cellStyle name="_4,5 НК 28,03,03_Свод по ДО 2011 корректировка от 04.05.11" xfId="132"/>
    <cellStyle name="_4,5 НК 31,03,08" xfId="133"/>
    <cellStyle name="_4,5 НК 31,03,08_Свод по ДО 2011 корректировка от 04.05.11" xfId="134"/>
    <cellStyle name="_4,5 НК от 13.03_18.48" xfId="135"/>
    <cellStyle name="_4,5 НК от 13.03_18.48_Свод по ДО 2011 корректировка от 04.05.11" xfId="136"/>
    <cellStyle name="_4,5 НК_Свод по ДО 2011 корректировка от 04.05.11" xfId="137"/>
    <cellStyle name="_4. Y_01_Reporting Pack v.1.7" xfId="138"/>
    <cellStyle name="_4. Формы бюджета _new" xfId="139"/>
    <cellStyle name="_4БК, 5БК, 5БО,6БО" xfId="140"/>
    <cellStyle name="_4БК, 5БК, 5БО,6БО отданные в самрук" xfId="141"/>
    <cellStyle name="_4БК, 5БО 16.12.08xls" xfId="142"/>
    <cellStyle name="_4БК, 5БО 16.12.08xls_ПП" xfId="143"/>
    <cellStyle name="_4БК, 5БО 16.12.08развернуто" xfId="144"/>
    <cellStyle name="_4БК, 5БО 16.12.08развернуто_ПП" xfId="145"/>
    <cellStyle name="_4НК_5НК 021107" xfId="146"/>
    <cellStyle name="_4НК_5НК 021107_Свод по ДО 2011 корректировка от 04.05.11" xfId="147"/>
    <cellStyle name="_4-форм для Публикации 1 квартал 2006_консолид испр. 13.04" xfId="148"/>
    <cellStyle name="_4-форм для Публикации 1 квартал 2006_консолид испр. 13.04_Свод по ДО 2011 корректировка от 04.05.11" xfId="149"/>
    <cellStyle name="_4-форм для Публикации годовой 2006_Конс" xfId="150"/>
    <cellStyle name="_4-форм для Публикации годовой 2006_Конс 2" xfId="151"/>
    <cellStyle name="_4-форм для Публикации годовой 2006_Конс_08-13 с оптимиз  АУР, матер, топл, сортир 04.11.08" xfId="152"/>
    <cellStyle name="_4-форм для Публикации годовой 2006_Конс_ПП" xfId="153"/>
    <cellStyle name="_4-форм для Публикации годовой 2006_Конс_Свод по ДО 2011 корректировка от 04.05.11" xfId="154"/>
    <cellStyle name="_5 БО,4 БК" xfId="155"/>
    <cellStyle name="_5_6БО Самрук КорАвг07 26_07_07" xfId="156"/>
    <cellStyle name="_5_6БО Самрук КорАвг07 26_07_07 17ч" xfId="157"/>
    <cellStyle name="_5_6БО Самрук КорСен07 01_09_07" xfId="158"/>
    <cellStyle name="_5_6БО Самрук КорСен07 12_09_07" xfId="159"/>
    <cellStyle name="_500 КТК б.у." xfId="160"/>
    <cellStyle name="_5БО по АО" xfId="161"/>
    <cellStyle name="_5БО по АО 2" xfId="162"/>
    <cellStyle name="_5БО по АО_08-13 с оптимиз  АУР, матер, топл, сортир 04.11.08" xfId="163"/>
    <cellStyle name="_5БО по АО_ЛСЦПР" xfId="164"/>
    <cellStyle name="_5БО по АО_Модель 2011-2015" xfId="165"/>
    <cellStyle name="_5БО по АО_Моделька с повыш тарифа" xfId="166"/>
    <cellStyle name="_5БО по АО_Налоги по 8НК Жанат 2" xfId="167"/>
    <cellStyle name="_5БО по АО_План налогов на  2009-2013 г АО КТС окончательный" xfId="168"/>
    <cellStyle name="_5БО по АО_План развития 2010-2014 годы Лизинг" xfId="169"/>
    <cellStyle name="_5БО по АО_План развития 2011-2015" xfId="170"/>
    <cellStyle name="_5БО по АО_План развития с маневр.  на 2011-2015гг.на 16.09.10г." xfId="171"/>
    <cellStyle name="_5БО по АО_План развития УТВЕРЖДЕННЫЙ (2.12.09)" xfId="172"/>
    <cellStyle name="_5БО по АО_ПП" xfId="173"/>
    <cellStyle name="_5БО по АО_Свод по ДО 2011 корректировка от 04.05.11" xfId="174"/>
    <cellStyle name="_5БО по АО_Шаблон ПР" xfId="175"/>
    <cellStyle name="_5БОвждо26.10" xfId="176"/>
    <cellStyle name="_6 БО для Жанары" xfId="177"/>
    <cellStyle name="_6 мес. факт" xfId="178"/>
    <cellStyle name="_7НК" xfId="179"/>
    <cellStyle name="_8 НК- 01.11.07-2" xfId="180"/>
    <cellStyle name="_8 НК на 29.10.08 г." xfId="181"/>
    <cellStyle name="_9  months  BD CORRECT" xfId="182"/>
    <cellStyle name="_9 мес" xfId="183"/>
    <cellStyle name="_9 мес 2007 Группа 16.07" xfId="184"/>
    <cellStyle name="_9 мес. КТЖ для Самрук" xfId="185"/>
    <cellStyle name="_9 мес. КТЖ для Самрук_Свод по ДО 2011 корректировка от 04.05.11" xfId="186"/>
    <cellStyle name="_999" xfId="1537"/>
    <cellStyle name="_999_2pr" xfId="1538"/>
    <cellStyle name="_999_bln" xfId="1539"/>
    <cellStyle name="_999_BLNMIX" xfId="1540"/>
    <cellStyle name="_999_BLNREST" xfId="1541"/>
    <cellStyle name="_Agro-centerV4_2008_03_12(отчет)" xfId="1542"/>
    <cellStyle name="_Book1 (4)" xfId="1543"/>
    <cellStyle name="_Cash 2010-2020" xfId="187"/>
    <cellStyle name="_cash flows" xfId="188"/>
    <cellStyle name="_cash flows_TS 9 месяцев 2007" xfId="189"/>
    <cellStyle name="_Comma" xfId="190"/>
    <cellStyle name="_Debts" xfId="191"/>
    <cellStyle name="_EVA корректир. на 2008 год (21.07.08)" xfId="192"/>
    <cellStyle name="_EVA корректир. на 2008 год (21.07.08)_ПП" xfId="193"/>
    <cellStyle name="_Graphs for AstanaAgro" xfId="1544"/>
    <cellStyle name="_Graphs&amp;Tables" xfId="1545"/>
    <cellStyle name="_Graphs_Kazakhstan" xfId="1546"/>
    <cellStyle name="_IT_Plan" xfId="194"/>
    <cellStyle name="_model_13_last" xfId="195"/>
    <cellStyle name="_NBCC_Budget_final_2002" xfId="196"/>
    <cellStyle name="_Nurzhanar V6_2008_02_12" xfId="1547"/>
    <cellStyle name="_PLVK" xfId="197"/>
    <cellStyle name="_PRICE_1C" xfId="198"/>
    <cellStyle name="_ROACE Локомотив по НК" xfId="199"/>
    <cellStyle name="_T9. Sale Details" xfId="200"/>
    <cellStyle name="_TS _2007 год ГРУППА 1 полугодие" xfId="201"/>
    <cellStyle name="_TS _2007 год ГРУППА 1 полугодие_Свод по ДО 2011 корректировка от 04.05.11" xfId="202"/>
    <cellStyle name="_TS _2007 год ГРУППА 9 месяцев" xfId="203"/>
    <cellStyle name="_TS _за 2007 год ГРУППА" xfId="204"/>
    <cellStyle name="_TS _за 2007 год ГРУППА_Свод по ДО 2011 корректировка от 04.05.11" xfId="205"/>
    <cellStyle name="_TS _за 2007 год КТЖ" xfId="206"/>
    <cellStyle name="_TS _за 2007 год КТЖ_Свод по ДО 2011 корректировка от 04.05.11" xfId="207"/>
    <cellStyle name="_TS 1 полугодие_2006 год КТЖ+АО" xfId="208"/>
    <cellStyle name="_TS 1 полугодие_2006 год КТЖ+АО_Свод по ДО 2011 корректировка от 04.05.11" xfId="209"/>
    <cellStyle name="_TS 9 месяцев 2007" xfId="210"/>
    <cellStyle name="_TS 9 месяцев 2007_Свод по ДО 2011 корректировка от 04.05.11" xfId="211"/>
    <cellStyle name="_WACC Холдинга" xfId="212"/>
    <cellStyle name="_Worksheet in (C) 1160 KTZH Client participation" xfId="213"/>
    <cellStyle name="_Worksheet in (C) 6250" xfId="214"/>
    <cellStyle name="_Worksheet in (C) 6340 Long-Term Debt testing" xfId="215"/>
    <cellStyle name="_Worksheet in (C) 8141 Sales Analytical Testing" xfId="216"/>
    <cellStyle name="_АВЗ ПР 2010-2014г с РемПВ" xfId="217"/>
    <cellStyle name="_Анализ по труду за 2008 г." xfId="218"/>
    <cellStyle name="_Анализ по труду за 2008 г._Свод по ПР 2011 по ДО (27.09.10) изм.АОТ, ЛКЗ" xfId="219"/>
    <cellStyle name="_Анализ по труду за 2008 г._Свод по ПР 2011 по ДО (27.09.10) изм.АОТ, ЛКЗ_Свод по ДО 2011 корректировка от 04.05.11" xfId="220"/>
    <cellStyle name="_Анализ ЦЭП 1 квартал 2008 год" xfId="221"/>
    <cellStyle name="_Анализ ЦЭП 1 квартал 2008 год_Свод по ПР 2011 по ДО (27.09.10) изм.АОТ, ЛКЗ" xfId="222"/>
    <cellStyle name="_Анализ ЦЭП 1 квартал 2008 год_Свод по ПР 2011 по ДО (27.09.10) изм.АОТ, ЛКЗ_Свод по ДО 2011 корректировка от 04.05.11" xfId="223"/>
    <cellStyle name="_АО КТЖ и группа повыш тарифа через год на 10% гульнара" xfId="224"/>
    <cellStyle name="_АО КТЖ и группа повыш тарифа через год на 10% гульнара 2" xfId="225"/>
    <cellStyle name="_АО КТЖ и группа повыш тарифа через год на 10% гульнара_08-13 с оптимиз  АУР, матер, топл, сортир 04.11.08" xfId="226"/>
    <cellStyle name="_АО КТЖ и группа повыш тарифа через год на 10% гульнара_ЛСЦПР" xfId="227"/>
    <cellStyle name="_АО КТЖ и группа повыш тарифа через год на 10% гульнара_Модель 2011-2015" xfId="228"/>
    <cellStyle name="_АО КТЖ и группа повыш тарифа через год на 10% гульнара_Моделька с повыш тарифа" xfId="229"/>
    <cellStyle name="_АО КТЖ и группа повыш тарифа через год на 10% гульнара_Налоги по 8НК Жанат 2" xfId="230"/>
    <cellStyle name="_АО КТЖ и группа повыш тарифа через год на 10% гульнара_План налогов на  2009-2013 г АО КТС окончательный" xfId="231"/>
    <cellStyle name="_АО КТЖ и группа повыш тарифа через год на 10% гульнара_План развития 2010-2014 годы Лизинг" xfId="232"/>
    <cellStyle name="_АО КТЖ и группа повыш тарифа через год на 10% гульнара_План развития 2011-2015" xfId="233"/>
    <cellStyle name="_АО КТЖ и группа повыш тарифа через год на 10% гульнара_План развития с маневр.  на 2011-2015гг.на 16.09.10г." xfId="234"/>
    <cellStyle name="_АО КТЖ и группа повыш тарифа через год на 10% гульнара_План развития УТВЕРЖДЕННЫЙ (2.12.09)" xfId="235"/>
    <cellStyle name="_АО КТЖ и группа повыш тарифа через год на 10% гульнара_ПП" xfId="236"/>
    <cellStyle name="_АО КТЖ и группа повыш тарифа через год на 10% гульнара_Свод по ДО 2011 корректировка от 04.05.11" xfId="237"/>
    <cellStyle name="_АО КТЖ и группа повыш тарифа через год на 10% гульнара_Шаблон ПР" xfId="238"/>
    <cellStyle name="_АО ТЖЖ Инвестплан на  2010г на 14  августа" xfId="239"/>
    <cellStyle name="_АО ЦТ" xfId="240"/>
    <cellStyle name="_АОТ 1 квартал помесячно" xfId="241"/>
    <cellStyle name="_АОТ 1 квартал помесячно_Свод по ПР 2011 по ДО (27.09.10) изм.АОТ, ЛКЗ" xfId="242"/>
    <cellStyle name="_АОТ 1 квартал помесячно_Свод по ПР 2011 по ДО (27.09.10) изм.АОТ, ЛКЗ_Свод по ДО 2011 корректировка от 04.05.11" xfId="243"/>
    <cellStyle name="_АОТ бюджет на 2008 год одобренный вариант кз70 рф 84" xfId="244"/>
    <cellStyle name="_Астана" xfId="245"/>
    <cellStyle name="_Аудит 2007 года (группа)" xfId="246"/>
    <cellStyle name="_баланс коррек 09.09.08" xfId="247"/>
    <cellStyle name="_баланс коррек 09.09.08_ПП" xfId="248"/>
    <cellStyle name="_БДДС послед на 19 часов 27.09.08" xfId="249"/>
    <cellStyle name="_БК" xfId="250"/>
    <cellStyle name="_БК  КТЖ 1 полугодие 2007 (отчет)" xfId="251"/>
    <cellStyle name="_БК  КТЖ 1 полугодие 2007 (отчет)_Свод по ДО 2011 корректировка от 04.05.11" xfId="252"/>
    <cellStyle name="_БК 2007 КТЖ 19.12.06" xfId="253"/>
    <cellStyle name="_БК 2007 КТЖ 19.12.06 2" xfId="254"/>
    <cellStyle name="_БК 2007 КТЖ 19.12.06_08-13 с оптимиз  АУР, матер, топл, сортир 04.11.08" xfId="255"/>
    <cellStyle name="_БК 2007 КТЖ 19.12.06_ЛСЦПР" xfId="256"/>
    <cellStyle name="_БК 2007 КТЖ 19.12.06_Модель 2011-2015" xfId="257"/>
    <cellStyle name="_БК 2007 КТЖ 19.12.06_Моделька с повыш тарифа" xfId="258"/>
    <cellStyle name="_БК 2007 КТЖ 19.12.06_Налоги по 8НК Жанат 2" xfId="259"/>
    <cellStyle name="_БК 2007 КТЖ 19.12.06_План налогов на  2009-2013 г АО КТС окончательный" xfId="260"/>
    <cellStyle name="_БК 2007 КТЖ 19.12.06_План развития 2010-2014 годы Лизинг" xfId="261"/>
    <cellStyle name="_БК 2007 КТЖ 19.12.06_План развития 2011-2015" xfId="262"/>
    <cellStyle name="_БК 2007 КТЖ 19.12.06_План развития с маневр.  на 2011-2015гг.на 16.09.10г." xfId="263"/>
    <cellStyle name="_БК 2007 КТЖ 19.12.06_План развития УТВЕРЖДЕННЫЙ (2.12.09)" xfId="264"/>
    <cellStyle name="_БК 2007 КТЖ 19.12.06_ПП" xfId="265"/>
    <cellStyle name="_БК 2007 КТЖ 19.12.06_Свод по ПР 2011 по ДО (12.09.10)" xfId="266"/>
    <cellStyle name="_БК 2007 КТЖ 19.12.06_Свод по ПР 2011 по ДО (27.09.10) изм.АОТ, ЛКЗ" xfId="267"/>
    <cellStyle name="_БК 2007 КТЖ 19.12.06_Свод по ПР 2011 по ДО (27.09.10) изм.АОТ, ЛКЗ_Свод по ДО 2011 корректировка от 04.05.11" xfId="268"/>
    <cellStyle name="_БК 2007 КТЖ 19.12.06_Шаблон ПР" xfId="269"/>
    <cellStyle name="_БК 2007 КТЖ испр" xfId="270"/>
    <cellStyle name="_БК 2007 КТЖ испр 2" xfId="271"/>
    <cellStyle name="_БК 2007 КТЖ испр_08-13 с оптимиз  АУР, матер, топл, сортир 04.11.08" xfId="272"/>
    <cellStyle name="_БК 2007 КТЖ испр_ЛСЦПР" xfId="273"/>
    <cellStyle name="_БК 2007 КТЖ испр_Модель 2011-2015" xfId="274"/>
    <cellStyle name="_БК 2007 КТЖ испр_Моделька с повыш тарифа" xfId="275"/>
    <cellStyle name="_БК 2007 КТЖ испр_Налоги по 8НК Жанат 2" xfId="276"/>
    <cellStyle name="_БК 2007 КТЖ испр_План налогов на  2009-2013 г АО КТС окончательный" xfId="277"/>
    <cellStyle name="_БК 2007 КТЖ испр_План развития 2010-2014 годы Лизинг" xfId="278"/>
    <cellStyle name="_БК 2007 КТЖ испр_План развития 2011-2015" xfId="279"/>
    <cellStyle name="_БК 2007 КТЖ испр_План развития с маневр.  на 2011-2015гг.на 16.09.10г." xfId="280"/>
    <cellStyle name="_БК 2007 КТЖ испр_План развития УТВЕРЖДЕННЫЙ (2.12.09)" xfId="281"/>
    <cellStyle name="_БК 2007 КТЖ испр_ПП" xfId="282"/>
    <cellStyle name="_БК 2007 КТЖ испр_Свод по ПР 2011 по ДО (12.09.10)" xfId="283"/>
    <cellStyle name="_БК 2007 КТЖ испр_Свод по ПР 2011 по ДО (27.09.10) изм.АОТ, ЛКЗ" xfId="284"/>
    <cellStyle name="_БК 2007 КТЖ испр_Свод по ПР 2011 по ДО (27.09.10) изм.АОТ, ЛКЗ_Свод по ДО 2011 корректировка от 04.05.11" xfId="285"/>
    <cellStyle name="_БК 2007 КТЖ испр_Шаблон ПР" xfId="286"/>
    <cellStyle name="_БК 2008 КТЖ 01.02.2007" xfId="287"/>
    <cellStyle name="_БК 2008 КТЖ 01.02.2007_Свод по ДО 2011 корректировка от 04.05.11" xfId="288"/>
    <cellStyle name="_БК 2008 КТЖ 15.05.08" xfId="289"/>
    <cellStyle name="_БК 2008 КТЖ 15.05.08_Свод по ДО 2011 корректировка от 04.05.11" xfId="290"/>
    <cellStyle name="_БК 3" xfId="291"/>
    <cellStyle name="_БК 4_5 2007 ГРУППА" xfId="292"/>
    <cellStyle name="_БК 4_5 2007 ГРУППА без займа" xfId="293"/>
    <cellStyle name="_БК КТЖ 2007 корр июнь 2007" xfId="294"/>
    <cellStyle name="_БК КТЖ 2007 корр июнь 2007 2" xfId="295"/>
    <cellStyle name="_БК КТЖ 2007 корр июнь 2007_08-13 с оптимиз  АУР, матер, топл, сортир 04.11.08" xfId="296"/>
    <cellStyle name="_БК КТЖ 2007 корр июнь 2007_ПП" xfId="297"/>
    <cellStyle name="_БК КТЖ 2007 корр июнь 2007_Свод по ДО 2011 корректировка от 04.05.11" xfId="298"/>
    <cellStyle name="_БК1 - 9 мес. 2007" xfId="299"/>
    <cellStyle name="_БК1 - 9 мес. 2007_Свод по ДО 2011 корректировка от 04.05.11" xfId="300"/>
    <cellStyle name="_БК1, БК6 на 2009 год 14.04.09" xfId="301"/>
    <cellStyle name="_БК1; БК6 21.09.2008" xfId="302"/>
    <cellStyle name="_БК1; БК6 21.09.2008_ПП" xfId="303"/>
    <cellStyle name="_БК-5 модель 2020 1,5% и 3% 22.01.10 БАЗА" xfId="304"/>
    <cellStyle name="_БК-5 на 2010 г" xfId="305"/>
    <cellStyle name="_БК-6 на 2009г.с расходн" xfId="306"/>
    <cellStyle name="_БК-6 на 2009г.с расходн_ПП" xfId="307"/>
    <cellStyle name="_БКО 2007 КТЖ  корр 10.04.2007" xfId="308"/>
    <cellStyle name="_БКО 2007 КТЖ  корр 10.04.2007 2" xfId="309"/>
    <cellStyle name="_БКО 2007 КТЖ  корр 10.04.2007_08-13 с оптимиз  АУР, матер, топл, сортир 04.11.08" xfId="310"/>
    <cellStyle name="_БКО 2007 КТЖ  корр 10.04.2007_ПП" xfId="311"/>
    <cellStyle name="_БКО 2007 КТЖ  корр 10.04.2007_Свод по ДО 2011 корректировка от 04.05.11" xfId="312"/>
    <cellStyle name="_БО 08-13 10.09.08 рынок без КТТ" xfId="313"/>
    <cellStyle name="_БО 08-20 (прогноз.баланс)" xfId="314"/>
    <cellStyle name="_БО 2007 июльКор" xfId="315"/>
    <cellStyle name="_БО 2007 КТЖ корр 10.04.2007" xfId="316"/>
    <cellStyle name="_БО 2007 КТЖ корр 10.04.2007 2" xfId="317"/>
    <cellStyle name="_БО 2007 КТЖ корр 10.04.2007_08-13 с оптимиз  АУР, матер, топл, сортир 04.11.08" xfId="318"/>
    <cellStyle name="_БО 2007 КТЖ корр 10.04.2007_ЛСЦПР" xfId="319"/>
    <cellStyle name="_БО 2007 КТЖ корр 10.04.2007_Модель 2011-2015" xfId="320"/>
    <cellStyle name="_БО 2007 КТЖ корр 10.04.2007_Моделька с повыш тарифа" xfId="321"/>
    <cellStyle name="_БО 2007 КТЖ корр 10.04.2007_Налоги по 8НК Жанат 2" xfId="322"/>
    <cellStyle name="_БО 2007 КТЖ корр 10.04.2007_План налогов на  2009-2013 г АО КТС окончательный" xfId="323"/>
    <cellStyle name="_БО 2007 КТЖ корр 10.04.2007_План развития 2010-2014 годы Лизинг" xfId="324"/>
    <cellStyle name="_БО 2007 КТЖ корр 10.04.2007_План развития 2011-2015" xfId="325"/>
    <cellStyle name="_БО 2007 КТЖ корр 10.04.2007_План развития с маневр.  на 2011-2015гг.на 16.09.10г." xfId="326"/>
    <cellStyle name="_БО 2007 КТЖ корр 10.04.2007_План развития УТВЕРЖДЕННЫЙ (2.12.09)" xfId="327"/>
    <cellStyle name="_БО 2007 КТЖ корр 10.04.2007_ПП" xfId="328"/>
    <cellStyle name="_БО 2007 КТЖ корр 10.04.2007_Свод по ДО 2011 корректировка от 04.05.11" xfId="329"/>
    <cellStyle name="_БО 2007 КТЖ корр 10.04.2007_Шаблон ПР" xfId="330"/>
    <cellStyle name="_БО 2007 КТЖ корр июнь 2007" xfId="331"/>
    <cellStyle name="_БО 2007 КТЖ корр июнь 2007 2" xfId="332"/>
    <cellStyle name="_БО 2007 КТЖ корр июнь 2007_08-13 с оптимиз  АУР, матер, топл, сортир 04.11.08" xfId="333"/>
    <cellStyle name="_БО 2007 КТЖ корр июнь 2007_ЛСЦПР" xfId="334"/>
    <cellStyle name="_БО 2007 КТЖ корр июнь 2007_Модель 2011-2015" xfId="335"/>
    <cellStyle name="_БО 2007 КТЖ корр июнь 2007_Моделька с повыш тарифа" xfId="336"/>
    <cellStyle name="_БО 2007 КТЖ корр июнь 2007_Налоги по 8НК Жанат 2" xfId="337"/>
    <cellStyle name="_БО 2007 КТЖ корр июнь 2007_План налогов на  2009-2013 г АО КТС окончательный" xfId="338"/>
    <cellStyle name="_БО 2007 КТЖ корр июнь 2007_План развития 2010-2014 годы Лизинг" xfId="339"/>
    <cellStyle name="_БО 2007 КТЖ корр июнь 2007_План развития 2011-2015" xfId="340"/>
    <cellStyle name="_БО 2007 КТЖ корр июнь 2007_План развития с маневр.  на 2011-2015гг.на 16.09.10г." xfId="341"/>
    <cellStyle name="_БО 2007 КТЖ корр июнь 2007_План развития УТВЕРЖДЕННЫЙ (2.12.09)" xfId="342"/>
    <cellStyle name="_БО 2007 КТЖ корр июнь 2007_ПП" xfId="343"/>
    <cellStyle name="_БО 2007 КТЖ корр июнь 2007_Свод по ДО 2011 корректировка от 04.05.11" xfId="344"/>
    <cellStyle name="_БО 2007 КТЖ корр июнь 2007_Шаблон ПР" xfId="345"/>
    <cellStyle name="_БО 3 корр. от 24 июля 2007" xfId="346"/>
    <cellStyle name="_БО 3 корр. от 24 июля 2007 2" xfId="347"/>
    <cellStyle name="_БО 3 корр. от 24 июля 2007_08-13 с оптимиз  АУР, матер, топл, сортир 04.11.08" xfId="348"/>
    <cellStyle name="_БО 3 корр. от 24 июля 2007_ЛСЦПР" xfId="349"/>
    <cellStyle name="_БО 3 корр. от 24 июля 2007_Модель 2011-2015" xfId="350"/>
    <cellStyle name="_БО 3 корр. от 24 июля 2007_Моделька с повыш тарифа" xfId="351"/>
    <cellStyle name="_БО 3 корр. от 24 июля 2007_Налоги по 8НК Жанат 2" xfId="352"/>
    <cellStyle name="_БО 3 корр. от 24 июля 2007_План налогов на  2009-2013 г АО КТС окончательный" xfId="353"/>
    <cellStyle name="_БО 3 корр. от 24 июля 2007_План развития 2010-2014 годы Лизинг" xfId="354"/>
    <cellStyle name="_БО 3 корр. от 24 июля 2007_План развития 2011-2015" xfId="355"/>
    <cellStyle name="_БО 3 корр. от 24 июля 2007_План развития с маневр.  на 2011-2015гг.на 16.09.10г." xfId="356"/>
    <cellStyle name="_БО 3 корр. от 24 июля 2007_План развития УТВЕРЖДЕННЫЙ (2.12.09)" xfId="357"/>
    <cellStyle name="_БО 3 корр. от 24 июля 2007_ПП" xfId="358"/>
    <cellStyle name="_БО 3 корр. от 24 июля 2007_Свод по ДО 2011 корректировка от 04.05.11" xfId="359"/>
    <cellStyle name="_БО 3 корр. от 24 июля 2007_Шаблон ПР" xfId="360"/>
    <cellStyle name="_БО 4" xfId="361"/>
    <cellStyle name="_БО 4 (КТЖ) на направл." xfId="362"/>
    <cellStyle name="_БО-2, БК-2" xfId="363"/>
    <cellStyle name="_БО-3 КТЖ 24.11.06" xfId="364"/>
    <cellStyle name="_БО-3 оконч за 2008 год с фактом бухг. 06.05.09" xfId="365"/>
    <cellStyle name="_БО-3_2007+" xfId="366"/>
    <cellStyle name="_БО-3_2007+ (1)" xfId="367"/>
    <cellStyle name="_БО-3_год 2008 (окончательная)19-32" xfId="368"/>
    <cellStyle name="_БО-3_год 2008 (экономистов)" xfId="369"/>
    <cellStyle name="_БО5 БО6 Корр Июль 120707 24_12" xfId="370"/>
    <cellStyle name="_БО5 БО6 Корр Июль 120707 24_12 2" xfId="371"/>
    <cellStyle name="_БО5 БО6 Корр Июль 120707 24_12_08-13 с оптимиз  АУР, матер, топл, сортир 04.11.08" xfId="372"/>
    <cellStyle name="_БО5 БО6 Корр Июль 120707 24_12_ЛСЦПР" xfId="373"/>
    <cellStyle name="_БО5 БО6 Корр Июль 120707 24_12_Модель 2011-2015" xfId="374"/>
    <cellStyle name="_БО5 БО6 Корр Июль 120707 24_12_Моделька с повыш тарифа" xfId="375"/>
    <cellStyle name="_БО5 БО6 Корр Июль 120707 24_12_Налоги по 8НК Жанат 2" xfId="376"/>
    <cellStyle name="_БО5 БО6 Корр Июль 120707 24_12_План налогов на  2009-2013 г АО КТС окончательный" xfId="377"/>
    <cellStyle name="_БО5 БО6 Корр Июль 120707 24_12_План развития 2010-2014 годы Лизинг" xfId="378"/>
    <cellStyle name="_БО5 БО6 Корр Июль 120707 24_12_План развития 2011-2015" xfId="379"/>
    <cellStyle name="_БО5 БО6 Корр Июль 120707 24_12_План развития с маневр.  на 2011-2015гг.на 16.09.10г." xfId="380"/>
    <cellStyle name="_БО5 БО6 Корр Июль 120707 24_12_План развития УТВЕРЖДЕННЫЙ (2.12.09)" xfId="381"/>
    <cellStyle name="_БО5 БО6 Корр Июль 120707 24_12_ПП" xfId="382"/>
    <cellStyle name="_БО5 БО6 Корр Июль 120707 24_12_Свод по ДО 2011 корректировка от 04.05.11" xfId="383"/>
    <cellStyle name="_БО5 БО6 Корр Июль 120707 24_12_Шаблон ПР" xfId="384"/>
    <cellStyle name="_БО5 для самрука" xfId="385"/>
    <cellStyle name="_БО-6 07.09.09 ЦЭП." xfId="386"/>
    <cellStyle name="_БО-6 07.09.09 ЦЭП._ПП" xfId="387"/>
    <cellStyle name="_БО-6 2009" xfId="388"/>
    <cellStyle name="_БО-6 на 2010 28.09.09" xfId="389"/>
    <cellStyle name="_БО-6 на 2010 г" xfId="390"/>
    <cellStyle name="_Бюджет 2007 года с учетом коррек 12.09.07г.для НХ" xfId="391"/>
    <cellStyle name="_Бюджет 2007 года с учетом коррек испр.11.07.07г." xfId="392"/>
    <cellStyle name="_Бюджет 2007 года с учетом коррек испр.12.07.07г." xfId="393"/>
    <cellStyle name="_Бюджет 2007 года с учетом коррек испр.19.07.07г." xfId="394"/>
    <cellStyle name="_Бюджет 2007 года с учетом коррек испр.29.08.07г.для  Жанары" xfId="395"/>
    <cellStyle name="_Бюджет 2008 года  (с учетом корректир) от 03.11.2008 " xfId="396"/>
    <cellStyle name="_Бюджет 2010" xfId="397"/>
    <cellStyle name="_Бюджет 28.08.09" xfId="398"/>
    <cellStyle name="_Бюджет АО 2007 СВОД с корректировкой 2 полугодия на БК от 13.06.07 с КТТ изм" xfId="399"/>
    <cellStyle name="_Бюджет АО 2007 СВОД с корректировкой 2 полугодия на БК от 13.06.07 с КТТ изм 2" xfId="400"/>
    <cellStyle name="_Бюджет АО 2007 СВОД с корректировкой 2 полугодия на БК от 13.06.07 с КТТ изм_08-13 с оптимиз  АУР, матер, топл, сортир 04.11.08" xfId="401"/>
    <cellStyle name="_Бюджет АО 2007 СВОД с корректировкой 2 полугодия на БК от 13.06.07 с КТТ изм_ЛСЦПР" xfId="402"/>
    <cellStyle name="_Бюджет АО 2007 СВОД с корректировкой 2 полугодия на БК от 13.06.07 с КТТ изм_Модель 2011-2015" xfId="403"/>
    <cellStyle name="_Бюджет АО 2007 СВОД с корректировкой 2 полугодия на БК от 13.06.07 с КТТ изм_Моделька с повыш тарифа" xfId="404"/>
    <cellStyle name="_Бюджет АО 2007 СВОД с корректировкой 2 полугодия на БК от 13.06.07 с КТТ изм_Налоги по 8НК Жанат 2" xfId="405"/>
    <cellStyle name="_Бюджет АО 2007 СВОД с корректировкой 2 полугодия на БК от 13.06.07 с КТТ изм_План налогов на  2009-2013 г АО КТС окончательный" xfId="406"/>
    <cellStyle name="_Бюджет АО 2007 СВОД с корректировкой 2 полугодия на БК от 13.06.07 с КТТ изм_План развития 2010-2014 годы Лизинг" xfId="407"/>
    <cellStyle name="_Бюджет АО 2007 СВОД с корректировкой 2 полугодия на БК от 13.06.07 с КТТ изм_План развития 2011-2015" xfId="408"/>
    <cellStyle name="_Бюджет АО 2007 СВОД с корректировкой 2 полугодия на БК от 13.06.07 с КТТ изм_План развития с маневр.  на 2011-2015гг.на 16.09.10г." xfId="409"/>
    <cellStyle name="_Бюджет АО 2007 СВОД с корректировкой 2 полугодия на БК от 13.06.07 с КТТ изм_План развития УТВЕРЖДЕННЫЙ (2.12.09)" xfId="410"/>
    <cellStyle name="_Бюджет АО 2007 СВОД с корректировкой 2 полугодия на БК от 13.06.07 с КТТ изм_ПП" xfId="411"/>
    <cellStyle name="_Бюджет АО 2007 СВОД с корректировкой 2 полугодия на БК от 13.06.07 с КТТ изм_Свод по ДО 2011 корректировка от 04.05.11" xfId="412"/>
    <cellStyle name="_Бюджет АО 2007 СВОД с корректировкой 2 полугодия на БК от 13.06.07 с КТТ изм_Шаблон ПР" xfId="413"/>
    <cellStyle name="_Бюджет АО 2007 СВОД с корректировкой в книжку" xfId="414"/>
    <cellStyle name="_Бюджет АО 2007 СВОД с корректировкой в книжку 2" xfId="415"/>
    <cellStyle name="_Бюджет АО 2007 СВОД с корректировкой в книжку_08-13 с оптимиз  АУР, матер, топл, сортир 04.11.08" xfId="416"/>
    <cellStyle name="_Бюджет АО 2007 СВОД с корректировкой в книжку_ЛСЦПР" xfId="417"/>
    <cellStyle name="_Бюджет АО 2007 СВОД с корректировкой в книжку_Модель 2011-2015" xfId="418"/>
    <cellStyle name="_Бюджет АО 2007 СВОД с корректировкой в книжку_Моделька с повыш тарифа" xfId="419"/>
    <cellStyle name="_Бюджет АО 2007 СВОД с корректировкой в книжку_Налоги по 8НК Жанат 2" xfId="420"/>
    <cellStyle name="_Бюджет АО 2007 СВОД с корректировкой в книжку_План налогов на  2009-2013 г АО КТС окончательный" xfId="421"/>
    <cellStyle name="_Бюджет АО 2007 СВОД с корректировкой в книжку_План развития 2010-2014 годы Лизинг" xfId="422"/>
    <cellStyle name="_Бюджет АО 2007 СВОД с корректировкой в книжку_План развития 2011-2015" xfId="423"/>
    <cellStyle name="_Бюджет АО 2007 СВОД с корректировкой в книжку_План развития с маневр.  на 2011-2015гг.на 16.09.10г." xfId="424"/>
    <cellStyle name="_Бюджет АО 2007 СВОД с корректировкой в книжку_План развития УТВЕРЖДЕННЫЙ (2.12.09)" xfId="425"/>
    <cellStyle name="_Бюджет АО 2007 СВОД с корректировкой в книжку_ПП" xfId="426"/>
    <cellStyle name="_Бюджет АО 2007 СВОД с корректировкой в книжку_Свод по ДО 2011 корректировка от 04.05.11" xfId="427"/>
    <cellStyle name="_Бюджет АО 2007 СВОД с корректировкой в книжку_Шаблон ПР" xfId="428"/>
    <cellStyle name="_Бюджет в ЦЭП 10.04.2008г." xfId="429"/>
    <cellStyle name="_Бюджет в ЦЭП 10.04.2008г._Свод по ПР 2011 по ДО (27.09.10) изм.АОТ, ЛКЗ" xfId="430"/>
    <cellStyle name="_Бюджет в ЦЭП 10.04.2008г._Свод по ПР 2011 по ДО (27.09.10) изм.АОТ, ЛКЗ_Свод по ДО 2011 корректировка от 04.05.11" xfId="431"/>
    <cellStyle name="_Бюджет вагоносборки" xfId="432"/>
    <cellStyle name="_Бюджет на 2008 год без уч.роста тарифа кз70 рф 84 для тарифа" xfId="433"/>
    <cellStyle name="_Бюджет на 2008 год на 10.11.2007 АОТ рф84 кз70 рем Камкор" xfId="434"/>
    <cellStyle name="_ВЖДО" xfId="435"/>
    <cellStyle name="_ВЛ-80 КР,ТОУ-8" xfId="436"/>
    <cellStyle name="_ВЛ-80 ТО-6" xfId="437"/>
    <cellStyle name="_ВЛ-80 ТО-8" xfId="438"/>
    <cellStyle name="_ВСЕ ФОРМЫ ЗА 2008 год (инвест.)" xfId="439"/>
    <cellStyle name="_Всего" xfId="440"/>
    <cellStyle name="_выплаты по обязательствам до 2016 года (по матери)" xfId="441"/>
    <cellStyle name="_Вырезка из ПГЗ ТМЦ" xfId="442"/>
    <cellStyle name="_Вырезка из ПГЗ ТМЦ_Свод по ПР 2011 по ДО (27.09.10) изм.АОТ, ЛКЗ" xfId="443"/>
    <cellStyle name="_Вырезка из ПГЗ ТМЦ_Свод по ПР 2011 по ДО (27.09.10) изм.АОТ, ЛКЗ_Свод по ДО 2011 корректировка от 04.05.11" xfId="444"/>
    <cellStyle name="_Годовой отчет по факторам за 2007 год" xfId="445"/>
    <cellStyle name="_Группа 2007 оценка анализ" xfId="446"/>
    <cellStyle name="_Группа 2007 оценка анализ_Свод по ДО 2011 корректировка от 04.05.11" xfId="447"/>
    <cellStyle name="_Группа анализ 2006 год 7 мая млн." xfId="448"/>
    <cellStyle name="_Группа анализ 2006 год полный" xfId="449"/>
    <cellStyle name="_Группа КТЖ 28нояб06" xfId="450"/>
    <cellStyle name="_Группа КТЖ 28нояб06 2" xfId="451"/>
    <cellStyle name="_Группа КТЖ 28нояб06_08-13 с оптимиз  АУР, матер, топл, сортир 04.11.08" xfId="452"/>
    <cellStyle name="_Группа КТЖ 28нояб06_ЛСЦПР" xfId="453"/>
    <cellStyle name="_Группа КТЖ 28нояб06_Модель 2011-2015" xfId="454"/>
    <cellStyle name="_Группа КТЖ 28нояб06_Моделька с повыш тарифа" xfId="455"/>
    <cellStyle name="_Группа КТЖ 28нояб06_Налоги по 8НК Жанат 2" xfId="456"/>
    <cellStyle name="_Группа КТЖ 28нояб06_План налогов на  2009-2013 г АО КТС окончательный" xfId="457"/>
    <cellStyle name="_Группа КТЖ 28нояб06_План развития 2010-2014 годы Лизинг" xfId="458"/>
    <cellStyle name="_Группа КТЖ 28нояб06_План развития 2011-2015" xfId="459"/>
    <cellStyle name="_Группа КТЖ 28нояб06_План развития с маневр.  на 2011-2015гг.на 16.09.10г." xfId="460"/>
    <cellStyle name="_Группа КТЖ 28нояб06_План развития УТВЕРЖДЕННЫЙ (2.12.09)" xfId="461"/>
    <cellStyle name="_Группа КТЖ 28нояб06_ПП" xfId="462"/>
    <cellStyle name="_Группа КТЖ 28нояб06_Свод по ДО 2011 корректировка от 04.05.11" xfId="463"/>
    <cellStyle name="_Группа КТЖ 28нояб06_Шаблон ПР" xfId="464"/>
    <cellStyle name="_гсм" xfId="465"/>
    <cellStyle name="_ГФ на 2006 год (проект)" xfId="466"/>
    <cellStyle name="_ГФ на 2006 год (проект) 2" xfId="467"/>
    <cellStyle name="_ГФ на 2006 год (проект)_08-13 с оптимиз  АУР, матер, топл, сортир 04.11.08" xfId="468"/>
    <cellStyle name="_ГФ на 2006 год (проект)_ЛСЦПР" xfId="469"/>
    <cellStyle name="_ГФ на 2006 год (проект)_Модель 2011-2015" xfId="470"/>
    <cellStyle name="_ГФ на 2006 год (проект)_Моделька с повыш тарифа" xfId="471"/>
    <cellStyle name="_ГФ на 2006 год (проект)_Налоги по 8НК Жанат 2" xfId="472"/>
    <cellStyle name="_ГФ на 2006 год (проект)_План налогов на  2009-2013 г АО КТС окончательный" xfId="473"/>
    <cellStyle name="_ГФ на 2006 год (проект)_План развития 2010-2014 годы Лизинг" xfId="474"/>
    <cellStyle name="_ГФ на 2006 год (проект)_План развития 2011-2015" xfId="475"/>
    <cellStyle name="_ГФ на 2006 год (проект)_План развития с маневр.  на 2011-2015гг.на 16.09.10г." xfId="476"/>
    <cellStyle name="_ГФ на 2006 год (проект)_План развития УТВЕРЖДЕННЫЙ (2.12.09)" xfId="477"/>
    <cellStyle name="_ГФ на 2006 год (проект)_ПП" xfId="478"/>
    <cellStyle name="_ГФ на 2006 год (проект)_Свод по ДО 2011 корректировка от 04.05.11" xfId="479"/>
    <cellStyle name="_ГФ на 2006 год (проект)_Шаблон ПР" xfId="480"/>
    <cellStyle name="_деньги по матери и группе для самрука" xfId="481"/>
    <cellStyle name="_деньги по матери и группе для самрука_ПП" xfId="482"/>
    <cellStyle name="_деньги, баланс  по матери и группе 10.09_11.19" xfId="483"/>
    <cellStyle name="_деньги, баланс  по матери и группе 10.09_11.19 (1)" xfId="484"/>
    <cellStyle name="_деньги, баланс  по матери и группе 10.09_11.19 (1)_ПП" xfId="485"/>
    <cellStyle name="_деньги, баланс  по матери и группе 10.09_11.19_ПП" xfId="486"/>
    <cellStyle name="_депозитный портфель на 31.03.09" xfId="487"/>
    <cellStyle name="_депозитный портфель на 31.12.08" xfId="488"/>
    <cellStyle name="_ДИТ_outlook_28сент02 с сокращ" xfId="489"/>
    <cellStyle name="_Для Аскара по матери до 2012 года_14_11_2007" xfId="490"/>
    <cellStyle name="_Для баланса КТЖ коррек 120707" xfId="491"/>
    <cellStyle name="_для ГУ" xfId="492"/>
    <cellStyle name="_Для Жанары" xfId="493"/>
    <cellStyle name="_для жанары_1" xfId="494"/>
    <cellStyle name="_для жанары_1_ПП" xfId="495"/>
    <cellStyle name="_для Назиры Хамитовны" xfId="496"/>
    <cellStyle name="_Для Рината-111" xfId="497"/>
    <cellStyle name="_Для Рината-111 2" xfId="498"/>
    <cellStyle name="_Для Рината-111 2_Свод по ДО 2011 корректировка от 04.05.11" xfId="499"/>
    <cellStyle name="_Для Рината-111_08-13 с оптимиз  АУР, матер, топл, сортир 04.11.08" xfId="500"/>
    <cellStyle name="_Для Рината-111_ЛСЦПР" xfId="501"/>
    <cellStyle name="_Для Рината-111_Модель 2011-2015" xfId="502"/>
    <cellStyle name="_Для Рината-111_Моделька с повыш тарифа" xfId="503"/>
    <cellStyle name="_Для Рината-111_Налоги по 8НК Жанат 2" xfId="504"/>
    <cellStyle name="_Для Рината-111_Налоговый бюджет АО Локомотив 2009-2013 на 25.09.08" xfId="505"/>
    <cellStyle name="_Для Рината-111_План налогов на  2009-2013 г АО КТС окончательный" xfId="506"/>
    <cellStyle name="_Для Рината-111_План развития 2010-2014 годы Лизинг" xfId="507"/>
    <cellStyle name="_Для Рината-111_План развития 2011-2015" xfId="508"/>
    <cellStyle name="_Для Рината-111_План развития с маневр.  на 2011-2015гг.на 16.09.10г." xfId="509"/>
    <cellStyle name="_Для Рината-111_План развития УТВЕРЖДЕННЫЙ (2.12.09)" xfId="510"/>
    <cellStyle name="_Для Рината-111_ПП" xfId="511"/>
    <cellStyle name="_Для Рината-111_Свод по ПР 2011 по ДО (12.09.10)" xfId="512"/>
    <cellStyle name="_Для Рината-111_Свод по ПР 2011 по ДО (27.09.10) изм.АОТ, ЛКЗ" xfId="513"/>
    <cellStyle name="_Для Рината-111_Свод по ПР 2011 по ДО (27.09.10) изм.АОТ, ЛКЗ_Свод по ДО 2011 корректировка от 04.05.11" xfId="514"/>
    <cellStyle name="_Для Рината-111_Шаблон ПР" xfId="515"/>
    <cellStyle name="_для слайдов" xfId="516"/>
    <cellStyle name="_для слайдов 2" xfId="517"/>
    <cellStyle name="_для слайдов_08-13 с оптимиз  АУР, матер, топл, сортир 04.11.08" xfId="518"/>
    <cellStyle name="_для слайдов_ПП" xfId="519"/>
    <cellStyle name="_для слайдов_Свод по ДО 2011 корректировка от 04.05.11" xfId="520"/>
    <cellStyle name="_для ЦФ План по обязательствам до 2013 года (1)" xfId="521"/>
    <cellStyle name="_для ЦФ План по обязательствам до 2013 года (2)" xfId="522"/>
    <cellStyle name="_доходы к индикат2008лок" xfId="523"/>
    <cellStyle name="_завод иностр 290507 скл1рен22 транспорт" xfId="524"/>
    <cellStyle name="_Займы" xfId="525"/>
    <cellStyle name="_ЗаймыПрогноз 2007_2016" xfId="526"/>
    <cellStyle name="_ЗаймыПрогноз 2007_2016 2" xfId="527"/>
    <cellStyle name="_ЗаймыПрогноз 2007_2016_08-13 с оптимиз  АУР, матер, топл, сортир 04.11.08" xfId="528"/>
    <cellStyle name="_ЗаймыПрогноз 2007_2016_ЛСЦПР" xfId="529"/>
    <cellStyle name="_ЗаймыПрогноз 2007_2016_Модель 2011-2015" xfId="530"/>
    <cellStyle name="_ЗаймыПрогноз 2007_2016_Моделька с повыш тарифа" xfId="531"/>
    <cellStyle name="_ЗаймыПрогноз 2007_2016_Налоги по 8НК Жанат 2" xfId="532"/>
    <cellStyle name="_ЗаймыПрогноз 2007_2016_План налогов на  2009-2013 г АО КТС окончательный" xfId="533"/>
    <cellStyle name="_ЗаймыПрогноз 2007_2016_План развития 2010-2014 годы Лизинг" xfId="534"/>
    <cellStyle name="_ЗаймыПрогноз 2007_2016_План развития 2011-2015" xfId="535"/>
    <cellStyle name="_ЗаймыПрогноз 2007_2016_План развития с маневр.  на 2011-2015гг.на 16.09.10г." xfId="536"/>
    <cellStyle name="_ЗаймыПрогноз 2007_2016_План развития УТВЕРЖДЕННЫЙ (2.12.09)" xfId="537"/>
    <cellStyle name="_ЗаймыПрогноз 2007_2016_ПП" xfId="538"/>
    <cellStyle name="_ЗаймыПрогноз 2007_2016_Свод по ПР 2011 по ДО (12.09.10)" xfId="539"/>
    <cellStyle name="_ЗаймыПрогноз 2007_2016_Свод по ПР 2011 по ДО (27.09.10) изм.АОТ, ЛКЗ" xfId="540"/>
    <cellStyle name="_ЗаймыПрогноз 2007_2016_Свод по ПР 2011 по ДО (27.09.10) изм.АОТ, ЛКЗ_Свод по ДО 2011 корректировка от 04.05.11" xfId="541"/>
    <cellStyle name="_ЗаймыПрогноз 2007_2016_Шаблон ПР" xfId="542"/>
    <cellStyle name="_Запрос по прогнозу" xfId="543"/>
    <cellStyle name="_заявка НТД на 2007 год новая" xfId="544"/>
    <cellStyle name="_Инв. программа ЦЖС на 2010-2014_форма САМРУК_5" xfId="545"/>
    <cellStyle name="_Инвест -08 по мес" xfId="546"/>
    <cellStyle name="_инвест 2007-2009 гг.перед" xfId="547"/>
    <cellStyle name="_инвест 2007-2009 гг.перед 2" xfId="548"/>
    <cellStyle name="_инвест 2007-2009 гг.перед_08-13 с оптимиз  АУР, матер, топл, сортир 04.11.08" xfId="549"/>
    <cellStyle name="_инвест 2007-2009 гг.перед_ЛСЦПР" xfId="550"/>
    <cellStyle name="_инвест 2007-2009 гг.перед_Модель 2011-2015" xfId="551"/>
    <cellStyle name="_инвест 2007-2009 гг.перед_Моделька с повыш тарифа" xfId="552"/>
    <cellStyle name="_инвест 2007-2009 гг.перед_Налоги по 8НК Жанат 2" xfId="553"/>
    <cellStyle name="_инвест 2007-2009 гг.перед_Налоговый бюджет АО Локомотив 2009-2013 на 25.09.08" xfId="554"/>
    <cellStyle name="_инвест 2007-2009 гг.перед_План налогов на  2009-2013 г АО КТС окончательный" xfId="555"/>
    <cellStyle name="_инвест 2007-2009 гг.перед_План развития 2010-2014 годы Лизинг" xfId="556"/>
    <cellStyle name="_инвест 2007-2009 гг.перед_План развития 2011-2015" xfId="557"/>
    <cellStyle name="_инвест 2007-2009 гг.перед_План развития с маневр.  на 2011-2015гг.на 16.09.10г." xfId="558"/>
    <cellStyle name="_инвест 2007-2009 гг.перед_План развития УТВЕРЖДЕННЫЙ (2.12.09)" xfId="559"/>
    <cellStyle name="_инвест 2007-2009 гг.перед_ПП" xfId="560"/>
    <cellStyle name="_инвест 2007-2009 гг.перед_Свод по ДО 2011 корректировка от 04.05.11" xfId="561"/>
    <cellStyle name="_инвест 2007-2009 гг.перед_Шаблон ПР" xfId="562"/>
    <cellStyle name="_Инвестиционные намерение 2020 группе компании ЦФ" xfId="563"/>
    <cellStyle name="_Инвестпаспорта  ЦП 2009г.." xfId="564"/>
    <cellStyle name="_индикат на 2008 ремлок нов" xfId="565"/>
    <cellStyle name="_Информация по курсовой разнице ,процентам  СВОД  170407 2" xfId="566"/>
    <cellStyle name="_информация по ценам на МВСП на 2007-2008 годы" xfId="567"/>
    <cellStyle name="_ИП на 01.09.06" xfId="568"/>
    <cellStyle name="_ИП на 01.09.06 2" xfId="569"/>
    <cellStyle name="_ИП на 01.09.06_08-13 с оптимиз  АУР, матер, топл, сортир 04.11.08" xfId="570"/>
    <cellStyle name="_ИП на 01.09.06_1 1 2010-2020" xfId="571"/>
    <cellStyle name="_ИП на 01.09.06_1.Для слайда на 2010 год (утвержденный бюджет)" xfId="572"/>
    <cellStyle name="_ИП на 01.09.06_Cash 2010-2020" xfId="573"/>
    <cellStyle name="_ИП на 01.09.06_Книга1" xfId="574"/>
    <cellStyle name="_ИП на 01.09.06_Копия 1 Для слайда на 2010 год (под инвест программу)_4" xfId="575"/>
    <cellStyle name="_ИП на 01.09.06_ЛСЦПР" xfId="576"/>
    <cellStyle name="_ИП на 01.09.06_Модель 2011-2015" xfId="577"/>
    <cellStyle name="_ИП на 01.09.06_Моделька с повыш тарифа" xfId="578"/>
    <cellStyle name="_ИП на 01.09.06_Налоги по 8НК Жанат 2" xfId="579"/>
    <cellStyle name="_ИП на 01.09.06_План налогов на  2009-2013 г АО КТС окончательный" xfId="580"/>
    <cellStyle name="_ИП на 01.09.06_План развития 2010-2014 годы Лизинг" xfId="581"/>
    <cellStyle name="_ИП на 01.09.06_План развития с маневр.  на 2011-2015гг.на 16.09.10г." xfId="582"/>
    <cellStyle name="_ИП на 01.09.06_План развития УТВЕРЖДЕННЫЙ (2.12.09)" xfId="583"/>
    <cellStyle name="_ИП на 01.09.06_ПП" xfId="584"/>
    <cellStyle name="_ИП на 01.09.06_Свод до 2020 (1)" xfId="585"/>
    <cellStyle name="_ИП на 01.09.06_Свод по ПР 2011 по ДО (12.09.10)" xfId="586"/>
    <cellStyle name="_ИП на 01.09.06_Свод по ПР 2011 по ДО (27.09.10) изм.АОТ, ЛКЗ" xfId="587"/>
    <cellStyle name="_ИП на 01.09.06_Свод по ПР 2011 по ДО (27.09.10) изм.АОТ, ЛКЗ_Свод по ДО 2011 корректировка от 04.05.11" xfId="588"/>
    <cellStyle name="_ИП на 01.09.06_Шаблон ПР" xfId="589"/>
    <cellStyle name="_ИСПОЛНЕНИЕ за 2005 г (30 721 391)" xfId="590"/>
    <cellStyle name="_исполнение производственных показателей испр." xfId="591"/>
    <cellStyle name="_ИТ" xfId="592"/>
    <cellStyle name="_ИТ_бд2003_с переносом_060303" xfId="593"/>
    <cellStyle name="_ИТ_ВК_ВК-Р_для уточнений270802" xfId="594"/>
    <cellStyle name="_ИТ_НБ_outlook_сент02" xfId="595"/>
    <cellStyle name="_к бюджету 2010 РПВ-2_КТЖ" xfId="596"/>
    <cellStyle name="_КассовыйБюджет декабрь" xfId="597"/>
    <cellStyle name="_КассовыйБюджет декабрь 2" xfId="598"/>
    <cellStyle name="_КассовыйБюджет декабрь_08-13 с оптимиз  АУР, матер, топл, сортир 04.11.08" xfId="599"/>
    <cellStyle name="_КассовыйБюджет декабрь_ЛСЦПР" xfId="600"/>
    <cellStyle name="_КассовыйБюджет декабрь_Модель 2011-2015" xfId="601"/>
    <cellStyle name="_КассовыйБюджет декабрь_Моделька с повыш тарифа" xfId="602"/>
    <cellStyle name="_КассовыйБюджет декабрь_Налоги по 8НК Жанат 2" xfId="603"/>
    <cellStyle name="_КассовыйБюджет декабрь_План налогов на  2009-2013 г АО КТС окончательный" xfId="604"/>
    <cellStyle name="_КассовыйБюджет декабрь_План развития 2010-2014 годы Лизинг" xfId="605"/>
    <cellStyle name="_КассовыйБюджет декабрь_План развития 2011-2015" xfId="606"/>
    <cellStyle name="_КассовыйБюджет декабрь_План развития с маневр.  на 2011-2015гг.на 16.09.10г." xfId="607"/>
    <cellStyle name="_КассовыйБюджет декабрь_План развития УТВЕРЖДЕННЫЙ (2.12.09)" xfId="608"/>
    <cellStyle name="_КассовыйБюджет декабрь_ПП" xfId="609"/>
    <cellStyle name="_КассовыйБюджет декабрь_Свод по ДО 2011 корректировка от 04.05.11" xfId="610"/>
    <cellStyle name="_КассовыйБюджет декабрь_Шаблон ПР" xfId="611"/>
    <cellStyle name="_КБ2007КТЖ_Самрук" xfId="612"/>
    <cellStyle name="_КБ2007КТЖ_Самрук 2" xfId="613"/>
    <cellStyle name="_КБ2007КТЖ_Самрук_08-13 с оптимиз  АУР, матер, топл, сортир 04.11.08" xfId="614"/>
    <cellStyle name="_КБ2007КТЖ_Самрук_ЛСЦПР" xfId="615"/>
    <cellStyle name="_КБ2007КТЖ_Самрук_Модель 2011-2015" xfId="616"/>
    <cellStyle name="_КБ2007КТЖ_Самрук_Моделька с повыш тарифа" xfId="617"/>
    <cellStyle name="_КБ2007КТЖ_Самрук_Налоги по 8НК Жанат 2" xfId="618"/>
    <cellStyle name="_КБ2007КТЖ_Самрук_План налогов на  2009-2013 г АО КТС окончательный" xfId="619"/>
    <cellStyle name="_КБ2007КТЖ_Самрук_План развития 2010-2014 годы Лизинг" xfId="620"/>
    <cellStyle name="_КБ2007КТЖ_Самрук_План развития 2011-2015" xfId="621"/>
    <cellStyle name="_КБ2007КТЖ_Самрук_План развития с маневр.  на 2011-2015гг.на 16.09.10г." xfId="622"/>
    <cellStyle name="_КБ2007КТЖ_Самрук_План развития УТВЕРЖДЕННЫЙ (2.12.09)" xfId="623"/>
    <cellStyle name="_КБ2007КТЖ_Самрук_ПП" xfId="624"/>
    <cellStyle name="_КБ2007КТЖ_Самрук_Свод по ДО 2011 корректировка от 04.05.11" xfId="625"/>
    <cellStyle name="_КБ2007КТЖ_Самрук_Шаблон ПР" xfId="626"/>
    <cellStyle name="_КЖДТ 18.12" xfId="627"/>
    <cellStyle name="_КЖДТ 26.11.06 с расш ремонта" xfId="628"/>
    <cellStyle name="_КЖДТ-БО2" xfId="629"/>
    <cellStyle name="_КЖДТ-БО2 12.03" xfId="630"/>
    <cellStyle name="_КЖДТ-БО3 12.03.07" xfId="631"/>
    <cellStyle name="_Книга1" xfId="632"/>
    <cellStyle name="_Книга1 2" xfId="633"/>
    <cellStyle name="_Книга1_08-13 с оптимиз  АУР, матер, топл, сортир 04.11.08" xfId="634"/>
    <cellStyle name="_Книга1_1" xfId="635"/>
    <cellStyle name="_Книга1_1_Свод по ПР 2011 по ДО (27.09.10) изм.АОТ, ЛКЗ" xfId="636"/>
    <cellStyle name="_Книга1_1_Свод по ПР 2011 по ДО (27.09.10) изм.АОТ, ЛКЗ_Свод по ДО 2011 корректировка от 04.05.11" xfId="637"/>
    <cellStyle name="_Книга1_2008 КТЖ полугодие 31.10 22-43" xfId="638"/>
    <cellStyle name="_Книга1_2008 КТЖ полугодие 31.10 22-43_ЛСЦПР" xfId="639"/>
    <cellStyle name="_Книга1_2008 КТЖ полугодие 31.10 22-43_Модель 2011-2015" xfId="640"/>
    <cellStyle name="_Книга1_2008 КТЖ полугодие 31.10 22-43_Налоги по 8НК Жанат 2" xfId="641"/>
    <cellStyle name="_Книга1_2008 КТЖ полугодие 31.10 22-43_План развития 2010-2014 годы Лизинг" xfId="642"/>
    <cellStyle name="_Книга1_2008 КТЖ полугодие 31.10 22-43_План развития 2011-2015" xfId="643"/>
    <cellStyle name="_Книга1_2008 КТЖ полугодие 31.10 22-43_План развития с маневр.  на 2011-2015гг.на 16.09.10г." xfId="644"/>
    <cellStyle name="_Книга1_2008 КТЖ полугодие 31.10 22-43_План развития УТВЕРЖДЕННЫЙ (2.12.09)" xfId="645"/>
    <cellStyle name="_Книга1_2008 КТЖ полугодие 31.10 22-43_ПП" xfId="646"/>
    <cellStyle name="_Книга1_2008 КТЖ полугодие 31.10 22-43_Свод по ДО 2011 корректировка от 04.05.11" xfId="647"/>
    <cellStyle name="_Книга1_2008 КТЖ полугодие 31.10 22-43_Шаблон ПР" xfId="648"/>
    <cellStyle name="_Книга1_4 БК Азамат" xfId="649"/>
    <cellStyle name="_Книга1_4БК, 5БО 16.12.08xls" xfId="650"/>
    <cellStyle name="_Книга1_4БК, 5БО 16.12.08xls_ПП" xfId="651"/>
    <cellStyle name="_Книга1_4БК, 5БО 16.12.08развернуто" xfId="652"/>
    <cellStyle name="_Книга1_4БК, 5БО 16.12.08развернуто_ПП" xfId="653"/>
    <cellStyle name="_Книга1_5БК,6БО" xfId="654"/>
    <cellStyle name="_Книга1_6нк" xfId="655"/>
    <cellStyle name="_Книга1_АО КТЖ и группа повыш тарифа через год на 10% гульнара" xfId="656"/>
    <cellStyle name="_Книга1_БК-5 на 2010 г" xfId="657"/>
    <cellStyle name="_Книга1_БО-6 07.09.09 ЦЭП." xfId="658"/>
    <cellStyle name="_Книга1_БО-6 07.09.09 ЦЭП._ПП" xfId="659"/>
    <cellStyle name="_Книга1_БО-6 на 2010 г" xfId="660"/>
    <cellStyle name="_Книга1_Бюджет 2009 года 03.10.2008 (БК6, БК1)" xfId="661"/>
    <cellStyle name="_Книга1_Группа КТЖ 2008 год (22.04.09)" xfId="662"/>
    <cellStyle name="_Книга1_деньги от Гульнары 08.10.08" xfId="663"/>
    <cellStyle name="_Книга1_для жанары" xfId="664"/>
    <cellStyle name="_Книга1_для жанары_ПП" xfId="665"/>
    <cellStyle name="_Книга1_ЕВА отклонение от утв в июле 25.09.05" xfId="666"/>
    <cellStyle name="_Книга1_ЕВА отклонение от утв в июле 25.09.05_ПП" xfId="667"/>
    <cellStyle name="_Книга1_Книга1" xfId="668"/>
    <cellStyle name="_Книга1_Копия Бюджет 2008 года  (с учетом корректир) от 10.09.2008  для расчета БК1 и БК6" xfId="669"/>
    <cellStyle name="_Книга1_Копия Бюджет 2008 года  (с учетом корректир) от 10.09.2008  для расчета БК1 и БК6_ПП" xfId="670"/>
    <cellStyle name="_Книга1_КТЖ 2007 год (Самрук) " xfId="671"/>
    <cellStyle name="_Книга1_КТЖ 2007 год (Самрук) 2" xfId="672"/>
    <cellStyle name="_Книга1_Лесозащита" xfId="673"/>
    <cellStyle name="_Книга1_Моделька с повыш тарифа" xfId="674"/>
    <cellStyle name="_Книга1_отчет 2007 года" xfId="675"/>
    <cellStyle name="_Книга1_План налогов на  2009-2013 г АО КТС окончательный" xfId="676"/>
    <cellStyle name="_Книга1_План развития 2008-2010" xfId="677"/>
    <cellStyle name="_Книга1_ПП" xfId="678"/>
    <cellStyle name="_Книга1_Прогноз-модель к ПР 2009-2013 (3.10.2008)" xfId="679"/>
    <cellStyle name="_Книга1_Самрук БДДС -07 .09.09" xfId="680"/>
    <cellStyle name="_Книга1_Самрук БДДС -07 .09.09_ПП" xfId="681"/>
    <cellStyle name="_Книга1_Свод в Самрук по ДО 2010 год на 25.11.09" xfId="682"/>
    <cellStyle name="_Книга1_Свод в Самрук по ДО 2010 год на 25.11.09_Свод по ДО 2011 корректировка от 04.05.11" xfId="683"/>
    <cellStyle name="_Книга1_Свод по ПР 2011 по ДО (12.09.10)" xfId="684"/>
    <cellStyle name="_Книга1_Свод по ПР 2011 по ДО (27.09.10) изм.АОТ, ЛКЗ" xfId="685"/>
    <cellStyle name="_Книга1_Совет директоров 05.12.07" xfId="686"/>
    <cellStyle name="_Книга1_Совет директоров 05.12.07_Свод по ДО 2011 корректировка от 04.05.11" xfId="687"/>
    <cellStyle name="_Книга1_ТЖЖ НК" xfId="688"/>
    <cellStyle name="_Книга1_ЦФ-(14.10.09)" xfId="689"/>
    <cellStyle name="_Книга2" xfId="690"/>
    <cellStyle name="_Книга2 2" xfId="691"/>
    <cellStyle name="_Книга2 2_Свод по ДО 2011 корректировка от 04.05.11" xfId="692"/>
    <cellStyle name="_Книга2_08-13 с оптимиз  АУР, матер, топл, сортир 04.11.08" xfId="693"/>
    <cellStyle name="_Книга2_Защита в Пассажирские перевозки 2009" xfId="694"/>
    <cellStyle name="_Книга2_Защита в Пассажирские перевозки 2009_342 2 полугодие" xfId="695"/>
    <cellStyle name="_Книга2_Команд 2010 год" xfId="696"/>
    <cellStyle name="_Книга2_ЛСЦПР" xfId="697"/>
    <cellStyle name="_Книга2_Матер. для кальк КНР" xfId="698"/>
    <cellStyle name="_Книга2_МАТЕРИАЛ ДЛЯ КАЛЬКУЛЯЦИИ В АСТАНУ на 2011г - копия" xfId="699"/>
    <cellStyle name="_Книга2_Модель 2011-2015" xfId="700"/>
    <cellStyle name="_Книга2_Моделька с повыш тарифа" xfId="701"/>
    <cellStyle name="_Книга2_Налоги по 8НК Жанат 2" xfId="702"/>
    <cellStyle name="_Книга2_Налоговый бюджет АО Локомотив 2009-2013 на 25.09.08" xfId="703"/>
    <cellStyle name="_Книга2_Н-ДР,КР-1,КР-2 Норма Для Асель" xfId="704"/>
    <cellStyle name="_Книга2_План налогов на  2009-2013 г АО КТС окончательный" xfId="705"/>
    <cellStyle name="_Книга2_План развития 2010-2014 годы Лизинг" xfId="706"/>
    <cellStyle name="_Книга2_План развития 2011-2015" xfId="707"/>
    <cellStyle name="_Книга2_План развития с маневр.  на 2011-2015гг.на 16.09.10г." xfId="708"/>
    <cellStyle name="_Книга2_План развития УТВЕРЖДЕННЫЙ (2.12.09)" xfId="709"/>
    <cellStyle name="_Книга2_ПП" xfId="710"/>
    <cellStyle name="_Книга2_Свод по ПР 2011 по ДО (12.09.10)" xfId="711"/>
    <cellStyle name="_Книга2_Свод по ПР 2011 по ДО (27.09.10) изм.АОТ, ЛКЗ" xfId="712"/>
    <cellStyle name="_Книга2_Свод по ПР 2011 по ДО (27.09.10) изм.АОТ, ЛКЗ_Свод по ДО 2011 корректировка от 04.05.11" xfId="713"/>
    <cellStyle name="_Книга2_Шаблон ПР" xfId="714"/>
    <cellStyle name="_Книга3" xfId="715"/>
    <cellStyle name="_Книга3 2" xfId="716"/>
    <cellStyle name="_Книга3_08-13 с оптимиз  АУР, матер, топл, сортир 04.11.08" xfId="717"/>
    <cellStyle name="_Книга3_ЛСЦПР" xfId="718"/>
    <cellStyle name="_Книга3_Модель 2011-2015" xfId="719"/>
    <cellStyle name="_Книга3_Моделька с повыш тарифа" xfId="720"/>
    <cellStyle name="_Книга3_Налоги по 8НК Жанат 2" xfId="721"/>
    <cellStyle name="_Книга3_План налогов на  2009-2013 г АО КТС окончательный" xfId="722"/>
    <cellStyle name="_Книга3_План развития 2010-2014 годы Лизинг" xfId="723"/>
    <cellStyle name="_Книга3_План развития 2011-2015" xfId="724"/>
    <cellStyle name="_Книга3_План развития с маневр.  на 2011-2015гг.на 16.09.10г." xfId="725"/>
    <cellStyle name="_Книга3_План развития УТВЕРЖДЕННЫЙ (2.12.09)" xfId="726"/>
    <cellStyle name="_Книга3_ПП" xfId="727"/>
    <cellStyle name="_Книга3_Свод по ДО 2011 корректировка от 04.05.11" xfId="728"/>
    <cellStyle name="_Книга3_Шаблон ПР" xfId="729"/>
    <cellStyle name="_книжка 2010 Цбух ghtld" xfId="730"/>
    <cellStyle name="_консалид.прогноз дох-расх АО ВЖДО на 2008-10г." xfId="731"/>
    <cellStyle name="_консалид.прогноз дох-расх АО ВЖДО на 2008-10г._ЛСЦПР" xfId="732"/>
    <cellStyle name="_консалид.прогноз дох-расх АО ВЖДО на 2008-10г._План развития 2010-2014 годы Лизинг" xfId="733"/>
    <cellStyle name="_консалид.прогноз дох-расх АО ВЖДО на 2008-10г._План развития с маневр.  на 2011-2015гг.на 16.09.10г." xfId="734"/>
    <cellStyle name="_консалид.прогноз дох-расх АО ВЖДО на 2008-10г._Шаблон ПР" xfId="735"/>
    <cellStyle name="_Копия 1 Для слайда на 2010 год (под инвест программу)_4" xfId="736"/>
    <cellStyle name="_Копия 2004-2012 гг  потребность" xfId="737"/>
    <cellStyle name="_Копия Бюджет 2008 года  (с учетом корректир) от 10.09.2008  для расчета БК1 и БК6" xfId="738"/>
    <cellStyle name="_Копия КТЖ 11 мес.07 опер." xfId="739"/>
    <cellStyle name="_Копия Расшифровка к письму от 20.02.07 свод_изм." xfId="740"/>
    <cellStyle name="_Копия ФОРМА к бюджету 2010 РЕМПВ-2" xfId="741"/>
    <cellStyle name="_Кор-ка 1-2_9_по форме Цинвест" xfId="742"/>
    <cellStyle name="_Корр Путь (с замеч(1).) 13.08,08" xfId="743"/>
    <cellStyle name="_Коррек БО, БК 3.11.08" xfId="744"/>
    <cellStyle name="_косвенный свод" xfId="745"/>
    <cellStyle name="_КПД" xfId="746"/>
    <cellStyle name="_КР з.ч" xfId="747"/>
    <cellStyle name="_Кредит на 141 млн_АБН_Локототив" xfId="748"/>
    <cellStyle name="_Кредитный бюджет на 2009_ ЦЭП (все суммы в тыс.тенге)" xfId="749"/>
    <cellStyle name="_критерии ранжирования проектов" xfId="750"/>
    <cellStyle name="_КТЖ 2007 год операт..xls 15.01.08" xfId="751"/>
    <cellStyle name="_КТС (КТО1) вар2" xfId="752"/>
    <cellStyle name="_Лесозащита" xfId="753"/>
    <cellStyle name="_Лист1" xfId="754"/>
    <cellStyle name="_ЛСЦ" xfId="755"/>
    <cellStyle name="_мать 2009 24.09.2008 (не окончат) (1)" xfId="756"/>
    <cellStyle name="_мать 2009 26.09.2008 (последний) (3)" xfId="757"/>
    <cellStyle name="_МВСП - цены НОВЫЕ" xfId="758"/>
    <cellStyle name="_мебель, оборудование инвентарь1207" xfId="759"/>
    <cellStyle name="_метрология свод по ЦЖС 2007" xfId="760"/>
    <cellStyle name="_мука" xfId="1548"/>
    <cellStyle name="_Налоги 2008-2010 - 2" xfId="761"/>
    <cellStyle name="_Налоговый бюджет АО Локомотив 2009-2013 на 25.09.08" xfId="762"/>
    <cellStyle name="_Начисление 2008" xfId="763"/>
    <cellStyle name="_НЕМАН на 2008" xfId="764"/>
    <cellStyle name="_Неосновная деятельность 2009 СВОД от 22.05.09" xfId="765"/>
    <cellStyle name="_Неосновная деятельность 2009 СВОД от 22.05.09_Свод по ПР 2011 по ДО (27.09.10) изм.АОТ, ЛКЗ" xfId="766"/>
    <cellStyle name="_Неосновная деятельность 2009 СВОД от 22.05.09_Свод по ПР 2011 по ДО (27.09.10) изм.АОТ, ЛКЗ_Свод по ДО 2011 корректировка от 04.05.11" xfId="767"/>
    <cellStyle name="_НК на 1 октября 2006 г.КЖДТ" xfId="768"/>
    <cellStyle name="_Новая ЕВА План развития на 2010-2014гг. (16.10.09)" xfId="769"/>
    <cellStyle name="_ОАР Группа 2006" xfId="770"/>
    <cellStyle name="_от С" xfId="771"/>
    <cellStyle name="_ОТЧЕТ 2008" xfId="772"/>
    <cellStyle name="_ОТЧЕТ для ДКФ    06 04 05  (6)" xfId="773"/>
    <cellStyle name="_ОТЧЕТ за 2007 год (ВСЕ ФОРМЫ САМРУК)" xfId="774"/>
    <cellStyle name="_Отчет за 2007 оценка январь" xfId="775"/>
    <cellStyle name="_Оценка 2007" xfId="776"/>
    <cellStyle name="_Оценка 2007_Свод по ДО 2011 корректировка от 04.05.11" xfId="777"/>
    <cellStyle name="_План по труду 2010 ДЗО" xfId="778"/>
    <cellStyle name="_План развития 2008-2010" xfId="779"/>
    <cellStyle name="_План развития 2008-2010_Свод по ПР 2011 по ДО (27.09.10) изм.АОТ, ЛКЗ" xfId="780"/>
    <cellStyle name="_План развития 2008-2010_Свод по ПР 2011 по ДО (27.09.10) изм.АОТ, ЛКЗ_Свод по ДО 2011 корректировка от 04.05.11" xfId="781"/>
    <cellStyle name="_План развития для заполнения ДО от 09.10.09" xfId="782"/>
    <cellStyle name="_План развития НОВЫЙ" xfId="783"/>
    <cellStyle name="_План развития НОВЫЙ 2" xfId="1549"/>
    <cellStyle name="_План развития ПТС на 2005-2010 (связи станционной части)" xfId="784"/>
    <cellStyle name="_План ремонта 04.09г.2" xfId="785"/>
    <cellStyle name="_план ТМЦ" xfId="786"/>
    <cellStyle name="_ПМ Деньги оценка 2007 свод вместе" xfId="787"/>
    <cellStyle name="_ПМ Деньги оценка 2007 свод вместе_ЛСЦПР" xfId="788"/>
    <cellStyle name="_ПМ Деньги оценка 2007 свод вместе_Модель 2011-2015" xfId="789"/>
    <cellStyle name="_ПМ Деньги оценка 2007 свод вместе_Налоги по 8НК Жанат 2" xfId="790"/>
    <cellStyle name="_ПМ Деньги оценка 2007 свод вместе_План развития 2010-2014 годы Лизинг" xfId="791"/>
    <cellStyle name="_ПМ Деньги оценка 2007 свод вместе_План развития 2011-2015" xfId="792"/>
    <cellStyle name="_ПМ Деньги оценка 2007 свод вместе_План развития с маневр.  на 2011-2015гг.на 16.09.10г." xfId="793"/>
    <cellStyle name="_ПМ Деньги оценка 2007 свод вместе_План развития УТВЕРЖДЕННЫЙ (2.12.09)" xfId="794"/>
    <cellStyle name="_ПМ Деньги оценка 2007 свод вместе_ПП" xfId="795"/>
    <cellStyle name="_ПМ Деньги оценка 2007 свод вместе_Свод по ДО 2011 корректировка от 04.05.11" xfId="796"/>
    <cellStyle name="_ПМ Деньги оценка 2007 свод вместе_Шаблон ПР" xfId="797"/>
    <cellStyle name="_ПМ свод на 05.03" xfId="798"/>
    <cellStyle name="_ПМ свод на 05.03 2" xfId="799"/>
    <cellStyle name="_ПМ свод на 05.03_08-13 с оптимиз  АУР, матер, топл, сортир 04.11.08" xfId="800"/>
    <cellStyle name="_ПМ свод на 05.03_ЛСЦПР" xfId="801"/>
    <cellStyle name="_ПМ свод на 05.03_Модель 2011-2015" xfId="802"/>
    <cellStyle name="_ПМ свод на 05.03_Моделька с повыш тарифа" xfId="803"/>
    <cellStyle name="_ПМ свод на 05.03_Налоги по 8НК Жанат 2" xfId="804"/>
    <cellStyle name="_ПМ свод на 05.03_План налогов на  2009-2013 г АО КТС окончательный" xfId="805"/>
    <cellStyle name="_ПМ свод на 05.03_План развития 2010-2014 годы Лизинг" xfId="806"/>
    <cellStyle name="_ПМ свод на 05.03_План развития 2011-2015" xfId="807"/>
    <cellStyle name="_ПМ свод на 05.03_План развития с маневр.  на 2011-2015гг.на 16.09.10г." xfId="808"/>
    <cellStyle name="_ПМ свод на 05.03_План развития УТВЕРЖДЕННЫЙ (2.12.09)" xfId="809"/>
    <cellStyle name="_ПМ свод на 05.03_ПП" xfId="810"/>
    <cellStyle name="_ПМ свод на 05.03_Свод по ДО 2011 корректировка от 04.05.11" xfId="811"/>
    <cellStyle name="_ПМ свод на 05.03_Шаблон ПР" xfId="812"/>
    <cellStyle name="_Полный список 2-5 План развития ДО" xfId="813"/>
    <cellStyle name="_ПП" xfId="814"/>
    <cellStyle name="_ПП_План развития 2011-2015" xfId="815"/>
    <cellStyle name="_ПП_Свод по ДО 2011 корректировка от 04.05.11" xfId="816"/>
    <cellStyle name="_ПР 2008_2010 12_12 19.35" xfId="817"/>
    <cellStyle name="_ПР 2008_2010 12_12 19.35_Свод по ДО 2011 корректировка от 04.05.11" xfId="818"/>
    <cellStyle name="_ПР2008_2010нбр22" xfId="819"/>
    <cellStyle name="_ПР2008_2010нбр22_Свод по ДО 2011 корректировка от 04.05.11" xfId="820"/>
    <cellStyle name="_Прибор и обор-сторон" xfId="821"/>
    <cellStyle name="_Приложение 5_ Пакет отчетности для Компаний 2006 24 04 07 САм" xfId="822"/>
    <cellStyle name="_Приложение 5_ Пакет отчетности для Компаний 2006 24 04 07 САм 2" xfId="823"/>
    <cellStyle name="_Приложение 5_ Пакет отчетности для Компаний 2006 24 04 07 САм_08-13 с оптимиз  АУР, матер, топл, сортир 04.11.08" xfId="824"/>
    <cellStyle name="_Приложение 5_ Пакет отчетности для Компаний 2006 24 04 07 САм_ПП" xfId="825"/>
    <cellStyle name="_Приложение 5_ Пакет отчетности для Компаний 2006 24 04 07 САм_Свод по ДО 2011 корректировка от 04.05.11" xfId="826"/>
    <cellStyle name="_приложение №8 ПРОЧИЕ" xfId="827"/>
    <cellStyle name="_Приложение в ЦЭП (перечень проектов)2" xfId="828"/>
    <cellStyle name="_Приложения 2-5 План развития ДО" xfId="829"/>
    <cellStyle name="_ПриложКБ2007 КТЖ_Самрук" xfId="830"/>
    <cellStyle name="_ПриложКБ2007 КТЖ_Самрук 2" xfId="831"/>
    <cellStyle name="_ПриложКБ2007 КТЖ_Самрук_08-13 с оптимиз  АУР, матер, топл, сортир 04.11.08" xfId="832"/>
    <cellStyle name="_ПриложКБ2007 КТЖ_Самрук_ЛСЦПР" xfId="833"/>
    <cellStyle name="_ПриложКБ2007 КТЖ_Самрук_Модель 2011-2015" xfId="834"/>
    <cellStyle name="_ПриложКБ2007 КТЖ_Самрук_Моделька с повыш тарифа" xfId="835"/>
    <cellStyle name="_ПриложКБ2007 КТЖ_Самрук_Налоги по 8НК Жанат 2" xfId="836"/>
    <cellStyle name="_ПриложКБ2007 КТЖ_Самрук_План налогов на  2009-2013 г АО КТС окончательный" xfId="837"/>
    <cellStyle name="_ПриложКБ2007 КТЖ_Самрук_План развития 2010-2014 годы Лизинг" xfId="838"/>
    <cellStyle name="_ПриложКБ2007 КТЖ_Самрук_План развития 2011-2015" xfId="839"/>
    <cellStyle name="_ПриложКБ2007 КТЖ_Самрук_План развития с маневр.  на 2011-2015гг.на 16.09.10г." xfId="840"/>
    <cellStyle name="_ПриложКБ2007 КТЖ_Самрук_План развития УТВЕРЖДЕННЫЙ (2.12.09)" xfId="841"/>
    <cellStyle name="_ПриложКБ2007 КТЖ_Самрук_ПП" xfId="842"/>
    <cellStyle name="_ПриложКБ2007 КТЖ_Самрук_Свод по ДО 2011 корректировка от 04.05.11" xfId="843"/>
    <cellStyle name="_ПриложКБ2007 КТЖ_Самрук_Шаблон ПР" xfId="844"/>
    <cellStyle name="_Прогноз-модель НК2,НК6" xfId="845"/>
    <cellStyle name="_Прогноз-модель НК2,НК6_ПП" xfId="846"/>
    <cellStyle name="_Прогнозный баланс для КТЖ 30.10.08" xfId="847"/>
    <cellStyle name="_Прогнозный баланс для КТЖ с отсроченным КПН по методу глбух" xfId="848"/>
    <cellStyle name="_Прогнозный баланс для КТЖ с отсроченным КПН по методу глбух_08-13 с оптимиз  АУР, матер, топл, сортир 04.11.08" xfId="849"/>
    <cellStyle name="_Прогнозный баланс для СД" xfId="850"/>
    <cellStyle name="_Программа капитализируемых ремонтов свод (3)" xfId="851"/>
    <cellStyle name="_Программа ТП" xfId="1550"/>
    <cellStyle name="_проект 2009 (version 1) 2" xfId="852"/>
    <cellStyle name="_Проект АО на 2008год свод все варианты" xfId="853"/>
    <cellStyle name="_Проект АО на 2008год свод все варианты_Свод по ПР 2011 по ДО (27.09.10) изм.АОТ, ЛКЗ" xfId="854"/>
    <cellStyle name="_Проект АО на 2008год свод все варианты_Свод по ПР 2011 по ДО (27.09.10) изм.АОТ, ЛКЗ_Свод по ДО 2011 корректировка от 04.05.11" xfId="855"/>
    <cellStyle name="_произв.цели - приложение к СНР_айгерим_09.11" xfId="856"/>
    <cellStyle name="_Прочие 2009 ПЛВКЭ" xfId="857"/>
    <cellStyle name="_Рабочий файл_1_16" xfId="858"/>
    <cellStyle name="_Разработочная таблица к НК Самрук 14.11.06" xfId="859"/>
    <cellStyle name="_Разработочная таблица к НК Самрук 14.11.06 2" xfId="860"/>
    <cellStyle name="_Разработочная таблица к НК Самрук 14.11.06_08-13 с оптимиз  АУР, матер, топл, сортир 04.11.08" xfId="861"/>
    <cellStyle name="_Разработочная таблица к НК Самрук 14.11.06_ЛСЦПР" xfId="862"/>
    <cellStyle name="_Разработочная таблица к НК Самрук 14.11.06_Модель 2011-2015" xfId="863"/>
    <cellStyle name="_Разработочная таблица к НК Самрук 14.11.06_Моделька с повыш тарифа" xfId="864"/>
    <cellStyle name="_Разработочная таблица к НК Самрук 14.11.06_Налоги по 8НК Жанат 2" xfId="865"/>
    <cellStyle name="_Разработочная таблица к НК Самрук 14.11.06_План налогов на  2009-2013 г АО КТС окончательный" xfId="866"/>
    <cellStyle name="_Разработочная таблица к НК Самрук 14.11.06_План развития 2010-2014 годы Лизинг" xfId="867"/>
    <cellStyle name="_Разработочная таблица к НК Самрук 14.11.06_План развития 2011-2015" xfId="868"/>
    <cellStyle name="_Разработочная таблица к НК Самрук 14.11.06_План развития с маневр.  на 2011-2015гг.на 16.09.10г." xfId="869"/>
    <cellStyle name="_Разработочная таблица к НК Самрук 14.11.06_План развития УТВЕРЖДЕННЫЙ (2.12.09)" xfId="870"/>
    <cellStyle name="_Разработочная таблица к НК Самрук 14.11.06_ПП" xfId="871"/>
    <cellStyle name="_Разработочная таблица к НК Самрук 14.11.06_Свод по ПР 2011 по ДО (12.09.10)" xfId="872"/>
    <cellStyle name="_Разработочная таблица к НК Самрук 14.11.06_Свод по ПР 2011 по ДО (27.09.10) изм.АОТ, ЛКЗ" xfId="873"/>
    <cellStyle name="_Разработочная таблица к НК Самрук 14.11.06_Свод по ПР 2011 по ДО (27.09.10) изм.АОТ, ЛКЗ_Свод по ДО 2011 корректировка от 04.05.11" xfId="874"/>
    <cellStyle name="_Разработочная таблица к НК Самрук 14.11.06_Шаблон ПР" xfId="875"/>
    <cellStyle name="_расходы сравнительная" xfId="876"/>
    <cellStyle name="_расходы сравнительная_Свод по ПР 2011 по ДО (27.09.10) изм.АОТ, ЛКЗ" xfId="877"/>
    <cellStyle name="_расходы сравнительная_Свод по ПР 2011 по ДО (27.09.10) изм.АОТ, ЛКЗ_Свод по ДО 2011 корректировка от 04.05.11" xfId="878"/>
    <cellStyle name="_Расчет" xfId="879"/>
    <cellStyle name="_расчет денег, индик, инвест от 26.04_11.36" xfId="880"/>
    <cellStyle name="_Расчетная потребность на 01.01.08" xfId="881"/>
    <cellStyle name="_Расчетная потребность на 01.01.09" xfId="882"/>
    <cellStyle name="_Расшифровка денег" xfId="883"/>
    <cellStyle name="_Расшифровка Кап влож и соц сферы 02 11 06" xfId="884"/>
    <cellStyle name="_Расш-ка кредит.и дебит.за 2006 год КТЖ" xfId="885"/>
    <cellStyle name="_РЕЗУЛЬТАТ БК 1, БК6 (21.09.09)" xfId="886"/>
    <cellStyle name="_с 2НК-9НК" xfId="887"/>
    <cellStyle name="_Самрук БДДС -07 .09.09" xfId="888"/>
    <cellStyle name="_Самрук БДДС -07 .09.09_ПП" xfId="889"/>
    <cellStyle name="_Свод 10 НК" xfId="890"/>
    <cellStyle name="_Свод в Самрук по ДО" xfId="891"/>
    <cellStyle name="_Свод в Самрук по ДО 2010 год с ростом на 23.09.09 с пересчетом КПН" xfId="892"/>
    <cellStyle name="_Свод в Самрук по ДО_Свод по ПР 2011 по ДО (27.09.10) изм.АОТ, ЛКЗ" xfId="893"/>
    <cellStyle name="_Свод в Самрук по ДО_Свод по ПР 2011 по ДО (27.09.10) изм.АОТ, ЛКЗ_Свод по ДО 2011 корректировка от 04.05.11" xfId="894"/>
    <cellStyle name="_Свод ДДС по АО 5БО_23_11_Бибигуль_24.11.09.31" xfId="895"/>
    <cellStyle name="_Свод ДДС по АО 5БО_23_11_Бибигуль_24.11.09.31 2" xfId="896"/>
    <cellStyle name="_Свод ДДС по АО 5БО_23_11_Бибигуль_24.11.09.31_08-13 с оптимиз  АУР, матер, топл, сортир 04.11.08" xfId="897"/>
    <cellStyle name="_Свод ДДС по АО 5БО_23_11_Бибигуль_24.11.09.31_ЛСЦПР" xfId="898"/>
    <cellStyle name="_Свод ДДС по АО 5БО_23_11_Бибигуль_24.11.09.31_Модель 2011-2015" xfId="899"/>
    <cellStyle name="_Свод ДДС по АО 5БО_23_11_Бибигуль_24.11.09.31_Моделька с повыш тарифа" xfId="900"/>
    <cellStyle name="_Свод ДДС по АО 5БО_23_11_Бибигуль_24.11.09.31_Налоги по 8НК Жанат 2" xfId="901"/>
    <cellStyle name="_Свод ДДС по АО 5БО_23_11_Бибигуль_24.11.09.31_План налогов на  2009-2013 г АО КТС окончательный" xfId="902"/>
    <cellStyle name="_Свод ДДС по АО 5БО_23_11_Бибигуль_24.11.09.31_План развития 2010-2014 годы Лизинг" xfId="903"/>
    <cellStyle name="_Свод ДДС по АО 5БО_23_11_Бибигуль_24.11.09.31_План развития 2011-2015" xfId="904"/>
    <cellStyle name="_Свод ДДС по АО 5БО_23_11_Бибигуль_24.11.09.31_План развития с маневр.  на 2011-2015гг.на 16.09.10г." xfId="905"/>
    <cellStyle name="_Свод ДДС по АО 5БО_23_11_Бибигуль_24.11.09.31_План развития УТВЕРЖДЕННЫЙ (2.12.09)" xfId="906"/>
    <cellStyle name="_Свод ДДС по АО 5БО_23_11_Бибигуль_24.11.09.31_ПП" xfId="907"/>
    <cellStyle name="_Свод ДДС по АО 5БО_23_11_Бибигуль_24.11.09.31_Свод по ДО 2011 корректировка от 04.05.11" xfId="908"/>
    <cellStyle name="_Свод ДДС по АО 5БО_23_11_Бибигуль_24.11.09.31_Шаблон ПР" xfId="909"/>
    <cellStyle name="_Свод ДДС по АО 5БО_26_11" xfId="910"/>
    <cellStyle name="_Свод ДДС по АО 5БО_26_11 2" xfId="911"/>
    <cellStyle name="_Свод ДДС по АО 5БО_26_11_08-13 с оптимиз  АУР, матер, топл, сортир 04.11.08" xfId="912"/>
    <cellStyle name="_Свод ДДС по АО 5БО_26_11_ЛСЦПР" xfId="913"/>
    <cellStyle name="_Свод ДДС по АО 5БО_26_11_Модель 2011-2015" xfId="914"/>
    <cellStyle name="_Свод ДДС по АО 5БО_26_11_Моделька с повыш тарифа" xfId="915"/>
    <cellStyle name="_Свод ДДС по АО 5БО_26_11_Налоги по 8НК Жанат 2" xfId="916"/>
    <cellStyle name="_Свод ДДС по АО 5БО_26_11_План налогов на  2009-2013 г АО КТС окончательный" xfId="917"/>
    <cellStyle name="_Свод ДДС по АО 5БО_26_11_План развития 2010-2014 годы Лизинг" xfId="918"/>
    <cellStyle name="_Свод ДДС по АО 5БО_26_11_План развития 2011-2015" xfId="919"/>
    <cellStyle name="_Свод ДДС по АО 5БО_26_11_План развития с маневр.  на 2011-2015гг.на 16.09.10г." xfId="920"/>
    <cellStyle name="_Свод ДДС по АО 5БО_26_11_План развития УТВЕРЖДЕННЫЙ (2.12.09)" xfId="921"/>
    <cellStyle name="_Свод ДДС по АО 5БО_26_11_ПП" xfId="922"/>
    <cellStyle name="_Свод ДДС по АО 5БО_26_11_Свод по ДО 2011 корректировка от 04.05.11" xfId="923"/>
    <cellStyle name="_Свод ДДС по АО 5БО_26_11_Шаблон ПР" xfId="924"/>
    <cellStyle name="_Свод для 6НК" xfId="925"/>
    <cellStyle name="_Свод для 6НК 2" xfId="926"/>
    <cellStyle name="_Свод для 6НК_08-13 с оптимиз  АУР, матер, топл, сортир 04.11.08" xfId="927"/>
    <cellStyle name="_Свод для 6НК_ЛСЦПР" xfId="928"/>
    <cellStyle name="_Свод для 6НК_Модель 2011-2015" xfId="929"/>
    <cellStyle name="_Свод для 6НК_Моделька с повыш тарифа" xfId="930"/>
    <cellStyle name="_Свод для 6НК_Налоги по 8НК Жанат 2" xfId="931"/>
    <cellStyle name="_Свод для 6НК_План налогов на  2009-2013 г АО КТС окончательный" xfId="932"/>
    <cellStyle name="_Свод для 6НК_План развития 2010-2014 годы Лизинг" xfId="933"/>
    <cellStyle name="_Свод для 6НК_План развития 2011-2015" xfId="934"/>
    <cellStyle name="_Свод для 6НК_План развития с маневр.  на 2011-2015гг.на 16.09.10г." xfId="935"/>
    <cellStyle name="_Свод для 6НК_План развития УТВЕРЖДЕННЫЙ (2.12.09)" xfId="936"/>
    <cellStyle name="_Свод для 6НК_ПП" xfId="937"/>
    <cellStyle name="_Свод для 6НК_Свод по ПР 2011 по ДО (12.09.10)" xfId="938"/>
    <cellStyle name="_Свод для 6НК_Свод по ПР 2011 по ДО (27.09.10) изм.АОТ, ЛКЗ" xfId="939"/>
    <cellStyle name="_Свод для 6НК_Свод по ПР 2011 по ДО (27.09.10) изм.АОТ, ЛКЗ_Свод по ДО 2011 корректировка от 04.05.11" xfId="940"/>
    <cellStyle name="_Свод для 6НК_Шаблон ПР" xfId="941"/>
    <cellStyle name="_Свод кредиторской на 01.01.2007г." xfId="942"/>
    <cellStyle name="_Свод на 2009 год недораб" xfId="943"/>
    <cellStyle name="_Свод на 2009 год недораб_Соцльготы 2010 год" xfId="944"/>
    <cellStyle name="_Свод на 2009 год недораб_ТЭР 2010 консол" xfId="945"/>
    <cellStyle name="_Свод по ПР 2011 по ДО (27.09.10) изм.АОТ, ЛКЗ" xfId="946"/>
    <cellStyle name="_Свод- прогноз 2008 год с изм. цен на ТЭР" xfId="947"/>
    <cellStyle name="_Свод-ТоргДбЗ-010409" xfId="948"/>
    <cellStyle name="_Свод-ТоргДбЗ-010609" xfId="949"/>
    <cellStyle name="_Свод-ТоргДбЗ-011009" xfId="950"/>
    <cellStyle name="_ТS 2006 КТЖ+АО  02.05" xfId="951"/>
    <cellStyle name="_ТS 2006 КТЖ+АО  02.05 2" xfId="952"/>
    <cellStyle name="_ТS 2006 КТЖ+АО  02.05_08-13 с оптимиз  АУР, матер, топл, сортир 04.11.08" xfId="953"/>
    <cellStyle name="_ТS 2006 КТЖ+АО  02.05_ПП" xfId="954"/>
    <cellStyle name="_ТS 2006 КТЖ+АО  02.05_Свод по ДО 2011 корректировка от 04.05.11" xfId="955"/>
    <cellStyle name="_ТS 2006 КТЖ+АО айг" xfId="956"/>
    <cellStyle name="_ТS 2006 КТЖ+АО айг 2" xfId="957"/>
    <cellStyle name="_ТS 2006 КТЖ+АО айг реклассы по займам" xfId="958"/>
    <cellStyle name="_ТS 2006 КТЖ+АО айг реклассы по займам 2" xfId="959"/>
    <cellStyle name="_ТS 2006 КТЖ+АО айг реклассы по займам_08-13 с оптимиз  АУР, матер, топл, сортир 04.11.08" xfId="960"/>
    <cellStyle name="_ТS 2006 КТЖ+АО айг реклассы по займам_TS 9 месяцев 2007" xfId="961"/>
    <cellStyle name="_ТS 2006 КТЖ+АО айг реклассы по займам_TS 9 месяцев 2007_Свод по ДО 2011 корректировка от 04.05.11" xfId="962"/>
    <cellStyle name="_ТS 2006 КТЖ+АО айг реклассы по займам_ПП" xfId="963"/>
    <cellStyle name="_ТS 2006 КТЖ+АО айг реклассы по займам_Свод по ДО 2011 корректировка от 04.05.11" xfId="964"/>
    <cellStyle name="_ТS 2006 КТЖ+АО айг_08-13 с оптимиз  АУР, матер, топл, сортир 04.11.08" xfId="965"/>
    <cellStyle name="_ТS 2006 КТЖ+АО айг_TS 9 месяцев 2007" xfId="966"/>
    <cellStyle name="_ТS 2006 КТЖ+АО айг_TS 9 месяцев 2007_Свод по ДО 2011 корректировка от 04.05.11" xfId="967"/>
    <cellStyle name="_ТS 2006 КТЖ+АО айг_ПП" xfId="968"/>
    <cellStyle name="_ТS 2006 КТЖ+АО айг_Свод по ДО 2011 корректировка от 04.05.11" xfId="969"/>
    <cellStyle name="_ТS 2006 КТЖ+АО айг140406" xfId="970"/>
    <cellStyle name="_ТS 2006 КТЖ+АО айг140406 2" xfId="971"/>
    <cellStyle name="_ТS 2006 КТЖ+АО айг140406_08-13 с оптимиз  АУР, матер, топл, сортир 04.11.08" xfId="972"/>
    <cellStyle name="_ТS 2006 КТЖ+АО айг140406_TS 9 месяцев 2007" xfId="973"/>
    <cellStyle name="_ТS 2006 КТЖ+АО айг140406_TS 9 месяцев 2007_Свод по ДО 2011 корректировка от 04.05.11" xfId="974"/>
    <cellStyle name="_ТS 2006 КТЖ+АО айг140406_ПП" xfId="975"/>
    <cellStyle name="_ТS 2006 КТЖ+АО айг140406_Свод по ДО 2011 корректировка от 04.05.11" xfId="976"/>
    <cellStyle name="_текущая часть и займы на 31.12.08 (консолидация)" xfId="977"/>
    <cellStyle name="_Текущая часть и займы на 31.12.09 -13 (+40 ярдов+ЛСЦ710 28.09.08)-ЛЛ+измен ПЛВК (откоррек.1.10.08)" xfId="978"/>
    <cellStyle name="_ТЖЖ НК" xfId="979"/>
    <cellStyle name="_ТО з.ч. мат" xfId="980"/>
    <cellStyle name="_ТЭР" xfId="981"/>
    <cellStyle name="_ТЭР 2010 г" xfId="982"/>
    <cellStyle name="_Утв СД Бюджет расшиф 29 12 05" xfId="983"/>
    <cellStyle name="_Утв СД Бюджет расшиф 29 12 05 2" xfId="1551"/>
    <cellStyle name="_Факторный анализ аудит 2008г. (1)" xfId="984"/>
    <cellStyle name="_финас. показ. 2009-2013 (07.10.08)" xfId="985"/>
    <cellStyle name="_Финрезультат 04.04.07" xfId="986"/>
    <cellStyle name="_ФО-1,ФО-2 АО+КТЖ за 2005 по ТТ" xfId="987"/>
    <cellStyle name="_ФО-1,ФО-2 АО+КТЖ за 2005 по ТТ 2" xfId="988"/>
    <cellStyle name="_ФО-1,ФО-2 АО+КТЖ за 2005 по ТТ_08-13 с оптимиз  АУР, матер, топл, сортир 04.11.08" xfId="989"/>
    <cellStyle name="_ФО-1,ФО-2 АО+КТЖ за 2005 по ТТ_ПП" xfId="990"/>
    <cellStyle name="_ФО-1,ФО-2 АО+КТЖ за 2005 по ТТ_Свод по ДО 2011 корректировка от 04.05.11" xfId="991"/>
    <cellStyle name="_ФО-17 стр.031 прочие на 01.04.09(ктж)" xfId="992"/>
    <cellStyle name="_ФО-17 стр.031 прочие на 01.06.09(ктж)" xfId="993"/>
    <cellStyle name="_ФО-17 стр.251 прочая на 01.04.09(ктж)" xfId="994"/>
    <cellStyle name="_ФО-17 стр.251 прочая на 01.06.09(ктж)" xfId="995"/>
    <cellStyle name="_ФО-17 стр.251 прочая на 01.10.09(ктж)" xfId="996"/>
    <cellStyle name="_ФО-2 01.05.07_консл" xfId="997"/>
    <cellStyle name="_ФО-2 01.05.07_консл_Свод по ДО 2011 корректировка от 04.05.11" xfId="998"/>
    <cellStyle name="_ФО-2 01.06.07_консл" xfId="999"/>
    <cellStyle name="_ФО-2 01.06.07_консл_Свод по ДО 2011 корректировка от 04.05.11" xfId="1000"/>
    <cellStyle name="_ФО-2 01.08.07_окончат" xfId="1001"/>
    <cellStyle name="_ФО-2 01.08.07_окончат_Свод по ДО 2011 корректировка от 04.05.11" xfId="1002"/>
    <cellStyle name="_ФО-2 01.09.06_консл" xfId="1003"/>
    <cellStyle name="_ФО-2 01.09.06_консл_Свод по ДО 2011 корректировка от 04.05.11" xfId="1004"/>
    <cellStyle name="_ФО-2 01.09.08_консл" xfId="1005"/>
    <cellStyle name="_ФО-2 01.09.08_консл (оконч. 30.09.2008)" xfId="1006"/>
    <cellStyle name="_форма 11НК 2008-2010" xfId="1007"/>
    <cellStyle name="_Форма БД 2003" xfId="1008"/>
    <cellStyle name="_Форма БК3" xfId="1009"/>
    <cellStyle name="_Форма БК3 кратк" xfId="1010"/>
    <cellStyle name="_Форма БО4" xfId="1011"/>
    <cellStyle name="_Форма БО4(короткая)" xfId="1012"/>
    <cellStyle name="_ФормаБК" xfId="1013"/>
    <cellStyle name="_ФормаБК и БО 4 мес" xfId="1014"/>
    <cellStyle name="_ФормаБК3" xfId="1015"/>
    <cellStyle name="_ФормаБК3 (короткая)" xfId="1016"/>
    <cellStyle name="_ФормаБК3 (короткая) без 3 тыс тг (форматиров) с новым испонением" xfId="1017"/>
    <cellStyle name="_ФормаБК3 новая" xfId="1018"/>
    <cellStyle name="_ФормаБК3(2008)" xfId="1019"/>
    <cellStyle name="_ФормаБК3(короткая)1" xfId="1020"/>
    <cellStyle name="_ФормаБК3..." xfId="1021"/>
    <cellStyle name="_ФормаБК3для самрука1" xfId="1022"/>
    <cellStyle name="_ФормаБК3послеотккпо новому" xfId="1023"/>
    <cellStyle name="_формир. бюдж. Айгуль (предпр по рем локомот)" xfId="1024"/>
    <cellStyle name="_Формы БО_НК 09-13" xfId="1025"/>
    <cellStyle name="_Формы для АО формирование бюджетов на 2009г  Свод 2" xfId="1026"/>
    <cellStyle name="_Формы для АО формирование бюджетов на 2009г  Свод 2_АВЗ. план-расчёт ТЭР-2010 для КТЖ" xfId="1027"/>
    <cellStyle name="_Формы для АО формирование бюджетов на 2009г  Свод 2_АВЗ.Консолидированный план-расчёт ТЭР-2010.xls последний вариант" xfId="1028"/>
    <cellStyle name="_Формы для АО формирование бюджетов на 2009г  Свод 2_Бюджет 2009 - 325 (за счет снижения цены и без повышения) (2 кв по мес)" xfId="1029"/>
    <cellStyle name="_Формы для АО формирование бюджетов на 2009г  Свод 2_н. от.  №2" xfId="1030"/>
    <cellStyle name="_Формы для АО формирование бюджетов на 2009г  Свод 2_ТЭР правильный" xfId="1031"/>
    <cellStyle name="_Формы для Самрука 5БО и 6БО 2_00 120707" xfId="1032"/>
    <cellStyle name="_Формы инвест" xfId="1033"/>
    <cellStyle name="_Формы нк 2008" xfId="1034"/>
    <cellStyle name="_Формы НК 21.12.2006" xfId="1035"/>
    <cellStyle name="_формы НК к ПР" xfId="1036"/>
    <cellStyle name="_формы НК-АО ВЖДО" xfId="1037"/>
    <cellStyle name="_Формы ЦФ на 08г Анар" xfId="1038"/>
    <cellStyle name="_ФормыБК" xfId="1039"/>
    <cellStyle name="_ФормыБК-4" xfId="1040"/>
    <cellStyle name="_ЦТ + завод План  2008-2016 29.05.07" xfId="1041"/>
    <cellStyle name="_ЦФПлан до 2016 года" xfId="1042"/>
    <cellStyle name="_ЦЭП выплаты до 2016  года конс" xfId="1043"/>
    <cellStyle name="_шаблон" xfId="1044"/>
    <cellStyle name="_шаблон_ЛСЦПР" xfId="1045"/>
    <cellStyle name="_шаблон_План развития 2010-2014 годы Лизинг" xfId="1046"/>
    <cellStyle name="_шаблон_План развития с маневр.  на 2011-2015гг.на 16.09.10г." xfId="1047"/>
    <cellStyle name="_шаблон_Шаблон ПР" xfId="1048"/>
    <cellStyle name="”€ќђќ‘ћ‚›‰" xfId="1552"/>
    <cellStyle name="”€љ‘€ђћ‚ђќќ›‰" xfId="1553"/>
    <cellStyle name="”ќђќ‘ћ‚›‰" xfId="1049"/>
    <cellStyle name="”ќђќ‘ћ‚›‰ 2" xfId="1050"/>
    <cellStyle name="”ќђќ‘ћ‚›‰_БК-5 на 2010 г" xfId="1051"/>
    <cellStyle name="”љ‘ђћ‚ђќќ›‰" xfId="1052"/>
    <cellStyle name="”љ‘ђћ‚ђќќ›‰ 2" xfId="1053"/>
    <cellStyle name="”љ‘ђћ‚ђќќ›‰_БК-5 на 2010 г" xfId="1054"/>
    <cellStyle name="„…ќ…†ќ›‰" xfId="1055"/>
    <cellStyle name="„…ќ…†ќ›‰ 2" xfId="1056"/>
    <cellStyle name="„…ќ…†ќ›‰_БК-5 на 2010 г" xfId="1057"/>
    <cellStyle name="€’ћѓћ‚›‰" xfId="1554"/>
    <cellStyle name="€’ћѓћ‚›‰ 2" xfId="1555"/>
    <cellStyle name="€’ћѓћ‚›‰ 2 2" xfId="1556"/>
    <cellStyle name="€’ћѓћ‚›‰ 2 3" xfId="1557"/>
    <cellStyle name="€’ћѓћ‚›‰ 3" xfId="1558"/>
    <cellStyle name="€’ћѓћ‚›‰ 4" xfId="1559"/>
    <cellStyle name="=C:\WINNT35\SYSTEM32\COMMAND.COM" xfId="1560"/>
    <cellStyle name="=C:\WINNT35\SYSTEM32\COMMAND.COM 10" xfId="1561"/>
    <cellStyle name="=C:\WINNT35\SYSTEM32\COMMAND.COM 2 2" xfId="1562"/>
    <cellStyle name="‡ђѓћ‹ћ‚ћљ1" xfId="1058"/>
    <cellStyle name="‡ђѓћ‹ћ‚ћљ1 2" xfId="1059"/>
    <cellStyle name="‡ђѓћ‹ћ‚ћљ1_БК-5 на 2010 г" xfId="1060"/>
    <cellStyle name="‡ђѓћ‹ћ‚ћљ2" xfId="1061"/>
    <cellStyle name="‡ђѓћ‹ћ‚ћљ2 2" xfId="1062"/>
    <cellStyle name="‡ђѓћ‹ћ‚ћљ2_БК-5 на 2010 г" xfId="1063"/>
    <cellStyle name="•WЏЂ_ЉO‰?—a‹?" xfId="1563"/>
    <cellStyle name="’ћѓћ‚›‰" xfId="1064"/>
    <cellStyle name="’ћѓћ‚›‰ 2" xfId="1065"/>
    <cellStyle name="’ћѓћ‚›‰_БК-5 на 2010 г" xfId="1066"/>
    <cellStyle name="0,0_x000d__x000a_NA_x000d__x000a_" xfId="1067"/>
    <cellStyle name="'000" xfId="1068"/>
    <cellStyle name="20% - Accent1" xfId="1069"/>
    <cellStyle name="20% - Accent1 2" xfId="1564"/>
    <cellStyle name="20% - Accent2" xfId="1070"/>
    <cellStyle name="20% - Accent2 2" xfId="1565"/>
    <cellStyle name="20% - Accent3" xfId="1071"/>
    <cellStyle name="20% - Accent3 2" xfId="1566"/>
    <cellStyle name="20% - Accent4" xfId="1072"/>
    <cellStyle name="20% - Accent4 2" xfId="1567"/>
    <cellStyle name="20% - Accent5" xfId="1073"/>
    <cellStyle name="20% - Accent5 2" xfId="1568"/>
    <cellStyle name="20% - Accent6" xfId="1074"/>
    <cellStyle name="20% - Accent6 2" xfId="1569"/>
    <cellStyle name="20% - Акцент1 10" xfId="1570"/>
    <cellStyle name="20% - Акцент1 11" xfId="1571"/>
    <cellStyle name="20% - Акцент1 12" xfId="1572"/>
    <cellStyle name="20% - Акцент1 13" xfId="1573"/>
    <cellStyle name="20% - Акцент1 2" xfId="1075"/>
    <cellStyle name="20% - Акцент1 2 2" xfId="1574"/>
    <cellStyle name="20% - Акцент1 3" xfId="1575"/>
    <cellStyle name="20% - Акцент1 4" xfId="1576"/>
    <cellStyle name="20% - Акцент1 5" xfId="1577"/>
    <cellStyle name="20% - Акцент1 6" xfId="1578"/>
    <cellStyle name="20% - Акцент1 7" xfId="1579"/>
    <cellStyle name="20% - Акцент1 8" xfId="1580"/>
    <cellStyle name="20% - Акцент1 9" xfId="1581"/>
    <cellStyle name="20% - Акцент2 10" xfId="1582"/>
    <cellStyle name="20% - Акцент2 11" xfId="1583"/>
    <cellStyle name="20% - Акцент2 12" xfId="1584"/>
    <cellStyle name="20% - Акцент2 13" xfId="1585"/>
    <cellStyle name="20% - Акцент2 2" xfId="1076"/>
    <cellStyle name="20% - Акцент2 2 2" xfId="1586"/>
    <cellStyle name="20% - Акцент2 3" xfId="1587"/>
    <cellStyle name="20% - Акцент2 4" xfId="1588"/>
    <cellStyle name="20% - Акцент2 5" xfId="1589"/>
    <cellStyle name="20% - Акцент2 6" xfId="1590"/>
    <cellStyle name="20% - Акцент2 7" xfId="1591"/>
    <cellStyle name="20% - Акцент2 8" xfId="1592"/>
    <cellStyle name="20% - Акцент2 9" xfId="1593"/>
    <cellStyle name="20% - Акцент3 10" xfId="1594"/>
    <cellStyle name="20% - Акцент3 11" xfId="1595"/>
    <cellStyle name="20% - Акцент3 12" xfId="1596"/>
    <cellStyle name="20% - Акцент3 13" xfId="1597"/>
    <cellStyle name="20% - Акцент3 2" xfId="1077"/>
    <cellStyle name="20% - Акцент3 2 2" xfId="1598"/>
    <cellStyle name="20% - Акцент3 3" xfId="1599"/>
    <cellStyle name="20% - Акцент3 4" xfId="1600"/>
    <cellStyle name="20% - Акцент3 5" xfId="1601"/>
    <cellStyle name="20% - Акцент3 6" xfId="1602"/>
    <cellStyle name="20% - Акцент3 7" xfId="1603"/>
    <cellStyle name="20% - Акцент3 8" xfId="1604"/>
    <cellStyle name="20% - Акцент3 9" xfId="1605"/>
    <cellStyle name="20% - Акцент4 10" xfId="1606"/>
    <cellStyle name="20% - Акцент4 11" xfId="1607"/>
    <cellStyle name="20% - Акцент4 12" xfId="1608"/>
    <cellStyle name="20% - Акцент4 13" xfId="1609"/>
    <cellStyle name="20% - Акцент4 2" xfId="1078"/>
    <cellStyle name="20% - Акцент4 2 2" xfId="1610"/>
    <cellStyle name="20% - Акцент4 3" xfId="1611"/>
    <cellStyle name="20% - Акцент4 4" xfId="1612"/>
    <cellStyle name="20% - Акцент4 5" xfId="1613"/>
    <cellStyle name="20% - Акцент4 6" xfId="1614"/>
    <cellStyle name="20% - Акцент4 7" xfId="1615"/>
    <cellStyle name="20% - Акцент4 8" xfId="1616"/>
    <cellStyle name="20% - Акцент4 9" xfId="1617"/>
    <cellStyle name="20% - Акцент5 10" xfId="1618"/>
    <cellStyle name="20% - Акцент5 11" xfId="1619"/>
    <cellStyle name="20% - Акцент5 12" xfId="1620"/>
    <cellStyle name="20% - Акцент5 13" xfId="1621"/>
    <cellStyle name="20% - Акцент5 2" xfId="1079"/>
    <cellStyle name="20% - Акцент5 2 2" xfId="1622"/>
    <cellStyle name="20% - Акцент5 3" xfId="1623"/>
    <cellStyle name="20% - Акцент5 4" xfId="1624"/>
    <cellStyle name="20% - Акцент5 5" xfId="1625"/>
    <cellStyle name="20% - Акцент5 6" xfId="1626"/>
    <cellStyle name="20% - Акцент5 7" xfId="1627"/>
    <cellStyle name="20% - Акцент5 8" xfId="1628"/>
    <cellStyle name="20% - Акцент5 9" xfId="1629"/>
    <cellStyle name="20% - Акцент6 10" xfId="1630"/>
    <cellStyle name="20% - Акцент6 11" xfId="1631"/>
    <cellStyle name="20% - Акцент6 12" xfId="1632"/>
    <cellStyle name="20% - Акцент6 13" xfId="1633"/>
    <cellStyle name="20% - Акцент6 2" xfId="1080"/>
    <cellStyle name="20% - Акцент6 2 2" xfId="1634"/>
    <cellStyle name="20% - Акцент6 3" xfId="1635"/>
    <cellStyle name="20% - Акцент6 4" xfId="1636"/>
    <cellStyle name="20% - Акцент6 5" xfId="1637"/>
    <cellStyle name="20% - Акцент6 6" xfId="1638"/>
    <cellStyle name="20% - Акцент6 7" xfId="1639"/>
    <cellStyle name="20% - Акцент6 8" xfId="1640"/>
    <cellStyle name="20% - Акцент6 9" xfId="1641"/>
    <cellStyle name="40% - Accent1" xfId="1081"/>
    <cellStyle name="40% - Accent1 2" xfId="1642"/>
    <cellStyle name="40% - Accent2" xfId="1082"/>
    <cellStyle name="40% - Accent2 2" xfId="1643"/>
    <cellStyle name="40% - Accent3" xfId="1083"/>
    <cellStyle name="40% - Accent3 2" xfId="1644"/>
    <cellStyle name="40% - Accent4" xfId="1084"/>
    <cellStyle name="40% - Accent4 2" xfId="1645"/>
    <cellStyle name="40% - Accent5" xfId="1085"/>
    <cellStyle name="40% - Accent5 2" xfId="1646"/>
    <cellStyle name="40% - Accent6" xfId="1086"/>
    <cellStyle name="40% - Accent6 2" xfId="1647"/>
    <cellStyle name="40% - Акцент1 10" xfId="1648"/>
    <cellStyle name="40% - Акцент1 11" xfId="1649"/>
    <cellStyle name="40% - Акцент1 12" xfId="1650"/>
    <cellStyle name="40% - Акцент1 13" xfId="1651"/>
    <cellStyle name="40% - Акцент1 2" xfId="1087"/>
    <cellStyle name="40% - Акцент1 2 2" xfId="1652"/>
    <cellStyle name="40% - Акцент1 3" xfId="1653"/>
    <cellStyle name="40% - Акцент1 4" xfId="1654"/>
    <cellStyle name="40% - Акцент1 5" xfId="1655"/>
    <cellStyle name="40% - Акцент1 6" xfId="1656"/>
    <cellStyle name="40% - Акцент1 7" xfId="1657"/>
    <cellStyle name="40% - Акцент1 8" xfId="1658"/>
    <cellStyle name="40% - Акцент1 9" xfId="1659"/>
    <cellStyle name="40% - Акцент2 10" xfId="1660"/>
    <cellStyle name="40% - Акцент2 11" xfId="1661"/>
    <cellStyle name="40% - Акцент2 12" xfId="1662"/>
    <cellStyle name="40% - Акцент2 13" xfId="1663"/>
    <cellStyle name="40% - Акцент2 2" xfId="1088"/>
    <cellStyle name="40% - Акцент2 2 2" xfId="1664"/>
    <cellStyle name="40% - Акцент2 3" xfId="1665"/>
    <cellStyle name="40% - Акцент2 4" xfId="1666"/>
    <cellStyle name="40% - Акцент2 5" xfId="1667"/>
    <cellStyle name="40% - Акцент2 6" xfId="1668"/>
    <cellStyle name="40% - Акцент2 7" xfId="1669"/>
    <cellStyle name="40% - Акцент2 8" xfId="1670"/>
    <cellStyle name="40% - Акцент2 9" xfId="1671"/>
    <cellStyle name="40% - Акцент3 10" xfId="1672"/>
    <cellStyle name="40% - Акцент3 11" xfId="1673"/>
    <cellStyle name="40% - Акцент3 12" xfId="1674"/>
    <cellStyle name="40% - Акцент3 13" xfId="1675"/>
    <cellStyle name="40% - Акцент3 2" xfId="1089"/>
    <cellStyle name="40% - Акцент3 2 2" xfId="1676"/>
    <cellStyle name="40% - Акцент3 3" xfId="1677"/>
    <cellStyle name="40% - Акцент3 4" xfId="1678"/>
    <cellStyle name="40% - Акцент3 5" xfId="1679"/>
    <cellStyle name="40% - Акцент3 6" xfId="1680"/>
    <cellStyle name="40% - Акцент3 7" xfId="1681"/>
    <cellStyle name="40% - Акцент3 8" xfId="1682"/>
    <cellStyle name="40% - Акцент3 9" xfId="1683"/>
    <cellStyle name="40% - Акцент4 10" xfId="1684"/>
    <cellStyle name="40% - Акцент4 11" xfId="1685"/>
    <cellStyle name="40% - Акцент4 12" xfId="1686"/>
    <cellStyle name="40% - Акцент4 13" xfId="1687"/>
    <cellStyle name="40% - Акцент4 2" xfId="1090"/>
    <cellStyle name="40% - Акцент4 2 2" xfId="1688"/>
    <cellStyle name="40% - Акцент4 3" xfId="1689"/>
    <cellStyle name="40% - Акцент4 4" xfId="1690"/>
    <cellStyle name="40% - Акцент4 5" xfId="1691"/>
    <cellStyle name="40% - Акцент4 6" xfId="1692"/>
    <cellStyle name="40% - Акцент4 7" xfId="1693"/>
    <cellStyle name="40% - Акцент4 8" xfId="1694"/>
    <cellStyle name="40% - Акцент4 9" xfId="1695"/>
    <cellStyle name="40% - Акцент5 10" xfId="1696"/>
    <cellStyle name="40% - Акцент5 11" xfId="1697"/>
    <cellStyle name="40% - Акцент5 12" xfId="1698"/>
    <cellStyle name="40% - Акцент5 13" xfId="1699"/>
    <cellStyle name="40% - Акцент5 2" xfId="1091"/>
    <cellStyle name="40% - Акцент5 2 2" xfId="1700"/>
    <cellStyle name="40% - Акцент5 3" xfId="1701"/>
    <cellStyle name="40% - Акцент5 4" xfId="1702"/>
    <cellStyle name="40% - Акцент5 5" xfId="1703"/>
    <cellStyle name="40% - Акцент5 6" xfId="1704"/>
    <cellStyle name="40% - Акцент5 7" xfId="1705"/>
    <cellStyle name="40% - Акцент5 8" xfId="1706"/>
    <cellStyle name="40% - Акцент5 9" xfId="1707"/>
    <cellStyle name="40% - Акцент6 10" xfId="1708"/>
    <cellStyle name="40% - Акцент6 11" xfId="1709"/>
    <cellStyle name="40% - Акцент6 12" xfId="1710"/>
    <cellStyle name="40% - Акцент6 13" xfId="1711"/>
    <cellStyle name="40% - Акцент6 2" xfId="1092"/>
    <cellStyle name="40% - Акцент6 2 2" xfId="1712"/>
    <cellStyle name="40% - Акцент6 3" xfId="1713"/>
    <cellStyle name="40% - Акцент6 4" xfId="1714"/>
    <cellStyle name="40% - Акцент6 5" xfId="1715"/>
    <cellStyle name="40% - Акцент6 6" xfId="1716"/>
    <cellStyle name="40% - Акцент6 7" xfId="1717"/>
    <cellStyle name="40% - Акцент6 8" xfId="1718"/>
    <cellStyle name="40% - Акцент6 9" xfId="1719"/>
    <cellStyle name="60% - Accent1" xfId="1093"/>
    <cellStyle name="60% - Accent1 2" xfId="1720"/>
    <cellStyle name="60% - Accent2" xfId="1094"/>
    <cellStyle name="60% - Accent2 2" xfId="1721"/>
    <cellStyle name="60% - Accent3" xfId="1095"/>
    <cellStyle name="60% - Accent3 2" xfId="1722"/>
    <cellStyle name="60% - Accent4" xfId="1096"/>
    <cellStyle name="60% - Accent4 2" xfId="1723"/>
    <cellStyle name="60% - Accent5" xfId="1097"/>
    <cellStyle name="60% - Accent5 2" xfId="1724"/>
    <cellStyle name="60% - Accent6" xfId="1098"/>
    <cellStyle name="60% - Accent6 2" xfId="1725"/>
    <cellStyle name="60% - Акцент1 10" xfId="1726"/>
    <cellStyle name="60% - Акцент1 11" xfId="1727"/>
    <cellStyle name="60% - Акцент1 12" xfId="1728"/>
    <cellStyle name="60% - Акцент1 13" xfId="1729"/>
    <cellStyle name="60% - Акцент1 2" xfId="1099"/>
    <cellStyle name="60% - Акцент1 2 2" xfId="1730"/>
    <cellStyle name="60% - Акцент1 3" xfId="1731"/>
    <cellStyle name="60% - Акцент1 4" xfId="1732"/>
    <cellStyle name="60% - Акцент1 5" xfId="1733"/>
    <cellStyle name="60% - Акцент1 6" xfId="1734"/>
    <cellStyle name="60% - Акцент1 7" xfId="1735"/>
    <cellStyle name="60% - Акцент1 8" xfId="1736"/>
    <cellStyle name="60% - Акцент1 9" xfId="1737"/>
    <cellStyle name="60% - Акцент2 10" xfId="1738"/>
    <cellStyle name="60% - Акцент2 11" xfId="1739"/>
    <cellStyle name="60% - Акцент2 12" xfId="1740"/>
    <cellStyle name="60% - Акцент2 13" xfId="1741"/>
    <cellStyle name="60% - Акцент2 2" xfId="1100"/>
    <cellStyle name="60% - Акцент2 2 2" xfId="1742"/>
    <cellStyle name="60% - Акцент2 3" xfId="1743"/>
    <cellStyle name="60% - Акцент2 4" xfId="1744"/>
    <cellStyle name="60% - Акцент2 5" xfId="1745"/>
    <cellStyle name="60% - Акцент2 6" xfId="1746"/>
    <cellStyle name="60% - Акцент2 7" xfId="1747"/>
    <cellStyle name="60% - Акцент2 8" xfId="1748"/>
    <cellStyle name="60% - Акцент2 9" xfId="1749"/>
    <cellStyle name="60% - Акцент3 10" xfId="1750"/>
    <cellStyle name="60% - Акцент3 11" xfId="1751"/>
    <cellStyle name="60% - Акцент3 12" xfId="1752"/>
    <cellStyle name="60% - Акцент3 13" xfId="1753"/>
    <cellStyle name="60% - Акцент3 2" xfId="1101"/>
    <cellStyle name="60% - Акцент3 2 2" xfId="1754"/>
    <cellStyle name="60% - Акцент3 3" xfId="1755"/>
    <cellStyle name="60% - Акцент3 4" xfId="1756"/>
    <cellStyle name="60% - Акцент3 5" xfId="1757"/>
    <cellStyle name="60% - Акцент3 6" xfId="1758"/>
    <cellStyle name="60% - Акцент3 7" xfId="1759"/>
    <cellStyle name="60% - Акцент3 8" xfId="1760"/>
    <cellStyle name="60% - Акцент3 9" xfId="1761"/>
    <cellStyle name="60% - Акцент4 10" xfId="1762"/>
    <cellStyle name="60% - Акцент4 11" xfId="1763"/>
    <cellStyle name="60% - Акцент4 12" xfId="1764"/>
    <cellStyle name="60% - Акцент4 13" xfId="1765"/>
    <cellStyle name="60% - Акцент4 2" xfId="1102"/>
    <cellStyle name="60% - Акцент4 2 2" xfId="1766"/>
    <cellStyle name="60% - Акцент4 3" xfId="1767"/>
    <cellStyle name="60% - Акцент4 4" xfId="1768"/>
    <cellStyle name="60% - Акцент4 5" xfId="1769"/>
    <cellStyle name="60% - Акцент4 6" xfId="1770"/>
    <cellStyle name="60% - Акцент4 7" xfId="1771"/>
    <cellStyle name="60% - Акцент4 8" xfId="1772"/>
    <cellStyle name="60% - Акцент4 9" xfId="1773"/>
    <cellStyle name="60% - Акцент5 10" xfId="1774"/>
    <cellStyle name="60% - Акцент5 11" xfId="1775"/>
    <cellStyle name="60% - Акцент5 12" xfId="1776"/>
    <cellStyle name="60% - Акцент5 13" xfId="1777"/>
    <cellStyle name="60% - Акцент5 2" xfId="1103"/>
    <cellStyle name="60% - Акцент5 2 2" xfId="1778"/>
    <cellStyle name="60% - Акцент5 3" xfId="1779"/>
    <cellStyle name="60% - Акцент5 4" xfId="1780"/>
    <cellStyle name="60% - Акцент5 5" xfId="1781"/>
    <cellStyle name="60% - Акцент5 6" xfId="1782"/>
    <cellStyle name="60% - Акцент5 7" xfId="1783"/>
    <cellStyle name="60% - Акцент5 8" xfId="1784"/>
    <cellStyle name="60% - Акцент5 9" xfId="1785"/>
    <cellStyle name="60% - Акцент6 10" xfId="1786"/>
    <cellStyle name="60% - Акцент6 11" xfId="1787"/>
    <cellStyle name="60% - Акцент6 12" xfId="1788"/>
    <cellStyle name="60% - Акцент6 13" xfId="1789"/>
    <cellStyle name="60% - Акцент6 2" xfId="1104"/>
    <cellStyle name="60% - Акцент6 2 2" xfId="1790"/>
    <cellStyle name="60% - Акцент6 3" xfId="1791"/>
    <cellStyle name="60% - Акцент6 4" xfId="1792"/>
    <cellStyle name="60% - Акцент6 5" xfId="1793"/>
    <cellStyle name="60% - Акцент6 6" xfId="1794"/>
    <cellStyle name="60% - Акцент6 7" xfId="1795"/>
    <cellStyle name="60% - Акцент6 8" xfId="1796"/>
    <cellStyle name="60% - Акцент6 9" xfId="1797"/>
    <cellStyle name="Accent1" xfId="1105"/>
    <cellStyle name="Accent1 2" xfId="1798"/>
    <cellStyle name="Accent2" xfId="1106"/>
    <cellStyle name="Accent2 2" xfId="1799"/>
    <cellStyle name="Accent3" xfId="1107"/>
    <cellStyle name="Accent3 2" xfId="1800"/>
    <cellStyle name="Accent4" xfId="1108"/>
    <cellStyle name="Accent4 2" xfId="1801"/>
    <cellStyle name="Accent5" xfId="1109"/>
    <cellStyle name="Accent5 2" xfId="1802"/>
    <cellStyle name="Accent6" xfId="1110"/>
    <cellStyle name="Accent6 2" xfId="1803"/>
    <cellStyle name="alternate" xfId="1804"/>
    <cellStyle name="auto_FalseFalseFalseFalseHAlignCenterVAlignCenter" xfId="1111"/>
    <cellStyle name="Bad" xfId="1112"/>
    <cellStyle name="Bad 2" xfId="1805"/>
    <cellStyle name="BS1" xfId="1113"/>
    <cellStyle name="BS2" xfId="1114"/>
    <cellStyle name="BS3" xfId="1115"/>
    <cellStyle name="BS4" xfId="1116"/>
    <cellStyle name="Calc Currency (0)" xfId="1117"/>
    <cellStyle name="Calc Currency (0) 2" xfId="1806"/>
    <cellStyle name="Calc Currency (2)" xfId="1118"/>
    <cellStyle name="Calc Currency (2) 2" xfId="1807"/>
    <cellStyle name="Calc Percent (0)" xfId="1119"/>
    <cellStyle name="Calc Percent (0) 2" xfId="1120"/>
    <cellStyle name="Calc Percent (0) 3" xfId="1808"/>
    <cellStyle name="Calc Percent (0)_Модель 2011-2015" xfId="1121"/>
    <cellStyle name="Calc Percent (1)" xfId="1122"/>
    <cellStyle name="Calc Percent (1) 2" xfId="1809"/>
    <cellStyle name="Calc Percent (2)" xfId="1123"/>
    <cellStyle name="Calc Percent (2) 2" xfId="1810"/>
    <cellStyle name="Calc Units (0)" xfId="1124"/>
    <cellStyle name="Calc Units (0) 2" xfId="1811"/>
    <cellStyle name="Calc Units (1)" xfId="1125"/>
    <cellStyle name="Calc Units (1) 2" xfId="1812"/>
    <cellStyle name="Calc Units (2)" xfId="1126"/>
    <cellStyle name="Calc Units (2) 2" xfId="1813"/>
    <cellStyle name="Calculation" xfId="1127"/>
    <cellStyle name="Calculation 2" xfId="1815"/>
    <cellStyle name="Calculation 2 2" xfId="1816"/>
    <cellStyle name="Calculation 2 3" xfId="1817"/>
    <cellStyle name="Calculation 3" xfId="1818"/>
    <cellStyle name="Calculation 4" xfId="1819"/>
    <cellStyle name="Calculation 5" xfId="1814"/>
    <cellStyle name="Caption" xfId="1128"/>
    <cellStyle name="CdnOxy" xfId="1129"/>
    <cellStyle name="Check" xfId="1130"/>
    <cellStyle name="Check 2" xfId="1509"/>
    <cellStyle name="Check 2 2" xfId="3020"/>
    <cellStyle name="Check 3" xfId="1820"/>
    <cellStyle name="Check 4" xfId="2986"/>
    <cellStyle name="Check Cell" xfId="1131"/>
    <cellStyle name="Check Cell 2" xfId="1821"/>
    <cellStyle name="Check_расчет по займу" xfId="1822"/>
    <cellStyle name="column - Style1" xfId="1823"/>
    <cellStyle name="Comma  - Style1" xfId="1132"/>
    <cellStyle name="Comma  - Style1 2" xfId="1133"/>
    <cellStyle name="Comma  - Style1_Модель 2011-2015" xfId="1134"/>
    <cellStyle name="Comma  - Style2" xfId="1135"/>
    <cellStyle name="Comma  - Style2 2" xfId="1136"/>
    <cellStyle name="Comma  - Style2_Модель 2011-2015" xfId="1137"/>
    <cellStyle name="Comma  - Style3" xfId="1138"/>
    <cellStyle name="Comma  - Style3 2" xfId="1139"/>
    <cellStyle name="Comma  - Style3_Модель 2011-2015" xfId="1140"/>
    <cellStyle name="Comma  - Style4" xfId="1141"/>
    <cellStyle name="Comma  - Style4 2" xfId="1142"/>
    <cellStyle name="Comma  - Style4_Модель 2011-2015" xfId="1143"/>
    <cellStyle name="Comma  - Style5" xfId="1144"/>
    <cellStyle name="Comma  - Style5 2" xfId="1145"/>
    <cellStyle name="Comma  - Style5_Модель 2011-2015" xfId="1146"/>
    <cellStyle name="Comma  - Style6" xfId="1147"/>
    <cellStyle name="Comma  - Style6 2" xfId="1148"/>
    <cellStyle name="Comma  - Style6_Модель 2011-2015" xfId="1149"/>
    <cellStyle name="Comma  - Style7" xfId="1150"/>
    <cellStyle name="Comma  - Style7 2" xfId="1151"/>
    <cellStyle name="Comma  - Style7_Модель 2011-2015" xfId="1152"/>
    <cellStyle name="Comma  - Style8" xfId="1153"/>
    <cellStyle name="Comma  - Style8 2" xfId="1154"/>
    <cellStyle name="Comma  - Style8_Модель 2011-2015" xfId="1155"/>
    <cellStyle name="Comma [0]_#6 Temps &amp; Contractors" xfId="1156"/>
    <cellStyle name="Comma [00]" xfId="1157"/>
    <cellStyle name="Comma [00] 2" xfId="1824"/>
    <cellStyle name="Comma 2" xfId="7"/>
    <cellStyle name="Comma 2 18 2" xfId="1826"/>
    <cellStyle name="Comma 2 2" xfId="1827"/>
    <cellStyle name="Comma 2 3" xfId="1828"/>
    <cellStyle name="Comma 2 4" xfId="2960"/>
    <cellStyle name="Comma 2 5" xfId="1825"/>
    <cellStyle name="Comma 3" xfId="1829"/>
    <cellStyle name="Comma 3 2" xfId="1830"/>
    <cellStyle name="Comma 3 2 2" xfId="1831"/>
    <cellStyle name="Comma 3 2 3" xfId="3045"/>
    <cellStyle name="Comma 4" xfId="1832"/>
    <cellStyle name="Comma 5" xfId="1833"/>
    <cellStyle name="Comma 6" xfId="1834"/>
    <cellStyle name="Comma_#6 Temps &amp; Contractors" xfId="1158"/>
    <cellStyle name="Comma0" xfId="1835"/>
    <cellStyle name="CPdollnum" xfId="1159"/>
    <cellStyle name="CPgennum" xfId="1160"/>
    <cellStyle name="CPgennum 2" xfId="1510"/>
    <cellStyle name="CPgennum 2 2" xfId="3021"/>
    <cellStyle name="CPgennum 3" xfId="2987"/>
    <cellStyle name="cpoilnum" xfId="1161"/>
    <cellStyle name="CPPerCent" xfId="1162"/>
    <cellStyle name="CPpershare" xfId="1163"/>
    <cellStyle name="CPpersharenodoll" xfId="1164"/>
    <cellStyle name="CPpersharenodoll 2" xfId="1511"/>
    <cellStyle name="CPpersharenodoll 2 2" xfId="3022"/>
    <cellStyle name="CPpersharenodoll 3" xfId="2988"/>
    <cellStyle name="Credit" xfId="1165"/>
    <cellStyle name="Credit subtotal" xfId="1166"/>
    <cellStyle name="Credit Total" xfId="1167"/>
    <cellStyle name="CS" xfId="1836"/>
    <cellStyle name="Currency [0]" xfId="1168"/>
    <cellStyle name="Currency [0] 2" xfId="1169"/>
    <cellStyle name="Currency [00]" xfId="1170"/>
    <cellStyle name="Currency [00] 2" xfId="1837"/>
    <cellStyle name="Currency 2" xfId="1838"/>
    <cellStyle name="Currency_#6 Temps &amp; Contractors" xfId="1171"/>
    <cellStyle name="currentperiod" xfId="1172"/>
    <cellStyle name="Date" xfId="1173"/>
    <cellStyle name="Date 2" xfId="1174"/>
    <cellStyle name="Date 3" xfId="1839"/>
    <cellStyle name="Date Short" xfId="1175"/>
    <cellStyle name="Date Short 2" xfId="1840"/>
    <cellStyle name="Date without year" xfId="1176"/>
    <cellStyle name="Date without year 2" xfId="1177"/>
    <cellStyle name="Date without year 3" xfId="1841"/>
    <cellStyle name="Date_ATI" xfId="1842"/>
    <cellStyle name="Debit" xfId="1178"/>
    <cellStyle name="Debit subtotal" xfId="1179"/>
    <cellStyle name="Debit Total" xfId="1180"/>
    <cellStyle name="Debit_T9. Sale Details" xfId="1181"/>
    <cellStyle name="DELTA" xfId="1182"/>
    <cellStyle name="DELTA 2" xfId="1183"/>
    <cellStyle name="DELTA_Модель 2011-2015" xfId="1184"/>
    <cellStyle name="Deviant" xfId="1843"/>
    <cellStyle name="Dezimal [0]_1380" xfId="1185"/>
    <cellStyle name="Dezimal_1380" xfId="1186"/>
    <cellStyle name="dollars" xfId="1187"/>
    <cellStyle name="done" xfId="1844"/>
    <cellStyle name="Dziesi?tny [0]_1" xfId="1845"/>
    <cellStyle name="Dziesi?tny_1" xfId="1846"/>
    <cellStyle name="E&amp;Y House" xfId="1188"/>
    <cellStyle name="Enter Currency (0)" xfId="1189"/>
    <cellStyle name="Enter Currency (0) 2" xfId="1847"/>
    <cellStyle name="Enter Currency (2)" xfId="1190"/>
    <cellStyle name="Enter Currency (2) 2" xfId="1848"/>
    <cellStyle name="Enter Units (0)" xfId="1191"/>
    <cellStyle name="Enter Units (0) 2" xfId="1849"/>
    <cellStyle name="Enter Units (1)" xfId="1192"/>
    <cellStyle name="Enter Units (1) 2" xfId="1850"/>
    <cellStyle name="Enter Units (2)" xfId="1193"/>
    <cellStyle name="Enter Units (2) 2" xfId="1851"/>
    <cellStyle name="Euro" xfId="1194"/>
    <cellStyle name="Euro 2" xfId="1195"/>
    <cellStyle name="Euro 3" xfId="1852"/>
    <cellStyle name="ew" xfId="1196"/>
    <cellStyle name="Explanatory Text" xfId="1197"/>
    <cellStyle name="Explanatory Text 2" xfId="1853"/>
    <cellStyle name="F2" xfId="1198"/>
    <cellStyle name="F2 2" xfId="1199"/>
    <cellStyle name="F2_БК-5 на 2010 г" xfId="1200"/>
    <cellStyle name="F3" xfId="1201"/>
    <cellStyle name="F3 2" xfId="1202"/>
    <cellStyle name="F3_БК-5 на 2010 г" xfId="1203"/>
    <cellStyle name="F4" xfId="1204"/>
    <cellStyle name="F4 2" xfId="1205"/>
    <cellStyle name="F4_БК-5 на 2010 г" xfId="1206"/>
    <cellStyle name="F5" xfId="1207"/>
    <cellStyle name="F5 2" xfId="1208"/>
    <cellStyle name="F5_БК-5 на 2010 г" xfId="1209"/>
    <cellStyle name="F6" xfId="1210"/>
    <cellStyle name="F6 2" xfId="1211"/>
    <cellStyle name="F6_БК-5 на 2010 г" xfId="1212"/>
    <cellStyle name="F7" xfId="1213"/>
    <cellStyle name="F7 2" xfId="1214"/>
    <cellStyle name="F7_БК-5 на 2010 г" xfId="1215"/>
    <cellStyle name="F8" xfId="1216"/>
    <cellStyle name="F8 2" xfId="1217"/>
    <cellStyle name="F8_БК-5 на 2010 г" xfId="1218"/>
    <cellStyle name="Factor" xfId="1854"/>
    <cellStyle name="Fig" xfId="1855"/>
    <cellStyle name="Fixed" xfId="1856"/>
    <cellStyle name="Flag" xfId="1219"/>
    <cellStyle name="footnote" xfId="1220"/>
    <cellStyle name="footnote 2" xfId="1512"/>
    <cellStyle name="footnote 2 2" xfId="3023"/>
    <cellStyle name="footnote 3" xfId="2989"/>
    <cellStyle name="From" xfId="1221"/>
    <cellStyle name="From 2" xfId="1857"/>
    <cellStyle name="FSTitle" xfId="1222"/>
    <cellStyle name="Gen2dec" xfId="1223"/>
    <cellStyle name="Gen2dec 2" xfId="1513"/>
    <cellStyle name="Gen2dec 2 2" xfId="3024"/>
    <cellStyle name="Gen2dec 3" xfId="2990"/>
    <cellStyle name="gennumbers" xfId="1224"/>
    <cellStyle name="gennumbers 2" xfId="1514"/>
    <cellStyle name="gennumbers 2 2" xfId="3025"/>
    <cellStyle name="gennumbers 3" xfId="2991"/>
    <cellStyle name="gennumdollar" xfId="1225"/>
    <cellStyle name="Good" xfId="1226"/>
    <cellStyle name="Good 2" xfId="1858"/>
    <cellStyle name="Grey" xfId="1227"/>
    <cellStyle name="Grey 2" xfId="1859"/>
    <cellStyle name="Header1" xfId="1228"/>
    <cellStyle name="Header1 2" xfId="1860"/>
    <cellStyle name="Header2" xfId="1229"/>
    <cellStyle name="Header2 2" xfId="1862"/>
    <cellStyle name="Header2 2 2" xfId="1863"/>
    <cellStyle name="Header2 3" xfId="1864"/>
    <cellStyle name="Header2 4" xfId="1861"/>
    <cellStyle name="Heading" xfId="1230"/>
    <cellStyle name="Heading 1" xfId="1231"/>
    <cellStyle name="Heading 1 2" xfId="1866"/>
    <cellStyle name="Heading 2" xfId="1232"/>
    <cellStyle name="Heading 2 2" xfId="1867"/>
    <cellStyle name="Heading 3" xfId="1233"/>
    <cellStyle name="Heading 3 2" xfId="1868"/>
    <cellStyle name="Heading 4" xfId="1234"/>
    <cellStyle name="Heading 4 2" xfId="1869"/>
    <cellStyle name="Heading 5" xfId="1865"/>
    <cellStyle name="Heading_расчет по займу" xfId="1870"/>
    <cellStyle name="Heading1" xfId="1235"/>
    <cellStyle name="HEADING1 2" xfId="1871"/>
    <cellStyle name="Heading2" xfId="1236"/>
    <cellStyle name="HEADING2 2" xfId="1872"/>
    <cellStyle name="Heading3" xfId="1237"/>
    <cellStyle name="Heading4" xfId="1238"/>
    <cellStyle name="Heading5" xfId="1239"/>
    <cellStyle name="Heading6" xfId="1240"/>
    <cellStyle name="Hiperligação" xfId="1241"/>
    <cellStyle name="Hiperligação visitada" xfId="1242"/>
    <cellStyle name="Horizontal" xfId="1243"/>
    <cellStyle name="Hyperlink 2" xfId="1873"/>
    <cellStyle name="Hyperlink 4" xfId="1874"/>
    <cellStyle name="Hyperlink 5" xfId="1875"/>
    <cellStyle name="Hyperlink 6" xfId="1876"/>
    <cellStyle name="Hyperlink 7" xfId="1877"/>
    <cellStyle name="Hyperlink_RESULTS" xfId="1244"/>
    <cellStyle name="Îáû÷íûé_cogs" xfId="1245"/>
    <cellStyle name="Indefinido" xfId="1246"/>
    <cellStyle name="Indefinido 2" xfId="1247"/>
    <cellStyle name="Indefinido_Модель 2011-2015" xfId="1248"/>
    <cellStyle name="Input" xfId="1249"/>
    <cellStyle name="Input [yellow]" xfId="1250"/>
    <cellStyle name="Input [yellow] 2" xfId="1879"/>
    <cellStyle name="Input [yellow] 2 2" xfId="1880"/>
    <cellStyle name="Input [yellow] 2 3" xfId="1881"/>
    <cellStyle name="Input [yellow] 3" xfId="1882"/>
    <cellStyle name="Input [yellow] 4" xfId="1883"/>
    <cellStyle name="Input [yellow] 5" xfId="1878"/>
    <cellStyle name="Input 2" xfId="1251"/>
    <cellStyle name="Input 2 2" xfId="1885"/>
    <cellStyle name="Input 2 2 2" xfId="1886"/>
    <cellStyle name="Input 2 2 3" xfId="1887"/>
    <cellStyle name="Input 2 3" xfId="1888"/>
    <cellStyle name="Input 2 4" xfId="1889"/>
    <cellStyle name="Input 2 5" xfId="1884"/>
    <cellStyle name="Input 3" xfId="1890"/>
    <cellStyle name="Input 3 2" xfId="1891"/>
    <cellStyle name="Input 3 2 2" xfId="1892"/>
    <cellStyle name="Input 3 2 3" xfId="1893"/>
    <cellStyle name="Input 3 3" xfId="1894"/>
    <cellStyle name="Input 3 4" xfId="1895"/>
    <cellStyle name="Input 4" xfId="1896"/>
    <cellStyle name="Input 4 2" xfId="1897"/>
    <cellStyle name="Input 4 2 2" xfId="1898"/>
    <cellStyle name="Input 4 2 3" xfId="1899"/>
    <cellStyle name="Input 4 3" xfId="1900"/>
    <cellStyle name="Input 4 4" xfId="1901"/>
    <cellStyle name="Input 5" xfId="1902"/>
    <cellStyle name="Input 5 2" xfId="1903"/>
    <cellStyle name="Input 5 3" xfId="1904"/>
    <cellStyle name="Input 6" xfId="1905"/>
    <cellStyle name="Input 6 2" xfId="1906"/>
    <cellStyle name="Input 6 3" xfId="1907"/>
    <cellStyle name="Input 7" xfId="1908"/>
    <cellStyle name="Input 8" xfId="1909"/>
    <cellStyle name="Input_~4129685" xfId="1252"/>
    <cellStyle name="International" xfId="1253"/>
    <cellStyle name="International1" xfId="1254"/>
    <cellStyle name="KPMG Heading 1" xfId="1910"/>
    <cellStyle name="KPMG Heading 2" xfId="1911"/>
    <cellStyle name="KPMG Heading 3" xfId="1912"/>
    <cellStyle name="KPMG Heading 4" xfId="1913"/>
    <cellStyle name="KPMG Normal" xfId="1914"/>
    <cellStyle name="KPMG Normal Text" xfId="1915"/>
    <cellStyle name="KPMG_Calculated" xfId="1916"/>
    <cellStyle name="Link Currency (0)" xfId="1255"/>
    <cellStyle name="Link Currency (0) 2" xfId="1917"/>
    <cellStyle name="Link Currency (2)" xfId="1256"/>
    <cellStyle name="Link Currency (2) 2" xfId="1918"/>
    <cellStyle name="Link Units (0)" xfId="1257"/>
    <cellStyle name="Link Units (0) 2" xfId="1919"/>
    <cellStyle name="Link Units (1)" xfId="1258"/>
    <cellStyle name="Link Units (1) 2" xfId="1920"/>
    <cellStyle name="Link Units (2)" xfId="1259"/>
    <cellStyle name="Link Units (2) 2" xfId="1921"/>
    <cellStyle name="Linked Cell" xfId="1260"/>
    <cellStyle name="Linked Cell 2" xfId="1922"/>
    <cellStyle name="Matrix" xfId="1261"/>
    <cellStyle name="measure" xfId="1262"/>
    <cellStyle name="Milliers [0]_Conversion Summary" xfId="1923"/>
    <cellStyle name="Milliers_Conversion Summary" xfId="1924"/>
    <cellStyle name="Model" xfId="1263"/>
    <cellStyle name="Mon?taire [0]_couts operatoires totaux" xfId="1925"/>
    <cellStyle name="Monétaire [0]_Feuil1" xfId="1264"/>
    <cellStyle name="Monétaire_Feuil1" xfId="1265"/>
    <cellStyle name="Monйtaire [0]_Conversion Summary" xfId="1926"/>
    <cellStyle name="Monйtaire_Conversion Summary" xfId="1927"/>
    <cellStyle name="Multiple" xfId="1928"/>
    <cellStyle name="Neutral" xfId="1266"/>
    <cellStyle name="Neutral 2" xfId="6"/>
    <cellStyle name="Neutral 3" xfId="1929"/>
    <cellStyle name="no dec" xfId="1267"/>
    <cellStyle name="no dec 2" xfId="1268"/>
    <cellStyle name="no dec_Модель 2011-2015" xfId="1269"/>
    <cellStyle name="norm?ln?_Rozvaha - aktiva" xfId="1930"/>
    <cellStyle name="Normal - Style1" xfId="1270"/>
    <cellStyle name="Normal - Style1 2" xfId="1271"/>
    <cellStyle name="Normal - Style1 2 2" xfId="1932"/>
    <cellStyle name="Normal - Style1 3" xfId="1272"/>
    <cellStyle name="Normal - Style1 4" xfId="1931"/>
    <cellStyle name="Normal - Style1_БК-5 на 2010 г" xfId="1273"/>
    <cellStyle name="Normal 15" xfId="1933"/>
    <cellStyle name="Normal 2" xfId="9"/>
    <cellStyle name="Normal 2 2" xfId="1935"/>
    <cellStyle name="Normal 2 2 2" xfId="1936"/>
    <cellStyle name="Normal 2 2 3" xfId="1937"/>
    <cellStyle name="Normal 2 3" xfId="1938"/>
    <cellStyle name="Normal 2 4" xfId="1939"/>
    <cellStyle name="Normal 2 5" xfId="1940"/>
    <cellStyle name="Normal 2 5 2" xfId="1941"/>
    <cellStyle name="Normal 2 5 3" xfId="1942"/>
    <cellStyle name="Normal 2 5 3 2" xfId="1943"/>
    <cellStyle name="Normal 2 6" xfId="2961"/>
    <cellStyle name="Normal 2 7" xfId="1934"/>
    <cellStyle name="Normal 3" xfId="1944"/>
    <cellStyle name="Normal 3 2" xfId="1945"/>
    <cellStyle name="Normal 3 2 2" xfId="1946"/>
    <cellStyle name="Normal 3 2 3" xfId="1947"/>
    <cellStyle name="Normal 3 3" xfId="1948"/>
    <cellStyle name="Normal 3 4" xfId="1949"/>
    <cellStyle name="Normal 3 5" xfId="1950"/>
    <cellStyle name="Normal 3 6" xfId="1951"/>
    <cellStyle name="Normal 3 7" xfId="1952"/>
    <cellStyle name="Normal 3 8" xfId="1953"/>
    <cellStyle name="Normal 4" xfId="1954"/>
    <cellStyle name="Normal 6" xfId="1955"/>
    <cellStyle name="Normal 6 2" xfId="1956"/>
    <cellStyle name="Normal 7" xfId="1957"/>
    <cellStyle name="Normal_# 41-Market &amp;Trends" xfId="1274"/>
    <cellStyle name="Normal1" xfId="1275"/>
    <cellStyle name="Normalny_0" xfId="1958"/>
    <cellStyle name="normбlnм_laroux" xfId="1276"/>
    <cellStyle name="Note" xfId="1277"/>
    <cellStyle name="Note 2" xfId="1960"/>
    <cellStyle name="Note 2 2" xfId="1961"/>
    <cellStyle name="Note 2 2 2" xfId="1962"/>
    <cellStyle name="Note 2 2 3" xfId="1963"/>
    <cellStyle name="Note 2 3" xfId="1964"/>
    <cellStyle name="Note 2 3 2" xfId="1965"/>
    <cellStyle name="Note 2 3 3" xfId="1966"/>
    <cellStyle name="Note 2 4" xfId="1967"/>
    <cellStyle name="Note 2 5" xfId="1968"/>
    <cellStyle name="Note 3" xfId="1969"/>
    <cellStyle name="Note 3 2" xfId="1970"/>
    <cellStyle name="Note 3 3" xfId="1971"/>
    <cellStyle name="Note 4" xfId="1972"/>
    <cellStyle name="Note 4 2" xfId="1973"/>
    <cellStyle name="Note 4 3" xfId="1974"/>
    <cellStyle name="Note 5" xfId="1975"/>
    <cellStyle name="Note 6" xfId="1976"/>
    <cellStyle name="Note 7" xfId="1959"/>
    <cellStyle name="Note_расчет по займу" xfId="1977"/>
    <cellStyle name="numbers" xfId="1278"/>
    <cellStyle name="numbers 2" xfId="1279"/>
    <cellStyle name="numbers_Модель 2011-2015" xfId="1280"/>
    <cellStyle name="Ôčíŕíńîâűé [0]_ďđĺäďđ-110_ďđĺäďđ-110 (2)" xfId="1281"/>
    <cellStyle name="oilnumbers" xfId="1282"/>
    <cellStyle name="Opening" xfId="1978"/>
    <cellStyle name="Option" xfId="1283"/>
    <cellStyle name="OptionHeading" xfId="1284"/>
    <cellStyle name="Òûñÿ÷è [0]_cogs" xfId="1285"/>
    <cellStyle name="Òûñÿ÷è_cogs" xfId="1286"/>
    <cellStyle name="Output" xfId="1287"/>
    <cellStyle name="Output 2" xfId="1980"/>
    <cellStyle name="Output 2 2" xfId="1981"/>
    <cellStyle name="Output 2 3" xfId="1982"/>
    <cellStyle name="Output 3" xfId="1983"/>
    <cellStyle name="Output 3 2" xfId="1984"/>
    <cellStyle name="Output 3 3" xfId="1985"/>
    <cellStyle name="Output 4" xfId="1986"/>
    <cellStyle name="Output 5" xfId="1987"/>
    <cellStyle name="Output 6" xfId="1979"/>
    <cellStyle name="paint" xfId="1288"/>
    <cellStyle name="paint 2" xfId="1988"/>
    <cellStyle name="Percent (0)" xfId="1289"/>
    <cellStyle name="Percent (0) 2" xfId="1290"/>
    <cellStyle name="Percent [0]" xfId="1291"/>
    <cellStyle name="Percent [0] 2" xfId="1989"/>
    <cellStyle name="Percent [00]" xfId="1292"/>
    <cellStyle name="Percent [00] 2" xfId="1990"/>
    <cellStyle name="Percent [2]" xfId="1293"/>
    <cellStyle name="Percent [2] 2" xfId="1294"/>
    <cellStyle name="Percent 10" xfId="1991"/>
    <cellStyle name="Percent 2" xfId="1992"/>
    <cellStyle name="Percent 2 18" xfId="1993"/>
    <cellStyle name="Percent 3" xfId="1994"/>
    <cellStyle name="Percent 3 2" xfId="1995"/>
    <cellStyle name="Percent 3 3" xfId="1996"/>
    <cellStyle name="Percent 5" xfId="1997"/>
    <cellStyle name="Percent 6" xfId="1998"/>
    <cellStyle name="Percent 7" xfId="1999"/>
    <cellStyle name="Percent_#6 Temps &amp; Contractors" xfId="1295"/>
    <cellStyle name="Percentage" xfId="2000"/>
    <cellStyle name="Percentage 2" xfId="2001"/>
    <cellStyle name="Percentage 2 2" xfId="2002"/>
    <cellStyle name="Percentage 2 3" xfId="2003"/>
    <cellStyle name="Percentage 3" xfId="2004"/>
    <cellStyle name="Percentage 4" xfId="2005"/>
    <cellStyle name="percentgen" xfId="1296"/>
    <cellStyle name="PerShare" xfId="1297"/>
    <cellStyle name="PerSharenodollar" xfId="1298"/>
    <cellStyle name="PerSharenodollar 2" xfId="1515"/>
    <cellStyle name="PerSharenodollar 2 2" xfId="3026"/>
    <cellStyle name="PerSharenodollar 3" xfId="2992"/>
    <cellStyle name="Pick Up" xfId="2006"/>
    <cellStyle name="piw#" xfId="1299"/>
    <cellStyle name="piw# 2" xfId="2007"/>
    <cellStyle name="piw%" xfId="1300"/>
    <cellStyle name="piw% 2" xfId="2008"/>
    <cellStyle name="PrePop Currency (0)" xfId="1301"/>
    <cellStyle name="PrePop Currency (0) 2" xfId="2009"/>
    <cellStyle name="PrePop Currency (2)" xfId="1302"/>
    <cellStyle name="PrePop Currency (2) 2" xfId="2010"/>
    <cellStyle name="PrePop Units (0)" xfId="1303"/>
    <cellStyle name="PrePop Units (0) 2" xfId="2011"/>
    <cellStyle name="PrePop Units (1)" xfId="1304"/>
    <cellStyle name="PrePop Units (1) 2" xfId="2012"/>
    <cellStyle name="PrePop Units (2)" xfId="1305"/>
    <cellStyle name="PrePop Units (2) 2" xfId="2013"/>
    <cellStyle name="Price" xfId="1306"/>
    <cellStyle name="Price 2" xfId="2014"/>
    <cellStyle name="Rows - Style2" xfId="2015"/>
    <cellStyle name="Rubles" xfId="1307"/>
    <cellStyle name="S%" xfId="2016"/>
    <cellStyle name="SAPBEXchaText" xfId="1308"/>
    <cellStyle name="SAPBEXchaText 2" xfId="1309"/>
    <cellStyle name="SAPBEXchaText_Модель 2011-2015" xfId="1310"/>
    <cellStyle name="SAPBEXheaderItem" xfId="1311"/>
    <cellStyle name="SAPBEXheaderItem 2" xfId="1312"/>
    <cellStyle name="SAPBEXheaderItem_Модель 2011-2015" xfId="1313"/>
    <cellStyle name="SAPBEXheaderText" xfId="1314"/>
    <cellStyle name="SAPBEXheaderText 2" xfId="1315"/>
    <cellStyle name="SAPBEXheaderText_Модель 2011-2015" xfId="1316"/>
    <cellStyle name="SAPBEXHLevel2" xfId="1317"/>
    <cellStyle name="SAPBEXHLevel2 2" xfId="1318"/>
    <cellStyle name="SAPBEXHLevel2_Модель 2011-2015" xfId="1319"/>
    <cellStyle name="SAPBEXHLevel3" xfId="1320"/>
    <cellStyle name="SAPBEXHLevel3 2" xfId="1321"/>
    <cellStyle name="SAPBEXHLevel3_Модель 2011-2015" xfId="1322"/>
    <cellStyle name="SAPBEXstdData" xfId="1323"/>
    <cellStyle name="SAPBEXstdData 2" xfId="2018"/>
    <cellStyle name="SAPBEXstdData 2 2" xfId="2019"/>
    <cellStyle name="SAPBEXstdData 2 3" xfId="2020"/>
    <cellStyle name="SAPBEXstdData 3" xfId="2021"/>
    <cellStyle name="SAPBEXstdData 3 2" xfId="2022"/>
    <cellStyle name="SAPBEXstdData 3 3" xfId="2023"/>
    <cellStyle name="SAPBEXstdData 4" xfId="2024"/>
    <cellStyle name="SAPBEXstdData 5" xfId="2025"/>
    <cellStyle name="SAPBEXstdData 6" xfId="2017"/>
    <cellStyle name="SAPBEXstdItemX" xfId="1324"/>
    <cellStyle name="SAPBEXstdItemX 2" xfId="1325"/>
    <cellStyle name="SAPBEXstdItemX_Модель 2011-2015" xfId="1326"/>
    <cellStyle name="SComment" xfId="2026"/>
    <cellStyle name="SFig" xfId="2027"/>
    <cellStyle name="Sg%" xfId="2028"/>
    <cellStyle name="SI%" xfId="2029"/>
    <cellStyle name="Sname" xfId="2030"/>
    <cellStyle name="SPerc" xfId="2031"/>
    <cellStyle name="stand_bord" xfId="1327"/>
    <cellStyle name="Standard_Adjustments_Consulting_2000" xfId="2032"/>
    <cellStyle name="Stitle" xfId="2033"/>
    <cellStyle name="Ston" xfId="2034"/>
    <cellStyle name="Style 1" xfId="1328"/>
    <cellStyle name="Style 1 2" xfId="2035"/>
    <cellStyle name="Style 2" xfId="1329"/>
    <cellStyle name="Style 2 2" xfId="2036"/>
    <cellStyle name="STYLE1 - Style1" xfId="2037"/>
    <cellStyle name="Sx" xfId="2038"/>
    <cellStyle name="Tausender" xfId="1330"/>
    <cellStyle name="Tausender 2" xfId="1331"/>
    <cellStyle name="Tausender_Модель 2011-2015" xfId="1332"/>
    <cellStyle name="Text - Style3" xfId="2039"/>
    <cellStyle name="Text Indent A" xfId="1333"/>
    <cellStyle name="Text Indent A 2" xfId="2040"/>
    <cellStyle name="Text Indent B" xfId="1334"/>
    <cellStyle name="Text Indent B 2" xfId="2041"/>
    <cellStyle name="Text Indent C" xfId="1335"/>
    <cellStyle name="Text Indent C 2" xfId="2042"/>
    <cellStyle name="Tickmark" xfId="1336"/>
    <cellStyle name="Tickmark 2" xfId="2043"/>
    <cellStyle name="Time" xfId="2044"/>
    <cellStyle name="timeperiod" xfId="1337"/>
    <cellStyle name="Title" xfId="1338"/>
    <cellStyle name="title 2" xfId="2046"/>
    <cellStyle name="title 3" xfId="2047"/>
    <cellStyle name="Title 4" xfId="2045"/>
    <cellStyle name="Title 5" xfId="2967"/>
    <cellStyle name="Title 6" xfId="2971"/>
    <cellStyle name="Title 7" xfId="2968"/>
    <cellStyle name="Title 8" xfId="2970"/>
    <cellStyle name="Title 9" xfId="2969"/>
    <cellStyle name="To" xfId="2048"/>
    <cellStyle name="Tons" xfId="2049"/>
    <cellStyle name="Total" xfId="1339"/>
    <cellStyle name="Total 2" xfId="2051"/>
    <cellStyle name="Total 2 2" xfId="2052"/>
    <cellStyle name="Total 2 2 2" xfId="2053"/>
    <cellStyle name="Total 2 2 3" xfId="2054"/>
    <cellStyle name="Total 2 3" xfId="2055"/>
    <cellStyle name="Total 2 4" xfId="2056"/>
    <cellStyle name="Total 3" xfId="2057"/>
    <cellStyle name="Total 3 2" xfId="2058"/>
    <cellStyle name="Total 3 2 2" xfId="2059"/>
    <cellStyle name="Total 3 2 3" xfId="2060"/>
    <cellStyle name="Total 3 3" xfId="2061"/>
    <cellStyle name="Total 3 4" xfId="2062"/>
    <cellStyle name="Total 4" xfId="2063"/>
    <cellStyle name="Total 4 2" xfId="2064"/>
    <cellStyle name="Total 4 3" xfId="2065"/>
    <cellStyle name="Total 5" xfId="2066"/>
    <cellStyle name="Total 5 2" xfId="2067"/>
    <cellStyle name="Total 5 3" xfId="2068"/>
    <cellStyle name="Total 6" xfId="2069"/>
    <cellStyle name="Total 7" xfId="2070"/>
    <cellStyle name="Total 8" xfId="2050"/>
    <cellStyle name="Tusenskille_Redusert penetrasjonsmodell" xfId="1340"/>
    <cellStyle name="Überschrift 1" xfId="1341"/>
    <cellStyle name="Überschrift 1 2" xfId="1342"/>
    <cellStyle name="Überschrift 1 3" xfId="1343"/>
    <cellStyle name="Überschrift 1_Модель 2011-2015" xfId="1344"/>
    <cellStyle name="Überschrift 2" xfId="1345"/>
    <cellStyle name="Überschrift 2 2" xfId="1346"/>
    <cellStyle name="Überschrift 2 3" xfId="1347"/>
    <cellStyle name="Überschrift 2_Модель 2011-2015" xfId="1348"/>
    <cellStyle name="Überschrift 3" xfId="1349"/>
    <cellStyle name="Überschrift 3 2" xfId="1350"/>
    <cellStyle name="Überschrift 3_Модель 2011-2015" xfId="1351"/>
    <cellStyle name="Unit" xfId="1352"/>
    <cellStyle name="Valuta [0]_NEGS" xfId="1353"/>
    <cellStyle name="Valuta_NEGS" xfId="1354"/>
    <cellStyle name="Vars - Style4" xfId="2071"/>
    <cellStyle name="VarsIn - Style5" xfId="2072"/>
    <cellStyle name="Vertical" xfId="1355"/>
    <cellStyle name="Virg?l_B?LAN?O" xfId="2073"/>
    <cellStyle name="W?hrung [0]_laroux" xfId="2074"/>
    <cellStyle name="W?hrung_laroux" xfId="2075"/>
    <cellStyle name="Währung [0]_1380" xfId="1356"/>
    <cellStyle name="Währung_1380" xfId="1357"/>
    <cellStyle name="Walutowy [0]_1" xfId="2076"/>
    <cellStyle name="Walutowy_1" xfId="2077"/>
    <cellStyle name="Warning Text" xfId="1358"/>
    <cellStyle name="Warning Text 2" xfId="2078"/>
    <cellStyle name="WIP" xfId="2079"/>
    <cellStyle name="Work in progress" xfId="2080"/>
    <cellStyle name="Work in progress 2" xfId="2081"/>
    <cellStyle name="Work in progress 2 2" xfId="2082"/>
    <cellStyle name="Work in progress 2 3" xfId="2083"/>
    <cellStyle name="Work in progress 3" xfId="2084"/>
    <cellStyle name="Work in progress 4" xfId="2085"/>
    <cellStyle name="Year" xfId="1359"/>
    <cellStyle name="Zero" xfId="2086"/>
    <cellStyle name="Акцент1 10" xfId="2087"/>
    <cellStyle name="Акцент1 11" xfId="2088"/>
    <cellStyle name="Акцент1 12" xfId="2089"/>
    <cellStyle name="Акцент1 13" xfId="2090"/>
    <cellStyle name="Акцент1 2" xfId="1360"/>
    <cellStyle name="Акцент1 2 2" xfId="2091"/>
    <cellStyle name="Акцент1 3" xfId="2092"/>
    <cellStyle name="Акцент1 4" xfId="2093"/>
    <cellStyle name="Акцент1 5" xfId="2094"/>
    <cellStyle name="Акцент1 6" xfId="2095"/>
    <cellStyle name="Акцент1 7" xfId="2096"/>
    <cellStyle name="Акцент1 8" xfId="2097"/>
    <cellStyle name="Акцент1 9" xfId="2098"/>
    <cellStyle name="Акцент2 10" xfId="2099"/>
    <cellStyle name="Акцент2 11" xfId="2100"/>
    <cellStyle name="Акцент2 12" xfId="2101"/>
    <cellStyle name="Акцент2 13" xfId="2102"/>
    <cellStyle name="Акцент2 2" xfId="1361"/>
    <cellStyle name="Акцент2 2 2" xfId="2103"/>
    <cellStyle name="Акцент2 3" xfId="2104"/>
    <cellStyle name="Акцент2 4" xfId="2105"/>
    <cellStyle name="Акцент2 5" xfId="2106"/>
    <cellStyle name="Акцент2 6" xfId="2107"/>
    <cellStyle name="Акцент2 7" xfId="2108"/>
    <cellStyle name="Акцент2 8" xfId="2109"/>
    <cellStyle name="Акцент2 9" xfId="2110"/>
    <cellStyle name="Акцент3" xfId="4" builtinId="37"/>
    <cellStyle name="Акцент3 10" xfId="2111"/>
    <cellStyle name="Акцент3 11" xfId="2112"/>
    <cellStyle name="Акцент3 12" xfId="2113"/>
    <cellStyle name="Акцент3 13" xfId="2114"/>
    <cellStyle name="Акцент3 2" xfId="1362"/>
    <cellStyle name="Акцент3 2 2" xfId="2115"/>
    <cellStyle name="Акцент3 3" xfId="2116"/>
    <cellStyle name="Акцент3 4" xfId="2117"/>
    <cellStyle name="Акцент3 5" xfId="2118"/>
    <cellStyle name="Акцент3 6" xfId="2119"/>
    <cellStyle name="Акцент3 7" xfId="2120"/>
    <cellStyle name="Акцент3 8" xfId="2121"/>
    <cellStyle name="Акцент3 9" xfId="2122"/>
    <cellStyle name="Акцент4 10" xfId="2123"/>
    <cellStyle name="Акцент4 11" xfId="2124"/>
    <cellStyle name="Акцент4 12" xfId="2125"/>
    <cellStyle name="Акцент4 13" xfId="2126"/>
    <cellStyle name="Акцент4 2" xfId="1363"/>
    <cellStyle name="Акцент4 2 2" xfId="2127"/>
    <cellStyle name="Акцент4 3" xfId="2128"/>
    <cellStyle name="Акцент4 4" xfId="2129"/>
    <cellStyle name="Акцент4 5" xfId="2130"/>
    <cellStyle name="Акцент4 6" xfId="2131"/>
    <cellStyle name="Акцент4 7" xfId="2132"/>
    <cellStyle name="Акцент4 8" xfId="2133"/>
    <cellStyle name="Акцент4 9" xfId="2134"/>
    <cellStyle name="Акцент5 10" xfId="2135"/>
    <cellStyle name="Акцент5 11" xfId="2136"/>
    <cellStyle name="Акцент5 12" xfId="2137"/>
    <cellStyle name="Акцент5 13" xfId="2138"/>
    <cellStyle name="Акцент5 2" xfId="1364"/>
    <cellStyle name="Акцент5 2 2" xfId="2139"/>
    <cellStyle name="Акцент5 3" xfId="2140"/>
    <cellStyle name="Акцент5 4" xfId="2141"/>
    <cellStyle name="Акцент5 5" xfId="2142"/>
    <cellStyle name="Акцент5 6" xfId="2143"/>
    <cellStyle name="Акцент5 7" xfId="2144"/>
    <cellStyle name="Акцент5 8" xfId="2145"/>
    <cellStyle name="Акцент5 9" xfId="2146"/>
    <cellStyle name="Акцент6" xfId="5" builtinId="49"/>
    <cellStyle name="Акцент6 10" xfId="2147"/>
    <cellStyle name="Акцент6 11" xfId="2148"/>
    <cellStyle name="Акцент6 12" xfId="2149"/>
    <cellStyle name="Акцент6 13" xfId="2150"/>
    <cellStyle name="Акцент6 2" xfId="1365"/>
    <cellStyle name="Акцент6 2 2" xfId="2151"/>
    <cellStyle name="Акцент6 3" xfId="2152"/>
    <cellStyle name="Акцент6 4" xfId="2153"/>
    <cellStyle name="Акцент6 5" xfId="2154"/>
    <cellStyle name="Акцент6 6" xfId="2155"/>
    <cellStyle name="Акцент6 7" xfId="2156"/>
    <cellStyle name="Акцент6 8" xfId="2157"/>
    <cellStyle name="Акцент6 9" xfId="2158"/>
    <cellStyle name="Беззащитный" xfId="1366"/>
    <cellStyle name="Ввод  10" xfId="2159"/>
    <cellStyle name="Ввод  10 2" xfId="2160"/>
    <cellStyle name="Ввод  10 2 2" xfId="2161"/>
    <cellStyle name="Ввод  10 2 3" xfId="2162"/>
    <cellStyle name="Ввод  10 3" xfId="2163"/>
    <cellStyle name="Ввод  10 4" xfId="2164"/>
    <cellStyle name="Ввод  11" xfId="2165"/>
    <cellStyle name="Ввод  11 2" xfId="2166"/>
    <cellStyle name="Ввод  11 2 2" xfId="2167"/>
    <cellStyle name="Ввод  11 2 3" xfId="2168"/>
    <cellStyle name="Ввод  11 3" xfId="2169"/>
    <cellStyle name="Ввод  11 4" xfId="2170"/>
    <cellStyle name="Ввод  12" xfId="2171"/>
    <cellStyle name="Ввод  12 2" xfId="2172"/>
    <cellStyle name="Ввод  12 2 2" xfId="2173"/>
    <cellStyle name="Ввод  12 2 3" xfId="2174"/>
    <cellStyle name="Ввод  12 3" xfId="2175"/>
    <cellStyle name="Ввод  12 4" xfId="2176"/>
    <cellStyle name="Ввод  13" xfId="2177"/>
    <cellStyle name="Ввод  13 2" xfId="2178"/>
    <cellStyle name="Ввод  13 2 2" xfId="2179"/>
    <cellStyle name="Ввод  13 2 3" xfId="2180"/>
    <cellStyle name="Ввод  13 3" xfId="2181"/>
    <cellStyle name="Ввод  13 4" xfId="2182"/>
    <cellStyle name="Ввод  2" xfId="1367"/>
    <cellStyle name="Ввод  2 2" xfId="2184"/>
    <cellStyle name="Ввод  2 2 2" xfId="2185"/>
    <cellStyle name="Ввод  2 2 3" xfId="2186"/>
    <cellStyle name="Ввод  2 3" xfId="2187"/>
    <cellStyle name="Ввод  2 4" xfId="2188"/>
    <cellStyle name="Ввод  2 5" xfId="2183"/>
    <cellStyle name="Ввод  3" xfId="2189"/>
    <cellStyle name="Ввод  3 2" xfId="2190"/>
    <cellStyle name="Ввод  3 2 2" xfId="2191"/>
    <cellStyle name="Ввод  3 2 3" xfId="2192"/>
    <cellStyle name="Ввод  3 3" xfId="2193"/>
    <cellStyle name="Ввод  3 4" xfId="2194"/>
    <cellStyle name="Ввод  4" xfId="2195"/>
    <cellStyle name="Ввод  4 2" xfId="2196"/>
    <cellStyle name="Ввод  4 2 2" xfId="2197"/>
    <cellStyle name="Ввод  4 2 3" xfId="2198"/>
    <cellStyle name="Ввод  4 3" xfId="2199"/>
    <cellStyle name="Ввод  4 4" xfId="2200"/>
    <cellStyle name="Ввод  5" xfId="2201"/>
    <cellStyle name="Ввод  5 2" xfId="2202"/>
    <cellStyle name="Ввод  5 2 2" xfId="2203"/>
    <cellStyle name="Ввод  5 2 3" xfId="2204"/>
    <cellStyle name="Ввод  5 3" xfId="2205"/>
    <cellStyle name="Ввод  5 4" xfId="2206"/>
    <cellStyle name="Ввод  6" xfId="2207"/>
    <cellStyle name="Ввод  6 2" xfId="2208"/>
    <cellStyle name="Ввод  6 2 2" xfId="2209"/>
    <cellStyle name="Ввод  6 2 3" xfId="2210"/>
    <cellStyle name="Ввод  6 3" xfId="2211"/>
    <cellStyle name="Ввод  6 4" xfId="2212"/>
    <cellStyle name="Ввод  7" xfId="2213"/>
    <cellStyle name="Ввод  7 2" xfId="2214"/>
    <cellStyle name="Ввод  7 2 2" xfId="2215"/>
    <cellStyle name="Ввод  7 2 3" xfId="2216"/>
    <cellStyle name="Ввод  7 3" xfId="2217"/>
    <cellStyle name="Ввод  7 4" xfId="2218"/>
    <cellStyle name="Ввод  8" xfId="2219"/>
    <cellStyle name="Ввод  8 2" xfId="2220"/>
    <cellStyle name="Ввод  8 2 2" xfId="2221"/>
    <cellStyle name="Ввод  8 2 3" xfId="2222"/>
    <cellStyle name="Ввод  8 3" xfId="2223"/>
    <cellStyle name="Ввод  8 4" xfId="2224"/>
    <cellStyle name="Ввод  9" xfId="2225"/>
    <cellStyle name="Ввод  9 2" xfId="2226"/>
    <cellStyle name="Ввод  9 2 2" xfId="2227"/>
    <cellStyle name="Ввод  9 2 3" xfId="2228"/>
    <cellStyle name="Ввод  9 3" xfId="2229"/>
    <cellStyle name="Ввод  9 4" xfId="2230"/>
    <cellStyle name="Вывод 10" xfId="2231"/>
    <cellStyle name="Вывод 10 2" xfId="2232"/>
    <cellStyle name="Вывод 10 2 2" xfId="2233"/>
    <cellStyle name="Вывод 10 2 3" xfId="2234"/>
    <cellStyle name="Вывод 10 3" xfId="2235"/>
    <cellStyle name="Вывод 10 3 2" xfId="2236"/>
    <cellStyle name="Вывод 10 3 3" xfId="2237"/>
    <cellStyle name="Вывод 10 4" xfId="2238"/>
    <cellStyle name="Вывод 10 5" xfId="2239"/>
    <cellStyle name="Вывод 11" xfId="2240"/>
    <cellStyle name="Вывод 11 2" xfId="2241"/>
    <cellStyle name="Вывод 11 2 2" xfId="2242"/>
    <cellStyle name="Вывод 11 2 3" xfId="2243"/>
    <cellStyle name="Вывод 11 3" xfId="2244"/>
    <cellStyle name="Вывод 11 3 2" xfId="2245"/>
    <cellStyle name="Вывод 11 3 3" xfId="2246"/>
    <cellStyle name="Вывод 11 4" xfId="2247"/>
    <cellStyle name="Вывод 11 5" xfId="2248"/>
    <cellStyle name="Вывод 12" xfId="2249"/>
    <cellStyle name="Вывод 12 2" xfId="2250"/>
    <cellStyle name="Вывод 12 2 2" xfId="2251"/>
    <cellStyle name="Вывод 12 2 3" xfId="2252"/>
    <cellStyle name="Вывод 12 3" xfId="2253"/>
    <cellStyle name="Вывод 12 3 2" xfId="2254"/>
    <cellStyle name="Вывод 12 3 3" xfId="2255"/>
    <cellStyle name="Вывод 12 4" xfId="2256"/>
    <cellStyle name="Вывод 12 5" xfId="2257"/>
    <cellStyle name="Вывод 13" xfId="2258"/>
    <cellStyle name="Вывод 13 2" xfId="2259"/>
    <cellStyle name="Вывод 13 2 2" xfId="2260"/>
    <cellStyle name="Вывод 13 2 3" xfId="2261"/>
    <cellStyle name="Вывод 13 3" xfId="2262"/>
    <cellStyle name="Вывод 13 3 2" xfId="2263"/>
    <cellStyle name="Вывод 13 3 3" xfId="2264"/>
    <cellStyle name="Вывод 13 4" xfId="2265"/>
    <cellStyle name="Вывод 13 5" xfId="2266"/>
    <cellStyle name="Вывод 2" xfId="1368"/>
    <cellStyle name="Вывод 2 2" xfId="2268"/>
    <cellStyle name="Вывод 2 2 2" xfId="2269"/>
    <cellStyle name="Вывод 2 2 3" xfId="2270"/>
    <cellStyle name="Вывод 2 3" xfId="2271"/>
    <cellStyle name="Вывод 2 3 2" xfId="2272"/>
    <cellStyle name="Вывод 2 3 3" xfId="2273"/>
    <cellStyle name="Вывод 2 4" xfId="2274"/>
    <cellStyle name="Вывод 2 5" xfId="2275"/>
    <cellStyle name="Вывод 2 6" xfId="2267"/>
    <cellStyle name="Вывод 3" xfId="2276"/>
    <cellStyle name="Вывод 3 2" xfId="2277"/>
    <cellStyle name="Вывод 3 2 2" xfId="2278"/>
    <cellStyle name="Вывод 3 2 3" xfId="2279"/>
    <cellStyle name="Вывод 3 3" xfId="2280"/>
    <cellStyle name="Вывод 3 3 2" xfId="2281"/>
    <cellStyle name="Вывод 3 3 3" xfId="2282"/>
    <cellStyle name="Вывод 3 4" xfId="2283"/>
    <cellStyle name="Вывод 3 5" xfId="2284"/>
    <cellStyle name="Вывод 4" xfId="2285"/>
    <cellStyle name="Вывод 4 2" xfId="2286"/>
    <cellStyle name="Вывод 4 2 2" xfId="2287"/>
    <cellStyle name="Вывод 4 2 3" xfId="2288"/>
    <cellStyle name="Вывод 4 3" xfId="2289"/>
    <cellStyle name="Вывод 4 3 2" xfId="2290"/>
    <cellStyle name="Вывод 4 3 3" xfId="2291"/>
    <cellStyle name="Вывод 4 4" xfId="2292"/>
    <cellStyle name="Вывод 4 5" xfId="2293"/>
    <cellStyle name="Вывод 5" xfId="2294"/>
    <cellStyle name="Вывод 5 2" xfId="2295"/>
    <cellStyle name="Вывод 5 2 2" xfId="2296"/>
    <cellStyle name="Вывод 5 2 3" xfId="2297"/>
    <cellStyle name="Вывод 5 3" xfId="2298"/>
    <cellStyle name="Вывод 5 3 2" xfId="2299"/>
    <cellStyle name="Вывод 5 3 3" xfId="2300"/>
    <cellStyle name="Вывод 5 4" xfId="2301"/>
    <cellStyle name="Вывод 5 5" xfId="2302"/>
    <cellStyle name="Вывод 6" xfId="2303"/>
    <cellStyle name="Вывод 6 2" xfId="2304"/>
    <cellStyle name="Вывод 6 2 2" xfId="2305"/>
    <cellStyle name="Вывод 6 2 3" xfId="2306"/>
    <cellStyle name="Вывод 6 3" xfId="2307"/>
    <cellStyle name="Вывод 6 3 2" xfId="2308"/>
    <cellStyle name="Вывод 6 3 3" xfId="2309"/>
    <cellStyle name="Вывод 6 4" xfId="2310"/>
    <cellStyle name="Вывод 6 5" xfId="2311"/>
    <cellStyle name="Вывод 7" xfId="2312"/>
    <cellStyle name="Вывод 7 2" xfId="2313"/>
    <cellStyle name="Вывод 7 2 2" xfId="2314"/>
    <cellStyle name="Вывод 7 2 3" xfId="2315"/>
    <cellStyle name="Вывод 7 3" xfId="2316"/>
    <cellStyle name="Вывод 7 3 2" xfId="2317"/>
    <cellStyle name="Вывод 7 3 3" xfId="2318"/>
    <cellStyle name="Вывод 7 4" xfId="2319"/>
    <cellStyle name="Вывод 7 5" xfId="2320"/>
    <cellStyle name="Вывод 8" xfId="2321"/>
    <cellStyle name="Вывод 8 2" xfId="2322"/>
    <cellStyle name="Вывод 8 2 2" xfId="2323"/>
    <cellStyle name="Вывод 8 2 3" xfId="2324"/>
    <cellStyle name="Вывод 8 3" xfId="2325"/>
    <cellStyle name="Вывод 8 3 2" xfId="2326"/>
    <cellStyle name="Вывод 8 3 3" xfId="2327"/>
    <cellStyle name="Вывод 8 4" xfId="2328"/>
    <cellStyle name="Вывод 8 5" xfId="2329"/>
    <cellStyle name="Вывод 9" xfId="2330"/>
    <cellStyle name="Вывод 9 2" xfId="2331"/>
    <cellStyle name="Вывод 9 2 2" xfId="2332"/>
    <cellStyle name="Вывод 9 2 3" xfId="2333"/>
    <cellStyle name="Вывод 9 3" xfId="2334"/>
    <cellStyle name="Вывод 9 3 2" xfId="2335"/>
    <cellStyle name="Вывод 9 3 3" xfId="2336"/>
    <cellStyle name="Вывод 9 4" xfId="2337"/>
    <cellStyle name="Вывод 9 5" xfId="2338"/>
    <cellStyle name="Вычисление 10" xfId="2339"/>
    <cellStyle name="Вычисление 10 2" xfId="2340"/>
    <cellStyle name="Вычисление 10 2 2" xfId="2341"/>
    <cellStyle name="Вычисление 10 2 3" xfId="2342"/>
    <cellStyle name="Вычисление 10 3" xfId="2343"/>
    <cellStyle name="Вычисление 10 4" xfId="2344"/>
    <cellStyle name="Вычисление 11" xfId="2345"/>
    <cellStyle name="Вычисление 11 2" xfId="2346"/>
    <cellStyle name="Вычисление 11 2 2" xfId="2347"/>
    <cellStyle name="Вычисление 11 2 3" xfId="2348"/>
    <cellStyle name="Вычисление 11 3" xfId="2349"/>
    <cellStyle name="Вычисление 11 4" xfId="2350"/>
    <cellStyle name="Вычисление 12" xfId="2351"/>
    <cellStyle name="Вычисление 12 2" xfId="2352"/>
    <cellStyle name="Вычисление 12 2 2" xfId="2353"/>
    <cellStyle name="Вычисление 12 2 3" xfId="2354"/>
    <cellStyle name="Вычисление 12 3" xfId="2355"/>
    <cellStyle name="Вычисление 12 4" xfId="2356"/>
    <cellStyle name="Вычисление 13" xfId="2357"/>
    <cellStyle name="Вычисление 13 2" xfId="2358"/>
    <cellStyle name="Вычисление 13 2 2" xfId="2359"/>
    <cellStyle name="Вычисление 13 2 3" xfId="2360"/>
    <cellStyle name="Вычисление 13 3" xfId="2361"/>
    <cellStyle name="Вычисление 13 4" xfId="2362"/>
    <cellStyle name="Вычисление 2" xfId="1369"/>
    <cellStyle name="Вычисление 2 2" xfId="2364"/>
    <cellStyle name="Вычисление 2 2 2" xfId="2365"/>
    <cellStyle name="Вычисление 2 2 3" xfId="2366"/>
    <cellStyle name="Вычисление 2 3" xfId="2367"/>
    <cellStyle name="Вычисление 2 4" xfId="2368"/>
    <cellStyle name="Вычисление 2 5" xfId="2363"/>
    <cellStyle name="Вычисление 3" xfId="2369"/>
    <cellStyle name="Вычисление 3 2" xfId="2370"/>
    <cellStyle name="Вычисление 3 2 2" xfId="2371"/>
    <cellStyle name="Вычисление 3 2 3" xfId="2372"/>
    <cellStyle name="Вычисление 3 3" xfId="2373"/>
    <cellStyle name="Вычисление 3 4" xfId="2374"/>
    <cellStyle name="Вычисление 4" xfId="2375"/>
    <cellStyle name="Вычисление 4 2" xfId="2376"/>
    <cellStyle name="Вычисление 4 2 2" xfId="2377"/>
    <cellStyle name="Вычисление 4 2 3" xfId="2378"/>
    <cellStyle name="Вычисление 4 3" xfId="2379"/>
    <cellStyle name="Вычисление 4 4" xfId="2380"/>
    <cellStyle name="Вычисление 5" xfId="2381"/>
    <cellStyle name="Вычисление 5 2" xfId="2382"/>
    <cellStyle name="Вычисление 5 2 2" xfId="2383"/>
    <cellStyle name="Вычисление 5 2 3" xfId="2384"/>
    <cellStyle name="Вычисление 5 3" xfId="2385"/>
    <cellStyle name="Вычисление 5 4" xfId="2386"/>
    <cellStyle name="Вычисление 6" xfId="2387"/>
    <cellStyle name="Вычисление 6 2" xfId="2388"/>
    <cellStyle name="Вычисление 6 2 2" xfId="2389"/>
    <cellStyle name="Вычисление 6 2 3" xfId="2390"/>
    <cellStyle name="Вычисление 6 3" xfId="2391"/>
    <cellStyle name="Вычисление 6 4" xfId="2392"/>
    <cellStyle name="Вычисление 7" xfId="2393"/>
    <cellStyle name="Вычисление 7 2" xfId="2394"/>
    <cellStyle name="Вычисление 7 2 2" xfId="2395"/>
    <cellStyle name="Вычисление 7 2 3" xfId="2396"/>
    <cellStyle name="Вычисление 7 3" xfId="2397"/>
    <cellStyle name="Вычисление 7 4" xfId="2398"/>
    <cellStyle name="Вычисление 8" xfId="2399"/>
    <cellStyle name="Вычисление 8 2" xfId="2400"/>
    <cellStyle name="Вычисление 8 2 2" xfId="2401"/>
    <cellStyle name="Вычисление 8 2 3" xfId="2402"/>
    <cellStyle name="Вычисление 8 3" xfId="2403"/>
    <cellStyle name="Вычисление 8 4" xfId="2404"/>
    <cellStyle name="Вычисление 9" xfId="2405"/>
    <cellStyle name="Вычисление 9 2" xfId="2406"/>
    <cellStyle name="Вычисление 9 2 2" xfId="2407"/>
    <cellStyle name="Вычисление 9 2 3" xfId="2408"/>
    <cellStyle name="Вычисление 9 3" xfId="2409"/>
    <cellStyle name="Вычисление 9 4" xfId="2410"/>
    <cellStyle name="Гиперссылка 2" xfId="1370"/>
    <cellStyle name="Гиперссылка 2 2" xfId="2411"/>
    <cellStyle name="Гиперссылка 3" xfId="2412"/>
    <cellStyle name="Группа" xfId="1371"/>
    <cellStyle name="Дата" xfId="1372"/>
    <cellStyle name="Денежный" xfId="11" builtinId="4"/>
    <cellStyle name="Денежный [0] 2" xfId="1373"/>
    <cellStyle name="Денежный 10" xfId="1488"/>
    <cellStyle name="Денежный 10 2" xfId="1522"/>
    <cellStyle name="Денежный 10 2 2" xfId="3033"/>
    <cellStyle name="Денежный 10 3" xfId="2999"/>
    <cellStyle name="Денежный 11" xfId="1491"/>
    <cellStyle name="Денежный 11 2" xfId="1525"/>
    <cellStyle name="Денежный 11 2 2" xfId="3036"/>
    <cellStyle name="Денежный 11 3" xfId="3002"/>
    <cellStyle name="Денежный 12" xfId="1498"/>
    <cellStyle name="Денежный 12 2" xfId="1532"/>
    <cellStyle name="Денежный 12 2 2" xfId="3043"/>
    <cellStyle name="Денежный 12 3" xfId="3009"/>
    <cellStyle name="Денежный 13" xfId="1496"/>
    <cellStyle name="Денежный 13 2" xfId="1530"/>
    <cellStyle name="Денежный 13 2 2" xfId="3041"/>
    <cellStyle name="Денежный 13 3" xfId="3007"/>
    <cellStyle name="Денежный 14" xfId="1495"/>
    <cellStyle name="Денежный 14 2" xfId="1529"/>
    <cellStyle name="Денежный 14 2 2" xfId="3040"/>
    <cellStyle name="Денежный 14 3" xfId="3006"/>
    <cellStyle name="Денежный 15" xfId="1497"/>
    <cellStyle name="Денежный 15 2" xfId="1531"/>
    <cellStyle name="Денежный 15 2 2" xfId="3042"/>
    <cellStyle name="Денежный 15 3" xfId="3008"/>
    <cellStyle name="Денежный 16" xfId="1500"/>
    <cellStyle name="Денежный 16 2" xfId="3011"/>
    <cellStyle name="Денежный 17" xfId="2975"/>
    <cellStyle name="Денежный 17 2" xfId="3047"/>
    <cellStyle name="Денежный 18" xfId="2977"/>
    <cellStyle name="Денежный 2" xfId="15"/>
    <cellStyle name="Денежный 2 2" xfId="19"/>
    <cellStyle name="Денежный 2 2 2" xfId="25"/>
    <cellStyle name="Денежный 2 2 2 2" xfId="1507"/>
    <cellStyle name="Денежный 2 2 2 2 2" xfId="3018"/>
    <cellStyle name="Денежный 2 2 2 3" xfId="2984"/>
    <cellStyle name="Денежный 2 2 3" xfId="1374"/>
    <cellStyle name="Денежный 2 2 4" xfId="1494"/>
    <cellStyle name="Денежный 2 2 4 2" xfId="1528"/>
    <cellStyle name="Денежный 2 2 4 2 2" xfId="3039"/>
    <cellStyle name="Денежный 2 2 4 3" xfId="3005"/>
    <cellStyle name="Денежный 2 2 5" xfId="1503"/>
    <cellStyle name="Денежный 2 2 5 2" xfId="3014"/>
    <cellStyle name="Денежный 2 2 6" xfId="2980"/>
    <cellStyle name="Денежный 2 3" xfId="23"/>
    <cellStyle name="Денежный 2 3 2" xfId="1505"/>
    <cellStyle name="Денежный 2 3 2 2" xfId="3016"/>
    <cellStyle name="Денежный 2 3 3" xfId="2982"/>
    <cellStyle name="Денежный 2 4" xfId="1492"/>
    <cellStyle name="Денежный 2 4 2" xfId="1526"/>
    <cellStyle name="Денежный 2 4 2 2" xfId="3037"/>
    <cellStyle name="Денежный 2 4 3" xfId="3003"/>
    <cellStyle name="Денежный 2 5" xfId="1499"/>
    <cellStyle name="Денежный 2 5 2" xfId="1533"/>
    <cellStyle name="Денежный 2 5 2 2" xfId="3044"/>
    <cellStyle name="Денежный 2 5 3" xfId="3010"/>
    <cellStyle name="Денежный 2 6" xfId="1501"/>
    <cellStyle name="Денежный 2 6 2" xfId="3012"/>
    <cellStyle name="Денежный 2 7" xfId="2962"/>
    <cellStyle name="Денежный 2 7 2" xfId="3046"/>
    <cellStyle name="Денежный 2 8" xfId="2976"/>
    <cellStyle name="Денежный 2 8 2" xfId="3048"/>
    <cellStyle name="Денежный 2 9" xfId="2978"/>
    <cellStyle name="Денежный 3" xfId="17"/>
    <cellStyle name="Денежный 3 2" xfId="24"/>
    <cellStyle name="Денежный 3 2 2" xfId="1506"/>
    <cellStyle name="Денежный 3 2 2 2" xfId="3017"/>
    <cellStyle name="Денежный 3 2 3" xfId="2983"/>
    <cellStyle name="Денежный 3 3" xfId="1493"/>
    <cellStyle name="Денежный 3 3 2" xfId="1527"/>
    <cellStyle name="Денежный 3 3 2 2" xfId="3038"/>
    <cellStyle name="Денежный 3 3 3" xfId="3004"/>
    <cellStyle name="Денежный 3 4" xfId="1502"/>
    <cellStyle name="Денежный 3 4 2" xfId="3013"/>
    <cellStyle name="Денежный 3 5" xfId="2979"/>
    <cellStyle name="Денежный 4" xfId="22"/>
    <cellStyle name="Денежный 4 2" xfId="1504"/>
    <cellStyle name="Денежный 4 2 2" xfId="3015"/>
    <cellStyle name="Денежный 4 3" xfId="2981"/>
    <cellStyle name="Денежный 5" xfId="26"/>
    <cellStyle name="Денежный 5 2" xfId="1508"/>
    <cellStyle name="Денежный 5 2 2" xfId="3019"/>
    <cellStyle name="Денежный 5 3" xfId="2985"/>
    <cellStyle name="Денежный 6" xfId="1490"/>
    <cellStyle name="Денежный 6 2" xfId="1524"/>
    <cellStyle name="Денежный 6 2 2" xfId="3035"/>
    <cellStyle name="Денежный 6 3" xfId="3001"/>
    <cellStyle name="Денежный 7" xfId="1486"/>
    <cellStyle name="Денежный 7 2" xfId="1520"/>
    <cellStyle name="Денежный 7 2 2" xfId="3031"/>
    <cellStyle name="Денежный 7 3" xfId="2997"/>
    <cellStyle name="Денежный 8" xfId="1489"/>
    <cellStyle name="Денежный 8 2" xfId="1523"/>
    <cellStyle name="Денежный 8 2 2" xfId="3034"/>
    <cellStyle name="Денежный 8 3" xfId="3000"/>
    <cellStyle name="Денежный 9" xfId="1487"/>
    <cellStyle name="Денежный 9 2" xfId="1521"/>
    <cellStyle name="Денежный 9 2 2" xfId="3032"/>
    <cellStyle name="Денежный 9 3" xfId="2998"/>
    <cellStyle name="Заголовок 1 10" xfId="2413"/>
    <cellStyle name="Заголовок 1 11" xfId="2414"/>
    <cellStyle name="Заголовок 1 12" xfId="2415"/>
    <cellStyle name="Заголовок 1 13" xfId="2416"/>
    <cellStyle name="Заголовок 1 2" xfId="1375"/>
    <cellStyle name="Заголовок 1 2 2" xfId="2417"/>
    <cellStyle name="Заголовок 1 3" xfId="2418"/>
    <cellStyle name="Заголовок 1 4" xfId="2419"/>
    <cellStyle name="Заголовок 1 5" xfId="2420"/>
    <cellStyle name="Заголовок 1 6" xfId="2421"/>
    <cellStyle name="Заголовок 1 7" xfId="2422"/>
    <cellStyle name="Заголовок 1 8" xfId="2423"/>
    <cellStyle name="Заголовок 1 9" xfId="2424"/>
    <cellStyle name="Заголовок 2 10" xfId="2425"/>
    <cellStyle name="Заголовок 2 11" xfId="2426"/>
    <cellStyle name="Заголовок 2 12" xfId="2427"/>
    <cellStyle name="Заголовок 2 13" xfId="2428"/>
    <cellStyle name="Заголовок 2 2" xfId="1376"/>
    <cellStyle name="Заголовок 2 2 2" xfId="2429"/>
    <cellStyle name="Заголовок 2 3" xfId="2430"/>
    <cellStyle name="Заголовок 2 4" xfId="2431"/>
    <cellStyle name="Заголовок 2 5" xfId="2432"/>
    <cellStyle name="Заголовок 2 6" xfId="2433"/>
    <cellStyle name="Заголовок 2 7" xfId="2434"/>
    <cellStyle name="Заголовок 2 8" xfId="2435"/>
    <cellStyle name="Заголовок 2 9" xfId="2436"/>
    <cellStyle name="Заголовок 3 10" xfId="2437"/>
    <cellStyle name="Заголовок 3 11" xfId="2438"/>
    <cellStyle name="Заголовок 3 12" xfId="2439"/>
    <cellStyle name="Заголовок 3 13" xfId="2440"/>
    <cellStyle name="Заголовок 3 2" xfId="1377"/>
    <cellStyle name="Заголовок 3 2 2" xfId="2441"/>
    <cellStyle name="Заголовок 3 3" xfId="2442"/>
    <cellStyle name="Заголовок 3 4" xfId="2443"/>
    <cellStyle name="Заголовок 3 5" xfId="2444"/>
    <cellStyle name="Заголовок 3 6" xfId="2445"/>
    <cellStyle name="Заголовок 3 7" xfId="2446"/>
    <cellStyle name="Заголовок 3 8" xfId="2447"/>
    <cellStyle name="Заголовок 3 9" xfId="2448"/>
    <cellStyle name="Заголовок 4 10" xfId="2449"/>
    <cellStyle name="Заголовок 4 11" xfId="2450"/>
    <cellStyle name="Заголовок 4 12" xfId="2451"/>
    <cellStyle name="Заголовок 4 13" xfId="2452"/>
    <cellStyle name="Заголовок 4 2" xfId="1378"/>
    <cellStyle name="Заголовок 4 2 2" xfId="2453"/>
    <cellStyle name="Заголовок 4 3" xfId="2454"/>
    <cellStyle name="Заголовок 4 4" xfId="2455"/>
    <cellStyle name="Заголовок 4 5" xfId="2456"/>
    <cellStyle name="Заголовок 4 6" xfId="2457"/>
    <cellStyle name="Заголовок 4 7" xfId="2458"/>
    <cellStyle name="Заголовок 4 8" xfId="2459"/>
    <cellStyle name="Заголовок 4 9" xfId="2460"/>
    <cellStyle name="Защитный" xfId="1379"/>
    <cellStyle name="Звезды" xfId="1380"/>
    <cellStyle name="Звезды 2" xfId="1381"/>
    <cellStyle name="Звезды 2 2" xfId="2461"/>
    <cellStyle name="Звезды 2 2 2" xfId="2462"/>
    <cellStyle name="Звезды 2 2 3" xfId="2463"/>
    <cellStyle name="Звезды 2 3" xfId="2464"/>
    <cellStyle name="Звезды 2 4" xfId="2465"/>
    <cellStyle name="Звезды 3" xfId="1382"/>
    <cellStyle name="Звезды 3 2" xfId="2466"/>
    <cellStyle name="Звезды 3 3" xfId="2467"/>
    <cellStyle name="Звезды 4" xfId="2468"/>
    <cellStyle name="Звезды 5" xfId="2469"/>
    <cellStyle name="Звезды_Копия Финплан_бюджет_СП_СКЗ_КАП_2010_(С изменениями для НС 24.07.2010)" xfId="2470"/>
    <cellStyle name="Итог 10" xfId="2471"/>
    <cellStyle name="Итог 10 2" xfId="2472"/>
    <cellStyle name="Итог 10 2 2" xfId="2473"/>
    <cellStyle name="Итог 10 2 3" xfId="2474"/>
    <cellStyle name="Итог 10 3" xfId="2475"/>
    <cellStyle name="Итог 10 3 2" xfId="2476"/>
    <cellStyle name="Итог 10 3 3" xfId="2477"/>
    <cellStyle name="Итог 10 4" xfId="2478"/>
    <cellStyle name="Итог 10 5" xfId="2479"/>
    <cellStyle name="Итог 11" xfId="2480"/>
    <cellStyle name="Итог 11 2" xfId="2481"/>
    <cellStyle name="Итог 11 2 2" xfId="2482"/>
    <cellStyle name="Итог 11 2 3" xfId="2483"/>
    <cellStyle name="Итог 11 3" xfId="2484"/>
    <cellStyle name="Итог 11 3 2" xfId="2485"/>
    <cellStyle name="Итог 11 3 3" xfId="2486"/>
    <cellStyle name="Итог 11 4" xfId="2487"/>
    <cellStyle name="Итог 11 5" xfId="2488"/>
    <cellStyle name="Итог 12" xfId="2489"/>
    <cellStyle name="Итог 12 2" xfId="2490"/>
    <cellStyle name="Итог 12 2 2" xfId="2491"/>
    <cellStyle name="Итог 12 2 3" xfId="2492"/>
    <cellStyle name="Итог 12 3" xfId="2493"/>
    <cellStyle name="Итог 12 3 2" xfId="2494"/>
    <cellStyle name="Итог 12 3 3" xfId="2495"/>
    <cellStyle name="Итог 12 4" xfId="2496"/>
    <cellStyle name="Итог 12 5" xfId="2497"/>
    <cellStyle name="Итог 13" xfId="2498"/>
    <cellStyle name="Итог 13 2" xfId="2499"/>
    <cellStyle name="Итог 13 2 2" xfId="2500"/>
    <cellStyle name="Итог 13 2 3" xfId="2501"/>
    <cellStyle name="Итог 13 3" xfId="2502"/>
    <cellStyle name="Итог 13 3 2" xfId="2503"/>
    <cellStyle name="Итог 13 3 3" xfId="2504"/>
    <cellStyle name="Итог 13 4" xfId="2505"/>
    <cellStyle name="Итог 13 5" xfId="2506"/>
    <cellStyle name="Итог 2" xfId="1383"/>
    <cellStyle name="Итог 2 2" xfId="2508"/>
    <cellStyle name="Итог 2 2 2" xfId="2509"/>
    <cellStyle name="Итог 2 2 3" xfId="2510"/>
    <cellStyle name="Итог 2 3" xfId="2511"/>
    <cellStyle name="Итог 2 3 2" xfId="2512"/>
    <cellStyle name="Итог 2 3 3" xfId="2513"/>
    <cellStyle name="Итог 2 4" xfId="2514"/>
    <cellStyle name="Итог 2 5" xfId="2515"/>
    <cellStyle name="Итог 2 6" xfId="2507"/>
    <cellStyle name="Итог 3" xfId="2516"/>
    <cellStyle name="Итог 3 2" xfId="2517"/>
    <cellStyle name="Итог 3 2 2" xfId="2518"/>
    <cellStyle name="Итог 3 2 3" xfId="2519"/>
    <cellStyle name="Итог 3 3" xfId="2520"/>
    <cellStyle name="Итог 3 3 2" xfId="2521"/>
    <cellStyle name="Итог 3 3 3" xfId="2522"/>
    <cellStyle name="Итог 3 4" xfId="2523"/>
    <cellStyle name="Итог 3 5" xfId="2524"/>
    <cellStyle name="Итог 4" xfId="2525"/>
    <cellStyle name="Итог 4 2" xfId="2526"/>
    <cellStyle name="Итог 4 2 2" xfId="2527"/>
    <cellStyle name="Итог 4 2 3" xfId="2528"/>
    <cellStyle name="Итог 4 3" xfId="2529"/>
    <cellStyle name="Итог 4 3 2" xfId="2530"/>
    <cellStyle name="Итог 4 3 3" xfId="2531"/>
    <cellStyle name="Итог 4 4" xfId="2532"/>
    <cellStyle name="Итог 4 5" xfId="2533"/>
    <cellStyle name="Итог 5" xfId="2534"/>
    <cellStyle name="Итог 5 2" xfId="2535"/>
    <cellStyle name="Итог 5 2 2" xfId="2536"/>
    <cellStyle name="Итог 5 2 3" xfId="2537"/>
    <cellStyle name="Итог 5 3" xfId="2538"/>
    <cellStyle name="Итог 5 3 2" xfId="2539"/>
    <cellStyle name="Итог 5 3 3" xfId="2540"/>
    <cellStyle name="Итог 5 4" xfId="2541"/>
    <cellStyle name="Итог 5 5" xfId="2542"/>
    <cellStyle name="Итог 6" xfId="2543"/>
    <cellStyle name="Итог 6 2" xfId="2544"/>
    <cellStyle name="Итог 6 2 2" xfId="2545"/>
    <cellStyle name="Итог 6 2 3" xfId="2546"/>
    <cellStyle name="Итог 6 3" xfId="2547"/>
    <cellStyle name="Итог 6 3 2" xfId="2548"/>
    <cellStyle name="Итог 6 3 3" xfId="2549"/>
    <cellStyle name="Итог 6 4" xfId="2550"/>
    <cellStyle name="Итог 6 5" xfId="2551"/>
    <cellStyle name="Итог 7" xfId="2552"/>
    <cellStyle name="Итог 7 2" xfId="2553"/>
    <cellStyle name="Итог 7 2 2" xfId="2554"/>
    <cellStyle name="Итог 7 2 3" xfId="2555"/>
    <cellStyle name="Итог 7 3" xfId="2556"/>
    <cellStyle name="Итог 7 3 2" xfId="2557"/>
    <cellStyle name="Итог 7 3 3" xfId="2558"/>
    <cellStyle name="Итог 7 4" xfId="2559"/>
    <cellStyle name="Итог 7 5" xfId="2560"/>
    <cellStyle name="Итог 8" xfId="2561"/>
    <cellStyle name="Итог 8 2" xfId="2562"/>
    <cellStyle name="Итог 8 2 2" xfId="2563"/>
    <cellStyle name="Итог 8 2 3" xfId="2564"/>
    <cellStyle name="Итог 8 3" xfId="2565"/>
    <cellStyle name="Итог 8 3 2" xfId="2566"/>
    <cellStyle name="Итог 8 3 3" xfId="2567"/>
    <cellStyle name="Итог 8 4" xfId="2568"/>
    <cellStyle name="Итог 8 5" xfId="2569"/>
    <cellStyle name="Итог 9" xfId="2570"/>
    <cellStyle name="Итог 9 2" xfId="2571"/>
    <cellStyle name="Итог 9 2 2" xfId="2572"/>
    <cellStyle name="Итог 9 2 3" xfId="2573"/>
    <cellStyle name="Итог 9 3" xfId="2574"/>
    <cellStyle name="Итог 9 3 2" xfId="2575"/>
    <cellStyle name="Итог 9 3 3" xfId="2576"/>
    <cellStyle name="Итог 9 4" xfId="2577"/>
    <cellStyle name="Итог 9 5" xfId="2578"/>
    <cellStyle name="КАНДАГАЧ тел3-33-96" xfId="1384"/>
    <cellStyle name="КАНДАГАЧ тел3-33-96 10" xfId="1385"/>
    <cellStyle name="КАНДАГАЧ тел3-33-96 11" xfId="1386"/>
    <cellStyle name="КАНДАГАЧ тел3-33-96 12" xfId="1387"/>
    <cellStyle name="КАНДАГАЧ тел3-33-96 13" xfId="1388"/>
    <cellStyle name="КАНДАГАЧ тел3-33-96 14" xfId="1389"/>
    <cellStyle name="КАНДАГАЧ тел3-33-96 15" xfId="1390"/>
    <cellStyle name="КАНДАГАЧ тел3-33-96 16" xfId="1391"/>
    <cellStyle name="КАНДАГАЧ тел3-33-96 17" xfId="1392"/>
    <cellStyle name="КАНДАГАЧ тел3-33-96 18" xfId="1393"/>
    <cellStyle name="КАНДАГАЧ тел3-33-96 19" xfId="1394"/>
    <cellStyle name="КАНДАГАЧ тел3-33-96 2" xfId="1395"/>
    <cellStyle name="КАНДАГАЧ тел3-33-96 22" xfId="1396"/>
    <cellStyle name="КАНДАГАЧ тел3-33-96 26" xfId="1397"/>
    <cellStyle name="КАНДАГАЧ тел3-33-96 27" xfId="1398"/>
    <cellStyle name="КАНДАГАЧ тел3-33-96 3" xfId="1399"/>
    <cellStyle name="КАНДАГАЧ тел3-33-96 3 2" xfId="1400"/>
    <cellStyle name="КАНДАГАЧ тел3-33-96 3_Свод-ТоргДбЗ-011009" xfId="1401"/>
    <cellStyle name="КАНДАГАЧ тел3-33-96 31" xfId="1402"/>
    <cellStyle name="КАНДАГАЧ тел3-33-96 32" xfId="1403"/>
    <cellStyle name="КАНДАГАЧ тел3-33-96 34" xfId="1404"/>
    <cellStyle name="КАНДАГАЧ тел3-33-96 35" xfId="1405"/>
    <cellStyle name="КАНДАГАЧ тел3-33-96 37" xfId="1406"/>
    <cellStyle name="КАНДАГАЧ тел3-33-96 38" xfId="1407"/>
    <cellStyle name="КАНДАГАЧ тел3-33-96 4" xfId="1408"/>
    <cellStyle name="КАНДАГАЧ тел3-33-96 5" xfId="1409"/>
    <cellStyle name="КАНДАГАЧ тел3-33-96 6" xfId="1410"/>
    <cellStyle name="КАНДАГАЧ тел3-33-96 7" xfId="1411"/>
    <cellStyle name="КАНДАГАЧ тел3-33-96 8" xfId="1412"/>
    <cellStyle name="КАНДАГАЧ тел3-33-96 9" xfId="1413"/>
    <cellStyle name="КАНДАГАЧ тел3-33-96_031" xfId="1414"/>
    <cellStyle name="Контрольная ячейка 10" xfId="2579"/>
    <cellStyle name="Контрольная ячейка 11" xfId="2580"/>
    <cellStyle name="Контрольная ячейка 12" xfId="2581"/>
    <cellStyle name="Контрольная ячейка 13" xfId="2582"/>
    <cellStyle name="Контрольная ячейка 2" xfId="1415"/>
    <cellStyle name="Контрольная ячейка 2 2" xfId="2583"/>
    <cellStyle name="Контрольная ячейка 3" xfId="2584"/>
    <cellStyle name="Контрольная ячейка 4" xfId="2585"/>
    <cellStyle name="Контрольная ячейка 5" xfId="2586"/>
    <cellStyle name="Контрольная ячейка 6" xfId="2587"/>
    <cellStyle name="Контрольная ячейка 7" xfId="2588"/>
    <cellStyle name="Контрольная ячейка 8" xfId="2589"/>
    <cellStyle name="Контрольная ячейка 9" xfId="2590"/>
    <cellStyle name="Мой" xfId="1416"/>
    <cellStyle name="Название 10" xfId="2591"/>
    <cellStyle name="Название 10 2" xfId="2592"/>
    <cellStyle name="Название 10 2 2" xfId="2593"/>
    <cellStyle name="Название 10 2 3" xfId="2594"/>
    <cellStyle name="Название 10 3" xfId="2595"/>
    <cellStyle name="Название 10 4" xfId="2596"/>
    <cellStyle name="Название 11" xfId="2597"/>
    <cellStyle name="Название 11 2" xfId="2598"/>
    <cellStyle name="Название 11 2 2" xfId="2599"/>
    <cellStyle name="Название 11 2 3" xfId="2600"/>
    <cellStyle name="Название 11 3" xfId="2601"/>
    <cellStyle name="Название 11 4" xfId="2602"/>
    <cellStyle name="Название 12" xfId="2603"/>
    <cellStyle name="Название 12 2" xfId="2604"/>
    <cellStyle name="Название 12 2 2" xfId="2605"/>
    <cellStyle name="Название 12 2 3" xfId="2606"/>
    <cellStyle name="Название 12 3" xfId="2607"/>
    <cellStyle name="Название 12 4" xfId="2608"/>
    <cellStyle name="Название 13" xfId="2609"/>
    <cellStyle name="Название 13 2" xfId="2610"/>
    <cellStyle name="Название 13 2 2" xfId="2611"/>
    <cellStyle name="Название 13 2 3" xfId="2612"/>
    <cellStyle name="Название 13 3" xfId="2613"/>
    <cellStyle name="Название 13 4" xfId="2614"/>
    <cellStyle name="Название 2" xfId="1417"/>
    <cellStyle name="Название 2 2" xfId="2615"/>
    <cellStyle name="Название 2 2 2" xfId="2616"/>
    <cellStyle name="Название 2 2 3" xfId="2617"/>
    <cellStyle name="Название 2 3" xfId="2618"/>
    <cellStyle name="Название 2 4" xfId="2619"/>
    <cellStyle name="Название 3" xfId="2620"/>
    <cellStyle name="Название 3 2" xfId="2621"/>
    <cellStyle name="Название 3 2 2" xfId="2622"/>
    <cellStyle name="Название 3 2 3" xfId="2623"/>
    <cellStyle name="Название 3 3" xfId="2624"/>
    <cellStyle name="Название 3 4" xfId="2625"/>
    <cellStyle name="Название 4" xfId="2626"/>
    <cellStyle name="Название 4 2" xfId="2627"/>
    <cellStyle name="Название 4 2 2" xfId="2628"/>
    <cellStyle name="Название 4 2 3" xfId="2629"/>
    <cellStyle name="Название 4 3" xfId="2630"/>
    <cellStyle name="Название 4 4" xfId="2631"/>
    <cellStyle name="Название 5" xfId="2632"/>
    <cellStyle name="Название 5 2" xfId="2633"/>
    <cellStyle name="Название 5 2 2" xfId="2634"/>
    <cellStyle name="Название 5 2 3" xfId="2635"/>
    <cellStyle name="Название 5 3" xfId="2636"/>
    <cellStyle name="Название 5 4" xfId="2637"/>
    <cellStyle name="Название 6" xfId="2638"/>
    <cellStyle name="Название 6 2" xfId="2639"/>
    <cellStyle name="Название 6 2 2" xfId="2640"/>
    <cellStyle name="Название 6 2 3" xfId="2641"/>
    <cellStyle name="Название 6 3" xfId="2642"/>
    <cellStyle name="Название 6 4" xfId="2643"/>
    <cellStyle name="Название 7" xfId="2644"/>
    <cellStyle name="Название 7 2" xfId="2645"/>
    <cellStyle name="Название 7 2 2" xfId="2646"/>
    <cellStyle name="Название 7 2 3" xfId="2647"/>
    <cellStyle name="Название 7 3" xfId="2648"/>
    <cellStyle name="Название 7 4" xfId="2649"/>
    <cellStyle name="Название 8" xfId="2650"/>
    <cellStyle name="Название 8 2" xfId="2651"/>
    <cellStyle name="Название 8 2 2" xfId="2652"/>
    <cellStyle name="Название 8 2 3" xfId="2653"/>
    <cellStyle name="Название 8 3" xfId="2654"/>
    <cellStyle name="Название 8 4" xfId="2655"/>
    <cellStyle name="Название 9" xfId="2656"/>
    <cellStyle name="Название 9 2" xfId="2657"/>
    <cellStyle name="Название 9 2 2" xfId="2658"/>
    <cellStyle name="Название 9 2 3" xfId="2659"/>
    <cellStyle name="Название 9 3" xfId="2660"/>
    <cellStyle name="Название 9 4" xfId="2661"/>
    <cellStyle name="Нейтральный 10" xfId="2662"/>
    <cellStyle name="Нейтральный 11" xfId="2663"/>
    <cellStyle name="Нейтральный 12" xfId="2664"/>
    <cellStyle name="Нейтральный 13" xfId="2665"/>
    <cellStyle name="Нейтральный 2" xfId="1418"/>
    <cellStyle name="Нейтральный 2 2" xfId="2666"/>
    <cellStyle name="Нейтральный 3" xfId="2667"/>
    <cellStyle name="Нейтральный 4" xfId="2668"/>
    <cellStyle name="Нейтральный 5" xfId="2669"/>
    <cellStyle name="Нейтральный 6" xfId="2670"/>
    <cellStyle name="Нейтральный 7" xfId="2671"/>
    <cellStyle name="Нейтральный 8" xfId="2672"/>
    <cellStyle name="Нейтральный 9" xfId="2673"/>
    <cellStyle name="Обычный" xfId="0" builtinId="0"/>
    <cellStyle name="Обычный 10" xfId="2674"/>
    <cellStyle name="Обычный 11" xfId="2675"/>
    <cellStyle name="Обычный 12" xfId="2676"/>
    <cellStyle name="Обычный 13" xfId="2677"/>
    <cellStyle name="Обычный 14" xfId="2678"/>
    <cellStyle name="Обычный 15" xfId="2679"/>
    <cellStyle name="Обычный 16" xfId="2"/>
    <cellStyle name="Обычный 2" xfId="12"/>
    <cellStyle name="Обычный 2 10" xfId="2680"/>
    <cellStyle name="Обычный 2 10 2" xfId="2681"/>
    <cellStyle name="Обычный 2 11" xfId="2682"/>
    <cellStyle name="Обычный 2 11 2" xfId="2683"/>
    <cellStyle name="Обычный 2 12" xfId="2684"/>
    <cellStyle name="Обычный 2 12 2" xfId="2685"/>
    <cellStyle name="Обычный 2 13" xfId="2686"/>
    <cellStyle name="Обычный 2 13 2" xfId="2687"/>
    <cellStyle name="Обычный 2 14" xfId="2688"/>
    <cellStyle name="Обычный 2 14 2" xfId="2689"/>
    <cellStyle name="Обычный 2 15" xfId="2690"/>
    <cellStyle name="Обычный 2 16" xfId="2691"/>
    <cellStyle name="Обычный 2 17" xfId="2963"/>
    <cellStyle name="Обычный 2 2" xfId="1420"/>
    <cellStyle name="Обычный 2 2 10" xfId="2692"/>
    <cellStyle name="Обычный 2 2 11" xfId="2693"/>
    <cellStyle name="Обычный 2 2 12" xfId="2694"/>
    <cellStyle name="Обычный 2 2 13" xfId="2695"/>
    <cellStyle name="Обычный 2 2 14" xfId="2696"/>
    <cellStyle name="Обычный 2 2 2" xfId="1421"/>
    <cellStyle name="Обычный 2 2 2 2" xfId="2698"/>
    <cellStyle name="Обычный 2 2 2 3" xfId="2699"/>
    <cellStyle name="Обычный 2 2 2 4" xfId="2697"/>
    <cellStyle name="Обычный 2 2 2_ПР_СКЗК_2011-2015" xfId="2700"/>
    <cellStyle name="Обычный 2 2 3" xfId="2701"/>
    <cellStyle name="Обычный 2 2 4" xfId="2702"/>
    <cellStyle name="Обычный 2 2 5" xfId="2703"/>
    <cellStyle name="Обычный 2 2 6" xfId="2704"/>
    <cellStyle name="Обычный 2 2 7" xfId="2705"/>
    <cellStyle name="Обычный 2 2 8" xfId="2706"/>
    <cellStyle name="Обычный 2 2 9" xfId="2707"/>
    <cellStyle name="Обычный 2 2_ПР_СКЗК_2011-2015" xfId="2708"/>
    <cellStyle name="Обычный 2 3" xfId="1422"/>
    <cellStyle name="Обычный 2 3 2" xfId="1423"/>
    <cellStyle name="Обычный 2 3 2 2" xfId="2710"/>
    <cellStyle name="Обычный 2 3 3" xfId="2709"/>
    <cellStyle name="Обычный 2 3_ПР_СКЗК_2011-2015" xfId="2711"/>
    <cellStyle name="Обычный 2 4" xfId="1424"/>
    <cellStyle name="Обычный 2 4 2" xfId="2713"/>
    <cellStyle name="Обычный 2 4 3" xfId="2712"/>
    <cellStyle name="Обычный 2 5" xfId="1425"/>
    <cellStyle name="Обычный 2 5 2" xfId="2715"/>
    <cellStyle name="Обычный 2 5 3" xfId="2714"/>
    <cellStyle name="Обычный 2 6" xfId="1419"/>
    <cellStyle name="Обычный 2 6 2" xfId="2717"/>
    <cellStyle name="Обычный 2 6 3" xfId="2716"/>
    <cellStyle name="Обычный 2 7" xfId="2718"/>
    <cellStyle name="Обычный 2 7 2" xfId="2719"/>
    <cellStyle name="Обычный 2 8" xfId="2720"/>
    <cellStyle name="Обычный 2 8 2" xfId="2721"/>
    <cellStyle name="Обычный 2 9" xfId="2722"/>
    <cellStyle name="Обычный 2 9 2" xfId="2723"/>
    <cellStyle name="Обычный 2_Копия Финплан_бюджет_СП_СКЗ_КАП_2010_(С изменениями для НС 24.07.2010)" xfId="2724"/>
    <cellStyle name="Обычный 3" xfId="20"/>
    <cellStyle name="Обычный 3 2" xfId="1427"/>
    <cellStyle name="Обычный 3 2 2" xfId="2727"/>
    <cellStyle name="Обычный 3 2 3" xfId="2726"/>
    <cellStyle name="Обычный 3 3" xfId="1482"/>
    <cellStyle name="Обычный 3 3 2" xfId="2728"/>
    <cellStyle name="Обычный 3 4" xfId="1426"/>
    <cellStyle name="Обычный 3 4 2" xfId="2964"/>
    <cellStyle name="Обычный 3 5" xfId="2725"/>
    <cellStyle name="Обычный 3_Xl0000004" xfId="1479"/>
    <cellStyle name="Обычный 4" xfId="1428"/>
    <cellStyle name="Обычный 4 2" xfId="1429"/>
    <cellStyle name="Обычный 4 2 2" xfId="2730"/>
    <cellStyle name="Обычный 4 3" xfId="1430"/>
    <cellStyle name="Обычный 4 3 2" xfId="2731"/>
    <cellStyle name="Обычный 4 4" xfId="2729"/>
    <cellStyle name="Обычный 4 5" xfId="2732"/>
    <cellStyle name="Обычный 5" xfId="1431"/>
    <cellStyle name="Обычный 5 2" xfId="1483"/>
    <cellStyle name="Обычный 5 2 2" xfId="2735"/>
    <cellStyle name="Обычный 5 2 2 2" xfId="2736"/>
    <cellStyle name="Обычный 5 2 2 2 2" xfId="3"/>
    <cellStyle name="Обычный 5 2 2 3" xfId="2737"/>
    <cellStyle name="Обычный 5 2 3" xfId="2738"/>
    <cellStyle name="Обычный 5 2 4" xfId="2739"/>
    <cellStyle name="Обычный 5 2 5" xfId="1"/>
    <cellStyle name="Обычный 5 2_Лист1" xfId="2734"/>
    <cellStyle name="Обычный 5 3" xfId="2733"/>
    <cellStyle name="Обычный 5 4" xfId="2974"/>
    <cellStyle name="Обычный 5 5" xfId="2965"/>
    <cellStyle name="Обычный 5 6" xfId="2973"/>
    <cellStyle name="Обычный 5 7" xfId="2966"/>
    <cellStyle name="Обычный 5 8" xfId="2972"/>
    <cellStyle name="Обычный 6" xfId="1432"/>
    <cellStyle name="Обычный 6 2" xfId="2741"/>
    <cellStyle name="Обычный 6 3" xfId="2740"/>
    <cellStyle name="Обычный 7" xfId="1480"/>
    <cellStyle name="Обычный 7 2" xfId="2742"/>
    <cellStyle name="Обычный 8" xfId="1481"/>
    <cellStyle name="Обычный 8 2" xfId="2743"/>
    <cellStyle name="Обычный 9" xfId="1485"/>
    <cellStyle name="Обычный 9 2" xfId="2744"/>
    <cellStyle name="Плохой 10" xfId="2745"/>
    <cellStyle name="Плохой 11" xfId="2746"/>
    <cellStyle name="Плохой 12" xfId="2747"/>
    <cellStyle name="Плохой 13" xfId="2748"/>
    <cellStyle name="Плохой 2" xfId="1433"/>
    <cellStyle name="Плохой 2 2" xfId="2749"/>
    <cellStyle name="Плохой 3" xfId="2750"/>
    <cellStyle name="Плохой 4" xfId="2751"/>
    <cellStyle name="Плохой 5" xfId="2752"/>
    <cellStyle name="Плохой 6" xfId="2753"/>
    <cellStyle name="Плохой 7" xfId="2754"/>
    <cellStyle name="Плохой 8" xfId="2755"/>
    <cellStyle name="Плохой 9" xfId="2756"/>
    <cellStyle name="Пояснение 10" xfId="2757"/>
    <cellStyle name="Пояснение 11" xfId="2758"/>
    <cellStyle name="Пояснение 12" xfId="2759"/>
    <cellStyle name="Пояснение 13" xfId="2760"/>
    <cellStyle name="Пояснение 2" xfId="1434"/>
    <cellStyle name="Пояснение 2 2" xfId="2761"/>
    <cellStyle name="Пояснение 3" xfId="2762"/>
    <cellStyle name="Пояснение 4" xfId="2763"/>
    <cellStyle name="Пояснение 5" xfId="2764"/>
    <cellStyle name="Пояснение 6" xfId="2765"/>
    <cellStyle name="Пояснение 7" xfId="2766"/>
    <cellStyle name="Пояснение 8" xfId="2767"/>
    <cellStyle name="Пояснение 9" xfId="2768"/>
    <cellStyle name="Примечание 10" xfId="2769"/>
    <cellStyle name="Примечание 10 2" xfId="2770"/>
    <cellStyle name="Примечание 10 2 2" xfId="2771"/>
    <cellStyle name="Примечание 10 2 3" xfId="2772"/>
    <cellStyle name="Примечание 10 3" xfId="2773"/>
    <cellStyle name="Примечание 10 3 2" xfId="2774"/>
    <cellStyle name="Примечание 10 3 3" xfId="2775"/>
    <cellStyle name="Примечание 10 4" xfId="2776"/>
    <cellStyle name="Примечание 10 5" xfId="2777"/>
    <cellStyle name="Примечание 11" xfId="2778"/>
    <cellStyle name="Примечание 11 2" xfId="2779"/>
    <cellStyle name="Примечание 11 2 2" xfId="2780"/>
    <cellStyle name="Примечание 11 2 3" xfId="2781"/>
    <cellStyle name="Примечание 11 3" xfId="2782"/>
    <cellStyle name="Примечание 11 3 2" xfId="2783"/>
    <cellStyle name="Примечание 11 3 3" xfId="2784"/>
    <cellStyle name="Примечание 11 4" xfId="2785"/>
    <cellStyle name="Примечание 11 5" xfId="2786"/>
    <cellStyle name="Примечание 12" xfId="2787"/>
    <cellStyle name="Примечание 12 2" xfId="2788"/>
    <cellStyle name="Примечание 12 2 2" xfId="2789"/>
    <cellStyle name="Примечание 12 2 3" xfId="2790"/>
    <cellStyle name="Примечание 12 3" xfId="2791"/>
    <cellStyle name="Примечание 12 3 2" xfId="2792"/>
    <cellStyle name="Примечание 12 3 3" xfId="2793"/>
    <cellStyle name="Примечание 12 4" xfId="2794"/>
    <cellStyle name="Примечание 12 5" xfId="2795"/>
    <cellStyle name="Примечание 13" xfId="2796"/>
    <cellStyle name="Примечание 13 2" xfId="2797"/>
    <cellStyle name="Примечание 13 2 2" xfId="2798"/>
    <cellStyle name="Примечание 13 2 3" xfId="2799"/>
    <cellStyle name="Примечание 13 3" xfId="2800"/>
    <cellStyle name="Примечание 13 3 2" xfId="2801"/>
    <cellStyle name="Примечание 13 3 3" xfId="2802"/>
    <cellStyle name="Примечание 13 4" xfId="2803"/>
    <cellStyle name="Примечание 13 5" xfId="2804"/>
    <cellStyle name="Примечание 2" xfId="1435"/>
    <cellStyle name="Примечание 2 2" xfId="1436"/>
    <cellStyle name="Примечание 2 2 2" xfId="2807"/>
    <cellStyle name="Примечание 2 2 3" xfId="2808"/>
    <cellStyle name="Примечание 2 2 4" xfId="2806"/>
    <cellStyle name="Примечание 2 3" xfId="2809"/>
    <cellStyle name="Примечание 2 3 2" xfId="2810"/>
    <cellStyle name="Примечание 2 3 3" xfId="2811"/>
    <cellStyle name="Примечание 2 4" xfId="2812"/>
    <cellStyle name="Примечание 2 5" xfId="2813"/>
    <cellStyle name="Примечание 2 6" xfId="2805"/>
    <cellStyle name="Примечание 3" xfId="2814"/>
    <cellStyle name="Примечание 3 2" xfId="2815"/>
    <cellStyle name="Примечание 3 2 2" xfId="2816"/>
    <cellStyle name="Примечание 3 2 3" xfId="2817"/>
    <cellStyle name="Примечание 3 3" xfId="2818"/>
    <cellStyle name="Примечание 3 3 2" xfId="2819"/>
    <cellStyle name="Примечание 3 3 3" xfId="2820"/>
    <cellStyle name="Примечание 3 4" xfId="2821"/>
    <cellStyle name="Примечание 3 5" xfId="2822"/>
    <cellStyle name="Примечание 4" xfId="2823"/>
    <cellStyle name="Примечание 4 2" xfId="2824"/>
    <cellStyle name="Примечание 4 2 2" xfId="2825"/>
    <cellStyle name="Примечание 4 2 3" xfId="2826"/>
    <cellStyle name="Примечание 4 3" xfId="2827"/>
    <cellStyle name="Примечание 4 3 2" xfId="2828"/>
    <cellStyle name="Примечание 4 3 3" xfId="2829"/>
    <cellStyle name="Примечание 4 4" xfId="2830"/>
    <cellStyle name="Примечание 4 5" xfId="2831"/>
    <cellStyle name="Примечание 5" xfId="2832"/>
    <cellStyle name="Примечание 5 2" xfId="2833"/>
    <cellStyle name="Примечание 5 2 2" xfId="2834"/>
    <cellStyle name="Примечание 5 2 3" xfId="2835"/>
    <cellStyle name="Примечание 5 3" xfId="2836"/>
    <cellStyle name="Примечание 5 3 2" xfId="2837"/>
    <cellStyle name="Примечание 5 3 3" xfId="2838"/>
    <cellStyle name="Примечание 5 4" xfId="2839"/>
    <cellStyle name="Примечание 5 5" xfId="2840"/>
    <cellStyle name="Примечание 6" xfId="2841"/>
    <cellStyle name="Примечание 6 2" xfId="2842"/>
    <cellStyle name="Примечание 6 2 2" xfId="2843"/>
    <cellStyle name="Примечание 6 2 3" xfId="2844"/>
    <cellStyle name="Примечание 6 3" xfId="2845"/>
    <cellStyle name="Примечание 6 3 2" xfId="2846"/>
    <cellStyle name="Примечание 6 3 3" xfId="2847"/>
    <cellStyle name="Примечание 6 4" xfId="2848"/>
    <cellStyle name="Примечание 6 5" xfId="2849"/>
    <cellStyle name="Примечание 7" xfId="2850"/>
    <cellStyle name="Примечание 7 2" xfId="2851"/>
    <cellStyle name="Примечание 7 2 2" xfId="2852"/>
    <cellStyle name="Примечание 7 2 3" xfId="2853"/>
    <cellStyle name="Примечание 7 3" xfId="2854"/>
    <cellStyle name="Примечание 7 3 2" xfId="2855"/>
    <cellStyle name="Примечание 7 3 3" xfId="2856"/>
    <cellStyle name="Примечание 7 4" xfId="2857"/>
    <cellStyle name="Примечание 7 5" xfId="2858"/>
    <cellStyle name="Примечание 8" xfId="2859"/>
    <cellStyle name="Примечание 8 2" xfId="2860"/>
    <cellStyle name="Примечание 8 2 2" xfId="2861"/>
    <cellStyle name="Примечание 8 2 3" xfId="2862"/>
    <cellStyle name="Примечание 8 3" xfId="2863"/>
    <cellStyle name="Примечание 8 3 2" xfId="2864"/>
    <cellStyle name="Примечание 8 3 3" xfId="2865"/>
    <cellStyle name="Примечание 8 4" xfId="2866"/>
    <cellStyle name="Примечание 8 5" xfId="2867"/>
    <cellStyle name="Примечание 9" xfId="2868"/>
    <cellStyle name="Примечание 9 2" xfId="2869"/>
    <cellStyle name="Примечание 9 2 2" xfId="2870"/>
    <cellStyle name="Примечание 9 2 3" xfId="2871"/>
    <cellStyle name="Примечание 9 3" xfId="2872"/>
    <cellStyle name="Примечание 9 3 2" xfId="2873"/>
    <cellStyle name="Примечание 9 3 3" xfId="2874"/>
    <cellStyle name="Примечание 9 4" xfId="2875"/>
    <cellStyle name="Примечание 9 5" xfId="2876"/>
    <cellStyle name="Процентный" xfId="8" builtinId="5"/>
    <cellStyle name="Процентный 2" xfId="1437"/>
    <cellStyle name="Процентный 2 10" xfId="2878"/>
    <cellStyle name="Процентный 2 11" xfId="2879"/>
    <cellStyle name="Процентный 2 12" xfId="2880"/>
    <cellStyle name="Процентный 2 13" xfId="2881"/>
    <cellStyle name="Процентный 2 14" xfId="2877"/>
    <cellStyle name="Процентный 2 2" xfId="1438"/>
    <cellStyle name="Процентный 2 3" xfId="2882"/>
    <cellStyle name="Процентный 2 4" xfId="2883"/>
    <cellStyle name="Процентный 2 5" xfId="2884"/>
    <cellStyle name="Процентный 2 6" xfId="2885"/>
    <cellStyle name="Процентный 2 7" xfId="2886"/>
    <cellStyle name="Процентный 2 8" xfId="2887"/>
    <cellStyle name="Процентный 2 9" xfId="2888"/>
    <cellStyle name="Процентный 3" xfId="1439"/>
    <cellStyle name="Процентный 3 2" xfId="1440"/>
    <cellStyle name="Процентный 3 3" xfId="2889"/>
    <cellStyle name="Процентный 4" xfId="1441"/>
    <cellStyle name="Процентный 4 2" xfId="2890"/>
    <cellStyle name="Процентный 5" xfId="2891"/>
    <cellStyle name="Связанная ячейка 10" xfId="2892"/>
    <cellStyle name="Связанная ячейка 11" xfId="2893"/>
    <cellStyle name="Связанная ячейка 12" xfId="2894"/>
    <cellStyle name="Связанная ячейка 13" xfId="2895"/>
    <cellStyle name="Связанная ячейка 2" xfId="1442"/>
    <cellStyle name="Связанная ячейка 2 2" xfId="2896"/>
    <cellStyle name="Связанная ячейка 3" xfId="2897"/>
    <cellStyle name="Связанная ячейка 4" xfId="2898"/>
    <cellStyle name="Связанная ячейка 5" xfId="2899"/>
    <cellStyle name="Связанная ячейка 6" xfId="2900"/>
    <cellStyle name="Связанная ячейка 7" xfId="2901"/>
    <cellStyle name="Связанная ячейка 8" xfId="2902"/>
    <cellStyle name="Связанная ячейка 9" xfId="2903"/>
    <cellStyle name="Стиль 1" xfId="1443"/>
    <cellStyle name="Стиль 1 2" xfId="1444"/>
    <cellStyle name="Стиль 1 3" xfId="1445"/>
    <cellStyle name="Стиль 1_БК-5 модель 2020 1,5% и 3% 22.01.10 БАЗА" xfId="1446"/>
    <cellStyle name="Стиль 2" xfId="1447"/>
    <cellStyle name="Стиль 3" xfId="1448"/>
    <cellStyle name="Стиль 3 2" xfId="1449"/>
    <cellStyle name="Стиль 4" xfId="1450"/>
    <cellStyle name="Стиль 5" xfId="1451"/>
    <cellStyle name="Стиль_названий" xfId="1452"/>
    <cellStyle name="Субсчет" xfId="1453"/>
    <cellStyle name="Текст предупреждения 10" xfId="2904"/>
    <cellStyle name="Текст предупреждения 11" xfId="2905"/>
    <cellStyle name="Текст предупреждения 12" xfId="2906"/>
    <cellStyle name="Текст предупреждения 13" xfId="2907"/>
    <cellStyle name="Текст предупреждения 2" xfId="1454"/>
    <cellStyle name="Текст предупреждения 2 2" xfId="2908"/>
    <cellStyle name="Текст предупреждения 3" xfId="2909"/>
    <cellStyle name="Текст предупреждения 4" xfId="2910"/>
    <cellStyle name="Текст предупреждения 5" xfId="2911"/>
    <cellStyle name="Текст предупреждения 6" xfId="2912"/>
    <cellStyle name="Текст предупреждения 7" xfId="2913"/>
    <cellStyle name="Текст предупреждения 8" xfId="2914"/>
    <cellStyle name="Текст предупреждения 9" xfId="2915"/>
    <cellStyle name="Текстовый" xfId="2916"/>
    <cellStyle name="Тысячи [0]" xfId="1455"/>
    <cellStyle name="Тысячи [0] 2" xfId="1456"/>
    <cellStyle name="Тысячи_010SN05" xfId="1457"/>
    <cellStyle name="Финансовый" xfId="10" builtinId="3"/>
    <cellStyle name="Финансовый 10" xfId="1458"/>
    <cellStyle name="Финансовый 10 2" xfId="1516"/>
    <cellStyle name="Финансовый 10 2 2" xfId="3027"/>
    <cellStyle name="Финансовый 10 3" xfId="2993"/>
    <cellStyle name="Финансовый 11" xfId="1459"/>
    <cellStyle name="Финансовый 11 2" xfId="1517"/>
    <cellStyle name="Финансовый 11 2 2" xfId="3028"/>
    <cellStyle name="Финансовый 11 3" xfId="2994"/>
    <cellStyle name="Финансовый 12" xfId="1460"/>
    <cellStyle name="Финансовый 13" xfId="1478"/>
    <cellStyle name="Финансовый 2" xfId="13"/>
    <cellStyle name="Финансовый 2 10" xfId="2918"/>
    <cellStyle name="Финансовый 2 11" xfId="2919"/>
    <cellStyle name="Финансовый 2 12" xfId="2920"/>
    <cellStyle name="Финансовый 2 13" xfId="2921"/>
    <cellStyle name="Финансовый 2 14" xfId="2917"/>
    <cellStyle name="Финансовый 2 2" xfId="1461"/>
    <cellStyle name="Финансовый 2 3" xfId="2922"/>
    <cellStyle name="Финансовый 2 4" xfId="2923"/>
    <cellStyle name="Финансовый 2 5" xfId="2924"/>
    <cellStyle name="Финансовый 2 6" xfId="2925"/>
    <cellStyle name="Финансовый 2 7" xfId="2926"/>
    <cellStyle name="Финансовый 2 8" xfId="2927"/>
    <cellStyle name="Финансовый 2 9" xfId="2928"/>
    <cellStyle name="Финансовый 2_Копия Финплан_бюджет_СП_СКЗ_КАП_2010_(С изменениями для НС 24.07.2010)" xfId="2929"/>
    <cellStyle name="Финансовый 3" xfId="14"/>
    <cellStyle name="Финансовый 3 2" xfId="18"/>
    <cellStyle name="Финансовый 3 2 2" xfId="1463"/>
    <cellStyle name="Финансовый 3 3" xfId="1462"/>
    <cellStyle name="Финансовый 3 4" xfId="2930"/>
    <cellStyle name="Финансовый 4" xfId="16"/>
    <cellStyle name="Финансовый 4 2" xfId="1484"/>
    <cellStyle name="Финансовый 4 2 2" xfId="1519"/>
    <cellStyle name="Финансовый 4 2 2 2" xfId="3030"/>
    <cellStyle name="Финансовый 4 2 3" xfId="2996"/>
    <cellStyle name="Финансовый 4 3" xfId="1464"/>
    <cellStyle name="Финансовый 4 4" xfId="2931"/>
    <cellStyle name="Финансовый 5" xfId="21"/>
    <cellStyle name="Финансовый 5 2" xfId="1465"/>
    <cellStyle name="Финансовый 5 3" xfId="2932"/>
    <cellStyle name="Финансовый 6" xfId="1466"/>
    <cellStyle name="Финансовый 6 2" xfId="2933"/>
    <cellStyle name="Финансовый 7" xfId="1467"/>
    <cellStyle name="Финансовый 7 2" xfId="1468"/>
    <cellStyle name="Финансовый 7 3" xfId="2934"/>
    <cellStyle name="Финансовый 8" xfId="1469"/>
    <cellStyle name="Финансовый 8 2" xfId="2935"/>
    <cellStyle name="Финансовый 9" xfId="1470"/>
    <cellStyle name="Финансовый 9 2" xfId="1518"/>
    <cellStyle name="Финансовый 9 2 2" xfId="3029"/>
    <cellStyle name="Финансовый 9 3" xfId="2936"/>
    <cellStyle name="Финансовый 9 4" xfId="2995"/>
    <cellStyle name="Хороший 10" xfId="2937"/>
    <cellStyle name="Хороший 11" xfId="2938"/>
    <cellStyle name="Хороший 12" xfId="2939"/>
    <cellStyle name="Хороший 13" xfId="2940"/>
    <cellStyle name="Хороший 2" xfId="1471"/>
    <cellStyle name="Хороший 2 2" xfId="2941"/>
    <cellStyle name="Хороший 3" xfId="2942"/>
    <cellStyle name="Хороший 4" xfId="2943"/>
    <cellStyle name="Хороший 5" xfId="2944"/>
    <cellStyle name="Хороший 6" xfId="2945"/>
    <cellStyle name="Хороший 7" xfId="2946"/>
    <cellStyle name="Хороший 8" xfId="2947"/>
    <cellStyle name="Хороший 9" xfId="2948"/>
    <cellStyle name="Цена" xfId="1472"/>
    <cellStyle name="Цена 2" xfId="1473"/>
    <cellStyle name="Цена 2 2" xfId="2949"/>
    <cellStyle name="Цена 2 2 2" xfId="2950"/>
    <cellStyle name="Цена 2 2 3" xfId="2951"/>
    <cellStyle name="Цена 2 3" xfId="2952"/>
    <cellStyle name="Цена 2 4" xfId="2953"/>
    <cellStyle name="Цена 3" xfId="1474"/>
    <cellStyle name="Цена 3 2" xfId="2954"/>
    <cellStyle name="Цена 3 3" xfId="2955"/>
    <cellStyle name="Цена 4" xfId="2956"/>
    <cellStyle name="Цена 5" xfId="2957"/>
    <cellStyle name="Цена_Копия Финплан_бюджет_СП_СКЗ_КАП_2010_(С изменениями для НС 24.07.2010)" xfId="2958"/>
    <cellStyle name="Числовой" xfId="2959"/>
    <cellStyle name="Џђћ–…ќ’ќ›‰" xfId="1475"/>
    <cellStyle name="Џђћ–…ќ’ќ›‰ 2" xfId="1476"/>
    <cellStyle name="Џђћ–…ќ’ќ›‰_БК-5 на 2010 г" xfId="1477"/>
  </cellStyles>
  <dxfs count="704">
    <dxf>
      <numFmt numFmtId="1" formatCode="0"/>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theme="4" tint="0.79998168889431442"/>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theme="4" tint="0.79998168889431442"/>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theme="4" tint="0.79998168889431442"/>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theme="4" tint="0.79998168889431442"/>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theme="4" tint="0.79998168889431442"/>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theme="4" tint="0.79998168889431442"/>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theme="4" tint="0.79998168889431442"/>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0000"/>
        </patternFill>
      </fill>
    </dxf>
    <dxf>
      <font>
        <b/>
        <i val="0"/>
      </font>
      <fill>
        <patternFill>
          <bgColor rgb="FF33CCCC"/>
        </patternFill>
      </fill>
    </dxf>
    <dxf>
      <font>
        <b/>
        <i val="0"/>
      </font>
      <fill>
        <patternFill>
          <bgColor rgb="FF33CCCC"/>
        </patternFill>
      </fill>
    </dxf>
    <dxf>
      <font>
        <b/>
        <i val="0"/>
      </font>
      <fill>
        <patternFill>
          <bgColor rgb="FF33CCCC"/>
        </patternFill>
      </fill>
    </dxf>
    <dxf>
      <font>
        <b/>
        <i val="0"/>
      </font>
      <fill>
        <patternFill>
          <bgColor rgb="FF33CCCC"/>
        </patternFill>
      </fill>
    </dxf>
    <dxf>
      <font>
        <b/>
        <i val="0"/>
      </font>
      <fill>
        <patternFill>
          <bgColor rgb="FF33CCCC"/>
        </patternFill>
      </fill>
    </dxf>
    <dxf>
      <fill>
        <patternFill>
          <bgColor theme="4" tint="0.79998168889431442"/>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theme="4" tint="0.79998168889431442"/>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0000"/>
        </patternFill>
      </fill>
    </dxf>
    <dxf>
      <font>
        <b/>
        <i val="0"/>
      </font>
      <fill>
        <patternFill>
          <bgColor rgb="FF33CCCC"/>
        </patternFill>
      </fill>
    </dxf>
    <dxf>
      <font>
        <b/>
        <i val="0"/>
      </font>
      <fill>
        <patternFill>
          <bgColor rgb="FF33CCCC"/>
        </patternFill>
      </fill>
    </dxf>
    <dxf>
      <font>
        <b/>
        <i val="0"/>
      </font>
      <fill>
        <patternFill>
          <bgColor rgb="FF33CCCC"/>
        </patternFill>
      </fill>
    </dxf>
    <dxf>
      <font>
        <b/>
        <i val="0"/>
      </font>
      <fill>
        <patternFill>
          <bgColor rgb="FF33CCCC"/>
        </patternFill>
      </fill>
    </dxf>
    <dxf>
      <font>
        <b/>
        <i val="0"/>
      </font>
      <fill>
        <patternFill>
          <bgColor rgb="FF33CCCC"/>
        </patternFill>
      </fill>
    </dxf>
    <dxf>
      <fill>
        <patternFill>
          <bgColor theme="4" tint="0.79998168889431442"/>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theme="4" tint="0.79998168889431442"/>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0000"/>
        </patternFill>
      </fill>
    </dxf>
    <dxf>
      <fill>
        <patternFill>
          <bgColor theme="4" tint="0.79998168889431442"/>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theme="4" tint="0.79998168889431442"/>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0000"/>
        </patternFill>
      </fill>
    </dxf>
    <dxf>
      <font>
        <b/>
        <i val="0"/>
      </font>
      <fill>
        <patternFill>
          <bgColor rgb="FF33CCCC"/>
        </patternFill>
      </fill>
    </dxf>
    <dxf>
      <font>
        <b/>
        <i val="0"/>
      </font>
      <fill>
        <patternFill>
          <bgColor rgb="FF33CCCC"/>
        </patternFill>
      </fill>
    </dxf>
    <dxf>
      <font>
        <b/>
        <i val="0"/>
      </font>
      <fill>
        <patternFill>
          <bgColor rgb="FF33CCCC"/>
        </patternFill>
      </fill>
    </dxf>
    <dxf>
      <font>
        <b/>
        <i val="0"/>
      </font>
      <fill>
        <patternFill>
          <bgColor rgb="FF33CCCC"/>
        </patternFill>
      </fill>
    </dxf>
    <dxf>
      <font>
        <b/>
        <i val="0"/>
      </font>
      <fill>
        <patternFill>
          <bgColor rgb="FF33CCCC"/>
        </patternFill>
      </fill>
    </dxf>
    <dxf>
      <fill>
        <patternFill>
          <bgColor theme="4" tint="0.79998168889431442"/>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theme="4" tint="0.79998168889431442"/>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C000"/>
        </patternFill>
      </fill>
    </dxf>
    <dxf>
      <font>
        <color rgb="FFFF0000"/>
      </font>
    </dxf>
    <dxf>
      <font>
        <color rgb="FFFF0000"/>
      </font>
    </dxf>
    <dxf>
      <font>
        <color rgb="FFFF0000"/>
      </font>
    </dxf>
    <dxf>
      <font>
        <color rgb="FFFF0000"/>
      </font>
    </dxf>
    <dxf>
      <font>
        <color rgb="FFFF0000"/>
      </font>
    </dxf>
    <dxf>
      <font>
        <color rgb="FFFF0000"/>
      </font>
    </dxf>
    <dxf>
      <font>
        <color rgb="FFFFC000"/>
      </font>
    </dxf>
    <dxf>
      <font>
        <color rgb="FFFFC000"/>
      </font>
    </dxf>
    <dxf>
      <font>
        <color rgb="FFFFC000"/>
      </font>
    </dxf>
    <dxf>
      <font>
        <color rgb="FFFFC000"/>
      </font>
    </dxf>
    <dxf>
      <font>
        <color rgb="FFFFC000"/>
      </font>
    </dxf>
    <dxf>
      <font>
        <color rgb="FFFFC000"/>
      </font>
    </dxf>
    <dxf>
      <font>
        <color rgb="FFFFC000"/>
      </font>
    </dxf>
    <dxf>
      <font>
        <color rgb="FF92D050"/>
      </font>
    </dxf>
    <dxf>
      <font>
        <color rgb="FF92D050"/>
      </font>
    </dxf>
    <dxf>
      <font>
        <color rgb="FF92D050"/>
      </font>
    </dxf>
    <dxf>
      <font>
        <color rgb="FFFFFF00"/>
      </font>
    </dxf>
    <dxf>
      <font>
        <color rgb="FFFFFF00"/>
      </font>
    </dxf>
    <dxf>
      <font>
        <color rgb="FFFFFF00"/>
      </font>
    </dxf>
    <dxf>
      <font>
        <color rgb="FFFFFF00"/>
      </font>
    </dxf>
    <dxf>
      <font>
        <color rgb="FFFFFF00"/>
      </font>
    </dxf>
    <dxf>
      <font>
        <color rgb="FFFFFF00"/>
      </font>
    </dxf>
    <dxf>
      <font>
        <color rgb="FFFFFF00"/>
      </font>
    </dxf>
    <dxf>
      <font>
        <color rgb="FFFFFF00"/>
      </font>
    </dxf>
    <dxf>
      <font>
        <color rgb="FFFFFF00"/>
      </font>
    </dxf>
    <dxf>
      <font>
        <color rgb="FF92D050"/>
      </font>
    </dxf>
    <dxf>
      <font>
        <color rgb="FF92D050"/>
      </font>
    </dxf>
    <dxf>
      <font>
        <color rgb="FF92D050"/>
      </font>
    </dxf>
    <dxf>
      <font>
        <color rgb="FFFF0000"/>
      </font>
    </dxf>
    <dxf>
      <font>
        <color rgb="FFFF0000"/>
      </font>
    </dxf>
    <dxf>
      <font>
        <color rgb="FFFF0000"/>
      </font>
    </dxf>
    <dxf>
      <font>
        <color rgb="FFFF0000"/>
      </font>
    </dxf>
    <dxf>
      <font>
        <color rgb="FFFF0000"/>
      </font>
    </dxf>
    <dxf>
      <font>
        <color rgb="FFFF0000"/>
      </font>
    </dxf>
    <dxf>
      <font>
        <color rgb="FFFFC000"/>
      </font>
    </dxf>
    <dxf>
      <font>
        <color rgb="FFFFC000"/>
      </font>
    </dxf>
    <dxf>
      <font>
        <color rgb="FFFFC000"/>
      </font>
    </dxf>
    <dxf>
      <font>
        <color rgb="FFFFC000"/>
      </font>
    </dxf>
    <dxf>
      <font>
        <color rgb="FFFFC000"/>
      </font>
    </dxf>
    <dxf>
      <font>
        <color rgb="FFFFC000"/>
      </font>
    </dxf>
    <dxf>
      <font>
        <color rgb="FFFFC000"/>
      </font>
    </dxf>
    <dxf>
      <font>
        <color rgb="FFFFFF00"/>
      </font>
    </dxf>
    <dxf>
      <font>
        <color rgb="FFFFFF00"/>
      </font>
    </dxf>
    <dxf>
      <font>
        <color rgb="FFFFFF00"/>
      </font>
    </dxf>
    <dxf>
      <font>
        <color rgb="FFFFFF00"/>
      </font>
    </dxf>
    <dxf>
      <font>
        <color rgb="FFFFFF00"/>
      </font>
    </dxf>
    <dxf>
      <font>
        <color rgb="FFFFFF00"/>
      </font>
    </dxf>
    <dxf>
      <font>
        <color rgb="FFFFFF00"/>
      </font>
    </dxf>
    <dxf>
      <font>
        <color rgb="FFFFFF00"/>
      </font>
    </dxf>
    <dxf>
      <font>
        <color rgb="FFFFFF00"/>
      </font>
    </dxf>
    <dxf>
      <fill>
        <gradientFill degree="90">
          <stop position="0">
            <color rgb="FFFF9B9B"/>
          </stop>
          <stop position="1">
            <color rgb="FFFF0000"/>
          </stop>
        </gradientFill>
      </fill>
    </dxf>
    <dxf>
      <fill>
        <gradientFill degree="90">
          <stop position="0">
            <color rgb="FFFFC000"/>
          </stop>
          <stop position="1">
            <color theme="7" tint="-0.25098422193060094"/>
          </stop>
        </gradientFill>
      </fill>
    </dxf>
    <dxf>
      <fill>
        <gradientFill degree="90">
          <stop position="0">
            <color rgb="FFFFFF00"/>
          </stop>
          <stop position="1">
            <color rgb="FFD7D200"/>
          </stop>
        </gradientFill>
      </fill>
    </dxf>
    <dxf>
      <fill>
        <gradientFill degree="90">
          <stop position="0">
            <color rgb="FF92D050"/>
          </stop>
          <stop position="1">
            <color theme="9" tint="-0.25098422193060094"/>
          </stop>
        </gradientFill>
      </fill>
    </dxf>
    <dxf>
      <fill>
        <gradientFill degree="90">
          <stop position="0">
            <color rgb="FFFF9B9B"/>
          </stop>
          <stop position="1">
            <color rgb="FFFF0000"/>
          </stop>
        </gradientFill>
      </fill>
    </dxf>
    <dxf>
      <fill>
        <gradientFill degree="90">
          <stop position="0">
            <color rgb="FFFFC000"/>
          </stop>
          <stop position="1">
            <color theme="7" tint="-0.25098422193060094"/>
          </stop>
        </gradientFill>
      </fill>
    </dxf>
    <dxf>
      <fill>
        <gradientFill degree="90">
          <stop position="0">
            <color rgb="FFFFFF00"/>
          </stop>
          <stop position="1">
            <color rgb="FFD7D200"/>
          </stop>
        </gradientFill>
      </fill>
    </dxf>
    <dxf>
      <fill>
        <gradientFill degree="90">
          <stop position="0">
            <color rgb="FF92D050"/>
          </stop>
          <stop position="1">
            <color theme="9" tint="-0.25098422193060094"/>
          </stop>
        </gradientFill>
      </fill>
    </dxf>
    <dxf>
      <fill>
        <gradientFill degree="90">
          <stop position="0">
            <color rgb="FFFF9B9B"/>
          </stop>
          <stop position="1">
            <color rgb="FFFF0000"/>
          </stop>
        </gradientFill>
      </fill>
    </dxf>
    <dxf>
      <fill>
        <gradientFill degree="90">
          <stop position="0">
            <color rgb="FFFFC000"/>
          </stop>
          <stop position="1">
            <color theme="7" tint="-0.25098422193060094"/>
          </stop>
        </gradientFill>
      </fill>
    </dxf>
    <dxf>
      <fill>
        <gradientFill degree="90">
          <stop position="0">
            <color rgb="FFFFFF00"/>
          </stop>
          <stop position="1">
            <color rgb="FFD7D200"/>
          </stop>
        </gradientFill>
      </fill>
    </dxf>
    <dxf>
      <fill>
        <gradientFill degree="90">
          <stop position="0">
            <color rgb="FF92D050"/>
          </stop>
          <stop position="1">
            <color theme="9" tint="-0.25098422193060094"/>
          </stop>
        </gradientFill>
      </fill>
    </dxf>
    <dxf>
      <fill>
        <gradientFill degree="90">
          <stop position="0">
            <color rgb="FFFF9B9B"/>
          </stop>
          <stop position="1">
            <color rgb="FFFF0000"/>
          </stop>
        </gradientFill>
      </fill>
    </dxf>
    <dxf>
      <fill>
        <gradientFill degree="90">
          <stop position="0">
            <color rgb="FFFFC000"/>
          </stop>
          <stop position="1">
            <color theme="7" tint="-0.25098422193060094"/>
          </stop>
        </gradientFill>
      </fill>
    </dxf>
    <dxf>
      <fill>
        <gradientFill degree="90">
          <stop position="0">
            <color rgb="FFFFFF00"/>
          </stop>
          <stop position="1">
            <color rgb="FFD7D200"/>
          </stop>
        </gradientFill>
      </fill>
    </dxf>
    <dxf>
      <fill>
        <gradientFill degree="90">
          <stop position="0">
            <color rgb="FF92D050"/>
          </stop>
          <stop position="1">
            <color theme="9" tint="-0.25098422193060094"/>
          </stop>
        </gradientFill>
      </fill>
    </dxf>
    <dxf>
      <fill>
        <gradientFill degree="90">
          <stop position="0">
            <color rgb="FFFF9B9B"/>
          </stop>
          <stop position="1">
            <color rgb="FFFF0000"/>
          </stop>
        </gradientFill>
      </fill>
    </dxf>
    <dxf>
      <fill>
        <gradientFill degree="90">
          <stop position="0">
            <color rgb="FFFFC000"/>
          </stop>
          <stop position="1">
            <color theme="7" tint="-0.25098422193060094"/>
          </stop>
        </gradientFill>
      </fill>
    </dxf>
    <dxf>
      <fill>
        <gradientFill degree="90">
          <stop position="0">
            <color rgb="FFFFFF00"/>
          </stop>
          <stop position="1">
            <color rgb="FFD7D200"/>
          </stop>
        </gradientFill>
      </fill>
    </dxf>
    <dxf>
      <fill>
        <gradientFill degree="90">
          <stop position="0">
            <color rgb="FF92D050"/>
          </stop>
          <stop position="1">
            <color theme="9" tint="-0.25098422193060094"/>
          </stop>
        </gradientFill>
      </fill>
    </dxf>
    <dxf>
      <fill>
        <gradientFill degree="90">
          <stop position="0">
            <color rgb="FFFF9B9B"/>
          </stop>
          <stop position="1">
            <color rgb="FFFF0000"/>
          </stop>
        </gradientFill>
      </fill>
    </dxf>
    <dxf>
      <fill>
        <gradientFill degree="90">
          <stop position="0">
            <color rgb="FFFFC000"/>
          </stop>
          <stop position="1">
            <color theme="7" tint="-0.25098422193060094"/>
          </stop>
        </gradientFill>
      </fill>
    </dxf>
    <dxf>
      <fill>
        <gradientFill degree="90">
          <stop position="0">
            <color rgb="FFFFFF00"/>
          </stop>
          <stop position="1">
            <color rgb="FFD7D200"/>
          </stop>
        </gradientFill>
      </fill>
    </dxf>
    <dxf>
      <fill>
        <gradientFill degree="90">
          <stop position="0">
            <color rgb="FF92D050"/>
          </stop>
          <stop position="1">
            <color theme="9" tint="-0.25098422193060094"/>
          </stop>
        </gradientFill>
      </fill>
    </dxf>
    <dxf>
      <fill>
        <gradientFill degree="90">
          <stop position="0">
            <color rgb="FFFF9B9B"/>
          </stop>
          <stop position="1">
            <color rgb="FFFF0000"/>
          </stop>
        </gradientFill>
      </fill>
    </dxf>
    <dxf>
      <fill>
        <gradientFill degree="90">
          <stop position="0">
            <color rgb="FFFFC000"/>
          </stop>
          <stop position="1">
            <color theme="7" tint="-0.25098422193060094"/>
          </stop>
        </gradientFill>
      </fill>
    </dxf>
    <dxf>
      <fill>
        <gradientFill degree="90">
          <stop position="0">
            <color rgb="FFFFFF00"/>
          </stop>
          <stop position="1">
            <color rgb="FFD7D200"/>
          </stop>
        </gradientFill>
      </fill>
    </dxf>
    <dxf>
      <fill>
        <gradientFill degree="90">
          <stop position="0">
            <color rgb="FF92D050"/>
          </stop>
          <stop position="1">
            <color theme="9" tint="-0.25098422193060094"/>
          </stop>
        </gradientFill>
      </fill>
    </dxf>
    <dxf>
      <fill>
        <gradientFill degree="90">
          <stop position="0">
            <color rgb="FFFF9B9B"/>
          </stop>
          <stop position="1">
            <color rgb="FFFF0000"/>
          </stop>
        </gradientFill>
      </fill>
    </dxf>
    <dxf>
      <fill>
        <gradientFill degree="90">
          <stop position="0">
            <color rgb="FFFFC000"/>
          </stop>
          <stop position="1">
            <color theme="7" tint="-0.25098422193060094"/>
          </stop>
        </gradientFill>
      </fill>
    </dxf>
    <dxf>
      <fill>
        <gradientFill degree="90">
          <stop position="0">
            <color rgb="FFFFFF00"/>
          </stop>
          <stop position="1">
            <color rgb="FFD7D200"/>
          </stop>
        </gradientFill>
      </fill>
    </dxf>
    <dxf>
      <fill>
        <gradientFill degree="90">
          <stop position="0">
            <color rgb="FF92D050"/>
          </stop>
          <stop position="1">
            <color theme="9" tint="-0.25098422193060094"/>
          </stop>
        </gradientFill>
      </fill>
    </dxf>
    <dxf>
      <fill>
        <gradientFill degree="90">
          <stop position="0">
            <color rgb="FFFF9B9B"/>
          </stop>
          <stop position="1">
            <color rgb="FFFF0000"/>
          </stop>
        </gradientFill>
      </fill>
    </dxf>
    <dxf>
      <fill>
        <gradientFill degree="90">
          <stop position="0">
            <color rgb="FFFFC000"/>
          </stop>
          <stop position="1">
            <color theme="7" tint="-0.25098422193060094"/>
          </stop>
        </gradientFill>
      </fill>
    </dxf>
    <dxf>
      <fill>
        <gradientFill degree="90">
          <stop position="0">
            <color rgb="FFFFFF00"/>
          </stop>
          <stop position="1">
            <color rgb="FFD7D200"/>
          </stop>
        </gradientFill>
      </fill>
    </dxf>
    <dxf>
      <fill>
        <gradientFill degree="90">
          <stop position="0">
            <color rgb="FF92D050"/>
          </stop>
          <stop position="1">
            <color theme="9" tint="-0.25098422193060094"/>
          </stop>
        </gradientFill>
      </fill>
    </dxf>
    <dxf>
      <fill>
        <gradientFill degree="90">
          <stop position="0">
            <color rgb="FFFF9B9B"/>
          </stop>
          <stop position="1">
            <color rgb="FFFF0000"/>
          </stop>
        </gradientFill>
      </fill>
    </dxf>
    <dxf>
      <fill>
        <gradientFill degree="90">
          <stop position="0">
            <color rgb="FFFFC000"/>
          </stop>
          <stop position="1">
            <color theme="7" tint="-0.25098422193060094"/>
          </stop>
        </gradientFill>
      </fill>
    </dxf>
    <dxf>
      <fill>
        <gradientFill degree="90">
          <stop position="0">
            <color rgb="FFFFFF00"/>
          </stop>
          <stop position="1">
            <color rgb="FFD7D200"/>
          </stop>
        </gradientFill>
      </fill>
    </dxf>
    <dxf>
      <fill>
        <gradientFill degree="90">
          <stop position="0">
            <color rgb="FF92D050"/>
          </stop>
          <stop position="1">
            <color theme="9" tint="-0.25098422193060094"/>
          </stop>
        </gradientFill>
      </fill>
    </dxf>
    <dxf>
      <fill>
        <gradientFill degree="90">
          <stop position="0">
            <color rgb="FFFF9B9B"/>
          </stop>
          <stop position="1">
            <color rgb="FFFF0000"/>
          </stop>
        </gradientFill>
      </fill>
    </dxf>
    <dxf>
      <fill>
        <gradientFill degree="90">
          <stop position="0">
            <color rgb="FFFFC000"/>
          </stop>
          <stop position="1">
            <color theme="7" tint="-0.25098422193060094"/>
          </stop>
        </gradientFill>
      </fill>
    </dxf>
    <dxf>
      <fill>
        <gradientFill degree="90">
          <stop position="0">
            <color rgb="FFFFFF00"/>
          </stop>
          <stop position="1">
            <color rgb="FFD7D200"/>
          </stop>
        </gradientFill>
      </fill>
    </dxf>
    <dxf>
      <fill>
        <gradientFill degree="90">
          <stop position="0">
            <color rgb="FF92D050"/>
          </stop>
          <stop position="1">
            <color theme="9" tint="-0.25098422193060094"/>
          </stop>
        </gradientFill>
      </fill>
    </dxf>
    <dxf>
      <fill>
        <gradientFill degree="90">
          <stop position="0">
            <color rgb="FFFF9B9B"/>
          </stop>
          <stop position="1">
            <color rgb="FFFF0000"/>
          </stop>
        </gradientFill>
      </fill>
    </dxf>
    <dxf>
      <fill>
        <gradientFill degree="90">
          <stop position="0">
            <color rgb="FFFFC000"/>
          </stop>
          <stop position="1">
            <color theme="7" tint="-0.25098422193060094"/>
          </stop>
        </gradientFill>
      </fill>
    </dxf>
    <dxf>
      <fill>
        <gradientFill degree="90">
          <stop position="0">
            <color rgb="FFFFFF00"/>
          </stop>
          <stop position="1">
            <color rgb="FFD7D200"/>
          </stop>
        </gradientFill>
      </fill>
    </dxf>
    <dxf>
      <fill>
        <gradientFill degree="90">
          <stop position="0">
            <color rgb="FF92D050"/>
          </stop>
          <stop position="1">
            <color theme="9" tint="-0.25098422193060094"/>
          </stop>
        </gradientFill>
      </fill>
    </dxf>
    <dxf>
      <fill>
        <gradientFill degree="90">
          <stop position="0">
            <color rgb="FFFF9B9B"/>
          </stop>
          <stop position="1">
            <color rgb="FFFF0000"/>
          </stop>
        </gradientFill>
      </fill>
    </dxf>
    <dxf>
      <fill>
        <gradientFill degree="90">
          <stop position="0">
            <color rgb="FFFFC000"/>
          </stop>
          <stop position="1">
            <color theme="7" tint="-0.25098422193060094"/>
          </stop>
        </gradientFill>
      </fill>
    </dxf>
    <dxf>
      <fill>
        <gradientFill degree="90">
          <stop position="0">
            <color rgb="FFFFFF00"/>
          </stop>
          <stop position="1">
            <color rgb="FFD7D200"/>
          </stop>
        </gradientFill>
      </fill>
    </dxf>
    <dxf>
      <fill>
        <gradientFill degree="90">
          <stop position="0">
            <color rgb="FF92D050"/>
          </stop>
          <stop position="1">
            <color theme="9" tint="-0.25098422193060094"/>
          </stop>
        </gradientFill>
      </fill>
    </dxf>
    <dxf>
      <fill>
        <gradientFill degree="90">
          <stop position="0">
            <color rgb="FFFF9B9B"/>
          </stop>
          <stop position="1">
            <color rgb="FFFF0000"/>
          </stop>
        </gradientFill>
      </fill>
    </dxf>
    <dxf>
      <fill>
        <gradientFill degree="90">
          <stop position="0">
            <color rgb="FFFFC000"/>
          </stop>
          <stop position="1">
            <color theme="7" tint="-0.25098422193060094"/>
          </stop>
        </gradientFill>
      </fill>
    </dxf>
    <dxf>
      <fill>
        <gradientFill degree="90">
          <stop position="0">
            <color rgb="FFFFFF00"/>
          </stop>
          <stop position="1">
            <color rgb="FFD7D200"/>
          </stop>
        </gradientFill>
      </fill>
    </dxf>
    <dxf>
      <fill>
        <gradientFill degree="90">
          <stop position="0">
            <color rgb="FF92D050"/>
          </stop>
          <stop position="1">
            <color theme="9" tint="-0.25098422193060094"/>
          </stop>
        </gradientFill>
      </fill>
    </dxf>
    <dxf>
      <fill>
        <gradientFill degree="90">
          <stop position="0">
            <color rgb="FFFF9B9B"/>
          </stop>
          <stop position="1">
            <color rgb="FFFF0000"/>
          </stop>
        </gradientFill>
      </fill>
    </dxf>
    <dxf>
      <fill>
        <gradientFill degree="90">
          <stop position="0">
            <color rgb="FFFFC000"/>
          </stop>
          <stop position="1">
            <color theme="7" tint="-0.25098422193060094"/>
          </stop>
        </gradientFill>
      </fill>
    </dxf>
    <dxf>
      <fill>
        <gradientFill degree="90">
          <stop position="0">
            <color rgb="FFFFFF00"/>
          </stop>
          <stop position="1">
            <color rgb="FFD7D200"/>
          </stop>
        </gradientFill>
      </fill>
    </dxf>
    <dxf>
      <fill>
        <gradientFill degree="90">
          <stop position="0">
            <color rgb="FF92D050"/>
          </stop>
          <stop position="1">
            <color theme="9" tint="-0.25098422193060094"/>
          </stop>
        </gradientFill>
      </fill>
    </dxf>
    <dxf>
      <fill>
        <gradientFill degree="90">
          <stop position="0">
            <color rgb="FFFF9B9B"/>
          </stop>
          <stop position="1">
            <color rgb="FFFF0000"/>
          </stop>
        </gradientFill>
      </fill>
    </dxf>
    <dxf>
      <fill>
        <gradientFill degree="90">
          <stop position="0">
            <color rgb="FFFFC000"/>
          </stop>
          <stop position="1">
            <color theme="7" tint="-0.25098422193060094"/>
          </stop>
        </gradientFill>
      </fill>
    </dxf>
    <dxf>
      <fill>
        <gradientFill degree="90">
          <stop position="0">
            <color rgb="FFFFFF00"/>
          </stop>
          <stop position="1">
            <color rgb="FFD7D200"/>
          </stop>
        </gradientFill>
      </fill>
    </dxf>
    <dxf>
      <fill>
        <gradientFill degree="90">
          <stop position="0">
            <color rgb="FF92D050"/>
          </stop>
          <stop position="1">
            <color theme="9" tint="-0.25098422193060094"/>
          </stop>
        </gradientFill>
      </fill>
    </dxf>
    <dxf>
      <font>
        <b val="0"/>
        <i val="0"/>
        <strike val="0"/>
        <condense val="0"/>
        <extend val="0"/>
        <outline val="0"/>
        <shadow val="0"/>
        <u val="none"/>
        <vertAlign val="baseline"/>
        <sz val="11"/>
        <color theme="1"/>
        <name val="Calibri"/>
        <scheme val="minor"/>
      </font>
    </dxf>
    <dxf>
      <font>
        <sz val="16"/>
      </font>
    </dxf>
    <dxf>
      <font>
        <sz val="16"/>
      </font>
    </dxf>
    <dxf>
      <font>
        <sz val="18"/>
      </font>
    </dxf>
    <dxf>
      <fill>
        <patternFill>
          <bgColor rgb="FFE2EFDA"/>
        </patternFill>
      </fill>
    </dxf>
    <dxf>
      <font>
        <b/>
        <i val="0"/>
        <color rgb="FFFFFFFF"/>
      </font>
      <fill>
        <patternFill>
          <bgColor rgb="FF70AD47"/>
        </patternFill>
      </fill>
    </dxf>
    <dxf>
      <border>
        <left style="thin">
          <color rgb="FFA9D08E"/>
        </left>
        <right style="thin">
          <color rgb="FFA9D08E"/>
        </right>
        <top style="thin">
          <color rgb="FFA9D08E"/>
        </top>
        <bottom style="thin">
          <color rgb="FFA9D08E"/>
        </bottom>
        <horizontal style="thin">
          <color rgb="FFA9D08E"/>
        </horizontal>
      </border>
    </dxf>
    <dxf>
      <fill>
        <patternFill>
          <bgColor rgb="FFF0F0F0"/>
        </patternFill>
      </fill>
    </dxf>
    <dxf>
      <font>
        <b/>
        <i val="0"/>
        <color rgb="FFFFFFFF"/>
      </font>
      <fill>
        <patternFill>
          <bgColor rgb="FFABABAB"/>
        </patternFill>
      </fill>
    </dxf>
    <dxf>
      <border>
        <left style="thin">
          <color rgb="FFC6C6C6"/>
        </left>
        <right style="thin">
          <color rgb="FFC6C6C6"/>
        </right>
        <top style="thin">
          <color rgb="FFC6C6C6"/>
        </top>
        <bottom style="thin">
          <color rgb="FFC6C6C6"/>
        </bottom>
        <horizontal style="thin">
          <color rgb="FFC6C6C6"/>
        </horizontal>
      </border>
    </dxf>
  </dxfs>
  <tableStyles count="12" defaultTableStyle="TableStyleMedium2" defaultPivotStyle="PivotStyleLight16">
    <tableStyle name="TableStyleQueryPreview" pivot="0" count="3">
      <tableStyleElement type="wholeTable" dxfId="703"/>
      <tableStyleElement type="headerRow" dxfId="702"/>
      <tableStyleElement type="firstRowStripe" dxfId="701"/>
    </tableStyle>
    <tableStyle name="TableStyleQueryResult" pivot="0" count="3">
      <tableStyleElement type="wholeTable" dxfId="700"/>
      <tableStyleElement type="headerRow" dxfId="699"/>
      <tableStyleElement type="firstRowStripe" dxfId="698"/>
    </tableStyle>
    <tableStyle name="Стиль среза 1" pivot="0" table="0" count="1"/>
    <tableStyle name="Стиль среза 10" pivot="0" table="0" count="5">
      <tableStyleElement type="headerRow" dxfId="697"/>
    </tableStyle>
    <tableStyle name="Стиль среза 2" pivot="0" table="0" count="1"/>
    <tableStyle name="Стиль среза 3" pivot="0" table="0" count="1"/>
    <tableStyle name="Стиль среза 4" pivot="0" table="0" count="1"/>
    <tableStyle name="Стиль среза 5" pivot="0" table="0" count="1"/>
    <tableStyle name="Стиль среза 6" pivot="0" table="0" count="1">
      <tableStyleElement type="wholeTable" dxfId="696"/>
    </tableStyle>
    <tableStyle name="Стиль среза 7" pivot="0" table="0" count="1">
      <tableStyleElement type="headerRow" dxfId="695"/>
    </tableStyle>
    <tableStyle name="Стиль среза 8" pivot="0" table="0" count="1"/>
    <tableStyle name="Стиль среза 9" pivot="0" table="0" count="1"/>
  </tableStyles>
  <colors>
    <mruColors>
      <color rgb="FFFF3300"/>
      <color rgb="FFFE948C"/>
      <color rgb="FFBBF7F0"/>
      <color rgb="FFAEECE5"/>
      <color rgb="FF2CBEAD"/>
      <color rgb="FF33CCCC"/>
      <color rgb="FF00CCFF"/>
      <color rgb="FFFF9999"/>
      <color rgb="FFFF9B9B"/>
      <color rgb="FF660033"/>
    </mruColors>
  </colors>
  <extLst>
    <ext xmlns:x14="http://schemas.microsoft.com/office/spreadsheetml/2009/9/main" uri="{46F421CA-312F-682f-3DD2-61675219B42D}">
      <x14:dxfs count="11">
        <dxf>
          <fill>
            <gradientFill degree="90">
              <stop position="0">
                <color theme="0"/>
              </stop>
              <stop position="1">
                <color theme="1"/>
              </stop>
            </gradientFill>
          </fill>
        </dxf>
        <dxf>
          <fill>
            <gradientFill degree="90">
              <stop position="0">
                <color rgb="FFFE948C"/>
              </stop>
              <stop position="1">
                <color rgb="FFFF3300"/>
              </stop>
            </gradientFill>
          </fill>
        </dxf>
        <dxf>
          <font>
            <sz val="16"/>
          </font>
        </dxf>
        <dxf>
          <font>
            <sz val="16"/>
          </font>
        </dxf>
        <dxf>
          <font>
            <sz val="16"/>
          </font>
        </dxf>
        <dxf>
          <font>
            <sz val="16"/>
          </font>
        </dxf>
        <dxf>
          <font>
            <sz val="20"/>
          </font>
        </dxf>
        <dxf>
          <font>
            <sz val="20"/>
          </font>
        </dxf>
        <dxf>
          <font>
            <sz val="20"/>
          </font>
          <fill>
            <gradientFill degree="90">
              <stop position="0">
                <color theme="9" tint="0.80001220740379042"/>
              </stop>
              <stop position="1">
                <color theme="9" tint="0.40000610370189521"/>
              </stop>
            </gradientFill>
          </fill>
        </dxf>
        <dxf>
          <font>
            <sz val="20"/>
          </font>
          <fill>
            <gradientFill degree="90">
              <stop position="0">
                <color theme="2"/>
              </stop>
              <stop position="1">
                <color theme="3" tint="0.40000610370189521"/>
              </stop>
            </gradientFill>
          </fill>
          <border diagonalUp="1" diagonalDown="1">
            <diagonal style="thin">
              <color auto="1"/>
            </diagonal>
          </border>
        </dxf>
        <dxf>
          <font>
            <sz val="16"/>
          </font>
        </dxf>
      </x14:dxfs>
    </ext>
    <ext xmlns:x14="http://schemas.microsoft.com/office/spreadsheetml/2009/9/main" uri="{EB79DEF2-80B8-43e5-95BD-54CBDDF9020C}">
      <x14:slicerStyles defaultSlicerStyle="SlicerStyleLight1">
        <x14:slicerStyle name="Стиль среза 1">
          <x14:slicerStyleElements>
            <x14:slicerStyleElement type="selectedItemWithData" dxfId="10"/>
          </x14:slicerStyleElements>
        </x14:slicerStyle>
        <x14:slicerStyle name="Стиль среза 10">
          <x14:slicerStyleElements>
            <x14:slicerStyleElement type="unselectedItemWithData" dxfId="9"/>
            <x14:slicerStyleElement type="selectedItemWithData" dxfId="8"/>
            <x14:slicerStyleElement type="hoveredUnselectedItemWithData" dxfId="7"/>
            <x14:slicerStyleElement type="hoveredSelectedItemWithData" dxfId="6"/>
          </x14:slicerStyleElements>
        </x14:slicerStyle>
        <x14:slicerStyle name="Стиль среза 2">
          <x14:slicerStyleElements>
            <x14:slicerStyleElement type="selectedItemWithNoData" dxfId="5"/>
          </x14:slicerStyleElements>
        </x14:slicerStyle>
        <x14:slicerStyle name="Стиль среза 3">
          <x14:slicerStyleElements>
            <x14:slicerStyleElement type="unselectedItemWithData" dxfId="4"/>
          </x14:slicerStyleElements>
        </x14:slicerStyle>
        <x14:slicerStyle name="Стиль среза 4">
          <x14:slicerStyleElements>
            <x14:slicerStyleElement type="hoveredSelectedItemWithData" dxfId="3"/>
          </x14:slicerStyleElements>
        </x14:slicerStyle>
        <x14:slicerStyle name="Стиль среза 5">
          <x14:slicerStyleElements>
            <x14:slicerStyleElement type="hoveredUnselectedItemWithData" dxfId="2"/>
          </x14:slicerStyleElements>
        </x14:slicerStyle>
        <x14:slicerStyle name="Стиль среза 6"/>
        <x14:slicerStyle name="Стиль среза 7"/>
        <x14:slicerStyle name="Стиль среза 8">
          <x14:slicerStyleElements>
            <x14:slicerStyleElement type="selectedItemWithData" dxfId="1"/>
          </x14:slicerStyleElements>
        </x14:slicerStyle>
        <x14:slicerStyle name="Стиль среза 9">
          <x14:slicerStyleElements>
            <x14:slicerStyleElement type="un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openxmlformats.org/officeDocument/2006/relationships/externalLink" Target="externalLinks/externalLink7.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pivotCacheDefinition" Target="pivotCache/pivotCacheDefinition2.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externalLink" Target="externalLinks/externalLink6.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externalLink" Target="externalLinks/externalLink5.xml"/><Relationship Id="rId20" Type="http://schemas.openxmlformats.org/officeDocument/2006/relationships/pivotCacheDefinition" Target="pivotCache/pivotCacheDefinition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externalLink" Target="externalLinks/externalLink4.xml"/><Relationship Id="rId23" Type="http://schemas.openxmlformats.org/officeDocument/2006/relationships/theme" Target="theme/theme1.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externalLink" Target="externalLinks/externalLink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3.xml"/><Relationship Id="rId22" Type="http://schemas.microsoft.com/office/2007/relationships/slicerCache" Target="slicerCaches/slicerCache1.xml"/><Relationship Id="rId27" Type="http://schemas.openxmlformats.org/officeDocument/2006/relationships/calcChain" Target="calcChain.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13.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6"/>
    </mc:Choice>
    <mc:Fallback>
      <c:style val="6"/>
    </mc:Fallback>
  </mc:AlternateContent>
  <c:chart>
    <c:autoTitleDeleted val="1"/>
    <c:pivotFmts>
      <c:pivotFmt>
        <c:idx val="0"/>
      </c:pivotFmt>
      <c:pivotFmt>
        <c:idx val="1"/>
      </c:pivotFmt>
      <c:pivotFmt>
        <c:idx val="2"/>
      </c:pivotFmt>
      <c:pivotFmt>
        <c:idx val="3"/>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1400" b="1" i="0" u="none" strike="noStrike" kern="1200" baseline="0">
                  <a:solidFill>
                    <a:schemeClr val="tx1"/>
                  </a:solidFill>
                  <a:latin typeface="+mn-lt"/>
                  <a:ea typeface="+mn-ea"/>
                  <a:cs typeface="+mn-cs"/>
                </a:defRPr>
              </a:pPr>
              <a:endParaRPr lang="ru-RU"/>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4"/>
        <c:dLbl>
          <c:idx val="0"/>
          <c:layout>
            <c:manualLayout>
              <c:x val="-7.9942894335636779E-3"/>
              <c:y val="0"/>
            </c:manualLayout>
          </c:layout>
          <c:spPr>
            <a:noFill/>
            <a:ln>
              <a:noFill/>
            </a:ln>
            <a:effectLst/>
          </c:spPr>
          <c:txPr>
            <a:bodyPr rot="0" spcFirstLastPara="1" vertOverflow="ellipsis" vert="horz" wrap="square" anchor="ctr" anchorCtr="1"/>
            <a:lstStyle/>
            <a:p>
              <a:pPr>
                <a:defRPr sz="1600" b="1" i="0" u="none" strike="noStrike" kern="1200" baseline="0">
                  <a:solidFill>
                    <a:schemeClr val="tx1"/>
                  </a:solidFill>
                  <a:latin typeface="+mn-lt"/>
                  <a:ea typeface="+mn-ea"/>
                  <a:cs typeface="+mn-cs"/>
                </a:defRPr>
              </a:pPr>
              <a:endParaRPr lang="ru-RU"/>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5"/>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ru-RU"/>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6"/>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ru-RU"/>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ru-RU"/>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8"/>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ru-RU"/>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9"/>
        <c:marker>
          <c:symbol val="none"/>
        </c:marker>
      </c:pivotFmt>
      <c:pivotFmt>
        <c:idx val="1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ru-RU"/>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pivotFmt>
      <c:pivotFmt>
        <c:idx val="22"/>
      </c:pivotFmt>
      <c:pivotFmt>
        <c:idx val="23"/>
      </c:pivotFmt>
      <c:pivotFmt>
        <c:idx val="24"/>
      </c:pivotFmt>
      <c:pivotFmt>
        <c:idx val="25"/>
      </c:pivotFmt>
      <c:pivotFmt>
        <c:idx val="26"/>
      </c:pivotFmt>
      <c:pivotFmt>
        <c:idx val="27"/>
        <c:spPr>
          <a:gradFill flip="none" rotWithShape="1">
            <a:gsLst>
              <a:gs pos="0">
                <a:srgbClr val="FF3300">
                  <a:shade val="30000"/>
                  <a:satMod val="115000"/>
                </a:srgbClr>
              </a:gs>
              <a:gs pos="50000">
                <a:srgbClr val="FF3300">
                  <a:shade val="67500"/>
                  <a:satMod val="115000"/>
                </a:srgbClr>
              </a:gs>
              <a:gs pos="100000">
                <a:srgbClr val="FF3300">
                  <a:shade val="100000"/>
                  <a:satMod val="115000"/>
                </a:srgbClr>
              </a:gs>
            </a:gsLst>
            <a:lin ang="10800000" scaled="1"/>
            <a:tileRect/>
          </a:gradFill>
          <a:ln>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ru-RU"/>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8"/>
        <c:spPr>
          <a:gradFill flip="none" rotWithShape="1">
            <a:gsLst>
              <a:gs pos="0">
                <a:srgbClr val="FF3300">
                  <a:shade val="30000"/>
                  <a:satMod val="115000"/>
                </a:srgbClr>
              </a:gs>
              <a:gs pos="50000">
                <a:srgbClr val="FF3300">
                  <a:shade val="67500"/>
                  <a:satMod val="115000"/>
                </a:srgbClr>
              </a:gs>
              <a:gs pos="100000">
                <a:srgbClr val="FF3300">
                  <a:shade val="100000"/>
                  <a:satMod val="115000"/>
                </a:srgbClr>
              </a:gs>
            </a:gsLst>
            <a:lin ang="10800000" scaled="1"/>
            <a:tileRect/>
          </a:gradFill>
          <a:ln>
            <a:solidFill>
              <a:schemeClr val="bg1"/>
            </a:solidFill>
          </a:ln>
          <a:effectLst/>
        </c:spPr>
      </c:pivotFmt>
      <c:pivotFmt>
        <c:idx val="29"/>
        <c:spPr>
          <a:gradFill flip="none" rotWithShape="1">
            <a:gsLst>
              <a:gs pos="0">
                <a:srgbClr val="FF3300">
                  <a:shade val="30000"/>
                  <a:satMod val="115000"/>
                </a:srgbClr>
              </a:gs>
              <a:gs pos="50000">
                <a:srgbClr val="FF3300">
                  <a:shade val="67500"/>
                  <a:satMod val="115000"/>
                </a:srgbClr>
              </a:gs>
              <a:gs pos="100000">
                <a:srgbClr val="FF3300">
                  <a:shade val="100000"/>
                  <a:satMod val="115000"/>
                </a:srgbClr>
              </a:gs>
            </a:gsLst>
            <a:lin ang="10800000" scaled="1"/>
            <a:tileRect/>
          </a:gradFill>
          <a:ln>
            <a:solidFill>
              <a:schemeClr val="bg1"/>
            </a:solidFill>
          </a:ln>
          <a:effectLst/>
        </c:spPr>
      </c:pivotFmt>
      <c:pivotFmt>
        <c:idx val="30"/>
        <c:spPr>
          <a:gradFill flip="none" rotWithShape="1">
            <a:gsLst>
              <a:gs pos="0">
                <a:srgbClr val="FF3300">
                  <a:shade val="30000"/>
                  <a:satMod val="115000"/>
                </a:srgbClr>
              </a:gs>
              <a:gs pos="50000">
                <a:srgbClr val="FF3300">
                  <a:shade val="67500"/>
                  <a:satMod val="115000"/>
                </a:srgbClr>
              </a:gs>
              <a:gs pos="100000">
                <a:srgbClr val="FF3300">
                  <a:shade val="100000"/>
                  <a:satMod val="115000"/>
                </a:srgbClr>
              </a:gs>
            </a:gsLst>
            <a:lin ang="10800000" scaled="1"/>
            <a:tileRect/>
          </a:gradFill>
          <a:ln>
            <a:solidFill>
              <a:schemeClr val="bg1"/>
            </a:solidFill>
          </a:ln>
          <a:effectLst/>
        </c:spPr>
      </c:pivotFmt>
      <c:pivotFmt>
        <c:idx val="31"/>
        <c:spPr>
          <a:gradFill flip="none" rotWithShape="1">
            <a:gsLst>
              <a:gs pos="0">
                <a:srgbClr val="FF3300">
                  <a:shade val="30000"/>
                  <a:satMod val="115000"/>
                </a:srgbClr>
              </a:gs>
              <a:gs pos="50000">
                <a:srgbClr val="FF3300">
                  <a:shade val="67500"/>
                  <a:satMod val="115000"/>
                </a:srgbClr>
              </a:gs>
              <a:gs pos="100000">
                <a:srgbClr val="FF3300">
                  <a:shade val="100000"/>
                  <a:satMod val="115000"/>
                </a:srgbClr>
              </a:gs>
            </a:gsLst>
            <a:lin ang="10800000" scaled="1"/>
            <a:tileRect/>
          </a:gradFill>
          <a:ln>
            <a:solidFill>
              <a:schemeClr val="bg1"/>
            </a:solidFill>
          </a:ln>
          <a:effectLst/>
        </c:spPr>
      </c:pivotFmt>
      <c:pivotFmt>
        <c:idx val="32"/>
        <c:spPr>
          <a:gradFill flip="none" rotWithShape="1">
            <a:gsLst>
              <a:gs pos="0">
                <a:srgbClr val="FF3300">
                  <a:shade val="30000"/>
                  <a:satMod val="115000"/>
                </a:srgbClr>
              </a:gs>
              <a:gs pos="50000">
                <a:srgbClr val="FF3300">
                  <a:shade val="67500"/>
                  <a:satMod val="115000"/>
                </a:srgbClr>
              </a:gs>
              <a:gs pos="100000">
                <a:srgbClr val="FF3300">
                  <a:shade val="100000"/>
                  <a:satMod val="115000"/>
                </a:srgbClr>
              </a:gs>
            </a:gsLst>
            <a:lin ang="10800000" scaled="1"/>
            <a:tileRect/>
          </a:gradFill>
          <a:ln>
            <a:solidFill>
              <a:schemeClr val="bg1"/>
            </a:solidFill>
          </a:ln>
          <a:effectLst/>
        </c:spPr>
      </c:pivotFmt>
      <c:pivotFmt>
        <c:idx val="33"/>
        <c:spPr>
          <a:gradFill flip="none" rotWithShape="1">
            <a:gsLst>
              <a:gs pos="0">
                <a:srgbClr val="FF3300">
                  <a:shade val="30000"/>
                  <a:satMod val="115000"/>
                </a:srgbClr>
              </a:gs>
              <a:gs pos="50000">
                <a:srgbClr val="FF3300">
                  <a:shade val="67500"/>
                  <a:satMod val="115000"/>
                </a:srgbClr>
              </a:gs>
              <a:gs pos="100000">
                <a:srgbClr val="FF3300">
                  <a:shade val="100000"/>
                  <a:satMod val="115000"/>
                </a:srgbClr>
              </a:gs>
            </a:gsLst>
            <a:lin ang="10800000" scaled="1"/>
            <a:tileRect/>
          </a:gradFill>
          <a:ln>
            <a:solidFill>
              <a:schemeClr val="bg1"/>
            </a:solidFill>
          </a:ln>
          <a:effectLst/>
        </c:spPr>
      </c:pivotFmt>
      <c:pivotFmt>
        <c:idx val="34"/>
        <c:spPr>
          <a:gradFill flip="none" rotWithShape="1">
            <a:gsLst>
              <a:gs pos="0">
                <a:srgbClr val="FF3300">
                  <a:shade val="30000"/>
                  <a:satMod val="115000"/>
                </a:srgbClr>
              </a:gs>
              <a:gs pos="50000">
                <a:srgbClr val="FF3300">
                  <a:shade val="67500"/>
                  <a:satMod val="115000"/>
                </a:srgbClr>
              </a:gs>
              <a:gs pos="100000">
                <a:srgbClr val="FF3300">
                  <a:shade val="100000"/>
                  <a:satMod val="115000"/>
                </a:srgbClr>
              </a:gs>
            </a:gsLst>
            <a:lin ang="10800000" scaled="1"/>
            <a:tileRect/>
          </a:gradFill>
          <a:ln>
            <a:solidFill>
              <a:schemeClr val="bg1"/>
            </a:solidFill>
          </a:ln>
          <a:effectLst/>
        </c:spPr>
      </c:pivotFmt>
      <c:pivotFmt>
        <c:idx val="35"/>
        <c:spPr>
          <a:gradFill flip="none" rotWithShape="1">
            <a:gsLst>
              <a:gs pos="0">
                <a:srgbClr val="FF3300">
                  <a:shade val="30000"/>
                  <a:satMod val="115000"/>
                </a:srgbClr>
              </a:gs>
              <a:gs pos="50000">
                <a:srgbClr val="FF3300">
                  <a:shade val="67500"/>
                  <a:satMod val="115000"/>
                </a:srgbClr>
              </a:gs>
              <a:gs pos="100000">
                <a:srgbClr val="FF3300">
                  <a:shade val="100000"/>
                  <a:satMod val="115000"/>
                </a:srgbClr>
              </a:gs>
            </a:gsLst>
            <a:lin ang="10800000" scaled="1"/>
            <a:tileRect/>
          </a:gradFill>
          <a:ln>
            <a:solidFill>
              <a:schemeClr val="bg1"/>
            </a:solidFill>
          </a:ln>
          <a:effectLst/>
        </c:spPr>
      </c:pivotFmt>
      <c:pivotFmt>
        <c:idx val="36"/>
        <c:spPr>
          <a:gradFill flip="none" rotWithShape="1">
            <a:gsLst>
              <a:gs pos="0">
                <a:srgbClr val="FF3300">
                  <a:shade val="30000"/>
                  <a:satMod val="115000"/>
                </a:srgbClr>
              </a:gs>
              <a:gs pos="50000">
                <a:srgbClr val="FF3300">
                  <a:shade val="67500"/>
                  <a:satMod val="115000"/>
                </a:srgbClr>
              </a:gs>
              <a:gs pos="100000">
                <a:srgbClr val="FF3300">
                  <a:shade val="100000"/>
                  <a:satMod val="115000"/>
                </a:srgbClr>
              </a:gs>
            </a:gsLst>
            <a:lin ang="10800000" scaled="1"/>
            <a:tileRect/>
          </a:gradFill>
          <a:ln>
            <a:solidFill>
              <a:schemeClr val="bg1"/>
            </a:solidFill>
          </a:ln>
          <a:effectLst/>
        </c:spPr>
      </c:pivotFmt>
      <c:pivotFmt>
        <c:idx val="37"/>
        <c:spPr>
          <a:gradFill flip="none" rotWithShape="1">
            <a:gsLst>
              <a:gs pos="0">
                <a:srgbClr val="FF3300">
                  <a:shade val="30000"/>
                  <a:satMod val="115000"/>
                </a:srgbClr>
              </a:gs>
              <a:gs pos="50000">
                <a:srgbClr val="FF3300">
                  <a:shade val="67500"/>
                  <a:satMod val="115000"/>
                </a:srgbClr>
              </a:gs>
              <a:gs pos="100000">
                <a:srgbClr val="FF3300">
                  <a:shade val="100000"/>
                  <a:satMod val="115000"/>
                </a:srgbClr>
              </a:gs>
            </a:gsLst>
            <a:lin ang="10800000" scaled="1"/>
            <a:tileRect/>
          </a:gradFill>
          <a:ln>
            <a:solidFill>
              <a:schemeClr val="bg1"/>
            </a:solidFill>
          </a:ln>
          <a:effectLst/>
        </c:spPr>
      </c:pivotFmt>
      <c:pivotFmt>
        <c:idx val="38"/>
        <c:spPr>
          <a:gradFill flip="none" rotWithShape="1">
            <a:gsLst>
              <a:gs pos="0">
                <a:srgbClr val="FF3300">
                  <a:shade val="30000"/>
                  <a:satMod val="115000"/>
                </a:srgbClr>
              </a:gs>
              <a:gs pos="50000">
                <a:srgbClr val="FF3300">
                  <a:shade val="67500"/>
                  <a:satMod val="115000"/>
                </a:srgbClr>
              </a:gs>
              <a:gs pos="100000">
                <a:srgbClr val="FF3300">
                  <a:shade val="100000"/>
                  <a:satMod val="115000"/>
                </a:srgbClr>
              </a:gs>
            </a:gsLst>
            <a:lin ang="10800000" scaled="1"/>
            <a:tileRect/>
          </a:gradFill>
          <a:ln>
            <a:solidFill>
              <a:schemeClr val="bg1"/>
            </a:solidFill>
          </a:ln>
          <a:effectLst/>
        </c:spPr>
      </c:pivotFmt>
      <c:pivotFmt>
        <c:idx val="39"/>
        <c:spPr>
          <a:gradFill flip="none" rotWithShape="1">
            <a:gsLst>
              <a:gs pos="0">
                <a:srgbClr val="FF3300">
                  <a:shade val="30000"/>
                  <a:satMod val="115000"/>
                </a:srgbClr>
              </a:gs>
              <a:gs pos="50000">
                <a:srgbClr val="FF3300">
                  <a:shade val="67500"/>
                  <a:satMod val="115000"/>
                </a:srgbClr>
              </a:gs>
              <a:gs pos="100000">
                <a:srgbClr val="FF3300">
                  <a:shade val="100000"/>
                  <a:satMod val="115000"/>
                </a:srgbClr>
              </a:gs>
            </a:gsLst>
            <a:lin ang="10800000" scaled="1"/>
            <a:tileRect/>
          </a:gradFill>
          <a:ln>
            <a:solidFill>
              <a:schemeClr val="bg1"/>
            </a:solidFill>
          </a:ln>
          <a:effectLst/>
        </c:spPr>
      </c:pivotFmt>
      <c:pivotFmt>
        <c:idx val="40"/>
        <c:spPr>
          <a:gradFill flip="none" rotWithShape="1">
            <a:gsLst>
              <a:gs pos="0">
                <a:srgbClr val="FF3300">
                  <a:shade val="30000"/>
                  <a:satMod val="115000"/>
                </a:srgbClr>
              </a:gs>
              <a:gs pos="50000">
                <a:srgbClr val="FF3300">
                  <a:shade val="67500"/>
                  <a:satMod val="115000"/>
                </a:srgbClr>
              </a:gs>
              <a:gs pos="100000">
                <a:srgbClr val="FF3300">
                  <a:shade val="100000"/>
                  <a:satMod val="115000"/>
                </a:srgbClr>
              </a:gs>
            </a:gsLst>
            <a:lin ang="10800000" scaled="1"/>
            <a:tileRect/>
          </a:gradFill>
          <a:ln>
            <a:solidFill>
              <a:schemeClr val="bg1"/>
            </a:solidFill>
          </a:ln>
          <a:effectLst/>
        </c:spPr>
      </c:pivotFmt>
      <c:pivotFmt>
        <c:idx val="41"/>
        <c:spPr>
          <a:gradFill flip="none" rotWithShape="1">
            <a:gsLst>
              <a:gs pos="0">
                <a:srgbClr val="FF3300">
                  <a:shade val="30000"/>
                  <a:satMod val="115000"/>
                </a:srgbClr>
              </a:gs>
              <a:gs pos="50000">
                <a:srgbClr val="FF3300">
                  <a:shade val="67500"/>
                  <a:satMod val="115000"/>
                </a:srgbClr>
              </a:gs>
              <a:gs pos="100000">
                <a:srgbClr val="FF3300">
                  <a:shade val="100000"/>
                  <a:satMod val="115000"/>
                </a:srgbClr>
              </a:gs>
            </a:gsLst>
            <a:lin ang="10800000" scaled="1"/>
            <a:tileRect/>
          </a:gradFill>
          <a:ln>
            <a:solidFill>
              <a:schemeClr val="bg1"/>
            </a:solidFill>
          </a:ln>
          <a:effectLst/>
        </c:spPr>
      </c:pivotFmt>
      <c:pivotFmt>
        <c:idx val="42"/>
        <c:spPr>
          <a:gradFill flip="none" rotWithShape="1">
            <a:gsLst>
              <a:gs pos="0">
                <a:srgbClr val="FF3300">
                  <a:shade val="30000"/>
                  <a:satMod val="115000"/>
                </a:srgbClr>
              </a:gs>
              <a:gs pos="50000">
                <a:srgbClr val="FF3300">
                  <a:shade val="67500"/>
                  <a:satMod val="115000"/>
                </a:srgbClr>
              </a:gs>
              <a:gs pos="100000">
                <a:srgbClr val="FF3300">
                  <a:shade val="100000"/>
                  <a:satMod val="115000"/>
                </a:srgbClr>
              </a:gs>
            </a:gsLst>
            <a:lin ang="10800000" scaled="1"/>
            <a:tileRect/>
          </a:gradFill>
          <a:ln>
            <a:solidFill>
              <a:schemeClr val="bg1"/>
            </a:solidFill>
          </a:ln>
          <a:effectLst/>
        </c:spPr>
      </c:pivotFmt>
      <c:pivotFmt>
        <c:idx val="43"/>
        <c:spPr>
          <a:gradFill flip="none" rotWithShape="1">
            <a:gsLst>
              <a:gs pos="0">
                <a:srgbClr val="FF3300">
                  <a:shade val="30000"/>
                  <a:satMod val="115000"/>
                </a:srgbClr>
              </a:gs>
              <a:gs pos="50000">
                <a:srgbClr val="FF3300">
                  <a:shade val="67500"/>
                  <a:satMod val="115000"/>
                </a:srgbClr>
              </a:gs>
              <a:gs pos="100000">
                <a:srgbClr val="FF3300">
                  <a:shade val="100000"/>
                  <a:satMod val="115000"/>
                </a:srgbClr>
              </a:gs>
            </a:gsLst>
            <a:lin ang="10800000" scaled="1"/>
            <a:tileRect/>
          </a:gradFill>
          <a:ln>
            <a:solidFill>
              <a:schemeClr val="bg1"/>
            </a:solidFill>
          </a:ln>
          <a:effectLst/>
        </c:spPr>
      </c:pivotFmt>
      <c:pivotFmt>
        <c:idx val="44"/>
        <c:spPr>
          <a:gradFill flip="none" rotWithShape="1">
            <a:gsLst>
              <a:gs pos="0">
                <a:srgbClr val="FF3300">
                  <a:shade val="30000"/>
                  <a:satMod val="115000"/>
                </a:srgbClr>
              </a:gs>
              <a:gs pos="50000">
                <a:srgbClr val="FF3300">
                  <a:shade val="67500"/>
                  <a:satMod val="115000"/>
                </a:srgbClr>
              </a:gs>
              <a:gs pos="100000">
                <a:srgbClr val="FF3300">
                  <a:shade val="100000"/>
                  <a:satMod val="115000"/>
                </a:srgbClr>
              </a:gs>
            </a:gsLst>
            <a:lin ang="10800000" scaled="1"/>
            <a:tileRect/>
          </a:gradFill>
          <a:ln>
            <a:solidFill>
              <a:schemeClr val="bg1"/>
            </a:solidFill>
          </a:ln>
          <a:effectLst/>
        </c:spPr>
      </c:pivotFmt>
      <c:pivotFmt>
        <c:idx val="45"/>
        <c:spPr>
          <a:solidFill>
            <a:schemeClr val="accent4">
              <a:tint val="44000"/>
            </a:schemeClr>
          </a:solidFill>
          <a:ln>
            <a:solidFill>
              <a:schemeClr val="bg1"/>
            </a:solidFill>
          </a:ln>
          <a:effectLst/>
        </c:spPr>
      </c:pivotFmt>
      <c:pivotFmt>
        <c:idx val="46"/>
        <c:spPr>
          <a:gradFill flip="none" rotWithShape="1">
            <a:gsLst>
              <a:gs pos="0">
                <a:srgbClr val="FF3300">
                  <a:shade val="30000"/>
                  <a:satMod val="115000"/>
                </a:srgbClr>
              </a:gs>
              <a:gs pos="50000">
                <a:srgbClr val="FF3300">
                  <a:shade val="67500"/>
                  <a:satMod val="115000"/>
                </a:srgbClr>
              </a:gs>
              <a:gs pos="100000">
                <a:srgbClr val="FF3300">
                  <a:shade val="100000"/>
                  <a:satMod val="115000"/>
                </a:srgbClr>
              </a:gs>
            </a:gsLst>
            <a:lin ang="10800000" scaled="1"/>
            <a:tileRect/>
          </a:gradFill>
          <a:ln>
            <a:solidFill>
              <a:schemeClr val="bg1"/>
            </a:solidFill>
          </a:ln>
          <a:effectLst/>
        </c:spPr>
      </c:pivotFmt>
      <c:pivotFmt>
        <c:idx val="47"/>
        <c:spPr>
          <a:gradFill flip="none" rotWithShape="1">
            <a:gsLst>
              <a:gs pos="0">
                <a:srgbClr val="FF3300">
                  <a:shade val="30000"/>
                  <a:satMod val="115000"/>
                </a:srgbClr>
              </a:gs>
              <a:gs pos="50000">
                <a:srgbClr val="FF3300">
                  <a:shade val="67500"/>
                  <a:satMod val="115000"/>
                </a:srgbClr>
              </a:gs>
              <a:gs pos="100000">
                <a:srgbClr val="FF3300">
                  <a:shade val="100000"/>
                  <a:satMod val="115000"/>
                </a:srgbClr>
              </a:gs>
            </a:gsLst>
            <a:lin ang="10800000" scaled="1"/>
            <a:tileRect/>
          </a:gradFill>
          <a:ln>
            <a:solidFill>
              <a:schemeClr val="bg1"/>
            </a:solidFill>
          </a:ln>
          <a:effectLst/>
        </c:spPr>
      </c:pivotFmt>
      <c:pivotFmt>
        <c:idx val="48"/>
        <c:spPr>
          <a:gradFill flip="none" rotWithShape="1">
            <a:gsLst>
              <a:gs pos="0">
                <a:srgbClr val="FF3300">
                  <a:shade val="30000"/>
                  <a:satMod val="115000"/>
                </a:srgbClr>
              </a:gs>
              <a:gs pos="50000">
                <a:srgbClr val="FF3300">
                  <a:shade val="67500"/>
                  <a:satMod val="115000"/>
                </a:srgbClr>
              </a:gs>
              <a:gs pos="100000">
                <a:srgbClr val="FF3300">
                  <a:shade val="100000"/>
                  <a:satMod val="115000"/>
                </a:srgbClr>
              </a:gs>
            </a:gsLst>
            <a:lin ang="10800000" scaled="1"/>
            <a:tileRect/>
          </a:gradFill>
          <a:ln>
            <a:solidFill>
              <a:schemeClr val="bg1"/>
            </a:solidFill>
          </a:ln>
          <a:effectLst/>
        </c:spPr>
      </c:pivotFmt>
      <c:pivotFmt>
        <c:idx val="49"/>
        <c:spPr>
          <a:gradFill flip="none" rotWithShape="1">
            <a:gsLst>
              <a:gs pos="0">
                <a:srgbClr val="FF3300">
                  <a:shade val="30000"/>
                  <a:satMod val="115000"/>
                </a:srgbClr>
              </a:gs>
              <a:gs pos="50000">
                <a:srgbClr val="FF3300">
                  <a:shade val="67500"/>
                  <a:satMod val="115000"/>
                </a:srgbClr>
              </a:gs>
              <a:gs pos="100000">
                <a:srgbClr val="FF3300">
                  <a:shade val="100000"/>
                  <a:satMod val="115000"/>
                </a:srgbClr>
              </a:gs>
            </a:gsLst>
            <a:lin ang="10800000" scaled="1"/>
            <a:tileRect/>
          </a:gradFill>
          <a:ln>
            <a:solidFill>
              <a:schemeClr val="bg1"/>
            </a:solidFill>
          </a:ln>
          <a:effectLst/>
        </c:spPr>
      </c:pivotFmt>
    </c:pivotFmts>
    <c:plotArea>
      <c:layout>
        <c:manualLayout>
          <c:layoutTarget val="inner"/>
          <c:xMode val="edge"/>
          <c:yMode val="edge"/>
          <c:x val="0.44754547186458937"/>
          <c:y val="7.4160270427391182E-3"/>
          <c:w val="0.49035888277608786"/>
          <c:h val="0.96017564893463148"/>
        </c:manualLayout>
      </c:layout>
      <c:barChart>
        <c:barDir val="bar"/>
        <c:grouping val="stacked"/>
        <c:varyColors val="1"/>
        <c:ser>
          <c:idx val="0"/>
          <c:order val="0"/>
          <c:tx>
            <c:v>Ряд1</c:v>
          </c:tx>
          <c:spPr>
            <a:gradFill flip="none" rotWithShape="1">
              <a:gsLst>
                <a:gs pos="0">
                  <a:srgbClr val="FF3300">
                    <a:shade val="30000"/>
                    <a:satMod val="115000"/>
                  </a:srgbClr>
                </a:gs>
                <a:gs pos="50000">
                  <a:srgbClr val="FF3300">
                    <a:shade val="67500"/>
                    <a:satMod val="115000"/>
                  </a:srgbClr>
                </a:gs>
                <a:gs pos="100000">
                  <a:srgbClr val="FF3300">
                    <a:shade val="100000"/>
                    <a:satMod val="115000"/>
                  </a:srgbClr>
                </a:gs>
              </a:gsLst>
              <a:lin ang="10800000" scaled="1"/>
              <a:tileRect/>
            </a:gradFill>
            <a:ln>
              <a:solidFill>
                <a:schemeClr val="bg1"/>
              </a:solidFill>
            </a:ln>
          </c:spPr>
          <c:invertIfNegative val="0"/>
          <c:dPt>
            <c:idx val="0"/>
            <c:invertIfNegative val="0"/>
            <c:bubble3D val="0"/>
            <c:spPr>
              <a:gradFill flip="none" rotWithShape="1">
                <a:gsLst>
                  <a:gs pos="0">
                    <a:srgbClr val="FF3300">
                      <a:shade val="30000"/>
                      <a:satMod val="115000"/>
                    </a:srgbClr>
                  </a:gs>
                  <a:gs pos="50000">
                    <a:srgbClr val="FF3300">
                      <a:shade val="67500"/>
                      <a:satMod val="115000"/>
                    </a:srgbClr>
                  </a:gs>
                  <a:gs pos="100000">
                    <a:srgbClr val="FF3300">
                      <a:shade val="100000"/>
                      <a:satMod val="115000"/>
                    </a:srgbClr>
                  </a:gs>
                </a:gsLst>
                <a:lin ang="10800000" scaled="1"/>
                <a:tileRect/>
              </a:gradFill>
              <a:ln>
                <a:solidFill>
                  <a:schemeClr val="bg1"/>
                </a:solidFill>
              </a:ln>
              <a:effectLst/>
            </c:spPr>
            <c:extLst xmlns:c16r2="http://schemas.microsoft.com/office/drawing/2015/06/chart">
              <c:ext xmlns:c16="http://schemas.microsoft.com/office/drawing/2014/chart" uri="{C3380CC4-5D6E-409C-BE32-E72D297353CC}">
                <c16:uniqueId val="{00000001-1268-4572-89C1-FE4A8497E31D}"/>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ru-RU"/>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6350" cap="flat" cmpd="sng" algn="ctr">
                      <a:solidFill>
                        <a:schemeClr val="tx1"/>
                      </a:solidFill>
                      <a:prstDash val="solid"/>
                      <a:round/>
                    </a:ln>
                    <a:effectLst/>
                  </c:spPr>
                </c15:leaderLines>
              </c:ext>
            </c:extLst>
          </c:dLbls>
          <c:cat>
            <c:strLit>
              <c:ptCount val="1"/>
              <c:pt idx="0">
                <c:v>HR РИСКИ</c:v>
              </c:pt>
            </c:strLit>
          </c:cat>
          <c:val>
            <c:numLit>
              <c:formatCode>General</c:formatCode>
              <c:ptCount val="1"/>
              <c:pt idx="0">
                <c:v>0.8</c:v>
              </c:pt>
            </c:numLit>
          </c:val>
          <c:extLst xmlns:c16r2="http://schemas.microsoft.com/office/drawing/2015/06/chart">
            <c:ext xmlns:c16="http://schemas.microsoft.com/office/drawing/2014/chart" uri="{C3380CC4-5D6E-409C-BE32-E72D297353CC}">
              <c16:uniqueId val="{00000001-FA33-4BBE-B112-3F5CB78A7DB9}"/>
            </c:ext>
          </c:extLst>
        </c:ser>
        <c:dLbls>
          <c:showLegendKey val="0"/>
          <c:showVal val="0"/>
          <c:showCatName val="0"/>
          <c:showSerName val="0"/>
          <c:showPercent val="0"/>
          <c:showBubbleSize val="0"/>
        </c:dLbls>
        <c:gapWidth val="0"/>
        <c:overlap val="100"/>
        <c:axId val="273816960"/>
        <c:axId val="273839232"/>
      </c:barChart>
      <c:catAx>
        <c:axId val="273816960"/>
        <c:scaling>
          <c:orientation val="minMax"/>
        </c:scaling>
        <c:delete val="0"/>
        <c:axPos val="l"/>
        <c:numFmt formatCode="General" sourceLinked="0"/>
        <c:majorTickMark val="out"/>
        <c:minorTickMark val="none"/>
        <c:tickLblPos val="nextTo"/>
        <c:spPr>
          <a:noFill/>
          <a:ln w="6350" cap="flat" cmpd="sng" algn="ctr">
            <a:solidFill>
              <a:schemeClr val="tx1">
                <a:tint val="75000"/>
              </a:schemeClr>
            </a:solidFill>
            <a:prstDash val="solid"/>
            <a:round/>
          </a:ln>
          <a:effectLst/>
        </c:spPr>
        <c:txPr>
          <a:bodyPr rot="-60000000" spcFirstLastPara="1" vertOverflow="ellipsis" vert="horz" wrap="square" anchor="ctr" anchorCtr="1"/>
          <a:lstStyle/>
          <a:p>
            <a:pPr>
              <a:defRPr sz="1600" b="1" i="0" u="none" strike="noStrike" kern="1200" baseline="0">
                <a:solidFill>
                  <a:schemeClr val="tx1"/>
                </a:solidFill>
                <a:latin typeface="+mn-lt"/>
                <a:ea typeface="+mn-ea"/>
                <a:cs typeface="+mn-cs"/>
              </a:defRPr>
            </a:pPr>
            <a:endParaRPr lang="ru-RU"/>
          </a:p>
        </c:txPr>
        <c:crossAx val="273839232"/>
        <c:crosses val="autoZero"/>
        <c:auto val="1"/>
        <c:lblAlgn val="ctr"/>
        <c:lblOffset val="100"/>
        <c:noMultiLvlLbl val="0"/>
      </c:catAx>
      <c:valAx>
        <c:axId val="273839232"/>
        <c:scaling>
          <c:orientation val="minMax"/>
        </c:scaling>
        <c:delete val="0"/>
        <c:axPos val="b"/>
        <c:majorGridlines>
          <c:spPr>
            <a:ln w="6350" cap="flat" cmpd="sng" algn="ctr">
              <a:solidFill>
                <a:schemeClr val="tx1">
                  <a:tint val="75000"/>
                </a:schemeClr>
              </a:solidFill>
              <a:prstDash val="solid"/>
              <a:round/>
            </a:ln>
            <a:effectLst/>
          </c:spPr>
        </c:majorGridlines>
        <c:numFmt formatCode="General" sourceLinked="1"/>
        <c:majorTickMark val="out"/>
        <c:minorTickMark val="none"/>
        <c:tickLblPos val="nextTo"/>
        <c:spPr>
          <a:noFill/>
          <a:ln w="6350" cap="flat" cmpd="sng" algn="ctr">
            <a:solidFill>
              <a:schemeClr val="tx1">
                <a:tint val="75000"/>
              </a:schemeClr>
            </a:solidFill>
            <a:prstDash val="solid"/>
            <a:round/>
          </a:ln>
          <a:effectLst/>
        </c:spPr>
        <c:txPr>
          <a:bodyPr rot="-6000000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ru-RU"/>
          </a:p>
        </c:txPr>
        <c:crossAx val="273816960"/>
        <c:crosses val="autoZero"/>
        <c:crossBetween val="between"/>
      </c:valAx>
      <c:spPr>
        <a:noFill/>
        <a:ln w="25400">
          <a:noFill/>
        </a:ln>
        <a:effectLst/>
      </c:spPr>
    </c:plotArea>
    <c:plotVisOnly val="1"/>
    <c:dispBlanksAs val="gap"/>
    <c:showDLblsOverMax val="0"/>
  </c:chart>
  <c:spPr>
    <a:solidFill>
      <a:schemeClr val="bg1"/>
    </a:solidFill>
    <a:ln w="6350" cap="flat" cmpd="sng" algn="ctr">
      <a:solidFill>
        <a:schemeClr val="bg1"/>
      </a:solidFill>
      <a:prstDash val="solid"/>
      <a:round/>
    </a:ln>
    <a:effectLst/>
  </c:spPr>
  <c:txPr>
    <a:bodyPr/>
    <a:lstStyle/>
    <a:p>
      <a:pPr>
        <a:defRPr/>
      </a:pPr>
      <a:endParaRPr lang="ru-RU"/>
    </a:p>
  </c:txPr>
  <c:printSettings>
    <c:headerFooter/>
    <c:pageMargins b="0.75" l="0.7" r="0.7" t="0.75" header="0.3" footer="0.3"/>
    <c:pageSetup/>
  </c:printSettings>
  <c:extLst xmlns:c16r2="http://schemas.microsoft.com/office/drawing/2015/06/chart"/>
</c:chartSpace>
</file>

<file path=xl/charts/chart2.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barChart>
        <c:barDir val="col"/>
        <c:grouping val="clustered"/>
        <c:varyColors val="0"/>
        <c:ser>
          <c:idx val="0"/>
          <c:order val="0"/>
          <c:tx>
            <c:strRef>
              <c:f>'Для презы СД'!$B$165</c:f>
              <c:strCache>
                <c:ptCount val="1"/>
                <c:pt idx="0">
                  <c:v>Объем внутриреспубликанского грузооборота</c:v>
                </c:pt>
              </c:strCache>
            </c:strRef>
          </c:tx>
          <c:spPr>
            <a:solidFill>
              <a:schemeClr val="accent1"/>
            </a:solidFill>
            <a:ln>
              <a:noFill/>
            </a:ln>
            <a:effectLst/>
          </c:spPr>
          <c:invertIfNegative val="0"/>
          <c:dPt>
            <c:idx val="2"/>
            <c:invertIfNegative val="0"/>
            <c:bubble3D val="0"/>
            <c:spPr>
              <a:solidFill>
                <a:srgbClr val="92D050"/>
              </a:solidFill>
              <a:ln>
                <a:noFill/>
              </a:ln>
              <a:effectLst/>
            </c:spPr>
            <c:extLst xmlns:c16r2="http://schemas.microsoft.com/office/drawing/2015/06/chart">
              <c:ext xmlns:c16="http://schemas.microsoft.com/office/drawing/2014/chart" uri="{C3380CC4-5D6E-409C-BE32-E72D297353CC}">
                <c16:uniqueId val="{0000000C-4552-4659-8AFC-30E16AAEAE71}"/>
              </c:ext>
            </c:extLst>
          </c:dPt>
          <c:dPt>
            <c:idx val="4"/>
            <c:invertIfNegative val="0"/>
            <c:bubble3D val="0"/>
            <c:spPr>
              <a:solidFill>
                <a:srgbClr val="FFC000"/>
              </a:solidFill>
              <a:ln>
                <a:noFill/>
              </a:ln>
              <a:effectLst/>
            </c:spPr>
            <c:extLst xmlns:c16r2="http://schemas.microsoft.com/office/drawing/2015/06/chart">
              <c:ext xmlns:c16="http://schemas.microsoft.com/office/drawing/2014/chart" uri="{C3380CC4-5D6E-409C-BE32-E72D297353CC}">
                <c16:uniqueId val="{00000008-4552-4659-8AFC-30E16AAEAE71}"/>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ru-RU"/>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'Для презы СД'!$C$164:$G$164</c:f>
              <c:strCache>
                <c:ptCount val="5"/>
                <c:pt idx="0">
                  <c:v>ПЛАН / ЦЕЛЬ</c:v>
                </c:pt>
                <c:pt idx="1">
                  <c:v>ПОРОГ/ТОЛЕРАНТНОСТЬ</c:v>
                </c:pt>
                <c:pt idx="2">
                  <c:v>ФАКТ</c:v>
                </c:pt>
                <c:pt idx="3">
                  <c:v>ОЦЕНКА</c:v>
                </c:pt>
                <c:pt idx="4">
                  <c:v> @Risk</c:v>
                </c:pt>
              </c:strCache>
            </c:strRef>
          </c:cat>
          <c:val>
            <c:numRef>
              <c:f>'Для презы СД'!$C$165:$G$165</c:f>
              <c:numCache>
                <c:formatCode>General</c:formatCode>
                <c:ptCount val="5"/>
                <c:pt idx="0">
                  <c:v>354032</c:v>
                </c:pt>
                <c:pt idx="1">
                  <c:v>0</c:v>
                </c:pt>
                <c:pt idx="2">
                  <c:v>0</c:v>
                </c:pt>
                <c:pt idx="3">
                  <c:v>0</c:v>
                </c:pt>
                <c:pt idx="4">
                  <c:v>339578.71216973336</c:v>
                </c:pt>
              </c:numCache>
            </c:numRef>
          </c:val>
          <c:extLst xmlns:c16r2="http://schemas.microsoft.com/office/drawing/2015/06/chart">
            <c:ext xmlns:c16="http://schemas.microsoft.com/office/drawing/2014/chart" uri="{C3380CC4-5D6E-409C-BE32-E72D297353CC}">
              <c16:uniqueId val="{00000000-4552-4659-8AFC-30E16AAEAE71}"/>
            </c:ext>
          </c:extLst>
        </c:ser>
        <c:dLbls>
          <c:showLegendKey val="0"/>
          <c:showVal val="0"/>
          <c:showCatName val="0"/>
          <c:showSerName val="0"/>
          <c:showPercent val="0"/>
          <c:showBubbleSize val="0"/>
        </c:dLbls>
        <c:gapWidth val="51"/>
        <c:overlap val="-12"/>
        <c:axId val="314990592"/>
        <c:axId val="314992128"/>
        <c:extLst xmlns:c16r2="http://schemas.microsoft.com/office/drawing/2015/06/chart">
          <c:ext xmlns:c15="http://schemas.microsoft.com/office/drawing/2012/chart" uri="{02D57815-91ED-43cb-92C2-25804820EDAC}">
            <c15:filteredBarSeries>
              <c15:ser>
                <c:idx val="1"/>
                <c:order val="1"/>
                <c:tx>
                  <c:strRef>
                    <c:extLst>
                      <c:ext uri="{02D57815-91ED-43cb-92C2-25804820EDAC}">
                        <c15:formulaRef>
                          <c15:sqref>'Для презы СД'!$B$166</c15:sqref>
                        </c15:formulaRef>
                      </c:ext>
                    </c:extLst>
                    <c:strCache>
                      <c:ptCount val="1"/>
                      <c:pt idx="0">
                        <c:v>Объем грузооборота от импорта</c:v>
                      </c:pt>
                    </c:strCache>
                  </c:strRef>
                </c:tx>
                <c:spPr>
                  <a:solidFill>
                    <a:schemeClr val="accent2"/>
                  </a:solidFill>
                  <a:ln>
                    <a:noFill/>
                  </a:ln>
                  <a:effectLst/>
                </c:spPr>
                <c:invertIfNegative val="0"/>
                <c:cat>
                  <c:strRef>
                    <c:extLst>
                      <c:ext uri="{02D57815-91ED-43cb-92C2-25804820EDAC}">
                        <c15:formulaRef>
                          <c15:sqref>'Для презы СД'!$C$164:$G$164</c15:sqref>
                        </c15:formulaRef>
                      </c:ext>
                    </c:extLst>
                    <c:strCache>
                      <c:ptCount val="5"/>
                      <c:pt idx="0">
                        <c:v>ПЛАН / ЦЕЛЬ</c:v>
                      </c:pt>
                      <c:pt idx="1">
                        <c:v>ПОРОГ/ТОЛЕРАНТНОСТЬ</c:v>
                      </c:pt>
                      <c:pt idx="2">
                        <c:v>ФАКТ</c:v>
                      </c:pt>
                      <c:pt idx="3">
                        <c:v>ОЦЕНКА</c:v>
                      </c:pt>
                      <c:pt idx="4">
                        <c:v> @Risk</c:v>
                      </c:pt>
                    </c:strCache>
                  </c:strRef>
                </c:cat>
                <c:val>
                  <c:numRef>
                    <c:extLst>
                      <c:ext uri="{02D57815-91ED-43cb-92C2-25804820EDAC}">
                        <c15:formulaRef>
                          <c15:sqref>'Для презы СД'!$C$166:$G$166</c15:sqref>
                        </c15:formulaRef>
                      </c:ext>
                    </c:extLst>
                    <c:numCache>
                      <c:formatCode>General</c:formatCode>
                      <c:ptCount val="5"/>
                      <c:pt idx="0">
                        <c:v>267833</c:v>
                      </c:pt>
                      <c:pt idx="1">
                        <c:v>0</c:v>
                      </c:pt>
                      <c:pt idx="2">
                        <c:v>0</c:v>
                      </c:pt>
                      <c:pt idx="3">
                        <c:v>0</c:v>
                      </c:pt>
                      <c:pt idx="4">
                        <c:v>267918.75653440494</c:v>
                      </c:pt>
                    </c:numCache>
                  </c:numRef>
                </c:val>
                <c:extLst>
                  <c:ext xmlns:c16="http://schemas.microsoft.com/office/drawing/2014/chart" uri="{C3380CC4-5D6E-409C-BE32-E72D297353CC}">
                    <c16:uniqueId val="{00000001-4552-4659-8AFC-30E16AAEAE71}"/>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'Для презы СД'!$B$167</c15:sqref>
                        </c15:formulaRef>
                      </c:ext>
                    </c:extLst>
                    <c:strCache>
                      <c:ptCount val="1"/>
                      <c:pt idx="0">
                        <c:v>Объем грузооборота от экспорта</c:v>
                      </c:pt>
                    </c:strCache>
                  </c:strRef>
                </c:tx>
                <c:spPr>
                  <a:solidFill>
                    <a:schemeClr val="accent3"/>
                  </a:solidFill>
                  <a:ln>
                    <a:noFill/>
                  </a:ln>
                  <a:effectLst/>
                </c:spPr>
                <c:invertIfNegative val="0"/>
                <c:cat>
                  <c:strRef>
                    <c:extLst xmlns:c15="http://schemas.microsoft.com/office/drawing/2012/chart">
                      <c:ext xmlns:c15="http://schemas.microsoft.com/office/drawing/2012/chart" uri="{02D57815-91ED-43cb-92C2-25804820EDAC}">
                        <c15:formulaRef>
                          <c15:sqref>'Для презы СД'!$C$164:$G$164</c15:sqref>
                        </c15:formulaRef>
                      </c:ext>
                    </c:extLst>
                    <c:strCache>
                      <c:ptCount val="5"/>
                      <c:pt idx="0">
                        <c:v>ПЛАН / ЦЕЛЬ</c:v>
                      </c:pt>
                      <c:pt idx="1">
                        <c:v>ПОРОГ/ТОЛЕРАНТНОСТЬ</c:v>
                      </c:pt>
                      <c:pt idx="2">
                        <c:v>ФАКТ</c:v>
                      </c:pt>
                      <c:pt idx="3">
                        <c:v>ОЦЕНКА</c:v>
                      </c:pt>
                      <c:pt idx="4">
                        <c:v> @Risk</c:v>
                      </c:pt>
                    </c:strCache>
                  </c:strRef>
                </c:cat>
                <c:val>
                  <c:numRef>
                    <c:extLst xmlns:c15="http://schemas.microsoft.com/office/drawing/2012/chart">
                      <c:ext xmlns:c15="http://schemas.microsoft.com/office/drawing/2012/chart" uri="{02D57815-91ED-43cb-92C2-25804820EDAC}">
                        <c15:formulaRef>
                          <c15:sqref>'Для презы СД'!$C$167:$G$167</c15:sqref>
                        </c15:formulaRef>
                      </c:ext>
                    </c:extLst>
                    <c:numCache>
                      <c:formatCode>General</c:formatCode>
                      <c:ptCount val="5"/>
                      <c:pt idx="0">
                        <c:v>150762</c:v>
                      </c:pt>
                      <c:pt idx="1">
                        <c:v>0</c:v>
                      </c:pt>
                      <c:pt idx="2">
                        <c:v>0</c:v>
                      </c:pt>
                      <c:pt idx="3">
                        <c:v>0</c:v>
                      </c:pt>
                      <c:pt idx="4">
                        <c:v>141369.5302500985</c:v>
                      </c:pt>
                    </c:numCache>
                  </c:numRef>
                </c:val>
                <c:extLst xmlns:c15="http://schemas.microsoft.com/office/drawing/2012/chart">
                  <c:ext xmlns:c16="http://schemas.microsoft.com/office/drawing/2014/chart" uri="{C3380CC4-5D6E-409C-BE32-E72D297353CC}">
                    <c16:uniqueId val="{00000002-4552-4659-8AFC-30E16AAEAE71}"/>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'Для презы СД'!$B$168</c15:sqref>
                        </c15:formulaRef>
                      </c:ext>
                    </c:extLst>
                    <c:strCache>
                      <c:ptCount val="1"/>
                      <c:pt idx="0">
                        <c:v>Объем транзитного грузооборота</c:v>
                      </c:pt>
                    </c:strCache>
                  </c:strRef>
                </c:tx>
                <c:spPr>
                  <a:solidFill>
                    <a:schemeClr val="accent4"/>
                  </a:solidFill>
                  <a:ln>
                    <a:noFill/>
                  </a:ln>
                  <a:effectLst/>
                </c:spPr>
                <c:invertIfNegative val="0"/>
                <c:cat>
                  <c:strRef>
                    <c:extLst xmlns:c15="http://schemas.microsoft.com/office/drawing/2012/chart">
                      <c:ext xmlns:c15="http://schemas.microsoft.com/office/drawing/2012/chart" uri="{02D57815-91ED-43cb-92C2-25804820EDAC}">
                        <c15:formulaRef>
                          <c15:sqref>'Для презы СД'!$C$164:$G$164</c15:sqref>
                        </c15:formulaRef>
                      </c:ext>
                    </c:extLst>
                    <c:strCache>
                      <c:ptCount val="5"/>
                      <c:pt idx="0">
                        <c:v>ПЛАН / ЦЕЛЬ</c:v>
                      </c:pt>
                      <c:pt idx="1">
                        <c:v>ПОРОГ/ТОЛЕРАНТНОСТЬ</c:v>
                      </c:pt>
                      <c:pt idx="2">
                        <c:v>ФАКТ</c:v>
                      </c:pt>
                      <c:pt idx="3">
                        <c:v>ОЦЕНКА</c:v>
                      </c:pt>
                      <c:pt idx="4">
                        <c:v> @Risk</c:v>
                      </c:pt>
                    </c:strCache>
                  </c:strRef>
                </c:cat>
                <c:val>
                  <c:numRef>
                    <c:extLst xmlns:c15="http://schemas.microsoft.com/office/drawing/2012/chart">
                      <c:ext xmlns:c15="http://schemas.microsoft.com/office/drawing/2012/chart" uri="{02D57815-91ED-43cb-92C2-25804820EDAC}">
                        <c15:formulaRef>
                          <c15:sqref>'Для презы СД'!$C$168:$G$168</c15:sqref>
                        </c15:formulaRef>
                      </c:ext>
                    </c:extLst>
                    <c:numCache>
                      <c:formatCode>General</c:formatCode>
                      <c:ptCount val="5"/>
                      <c:pt idx="0">
                        <c:v>478897</c:v>
                      </c:pt>
                      <c:pt idx="1">
                        <c:v>0</c:v>
                      </c:pt>
                      <c:pt idx="2">
                        <c:v>0</c:v>
                      </c:pt>
                      <c:pt idx="3">
                        <c:v>0</c:v>
                      </c:pt>
                      <c:pt idx="4">
                        <c:v>477804.40492756461</c:v>
                      </c:pt>
                    </c:numCache>
                  </c:numRef>
                </c:val>
                <c:extLst xmlns:c15="http://schemas.microsoft.com/office/drawing/2012/chart">
                  <c:ext xmlns:c16="http://schemas.microsoft.com/office/drawing/2014/chart" uri="{C3380CC4-5D6E-409C-BE32-E72D297353CC}">
                    <c16:uniqueId val="{00000003-4552-4659-8AFC-30E16AAEAE71}"/>
                  </c:ext>
                </c:extLst>
              </c15:ser>
            </c15:filteredBarSeries>
          </c:ext>
        </c:extLst>
      </c:barChart>
      <c:catAx>
        <c:axId val="314990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ru-RU"/>
          </a:p>
        </c:txPr>
        <c:crossAx val="314992128"/>
        <c:crosses val="autoZero"/>
        <c:auto val="1"/>
        <c:lblAlgn val="ctr"/>
        <c:lblOffset val="100"/>
        <c:noMultiLvlLbl val="0"/>
      </c:catAx>
      <c:valAx>
        <c:axId val="31499212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3149905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barChart>
        <c:barDir val="col"/>
        <c:grouping val="clustered"/>
        <c:varyColors val="0"/>
        <c:ser>
          <c:idx val="1"/>
          <c:order val="0"/>
          <c:tx>
            <c:strRef>
              <c:f>'Для презы СД'!$B$166</c:f>
              <c:strCache>
                <c:ptCount val="1"/>
                <c:pt idx="0">
                  <c:v>Объем грузооборота от импорта</c:v>
                </c:pt>
              </c:strCache>
              <c:extLst xmlns:c16r2="http://schemas.microsoft.com/office/drawing/2015/06/chart" xmlns:c15="http://schemas.microsoft.com/office/drawing/2012/chart"/>
            </c:strRef>
          </c:tx>
          <c:spPr>
            <a:solidFill>
              <a:schemeClr val="accent2"/>
            </a:solidFill>
            <a:ln>
              <a:noFill/>
            </a:ln>
            <a:effectLst/>
          </c:spPr>
          <c:invertIfNegative val="0"/>
          <c:cat>
            <c:strRef>
              <c:f>'Для презы СД'!$C$164:$G$164</c:f>
              <c:strCache>
                <c:ptCount val="5"/>
                <c:pt idx="0">
                  <c:v>ПЛАН / ЦЕЛЬ</c:v>
                </c:pt>
                <c:pt idx="1">
                  <c:v>ПОРОГ/ТОЛЕРАНТНОСТЬ</c:v>
                </c:pt>
                <c:pt idx="2">
                  <c:v>ФАКТ</c:v>
                </c:pt>
                <c:pt idx="3">
                  <c:v>ОЦЕНКА</c:v>
                </c:pt>
                <c:pt idx="4">
                  <c:v> @Risk</c:v>
                </c:pt>
              </c:strCache>
              <c:extLst xmlns:c16r2="http://schemas.microsoft.com/office/drawing/2015/06/chart" xmlns:c15="http://schemas.microsoft.com/office/drawing/2012/chart"/>
            </c:strRef>
          </c:cat>
          <c:val>
            <c:numRef>
              <c:f>'Для презы СД'!$C$166:$G$166</c:f>
              <c:numCache>
                <c:formatCode>General</c:formatCode>
                <c:ptCount val="5"/>
                <c:pt idx="0">
                  <c:v>267833</c:v>
                </c:pt>
                <c:pt idx="1">
                  <c:v>0</c:v>
                </c:pt>
                <c:pt idx="2">
                  <c:v>0</c:v>
                </c:pt>
                <c:pt idx="3">
                  <c:v>0</c:v>
                </c:pt>
                <c:pt idx="4">
                  <c:v>267918.75653440494</c:v>
                </c:pt>
              </c:numCache>
              <c:extLst xmlns:c16r2="http://schemas.microsoft.com/office/drawing/2015/06/chart" xmlns:c15="http://schemas.microsoft.com/office/drawing/2012/chart"/>
            </c:numRef>
          </c:val>
          <c:extLst xmlns:c16r2="http://schemas.microsoft.com/office/drawing/2015/06/chart">
            <c:ext xmlns:c16="http://schemas.microsoft.com/office/drawing/2014/chart" uri="{C3380CC4-5D6E-409C-BE32-E72D297353CC}">
              <c16:uniqueId val="{00000005-7D65-4EE6-AA6F-6ACD4D7C591F}"/>
            </c:ext>
          </c:extLst>
        </c:ser>
        <c:dLbls>
          <c:showLegendKey val="0"/>
          <c:showVal val="0"/>
          <c:showCatName val="0"/>
          <c:showSerName val="0"/>
          <c:showPercent val="0"/>
          <c:showBubbleSize val="0"/>
        </c:dLbls>
        <c:gapWidth val="51"/>
        <c:overlap val="-12"/>
        <c:axId val="315319808"/>
        <c:axId val="315321344"/>
        <c:extLst xmlns:c16r2="http://schemas.microsoft.com/office/drawing/2015/06/chart">
          <c:ext xmlns:c15="http://schemas.microsoft.com/office/drawing/2012/chart" uri="{02D57815-91ED-43cb-92C2-25804820EDAC}">
            <c15:filteredBarSeries>
              <c15:ser>
                <c:idx val="0"/>
                <c:order val="0"/>
                <c:tx>
                  <c:strRef>
                    <c:extLst>
                      <c:ext uri="{02D57815-91ED-43cb-92C2-25804820EDAC}">
                        <c15:formulaRef>
                          <c15:sqref>'Для презы СД'!$B$165</c15:sqref>
                        </c15:formulaRef>
                      </c:ext>
                    </c:extLst>
                    <c:strCache>
                      <c:ptCount val="1"/>
                      <c:pt idx="0">
                        <c:v>Объем внутриреспубликанского грузооборота</c:v>
                      </c:pt>
                    </c:strCache>
                  </c:strRef>
                </c:tx>
                <c:spPr>
                  <a:solidFill>
                    <a:schemeClr val="accent1"/>
                  </a:solidFill>
                  <a:ln>
                    <a:noFill/>
                  </a:ln>
                  <a:effectLst/>
                </c:spPr>
                <c:invertIfNegative val="0"/>
                <c:dPt>
                  <c:idx val="2"/>
                  <c:invertIfNegative val="0"/>
                  <c:bubble3D val="0"/>
                  <c:spPr>
                    <a:solidFill>
                      <a:srgbClr val="92D050"/>
                    </a:solidFill>
                    <a:ln>
                      <a:noFill/>
                    </a:ln>
                    <a:effectLst/>
                  </c:spPr>
                  <c:extLst>
                    <c:ext xmlns:c16="http://schemas.microsoft.com/office/drawing/2014/chart" uri="{C3380CC4-5D6E-409C-BE32-E72D297353CC}">
                      <c16:uniqueId val="{00000001-7D65-4EE6-AA6F-6ACD4D7C591F}"/>
                    </c:ext>
                  </c:extLst>
                </c:dPt>
                <c:dPt>
                  <c:idx val="4"/>
                  <c:invertIfNegative val="0"/>
                  <c:bubble3D val="0"/>
                  <c:spPr>
                    <a:solidFill>
                      <a:srgbClr val="FFC000"/>
                    </a:solidFill>
                    <a:ln>
                      <a:noFill/>
                    </a:ln>
                    <a:effectLst/>
                  </c:spPr>
                  <c:extLst>
                    <c:ext xmlns:c16="http://schemas.microsoft.com/office/drawing/2014/chart" uri="{C3380CC4-5D6E-409C-BE32-E72D297353CC}">
                      <c16:uniqueId val="{00000003-7D65-4EE6-AA6F-6ACD4D7C591F}"/>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ru-RU"/>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'Для презы СД'!$C$164:$G$164</c15:sqref>
                        </c15:formulaRef>
                      </c:ext>
                    </c:extLst>
                    <c:strCache>
                      <c:ptCount val="5"/>
                      <c:pt idx="0">
                        <c:v>ПЛАН / ЦЕЛЬ</c:v>
                      </c:pt>
                      <c:pt idx="1">
                        <c:v>ПОРОГ/ТОЛЕРАНТНОСТЬ</c:v>
                      </c:pt>
                      <c:pt idx="2">
                        <c:v>ФАКТ</c:v>
                      </c:pt>
                      <c:pt idx="3">
                        <c:v>ОЦЕНКА</c:v>
                      </c:pt>
                      <c:pt idx="4">
                        <c:v> @Risk</c:v>
                      </c:pt>
                    </c:strCache>
                  </c:strRef>
                </c:cat>
                <c:val>
                  <c:numRef>
                    <c:extLst>
                      <c:ext uri="{02D57815-91ED-43cb-92C2-25804820EDAC}">
                        <c15:formulaRef>
                          <c15:sqref>'Для презы СД'!$C$165:$G$165</c15:sqref>
                        </c15:formulaRef>
                      </c:ext>
                    </c:extLst>
                    <c:numCache>
                      <c:formatCode>General</c:formatCode>
                      <c:ptCount val="5"/>
                      <c:pt idx="0">
                        <c:v>354032</c:v>
                      </c:pt>
                      <c:pt idx="1">
                        <c:v>0</c:v>
                      </c:pt>
                      <c:pt idx="2">
                        <c:v>0</c:v>
                      </c:pt>
                      <c:pt idx="3">
                        <c:v>0</c:v>
                      </c:pt>
                      <c:pt idx="4">
                        <c:v>339578.71216973336</c:v>
                      </c:pt>
                    </c:numCache>
                  </c:numRef>
                </c:val>
                <c:extLst>
                  <c:ext xmlns:c16="http://schemas.microsoft.com/office/drawing/2014/chart" uri="{C3380CC4-5D6E-409C-BE32-E72D297353CC}">
                    <c16:uniqueId val="{00000004-7D65-4EE6-AA6F-6ACD4D7C591F}"/>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'Для презы СД'!$B$167</c15:sqref>
                        </c15:formulaRef>
                      </c:ext>
                    </c:extLst>
                    <c:strCache>
                      <c:ptCount val="1"/>
                      <c:pt idx="0">
                        <c:v>Объем грузооборота от экспорта</c:v>
                      </c:pt>
                    </c:strCache>
                  </c:strRef>
                </c:tx>
                <c:spPr>
                  <a:solidFill>
                    <a:schemeClr val="accent3"/>
                  </a:solidFill>
                  <a:ln>
                    <a:noFill/>
                  </a:ln>
                  <a:effectLst/>
                </c:spPr>
                <c:invertIfNegative val="0"/>
                <c:cat>
                  <c:strRef>
                    <c:extLst xmlns:c15="http://schemas.microsoft.com/office/drawing/2012/chart">
                      <c:ext xmlns:c15="http://schemas.microsoft.com/office/drawing/2012/chart" uri="{02D57815-91ED-43cb-92C2-25804820EDAC}">
                        <c15:formulaRef>
                          <c15:sqref>'Для презы СД'!$C$164:$G$164</c15:sqref>
                        </c15:formulaRef>
                      </c:ext>
                    </c:extLst>
                    <c:strCache>
                      <c:ptCount val="5"/>
                      <c:pt idx="0">
                        <c:v>ПЛАН / ЦЕЛЬ</c:v>
                      </c:pt>
                      <c:pt idx="1">
                        <c:v>ПОРОГ/ТОЛЕРАНТНОСТЬ</c:v>
                      </c:pt>
                      <c:pt idx="2">
                        <c:v>ФАКТ</c:v>
                      </c:pt>
                      <c:pt idx="3">
                        <c:v>ОЦЕНКА</c:v>
                      </c:pt>
                      <c:pt idx="4">
                        <c:v> @Risk</c:v>
                      </c:pt>
                    </c:strCache>
                  </c:strRef>
                </c:cat>
                <c:val>
                  <c:numRef>
                    <c:extLst xmlns:c15="http://schemas.microsoft.com/office/drawing/2012/chart">
                      <c:ext xmlns:c15="http://schemas.microsoft.com/office/drawing/2012/chart" uri="{02D57815-91ED-43cb-92C2-25804820EDAC}">
                        <c15:formulaRef>
                          <c15:sqref>'Для презы СД'!$C$167:$G$167</c15:sqref>
                        </c15:formulaRef>
                      </c:ext>
                    </c:extLst>
                    <c:numCache>
                      <c:formatCode>General</c:formatCode>
                      <c:ptCount val="5"/>
                      <c:pt idx="0">
                        <c:v>150762</c:v>
                      </c:pt>
                      <c:pt idx="1">
                        <c:v>0</c:v>
                      </c:pt>
                      <c:pt idx="2">
                        <c:v>0</c:v>
                      </c:pt>
                      <c:pt idx="3">
                        <c:v>0</c:v>
                      </c:pt>
                      <c:pt idx="4">
                        <c:v>141369.5302500985</c:v>
                      </c:pt>
                    </c:numCache>
                  </c:numRef>
                </c:val>
                <c:extLst xmlns:c15="http://schemas.microsoft.com/office/drawing/2012/chart">
                  <c:ext xmlns:c16="http://schemas.microsoft.com/office/drawing/2014/chart" uri="{C3380CC4-5D6E-409C-BE32-E72D297353CC}">
                    <c16:uniqueId val="{00000006-7D65-4EE6-AA6F-6ACD4D7C591F}"/>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'Для презы СД'!$B$168</c15:sqref>
                        </c15:formulaRef>
                      </c:ext>
                    </c:extLst>
                    <c:strCache>
                      <c:ptCount val="1"/>
                      <c:pt idx="0">
                        <c:v>Объем транзитного грузооборота</c:v>
                      </c:pt>
                    </c:strCache>
                  </c:strRef>
                </c:tx>
                <c:spPr>
                  <a:solidFill>
                    <a:schemeClr val="accent4"/>
                  </a:solidFill>
                  <a:ln>
                    <a:noFill/>
                  </a:ln>
                  <a:effectLst/>
                </c:spPr>
                <c:invertIfNegative val="0"/>
                <c:cat>
                  <c:strRef>
                    <c:extLst xmlns:c15="http://schemas.microsoft.com/office/drawing/2012/chart">
                      <c:ext xmlns:c15="http://schemas.microsoft.com/office/drawing/2012/chart" uri="{02D57815-91ED-43cb-92C2-25804820EDAC}">
                        <c15:formulaRef>
                          <c15:sqref>'Для презы СД'!$C$164:$G$164</c15:sqref>
                        </c15:formulaRef>
                      </c:ext>
                    </c:extLst>
                    <c:strCache>
                      <c:ptCount val="5"/>
                      <c:pt idx="0">
                        <c:v>ПЛАН / ЦЕЛЬ</c:v>
                      </c:pt>
                      <c:pt idx="1">
                        <c:v>ПОРОГ/ТОЛЕРАНТНОСТЬ</c:v>
                      </c:pt>
                      <c:pt idx="2">
                        <c:v>ФАКТ</c:v>
                      </c:pt>
                      <c:pt idx="3">
                        <c:v>ОЦЕНКА</c:v>
                      </c:pt>
                      <c:pt idx="4">
                        <c:v> @Risk</c:v>
                      </c:pt>
                    </c:strCache>
                  </c:strRef>
                </c:cat>
                <c:val>
                  <c:numRef>
                    <c:extLst xmlns:c15="http://schemas.microsoft.com/office/drawing/2012/chart">
                      <c:ext xmlns:c15="http://schemas.microsoft.com/office/drawing/2012/chart" uri="{02D57815-91ED-43cb-92C2-25804820EDAC}">
                        <c15:formulaRef>
                          <c15:sqref>'Для презы СД'!$C$168:$G$168</c15:sqref>
                        </c15:formulaRef>
                      </c:ext>
                    </c:extLst>
                    <c:numCache>
                      <c:formatCode>General</c:formatCode>
                      <c:ptCount val="5"/>
                      <c:pt idx="0">
                        <c:v>478897</c:v>
                      </c:pt>
                      <c:pt idx="1">
                        <c:v>0</c:v>
                      </c:pt>
                      <c:pt idx="2">
                        <c:v>0</c:v>
                      </c:pt>
                      <c:pt idx="3">
                        <c:v>0</c:v>
                      </c:pt>
                      <c:pt idx="4">
                        <c:v>477804.40492756461</c:v>
                      </c:pt>
                    </c:numCache>
                  </c:numRef>
                </c:val>
                <c:extLst xmlns:c15="http://schemas.microsoft.com/office/drawing/2012/chart">
                  <c:ext xmlns:c16="http://schemas.microsoft.com/office/drawing/2014/chart" uri="{C3380CC4-5D6E-409C-BE32-E72D297353CC}">
                    <c16:uniqueId val="{00000007-7D65-4EE6-AA6F-6ACD4D7C591F}"/>
                  </c:ext>
                </c:extLst>
              </c15:ser>
            </c15:filteredBarSeries>
          </c:ext>
        </c:extLst>
      </c:barChart>
      <c:catAx>
        <c:axId val="3153198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ru-RU"/>
          </a:p>
        </c:txPr>
        <c:crossAx val="315321344"/>
        <c:crosses val="autoZero"/>
        <c:auto val="1"/>
        <c:lblAlgn val="ctr"/>
        <c:lblOffset val="100"/>
        <c:noMultiLvlLbl val="0"/>
      </c:catAx>
      <c:valAx>
        <c:axId val="31532134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3153198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9701011113316447"/>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barChart>
        <c:barDir val="col"/>
        <c:grouping val="clustered"/>
        <c:varyColors val="0"/>
        <c:ser>
          <c:idx val="2"/>
          <c:order val="0"/>
          <c:tx>
            <c:strRef>
              <c:f>'Для презы СД'!$B$167</c:f>
              <c:strCache>
                <c:ptCount val="1"/>
                <c:pt idx="0">
                  <c:v>Объем грузооборота от экспорта</c:v>
                </c:pt>
              </c:strCache>
              <c:extLst xmlns:c16r2="http://schemas.microsoft.com/office/drawing/2015/06/chart" xmlns:c15="http://schemas.microsoft.com/office/drawing/2012/chart"/>
            </c:strRef>
          </c:tx>
          <c:spPr>
            <a:solidFill>
              <a:schemeClr val="accent3"/>
            </a:solidFill>
            <a:ln>
              <a:noFill/>
            </a:ln>
            <a:effectLst/>
          </c:spPr>
          <c:invertIfNegative val="0"/>
          <c:cat>
            <c:strRef>
              <c:f>'Для презы СД'!$C$164:$G$164</c:f>
              <c:strCache>
                <c:ptCount val="5"/>
                <c:pt idx="0">
                  <c:v>ПЛАН / ЦЕЛЬ</c:v>
                </c:pt>
                <c:pt idx="1">
                  <c:v>ПОРОГ/ТОЛЕРАНТНОСТЬ</c:v>
                </c:pt>
                <c:pt idx="2">
                  <c:v>ФАКТ</c:v>
                </c:pt>
                <c:pt idx="3">
                  <c:v>ОЦЕНКА</c:v>
                </c:pt>
                <c:pt idx="4">
                  <c:v> @Risk</c:v>
                </c:pt>
              </c:strCache>
              <c:extLst xmlns:c16r2="http://schemas.microsoft.com/office/drawing/2015/06/chart" xmlns:c15="http://schemas.microsoft.com/office/drawing/2012/chart"/>
            </c:strRef>
          </c:cat>
          <c:val>
            <c:numRef>
              <c:f>'Для презы СД'!$C$167:$G$167</c:f>
              <c:numCache>
                <c:formatCode>General</c:formatCode>
                <c:ptCount val="5"/>
                <c:pt idx="0">
                  <c:v>150762</c:v>
                </c:pt>
                <c:pt idx="1">
                  <c:v>0</c:v>
                </c:pt>
                <c:pt idx="2">
                  <c:v>0</c:v>
                </c:pt>
                <c:pt idx="3">
                  <c:v>0</c:v>
                </c:pt>
                <c:pt idx="4">
                  <c:v>141369.5302500985</c:v>
                </c:pt>
              </c:numCache>
              <c:extLst xmlns:c16r2="http://schemas.microsoft.com/office/drawing/2015/06/chart" xmlns:c15="http://schemas.microsoft.com/office/drawing/2012/chart"/>
            </c:numRef>
          </c:val>
          <c:extLst xmlns:c16r2="http://schemas.microsoft.com/office/drawing/2015/06/chart">
            <c:ext xmlns:c16="http://schemas.microsoft.com/office/drawing/2014/chart" uri="{C3380CC4-5D6E-409C-BE32-E72D297353CC}">
              <c16:uniqueId val="{00000006-AB71-4A27-B6FE-A3C46ECD2F1D}"/>
            </c:ext>
          </c:extLst>
        </c:ser>
        <c:dLbls>
          <c:showLegendKey val="0"/>
          <c:showVal val="0"/>
          <c:showCatName val="0"/>
          <c:showSerName val="0"/>
          <c:showPercent val="0"/>
          <c:showBubbleSize val="0"/>
        </c:dLbls>
        <c:gapWidth val="51"/>
        <c:overlap val="-12"/>
        <c:axId val="315332480"/>
        <c:axId val="315334016"/>
        <c:extLst xmlns:c16r2="http://schemas.microsoft.com/office/drawing/2015/06/chart">
          <c:ext xmlns:c15="http://schemas.microsoft.com/office/drawing/2012/chart" uri="{02D57815-91ED-43cb-92C2-25804820EDAC}">
            <c15:filteredBarSeries>
              <c15:ser>
                <c:idx val="0"/>
                <c:order val="0"/>
                <c:tx>
                  <c:strRef>
                    <c:extLst>
                      <c:ext uri="{02D57815-91ED-43cb-92C2-25804820EDAC}">
                        <c15:formulaRef>
                          <c15:sqref>'Для презы СД'!$B$165</c15:sqref>
                        </c15:formulaRef>
                      </c:ext>
                    </c:extLst>
                    <c:strCache>
                      <c:ptCount val="1"/>
                      <c:pt idx="0">
                        <c:v>Объем внутриреспубликанского грузооборота</c:v>
                      </c:pt>
                    </c:strCache>
                  </c:strRef>
                </c:tx>
                <c:spPr>
                  <a:solidFill>
                    <a:schemeClr val="accent1"/>
                  </a:solidFill>
                  <a:ln>
                    <a:noFill/>
                  </a:ln>
                  <a:effectLst/>
                </c:spPr>
                <c:invertIfNegative val="0"/>
                <c:dPt>
                  <c:idx val="2"/>
                  <c:invertIfNegative val="0"/>
                  <c:bubble3D val="0"/>
                  <c:spPr>
                    <a:solidFill>
                      <a:srgbClr val="92D050"/>
                    </a:solidFill>
                    <a:ln>
                      <a:noFill/>
                    </a:ln>
                    <a:effectLst/>
                  </c:spPr>
                  <c:extLst>
                    <c:ext xmlns:c16="http://schemas.microsoft.com/office/drawing/2014/chart" uri="{C3380CC4-5D6E-409C-BE32-E72D297353CC}">
                      <c16:uniqueId val="{00000001-AB71-4A27-B6FE-A3C46ECD2F1D}"/>
                    </c:ext>
                  </c:extLst>
                </c:dPt>
                <c:dPt>
                  <c:idx val="4"/>
                  <c:invertIfNegative val="0"/>
                  <c:bubble3D val="0"/>
                  <c:spPr>
                    <a:solidFill>
                      <a:srgbClr val="FFC000"/>
                    </a:solidFill>
                    <a:ln>
                      <a:noFill/>
                    </a:ln>
                    <a:effectLst/>
                  </c:spPr>
                  <c:extLst>
                    <c:ext xmlns:c16="http://schemas.microsoft.com/office/drawing/2014/chart" uri="{C3380CC4-5D6E-409C-BE32-E72D297353CC}">
                      <c16:uniqueId val="{00000003-AB71-4A27-B6FE-A3C46ECD2F1D}"/>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ru-RU"/>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'Для презы СД'!$C$164:$G$164</c15:sqref>
                        </c15:formulaRef>
                      </c:ext>
                    </c:extLst>
                    <c:strCache>
                      <c:ptCount val="5"/>
                      <c:pt idx="0">
                        <c:v>ПЛАН / ЦЕЛЬ</c:v>
                      </c:pt>
                      <c:pt idx="1">
                        <c:v>ПОРОГ/ТОЛЕРАНТНОСТЬ</c:v>
                      </c:pt>
                      <c:pt idx="2">
                        <c:v>ФАКТ</c:v>
                      </c:pt>
                      <c:pt idx="3">
                        <c:v>ОЦЕНКА</c:v>
                      </c:pt>
                      <c:pt idx="4">
                        <c:v> @Risk</c:v>
                      </c:pt>
                    </c:strCache>
                  </c:strRef>
                </c:cat>
                <c:val>
                  <c:numRef>
                    <c:extLst>
                      <c:ext uri="{02D57815-91ED-43cb-92C2-25804820EDAC}">
                        <c15:formulaRef>
                          <c15:sqref>'Для презы СД'!$C$165:$G$165</c15:sqref>
                        </c15:formulaRef>
                      </c:ext>
                    </c:extLst>
                    <c:numCache>
                      <c:formatCode>General</c:formatCode>
                      <c:ptCount val="5"/>
                      <c:pt idx="0">
                        <c:v>354032</c:v>
                      </c:pt>
                      <c:pt idx="1">
                        <c:v>0</c:v>
                      </c:pt>
                      <c:pt idx="2">
                        <c:v>0</c:v>
                      </c:pt>
                      <c:pt idx="3">
                        <c:v>0</c:v>
                      </c:pt>
                      <c:pt idx="4">
                        <c:v>339578.71216973336</c:v>
                      </c:pt>
                    </c:numCache>
                  </c:numRef>
                </c:val>
                <c:extLst>
                  <c:ext xmlns:c16="http://schemas.microsoft.com/office/drawing/2014/chart" uri="{C3380CC4-5D6E-409C-BE32-E72D297353CC}">
                    <c16:uniqueId val="{00000004-AB71-4A27-B6FE-A3C46ECD2F1D}"/>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'Для презы СД'!$B$166</c15:sqref>
                        </c15:formulaRef>
                      </c:ext>
                    </c:extLst>
                    <c:strCache>
                      <c:ptCount val="1"/>
                      <c:pt idx="0">
                        <c:v>Объем грузооборота от импорта</c:v>
                      </c:pt>
                    </c:strCache>
                  </c:strRef>
                </c:tx>
                <c:spPr>
                  <a:solidFill>
                    <a:schemeClr val="accent2"/>
                  </a:solidFill>
                  <a:ln>
                    <a:noFill/>
                  </a:ln>
                  <a:effectLst/>
                </c:spPr>
                <c:invertIfNegative val="0"/>
                <c:cat>
                  <c:strRef>
                    <c:extLst xmlns:c15="http://schemas.microsoft.com/office/drawing/2012/chart">
                      <c:ext xmlns:c15="http://schemas.microsoft.com/office/drawing/2012/chart" uri="{02D57815-91ED-43cb-92C2-25804820EDAC}">
                        <c15:formulaRef>
                          <c15:sqref>'Для презы СД'!$C$164:$G$164</c15:sqref>
                        </c15:formulaRef>
                      </c:ext>
                    </c:extLst>
                    <c:strCache>
                      <c:ptCount val="5"/>
                      <c:pt idx="0">
                        <c:v>ПЛАН / ЦЕЛЬ</c:v>
                      </c:pt>
                      <c:pt idx="1">
                        <c:v>ПОРОГ/ТОЛЕРАНТНОСТЬ</c:v>
                      </c:pt>
                      <c:pt idx="2">
                        <c:v>ФАКТ</c:v>
                      </c:pt>
                      <c:pt idx="3">
                        <c:v>ОЦЕНКА</c:v>
                      </c:pt>
                      <c:pt idx="4">
                        <c:v> @Risk</c:v>
                      </c:pt>
                    </c:strCache>
                  </c:strRef>
                </c:cat>
                <c:val>
                  <c:numRef>
                    <c:extLst xmlns:c15="http://schemas.microsoft.com/office/drawing/2012/chart">
                      <c:ext xmlns:c15="http://schemas.microsoft.com/office/drawing/2012/chart" uri="{02D57815-91ED-43cb-92C2-25804820EDAC}">
                        <c15:formulaRef>
                          <c15:sqref>'Для презы СД'!$C$166:$G$166</c15:sqref>
                        </c15:formulaRef>
                      </c:ext>
                    </c:extLst>
                    <c:numCache>
                      <c:formatCode>General</c:formatCode>
                      <c:ptCount val="5"/>
                      <c:pt idx="0">
                        <c:v>267833</c:v>
                      </c:pt>
                      <c:pt idx="1">
                        <c:v>0</c:v>
                      </c:pt>
                      <c:pt idx="2">
                        <c:v>0</c:v>
                      </c:pt>
                      <c:pt idx="3">
                        <c:v>0</c:v>
                      </c:pt>
                      <c:pt idx="4">
                        <c:v>267918.75653440494</c:v>
                      </c:pt>
                    </c:numCache>
                  </c:numRef>
                </c:val>
                <c:extLst xmlns:c15="http://schemas.microsoft.com/office/drawing/2012/chart">
                  <c:ext xmlns:c16="http://schemas.microsoft.com/office/drawing/2014/chart" uri="{C3380CC4-5D6E-409C-BE32-E72D297353CC}">
                    <c16:uniqueId val="{00000005-AB71-4A27-B6FE-A3C46ECD2F1D}"/>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'Для презы СД'!$B$168</c15:sqref>
                        </c15:formulaRef>
                      </c:ext>
                    </c:extLst>
                    <c:strCache>
                      <c:ptCount val="1"/>
                      <c:pt idx="0">
                        <c:v>Объем транзитного грузооборота</c:v>
                      </c:pt>
                    </c:strCache>
                  </c:strRef>
                </c:tx>
                <c:spPr>
                  <a:solidFill>
                    <a:schemeClr val="accent4"/>
                  </a:solidFill>
                  <a:ln>
                    <a:noFill/>
                  </a:ln>
                  <a:effectLst/>
                </c:spPr>
                <c:invertIfNegative val="0"/>
                <c:cat>
                  <c:strRef>
                    <c:extLst xmlns:c15="http://schemas.microsoft.com/office/drawing/2012/chart">
                      <c:ext xmlns:c15="http://schemas.microsoft.com/office/drawing/2012/chart" uri="{02D57815-91ED-43cb-92C2-25804820EDAC}">
                        <c15:formulaRef>
                          <c15:sqref>'Для презы СД'!$C$164:$G$164</c15:sqref>
                        </c15:formulaRef>
                      </c:ext>
                    </c:extLst>
                    <c:strCache>
                      <c:ptCount val="5"/>
                      <c:pt idx="0">
                        <c:v>ПЛАН / ЦЕЛЬ</c:v>
                      </c:pt>
                      <c:pt idx="1">
                        <c:v>ПОРОГ/ТОЛЕРАНТНОСТЬ</c:v>
                      </c:pt>
                      <c:pt idx="2">
                        <c:v>ФАКТ</c:v>
                      </c:pt>
                      <c:pt idx="3">
                        <c:v>ОЦЕНКА</c:v>
                      </c:pt>
                      <c:pt idx="4">
                        <c:v> @Risk</c:v>
                      </c:pt>
                    </c:strCache>
                  </c:strRef>
                </c:cat>
                <c:val>
                  <c:numRef>
                    <c:extLst xmlns:c15="http://schemas.microsoft.com/office/drawing/2012/chart">
                      <c:ext xmlns:c15="http://schemas.microsoft.com/office/drawing/2012/chart" uri="{02D57815-91ED-43cb-92C2-25804820EDAC}">
                        <c15:formulaRef>
                          <c15:sqref>'Для презы СД'!$C$168:$G$168</c15:sqref>
                        </c15:formulaRef>
                      </c:ext>
                    </c:extLst>
                    <c:numCache>
                      <c:formatCode>General</c:formatCode>
                      <c:ptCount val="5"/>
                      <c:pt idx="0">
                        <c:v>478897</c:v>
                      </c:pt>
                      <c:pt idx="1">
                        <c:v>0</c:v>
                      </c:pt>
                      <c:pt idx="2">
                        <c:v>0</c:v>
                      </c:pt>
                      <c:pt idx="3">
                        <c:v>0</c:v>
                      </c:pt>
                      <c:pt idx="4">
                        <c:v>477804.40492756461</c:v>
                      </c:pt>
                    </c:numCache>
                  </c:numRef>
                </c:val>
                <c:extLst xmlns:c15="http://schemas.microsoft.com/office/drawing/2012/chart">
                  <c:ext xmlns:c16="http://schemas.microsoft.com/office/drawing/2014/chart" uri="{C3380CC4-5D6E-409C-BE32-E72D297353CC}">
                    <c16:uniqueId val="{00000007-AB71-4A27-B6FE-A3C46ECD2F1D}"/>
                  </c:ext>
                </c:extLst>
              </c15:ser>
            </c15:filteredBarSeries>
          </c:ext>
        </c:extLst>
      </c:barChart>
      <c:catAx>
        <c:axId val="3153324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ru-RU"/>
          </a:p>
        </c:txPr>
        <c:crossAx val="315334016"/>
        <c:crosses val="autoZero"/>
        <c:auto val="1"/>
        <c:lblAlgn val="ctr"/>
        <c:lblOffset val="100"/>
        <c:noMultiLvlLbl val="0"/>
      </c:catAx>
      <c:valAx>
        <c:axId val="31533401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3153324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RU"/>
        </a:p>
      </c:txPr>
    </c:title>
    <c:autoTitleDeleted val="0"/>
    <c:plotArea>
      <c:layout/>
      <c:barChart>
        <c:barDir val="col"/>
        <c:grouping val="clustered"/>
        <c:varyColors val="0"/>
        <c:ser>
          <c:idx val="0"/>
          <c:order val="0"/>
          <c:tx>
            <c:strRef>
              <c:f>'Для презы СД'!$B$165</c:f>
              <c:strCache>
                <c:ptCount val="1"/>
                <c:pt idx="0">
                  <c:v>Объем внутриреспубликанского грузооборота</c:v>
                </c:pt>
              </c:strCache>
            </c:strRef>
          </c:tx>
          <c:spPr>
            <a:solidFill>
              <a:schemeClr val="accent1"/>
            </a:solidFill>
            <a:ln>
              <a:noFill/>
            </a:ln>
            <a:effectLst/>
          </c:spPr>
          <c:invertIfNegative val="0"/>
          <c:dPt>
            <c:idx val="2"/>
            <c:invertIfNegative val="0"/>
            <c:bubble3D val="0"/>
            <c:spPr>
              <a:solidFill>
                <a:srgbClr val="92D050"/>
              </a:solidFill>
              <a:ln>
                <a:noFill/>
              </a:ln>
              <a:effectLst/>
            </c:spPr>
            <c:extLst xmlns:c16r2="http://schemas.microsoft.com/office/drawing/2015/06/chart">
              <c:ext xmlns:c16="http://schemas.microsoft.com/office/drawing/2014/chart" uri="{C3380CC4-5D6E-409C-BE32-E72D297353CC}">
                <c16:uniqueId val="{00000001-DDEF-4196-84BB-CF79A5C907DD}"/>
              </c:ext>
            </c:extLst>
          </c:dPt>
          <c:dPt>
            <c:idx val="4"/>
            <c:invertIfNegative val="0"/>
            <c:bubble3D val="0"/>
            <c:spPr>
              <a:solidFill>
                <a:srgbClr val="FFC000"/>
              </a:solidFill>
              <a:ln>
                <a:noFill/>
              </a:ln>
              <a:effectLst/>
            </c:spPr>
            <c:extLst xmlns:c16r2="http://schemas.microsoft.com/office/drawing/2015/06/chart">
              <c:ext xmlns:c16="http://schemas.microsoft.com/office/drawing/2014/chart" uri="{C3380CC4-5D6E-409C-BE32-E72D297353CC}">
                <c16:uniqueId val="{00000003-DDEF-4196-84BB-CF79A5C907DD}"/>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ru-RU"/>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'Для презы СД'!$C$164:$G$164</c:f>
              <c:strCache>
                <c:ptCount val="5"/>
                <c:pt idx="0">
                  <c:v>ПЛАН / ЦЕЛЬ</c:v>
                </c:pt>
                <c:pt idx="1">
                  <c:v>ПОРОГ/ТОЛЕРАНТНОСТЬ</c:v>
                </c:pt>
                <c:pt idx="2">
                  <c:v>ФАКТ</c:v>
                </c:pt>
                <c:pt idx="3">
                  <c:v>ОЦЕНКА</c:v>
                </c:pt>
                <c:pt idx="4">
                  <c:v> @Risk</c:v>
                </c:pt>
              </c:strCache>
            </c:strRef>
          </c:cat>
          <c:val>
            <c:numRef>
              <c:f>'Для презы СД'!$C$165:$G$165</c:f>
              <c:numCache>
                <c:formatCode>General</c:formatCode>
                <c:ptCount val="5"/>
                <c:pt idx="0">
                  <c:v>354032</c:v>
                </c:pt>
                <c:pt idx="1">
                  <c:v>0</c:v>
                </c:pt>
                <c:pt idx="2">
                  <c:v>0</c:v>
                </c:pt>
                <c:pt idx="3">
                  <c:v>0</c:v>
                </c:pt>
                <c:pt idx="4">
                  <c:v>339578.71216973336</c:v>
                </c:pt>
              </c:numCache>
            </c:numRef>
          </c:val>
          <c:extLst xmlns:c16r2="http://schemas.microsoft.com/office/drawing/2015/06/chart">
            <c:ext xmlns:c16="http://schemas.microsoft.com/office/drawing/2014/chart" uri="{C3380CC4-5D6E-409C-BE32-E72D297353CC}">
              <c16:uniqueId val="{00000004-DDEF-4196-84BB-CF79A5C907DD}"/>
            </c:ext>
          </c:extLst>
        </c:ser>
        <c:dLbls>
          <c:showLegendKey val="0"/>
          <c:showVal val="0"/>
          <c:showCatName val="0"/>
          <c:showSerName val="0"/>
          <c:showPercent val="0"/>
          <c:showBubbleSize val="0"/>
        </c:dLbls>
        <c:gapWidth val="51"/>
        <c:overlap val="-12"/>
        <c:axId val="316516608"/>
        <c:axId val="316522496"/>
        <c:extLst xmlns:c16r2="http://schemas.microsoft.com/office/drawing/2015/06/chart">
          <c:ext xmlns:c15="http://schemas.microsoft.com/office/drawing/2012/chart" uri="{02D57815-91ED-43cb-92C2-25804820EDAC}">
            <c15:filteredBarSeries>
              <c15:ser>
                <c:idx val="1"/>
                <c:order val="1"/>
                <c:tx>
                  <c:strRef>
                    <c:extLst>
                      <c:ext uri="{02D57815-91ED-43cb-92C2-25804820EDAC}">
                        <c15:formulaRef>
                          <c15:sqref>'Для презы СД'!$B$166</c15:sqref>
                        </c15:formulaRef>
                      </c:ext>
                    </c:extLst>
                    <c:strCache>
                      <c:ptCount val="1"/>
                      <c:pt idx="0">
                        <c:v>Объем грузооборота от импорта</c:v>
                      </c:pt>
                    </c:strCache>
                  </c:strRef>
                </c:tx>
                <c:spPr>
                  <a:solidFill>
                    <a:schemeClr val="accent2"/>
                  </a:solidFill>
                  <a:ln>
                    <a:noFill/>
                  </a:ln>
                  <a:effectLst/>
                </c:spPr>
                <c:invertIfNegative val="0"/>
                <c:cat>
                  <c:strRef>
                    <c:extLst>
                      <c:ext uri="{02D57815-91ED-43cb-92C2-25804820EDAC}">
                        <c15:formulaRef>
                          <c15:sqref>'Для презы СД'!$C$164:$G$164</c15:sqref>
                        </c15:formulaRef>
                      </c:ext>
                    </c:extLst>
                    <c:strCache>
                      <c:ptCount val="5"/>
                      <c:pt idx="0">
                        <c:v>ПЛАН / ЦЕЛЬ</c:v>
                      </c:pt>
                      <c:pt idx="1">
                        <c:v>ПОРОГ/ТОЛЕРАНТНОСТЬ</c:v>
                      </c:pt>
                      <c:pt idx="2">
                        <c:v>ФАКТ</c:v>
                      </c:pt>
                      <c:pt idx="3">
                        <c:v>ОЦЕНКА</c:v>
                      </c:pt>
                      <c:pt idx="4">
                        <c:v> @Risk</c:v>
                      </c:pt>
                    </c:strCache>
                  </c:strRef>
                </c:cat>
                <c:val>
                  <c:numRef>
                    <c:extLst>
                      <c:ext uri="{02D57815-91ED-43cb-92C2-25804820EDAC}">
                        <c15:formulaRef>
                          <c15:sqref>'Для презы СД'!$C$166:$G$166</c15:sqref>
                        </c15:formulaRef>
                      </c:ext>
                    </c:extLst>
                    <c:numCache>
                      <c:formatCode>General</c:formatCode>
                      <c:ptCount val="5"/>
                      <c:pt idx="0">
                        <c:v>267833</c:v>
                      </c:pt>
                      <c:pt idx="1">
                        <c:v>0</c:v>
                      </c:pt>
                      <c:pt idx="2">
                        <c:v>0</c:v>
                      </c:pt>
                      <c:pt idx="3">
                        <c:v>0</c:v>
                      </c:pt>
                      <c:pt idx="4">
                        <c:v>267918.75653440494</c:v>
                      </c:pt>
                    </c:numCache>
                  </c:numRef>
                </c:val>
                <c:extLst>
                  <c:ext xmlns:c16="http://schemas.microsoft.com/office/drawing/2014/chart" uri="{C3380CC4-5D6E-409C-BE32-E72D297353CC}">
                    <c16:uniqueId val="{00000005-DDEF-4196-84BB-CF79A5C907DD}"/>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'Для презы СД'!$B$167</c15:sqref>
                        </c15:formulaRef>
                      </c:ext>
                    </c:extLst>
                    <c:strCache>
                      <c:ptCount val="1"/>
                      <c:pt idx="0">
                        <c:v>Объем грузооборота от экспорта</c:v>
                      </c:pt>
                    </c:strCache>
                  </c:strRef>
                </c:tx>
                <c:spPr>
                  <a:solidFill>
                    <a:schemeClr val="accent3"/>
                  </a:solidFill>
                  <a:ln>
                    <a:noFill/>
                  </a:ln>
                  <a:effectLst/>
                </c:spPr>
                <c:invertIfNegative val="0"/>
                <c:cat>
                  <c:strRef>
                    <c:extLst xmlns:c15="http://schemas.microsoft.com/office/drawing/2012/chart">
                      <c:ext xmlns:c15="http://schemas.microsoft.com/office/drawing/2012/chart" uri="{02D57815-91ED-43cb-92C2-25804820EDAC}">
                        <c15:formulaRef>
                          <c15:sqref>'Для презы СД'!$C$164:$G$164</c15:sqref>
                        </c15:formulaRef>
                      </c:ext>
                    </c:extLst>
                    <c:strCache>
                      <c:ptCount val="5"/>
                      <c:pt idx="0">
                        <c:v>ПЛАН / ЦЕЛЬ</c:v>
                      </c:pt>
                      <c:pt idx="1">
                        <c:v>ПОРОГ/ТОЛЕРАНТНОСТЬ</c:v>
                      </c:pt>
                      <c:pt idx="2">
                        <c:v>ФАКТ</c:v>
                      </c:pt>
                      <c:pt idx="3">
                        <c:v>ОЦЕНКА</c:v>
                      </c:pt>
                      <c:pt idx="4">
                        <c:v> @Risk</c:v>
                      </c:pt>
                    </c:strCache>
                  </c:strRef>
                </c:cat>
                <c:val>
                  <c:numRef>
                    <c:extLst xmlns:c15="http://schemas.microsoft.com/office/drawing/2012/chart">
                      <c:ext xmlns:c15="http://schemas.microsoft.com/office/drawing/2012/chart" uri="{02D57815-91ED-43cb-92C2-25804820EDAC}">
                        <c15:formulaRef>
                          <c15:sqref>'Для презы СД'!$C$167:$G$167</c15:sqref>
                        </c15:formulaRef>
                      </c:ext>
                    </c:extLst>
                    <c:numCache>
                      <c:formatCode>General</c:formatCode>
                      <c:ptCount val="5"/>
                      <c:pt idx="0">
                        <c:v>150762</c:v>
                      </c:pt>
                      <c:pt idx="1">
                        <c:v>0</c:v>
                      </c:pt>
                      <c:pt idx="2">
                        <c:v>0</c:v>
                      </c:pt>
                      <c:pt idx="3">
                        <c:v>0</c:v>
                      </c:pt>
                      <c:pt idx="4">
                        <c:v>141369.5302500985</c:v>
                      </c:pt>
                    </c:numCache>
                  </c:numRef>
                </c:val>
                <c:extLst xmlns:c15="http://schemas.microsoft.com/office/drawing/2012/chart">
                  <c:ext xmlns:c16="http://schemas.microsoft.com/office/drawing/2014/chart" uri="{C3380CC4-5D6E-409C-BE32-E72D297353CC}">
                    <c16:uniqueId val="{00000006-DDEF-4196-84BB-CF79A5C907DD}"/>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'Для презы СД'!$B$168</c15:sqref>
                        </c15:formulaRef>
                      </c:ext>
                    </c:extLst>
                    <c:strCache>
                      <c:ptCount val="1"/>
                      <c:pt idx="0">
                        <c:v>Объем транзитного грузооборота</c:v>
                      </c:pt>
                    </c:strCache>
                  </c:strRef>
                </c:tx>
                <c:spPr>
                  <a:solidFill>
                    <a:schemeClr val="accent4"/>
                  </a:solidFill>
                  <a:ln>
                    <a:noFill/>
                  </a:ln>
                  <a:effectLst/>
                </c:spPr>
                <c:invertIfNegative val="0"/>
                <c:cat>
                  <c:strRef>
                    <c:extLst xmlns:c15="http://schemas.microsoft.com/office/drawing/2012/chart">
                      <c:ext xmlns:c15="http://schemas.microsoft.com/office/drawing/2012/chart" uri="{02D57815-91ED-43cb-92C2-25804820EDAC}">
                        <c15:formulaRef>
                          <c15:sqref>'Для презы СД'!$C$164:$G$164</c15:sqref>
                        </c15:formulaRef>
                      </c:ext>
                    </c:extLst>
                    <c:strCache>
                      <c:ptCount val="5"/>
                      <c:pt idx="0">
                        <c:v>ПЛАН / ЦЕЛЬ</c:v>
                      </c:pt>
                      <c:pt idx="1">
                        <c:v>ПОРОГ/ТОЛЕРАНТНОСТЬ</c:v>
                      </c:pt>
                      <c:pt idx="2">
                        <c:v>ФАКТ</c:v>
                      </c:pt>
                      <c:pt idx="3">
                        <c:v>ОЦЕНКА</c:v>
                      </c:pt>
                      <c:pt idx="4">
                        <c:v> @Risk</c:v>
                      </c:pt>
                    </c:strCache>
                  </c:strRef>
                </c:cat>
                <c:val>
                  <c:numRef>
                    <c:extLst xmlns:c15="http://schemas.microsoft.com/office/drawing/2012/chart">
                      <c:ext xmlns:c15="http://schemas.microsoft.com/office/drawing/2012/chart" uri="{02D57815-91ED-43cb-92C2-25804820EDAC}">
                        <c15:formulaRef>
                          <c15:sqref>'Для презы СД'!$C$168:$G$168</c15:sqref>
                        </c15:formulaRef>
                      </c:ext>
                    </c:extLst>
                    <c:numCache>
                      <c:formatCode>General</c:formatCode>
                      <c:ptCount val="5"/>
                      <c:pt idx="0">
                        <c:v>478897</c:v>
                      </c:pt>
                      <c:pt idx="1">
                        <c:v>0</c:v>
                      </c:pt>
                      <c:pt idx="2">
                        <c:v>0</c:v>
                      </c:pt>
                      <c:pt idx="3">
                        <c:v>0</c:v>
                      </c:pt>
                      <c:pt idx="4">
                        <c:v>477804.40492756461</c:v>
                      </c:pt>
                    </c:numCache>
                  </c:numRef>
                </c:val>
                <c:extLst xmlns:c15="http://schemas.microsoft.com/office/drawing/2012/chart">
                  <c:ext xmlns:c16="http://schemas.microsoft.com/office/drawing/2014/chart" uri="{C3380CC4-5D6E-409C-BE32-E72D297353CC}">
                    <c16:uniqueId val="{00000007-DDEF-4196-84BB-CF79A5C907DD}"/>
                  </c:ext>
                </c:extLst>
              </c15:ser>
            </c15:filteredBarSeries>
          </c:ext>
        </c:extLst>
      </c:barChart>
      <c:catAx>
        <c:axId val="316516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ru-RU"/>
          </a:p>
        </c:txPr>
        <c:crossAx val="316522496"/>
        <c:crosses val="autoZero"/>
        <c:auto val="1"/>
        <c:lblAlgn val="ctr"/>
        <c:lblOffset val="100"/>
        <c:noMultiLvlLbl val="0"/>
      </c:catAx>
      <c:valAx>
        <c:axId val="31652249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3165166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none" spc="50" normalizeH="0" baseline="0">
                <a:solidFill>
                  <a:schemeClr val="tx1">
                    <a:lumMod val="65000"/>
                    <a:lumOff val="35000"/>
                  </a:schemeClr>
                </a:solidFill>
                <a:latin typeface="+mj-lt"/>
                <a:ea typeface="+mj-ea"/>
                <a:cs typeface="+mj-cs"/>
              </a:defRPr>
            </a:pPr>
            <a:r>
              <a:rPr lang="en-US" sz="1600" b="1" i="0" u="none" strike="noStrike" cap="none" normalizeH="0" baseline="0"/>
              <a:t>Income of freight turnover, mln KZT</a:t>
            </a:r>
            <a:endParaRPr lang="ru-RU" sz="1400" b="1">
              <a:effectLst/>
            </a:endParaRPr>
          </a:p>
        </c:rich>
      </c:tx>
      <c:layout>
        <c:manualLayout>
          <c:xMode val="edge"/>
          <c:yMode val="edge"/>
          <c:x val="0.34433002982031152"/>
          <c:y val="2.3496601675483588E-2"/>
        </c:manualLayout>
      </c:layout>
      <c:overlay val="0"/>
      <c:spPr>
        <a:noFill/>
        <a:ln>
          <a:noFill/>
        </a:ln>
        <a:effectLst/>
      </c:spPr>
    </c:title>
    <c:autoTitleDeleted val="0"/>
    <c:plotArea>
      <c:layout>
        <c:manualLayout>
          <c:layoutTarget val="inner"/>
          <c:xMode val="edge"/>
          <c:yMode val="edge"/>
          <c:x val="6.9749492079243913E-2"/>
          <c:y val="9.1258827469449966E-2"/>
          <c:w val="0.82742273351521967"/>
          <c:h val="0.67918151815903371"/>
        </c:manualLayout>
      </c:layout>
      <c:barChart>
        <c:barDir val="col"/>
        <c:grouping val="clustered"/>
        <c:varyColors val="0"/>
        <c:ser>
          <c:idx val="7"/>
          <c:order val="0"/>
          <c:tx>
            <c:strRef>
              <c:f>'data dash'!$F$6</c:f>
              <c:strCache>
                <c:ptCount val="1"/>
                <c:pt idx="0">
                  <c:v>PLAN 2021</c:v>
                </c:pt>
              </c:strCache>
            </c:strRef>
          </c:tx>
          <c:spPr>
            <a:gradFill flip="none" rotWithShape="1">
              <a:gsLst>
                <a:gs pos="0">
                  <a:schemeClr val="accent1">
                    <a:lumMod val="60000"/>
                    <a:lumOff val="40000"/>
                    <a:shade val="30000"/>
                    <a:satMod val="115000"/>
                  </a:schemeClr>
                </a:gs>
                <a:gs pos="50000">
                  <a:schemeClr val="accent1">
                    <a:lumMod val="60000"/>
                    <a:lumOff val="40000"/>
                    <a:shade val="67500"/>
                    <a:satMod val="115000"/>
                  </a:schemeClr>
                </a:gs>
                <a:gs pos="100000">
                  <a:schemeClr val="accent1">
                    <a:lumMod val="60000"/>
                    <a:lumOff val="40000"/>
                    <a:shade val="100000"/>
                    <a:satMod val="115000"/>
                  </a:schemeClr>
                </a:gs>
              </a:gsLst>
              <a:lin ang="162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ru-RU"/>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'data dash'!$D$7:$E$10</c:f>
              <c:strCache>
                <c:ptCount val="4"/>
                <c:pt idx="0">
                  <c:v>Income of intra-republican cargo turnover</c:v>
                </c:pt>
                <c:pt idx="1">
                  <c:v>Income of freight turnover from exports</c:v>
                </c:pt>
                <c:pt idx="2">
                  <c:v>Income of freight turnover from imports</c:v>
                </c:pt>
                <c:pt idx="3">
                  <c:v>Income of transit cargo turnover</c:v>
                </c:pt>
              </c:strCache>
            </c:strRef>
          </c:cat>
          <c:val>
            <c:numRef>
              <c:f>'data dash'!$F$7:$F$10</c:f>
              <c:numCache>
                <c:formatCode>_-* #,##0\ _₽_-;\-* #,##0\ _₽_-;_-* "-"??\ _₽_-;_-@_-</c:formatCode>
                <c:ptCount val="4"/>
                <c:pt idx="0">
                  <c:v>288059.25174154597</c:v>
                </c:pt>
                <c:pt idx="1">
                  <c:v>187524.44197122741</c:v>
                </c:pt>
                <c:pt idx="2">
                  <c:v>123185.71367862579</c:v>
                </c:pt>
                <c:pt idx="3">
                  <c:v>430341.17441825388</c:v>
                </c:pt>
              </c:numCache>
            </c:numRef>
          </c:val>
          <c:extLst xmlns:c16r2="http://schemas.microsoft.com/office/drawing/2015/06/chart">
            <c:ext xmlns:c16="http://schemas.microsoft.com/office/drawing/2014/chart" uri="{C3380CC4-5D6E-409C-BE32-E72D297353CC}">
              <c16:uniqueId val="{00000000-F737-45FE-9ECF-E18907F9C66A}"/>
            </c:ext>
          </c:extLst>
        </c:ser>
        <c:ser>
          <c:idx val="8"/>
          <c:order val="1"/>
          <c:tx>
            <c:strRef>
              <c:f>'data dash'!$G$6</c:f>
              <c:strCache>
                <c:ptCount val="1"/>
                <c:pt idx="0">
                  <c:v>PLAN 6mnth</c:v>
                </c:pt>
              </c:strCache>
            </c:strRef>
          </c:tx>
          <c:spPr>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ru-RU"/>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'data dash'!$D$7:$E$10</c:f>
              <c:strCache>
                <c:ptCount val="4"/>
                <c:pt idx="0">
                  <c:v>Income of intra-republican cargo turnover</c:v>
                </c:pt>
                <c:pt idx="1">
                  <c:v>Income of freight turnover from exports</c:v>
                </c:pt>
                <c:pt idx="2">
                  <c:v>Income of freight turnover from imports</c:v>
                </c:pt>
                <c:pt idx="3">
                  <c:v>Income of transit cargo turnover</c:v>
                </c:pt>
              </c:strCache>
            </c:strRef>
          </c:cat>
          <c:val>
            <c:numRef>
              <c:f>'data dash'!$G$7:$G$10</c:f>
              <c:numCache>
                <c:formatCode>_-* #,##0\ _₽_-;\-* #,##0\ _₽_-;_-* "-"??\ _₽_-;_-@_-</c:formatCode>
                <c:ptCount val="4"/>
                <c:pt idx="0">
                  <c:v>140760.77955850679</c:v>
                </c:pt>
                <c:pt idx="1">
                  <c:v>92406.414373516905</c:v>
                </c:pt>
                <c:pt idx="2">
                  <c:v>61802.816531905519</c:v>
                </c:pt>
                <c:pt idx="3">
                  <c:v>207206.27599795914</c:v>
                </c:pt>
              </c:numCache>
            </c:numRef>
          </c:val>
          <c:extLst xmlns:c16r2="http://schemas.microsoft.com/office/drawing/2015/06/chart" xmlns:c15="http://schemas.microsoft.com/office/drawing/2012/chart">
            <c:ext xmlns:c16="http://schemas.microsoft.com/office/drawing/2014/chart" uri="{C3380CC4-5D6E-409C-BE32-E72D297353CC}">
              <c16:uniqueId val="{00000001-F737-45FE-9ECF-E18907F9C66A}"/>
            </c:ext>
          </c:extLst>
        </c:ser>
        <c:ser>
          <c:idx val="10"/>
          <c:order val="2"/>
          <c:tx>
            <c:strRef>
              <c:f>'data dash'!$H$6</c:f>
              <c:strCache>
                <c:ptCount val="1"/>
                <c:pt idx="0">
                  <c:v>FACT 6 mnth</c:v>
                </c:pt>
              </c:strCache>
            </c:strRef>
          </c:tx>
          <c:spPr>
            <a:gradFill flip="none" rotWithShape="1">
              <a:gsLst>
                <a:gs pos="0">
                  <a:schemeClr val="accent6">
                    <a:shade val="30000"/>
                    <a:satMod val="115000"/>
                  </a:schemeClr>
                </a:gs>
                <a:gs pos="50000">
                  <a:schemeClr val="accent6">
                    <a:shade val="67500"/>
                    <a:satMod val="115000"/>
                  </a:schemeClr>
                </a:gs>
                <a:gs pos="100000">
                  <a:schemeClr val="accent6">
                    <a:shade val="100000"/>
                    <a:satMod val="115000"/>
                  </a:schemeClr>
                </a:gs>
              </a:gsLst>
              <a:lin ang="162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ru-RU"/>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'data dash'!$D$7:$E$10</c:f>
              <c:strCache>
                <c:ptCount val="4"/>
                <c:pt idx="0">
                  <c:v>Income of intra-republican cargo turnover</c:v>
                </c:pt>
                <c:pt idx="1">
                  <c:v>Income of freight turnover from exports</c:v>
                </c:pt>
                <c:pt idx="2">
                  <c:v>Income of freight turnover from imports</c:v>
                </c:pt>
                <c:pt idx="3">
                  <c:v>Income of transit cargo turnover</c:v>
                </c:pt>
              </c:strCache>
            </c:strRef>
          </c:cat>
          <c:val>
            <c:numRef>
              <c:f>'data dash'!$H$7:$H$10</c:f>
              <c:numCache>
                <c:formatCode>#,##0_ ;\-#,##0\ </c:formatCode>
                <c:ptCount val="4"/>
                <c:pt idx="0">
                  <c:v>126414.25486376556</c:v>
                </c:pt>
                <c:pt idx="1">
                  <c:v>97675.154960150016</c:v>
                </c:pt>
                <c:pt idx="2">
                  <c:v>66096.671018110006</c:v>
                </c:pt>
                <c:pt idx="3">
                  <c:v>210522.15690634001</c:v>
                </c:pt>
              </c:numCache>
            </c:numRef>
          </c:val>
          <c:extLst xmlns:c16r2="http://schemas.microsoft.com/office/drawing/2015/06/chart">
            <c:ext xmlns:c16="http://schemas.microsoft.com/office/drawing/2014/chart" uri="{C3380CC4-5D6E-409C-BE32-E72D297353CC}">
              <c16:uniqueId val="{00000002-F737-45FE-9ECF-E18907F9C66A}"/>
            </c:ext>
          </c:extLst>
        </c:ser>
        <c:ser>
          <c:idx val="9"/>
          <c:order val="3"/>
          <c:tx>
            <c:strRef>
              <c:f>'data dash'!$I$6</c:f>
              <c:strCache>
                <c:ptCount val="1"/>
                <c:pt idx="0">
                  <c:v>PLAN 2021 @RISK</c:v>
                </c:pt>
              </c:strCache>
            </c:strRef>
          </c:tx>
          <c:spPr>
            <a:gradFill flip="none" rotWithShape="1">
              <a:gsLst>
                <a:gs pos="0">
                  <a:srgbClr val="FFC000">
                    <a:shade val="30000"/>
                    <a:satMod val="115000"/>
                  </a:srgbClr>
                </a:gs>
                <a:gs pos="50000">
                  <a:srgbClr val="FFC000">
                    <a:shade val="67500"/>
                    <a:satMod val="115000"/>
                  </a:srgbClr>
                </a:gs>
                <a:gs pos="100000">
                  <a:srgbClr val="FFC000">
                    <a:shade val="100000"/>
                    <a:satMod val="115000"/>
                  </a:srgbClr>
                </a:gs>
              </a:gsLst>
              <a:lin ang="162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ru-RU"/>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'data dash'!$D$7:$E$10</c:f>
              <c:strCache>
                <c:ptCount val="4"/>
                <c:pt idx="0">
                  <c:v>Income of intra-republican cargo turnover</c:v>
                </c:pt>
                <c:pt idx="1">
                  <c:v>Income of freight turnover from exports</c:v>
                </c:pt>
                <c:pt idx="2">
                  <c:v>Income of freight turnover from imports</c:v>
                </c:pt>
                <c:pt idx="3">
                  <c:v>Income of transit cargo turnover</c:v>
                </c:pt>
              </c:strCache>
            </c:strRef>
          </c:cat>
          <c:val>
            <c:numRef>
              <c:f>'data dash'!$I$7:$I$10</c:f>
              <c:numCache>
                <c:formatCode>_-* #,##0\ _₽_-;\-* #,##0\ _₽_-;_-* "-"??\ _₽_-;_-@_-</c:formatCode>
                <c:ptCount val="4"/>
                <c:pt idx="0">
                  <c:v>339578.71216973336</c:v>
                </c:pt>
                <c:pt idx="1">
                  <c:v>141369.5302500985</c:v>
                </c:pt>
                <c:pt idx="2">
                  <c:v>267918.75653440494</c:v>
                </c:pt>
                <c:pt idx="3">
                  <c:v>477804.40492756461</c:v>
                </c:pt>
              </c:numCache>
            </c:numRef>
          </c:val>
          <c:extLst xmlns:c16r2="http://schemas.microsoft.com/office/drawing/2015/06/chart">
            <c:ext xmlns:c16="http://schemas.microsoft.com/office/drawing/2014/chart" uri="{C3380CC4-5D6E-409C-BE32-E72D297353CC}">
              <c16:uniqueId val="{00000003-F737-45FE-9ECF-E18907F9C66A}"/>
            </c:ext>
          </c:extLst>
        </c:ser>
        <c:dLbls>
          <c:showLegendKey val="0"/>
          <c:showVal val="0"/>
          <c:showCatName val="0"/>
          <c:showSerName val="0"/>
          <c:showPercent val="0"/>
          <c:showBubbleSize val="0"/>
        </c:dLbls>
        <c:gapWidth val="31"/>
        <c:overlap val="25"/>
        <c:axId val="314510720"/>
        <c:axId val="314512512"/>
        <c:extLst xmlns:c16r2="http://schemas.microsoft.com/office/drawing/2015/06/chart">
          <c:ext xmlns:c15="http://schemas.microsoft.com/office/drawing/2012/chart" uri="{02D57815-91ED-43cb-92C2-25804820EDAC}">
            <c15:filteredBarSeries>
              <c15:ser>
                <c:idx val="0"/>
                <c:order val="0"/>
                <c:tx>
                  <c:strRef>
                    <c:extLst>
                      <c:ext uri="{02D57815-91ED-43cb-92C2-25804820EDAC}">
                        <c15:formulaRef>
                          <c15:sqref>'data dash'!#REF!</c15:sqref>
                        </c15:formulaRef>
                      </c:ext>
                    </c:extLst>
                    <c:strCache>
                      <c:ptCount val="1"/>
                      <c:pt idx="0">
                        <c:v>#REF!</c:v>
                      </c:pt>
                    </c:strCache>
                  </c:strRef>
                </c:tx>
                <c:spPr>
                  <a:solidFill>
                    <a:schemeClr val="accent1">
                      <a:alpha val="70000"/>
                    </a:schemeClr>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ru-RU"/>
                    </a:p>
                  </c:txPr>
                  <c:showLegendKey val="0"/>
                  <c:showVal val="1"/>
                  <c:showCatName val="0"/>
                  <c:showSerName val="0"/>
                  <c:showPercent val="0"/>
                  <c:showBubbleSize val="0"/>
                  <c:showLeaderLines val="0"/>
                  <c:extLst>
                    <c:ext uri="{CE6537A1-D6FC-4f65-9D91-7224C49458BB}">
                      <c15:showLeaderLines val="0"/>
                    </c:ext>
                  </c:extLst>
                </c:dLbls>
                <c:cat>
                  <c:strRef>
                    <c:extLst>
                      <c:ext uri="{02D57815-91ED-43cb-92C2-25804820EDAC}">
                        <c15:formulaRef>
                          <c15:sqref>'data dash'!$D$7:$E$10</c15:sqref>
                        </c15:formulaRef>
                      </c:ext>
                    </c:extLst>
                    <c:strCache>
                      <c:ptCount val="4"/>
                      <c:pt idx="0">
                        <c:v>Income of intra-republican cargo turnover</c:v>
                      </c:pt>
                      <c:pt idx="1">
                        <c:v>Income of freight turnover from exports</c:v>
                      </c:pt>
                      <c:pt idx="2">
                        <c:v>Income of freight turnover from imports</c:v>
                      </c:pt>
                      <c:pt idx="3">
                        <c:v>Income of transit cargo turnover</c:v>
                      </c:pt>
                    </c:strCache>
                  </c:strRef>
                </c:cat>
                <c:val>
                  <c:numRef>
                    <c:extLst>
                      <c:ext uri="{02D57815-91ED-43cb-92C2-25804820EDAC}">
                        <c15:formulaRef>
                          <c15:sqref>'data dash'!#REF!</c15:sqref>
                        </c15:formulaRef>
                      </c:ext>
                    </c:extLst>
                    <c:numCache>
                      <c:formatCode>General</c:formatCode>
                      <c:ptCount val="1"/>
                      <c:pt idx="0">
                        <c:v>1</c:v>
                      </c:pt>
                    </c:numCache>
                  </c:numRef>
                </c:val>
                <c:extLst>
                  <c:ext xmlns:c16="http://schemas.microsoft.com/office/drawing/2014/chart" uri="{C3380CC4-5D6E-409C-BE32-E72D297353CC}">
                    <c16:uniqueId val="{00000004-F737-45FE-9ECF-E18907F9C66A}"/>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'data dash'!#REF!</c15:sqref>
                        </c15:formulaRef>
                      </c:ext>
                    </c:extLst>
                    <c:strCache>
                      <c:ptCount val="1"/>
                      <c:pt idx="0">
                        <c:v>#REF!</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xmlns:c15="http://schemas.microsoft.com/office/drawing/2012/chart">
                      <c:ext xmlns:c15="http://schemas.microsoft.com/office/drawing/2012/chart" uri="{02D57815-91ED-43cb-92C2-25804820EDAC}">
                        <c15:formulaRef>
                          <c15:sqref>'data dash'!$D$7:$E$10</c15:sqref>
                        </c15:formulaRef>
                      </c:ext>
                    </c:extLst>
                    <c:strCache>
                      <c:ptCount val="4"/>
                      <c:pt idx="0">
                        <c:v>Income of intra-republican cargo turnover</c:v>
                      </c:pt>
                      <c:pt idx="1">
                        <c:v>Income of freight turnover from exports</c:v>
                      </c:pt>
                      <c:pt idx="2">
                        <c:v>Income of freight turnover from imports</c:v>
                      </c:pt>
                      <c:pt idx="3">
                        <c:v>Income of transit cargo turnover</c:v>
                      </c:pt>
                    </c:strCache>
                  </c:strRef>
                </c:cat>
                <c:val>
                  <c:numRef>
                    <c:extLst xmlns:c15="http://schemas.microsoft.com/office/drawing/2012/chart">
                      <c:ext xmlns:c15="http://schemas.microsoft.com/office/drawing/2012/chart" uri="{02D57815-91ED-43cb-92C2-25804820EDAC}">
                        <c15:formulaRef>
                          <c15:sqref>'data dash'!#REF!</c15:sqref>
                        </c15:formulaRef>
                      </c:ext>
                    </c:extLst>
                    <c:numCache>
                      <c:formatCode>General</c:formatCode>
                      <c:ptCount val="1"/>
                      <c:pt idx="0">
                        <c:v>1</c:v>
                      </c:pt>
                    </c:numCache>
                  </c:numRef>
                </c:val>
                <c:extLst xmlns:c15="http://schemas.microsoft.com/office/drawing/2012/chart">
                  <c:ext xmlns:c16="http://schemas.microsoft.com/office/drawing/2014/chart" uri="{C3380CC4-5D6E-409C-BE32-E72D297353CC}">
                    <c16:uniqueId val="{00000005-F737-45FE-9ECF-E18907F9C66A}"/>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'data dash'!#REF!</c15:sqref>
                        </c15:formulaRef>
                      </c:ext>
                    </c:extLst>
                    <c:strCache>
                      <c:ptCount val="1"/>
                      <c:pt idx="0">
                        <c:v>#REF!</c:v>
                      </c:pt>
                    </c:strCache>
                  </c:strRef>
                </c:tx>
                <c:spPr>
                  <a:solidFill>
                    <a:schemeClr val="accent3">
                      <a:alpha val="70000"/>
                    </a:schemeClr>
                  </a:solidFill>
                  <a:ln>
                    <a:noFill/>
                  </a:ln>
                  <a:effectLst/>
                </c:spPr>
                <c:invertIfNegative val="0"/>
                <c:dLbls>
                  <c:dLbl>
                    <c:idx val="0"/>
                    <c:layout>
                      <c:manualLayout>
                        <c:x val="-1.3509458376029073E-3"/>
                        <c:y val="-7.7919645567331192E-2"/>
                      </c:manualLayout>
                    </c:layout>
                    <c:showLegendKey val="0"/>
                    <c:showVal val="1"/>
                    <c:showCatName val="0"/>
                    <c:showSerName val="0"/>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6-F737-45FE-9ECF-E18907F9C66A}"/>
                      </c:ext>
                    </c:extLst>
                  </c:dLbl>
                  <c:dLbl>
                    <c:idx val="1"/>
                    <c:layout>
                      <c:manualLayout>
                        <c:x val="-4.9534108489858412E-17"/>
                        <c:y val="-5.331344170396355E-2"/>
                      </c:manualLayout>
                    </c:layout>
                    <c:showLegendKey val="0"/>
                    <c:showVal val="1"/>
                    <c:showCatName val="0"/>
                    <c:showSerName val="0"/>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F737-45FE-9ECF-E18907F9C66A}"/>
                      </c:ext>
                    </c:extLst>
                  </c:dLbl>
                  <c:dLbl>
                    <c:idx val="2"/>
                    <c:layout>
                      <c:manualLayout>
                        <c:x val="0"/>
                        <c:y val="-1.6404135908911911E-2"/>
                      </c:manualLayout>
                    </c:layout>
                    <c:showLegendKey val="0"/>
                    <c:showVal val="1"/>
                    <c:showCatName val="0"/>
                    <c:showSerName val="0"/>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8-F737-45FE-9ECF-E18907F9C66A}"/>
                      </c:ext>
                    </c:extLst>
                  </c:dLbl>
                  <c:dLbl>
                    <c:idx val="3"/>
                    <c:layout>
                      <c:manualLayout>
                        <c:x val="-4.0528375128088207E-3"/>
                        <c:y val="-9.8424815453471023E-2"/>
                      </c:manualLayout>
                    </c:layout>
                    <c:showLegendKey val="0"/>
                    <c:showVal val="1"/>
                    <c:showCatName val="0"/>
                    <c:showSerName val="0"/>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9-F737-45FE-9ECF-E18907F9C66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xmlns:c15="http://schemas.microsoft.com/office/drawing/2012/chart">
                      <c:ext xmlns:c15="http://schemas.microsoft.com/office/drawing/2012/chart" uri="{02D57815-91ED-43cb-92C2-25804820EDAC}">
                        <c15:formulaRef>
                          <c15:sqref>'data dash'!$D$7:$E$10</c15:sqref>
                        </c15:formulaRef>
                      </c:ext>
                    </c:extLst>
                    <c:strCache>
                      <c:ptCount val="4"/>
                      <c:pt idx="0">
                        <c:v>Income of intra-republican cargo turnover</c:v>
                      </c:pt>
                      <c:pt idx="1">
                        <c:v>Income of freight turnover from exports</c:v>
                      </c:pt>
                      <c:pt idx="2">
                        <c:v>Income of freight turnover from imports</c:v>
                      </c:pt>
                      <c:pt idx="3">
                        <c:v>Income of transit cargo turnover</c:v>
                      </c:pt>
                    </c:strCache>
                  </c:strRef>
                </c:cat>
                <c:val>
                  <c:numRef>
                    <c:extLst xmlns:c15="http://schemas.microsoft.com/office/drawing/2012/chart">
                      <c:ext xmlns:c15="http://schemas.microsoft.com/office/drawing/2012/chart" uri="{02D57815-91ED-43cb-92C2-25804820EDAC}">
                        <c15:formulaRef>
                          <c15:sqref>'data dash'!#REF!</c15:sqref>
                        </c15:formulaRef>
                      </c:ext>
                    </c:extLst>
                    <c:numCache>
                      <c:formatCode>General</c:formatCode>
                      <c:ptCount val="1"/>
                      <c:pt idx="0">
                        <c:v>1</c:v>
                      </c:pt>
                    </c:numCache>
                  </c:numRef>
                </c:val>
                <c:extLst xmlns:c15="http://schemas.microsoft.com/office/drawing/2012/chart">
                  <c:ext xmlns:c16="http://schemas.microsoft.com/office/drawing/2014/chart" uri="{C3380CC4-5D6E-409C-BE32-E72D297353CC}">
                    <c16:uniqueId val="{0000000A-F737-45FE-9ECF-E18907F9C66A}"/>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'data dash'!#REF!</c15:sqref>
                        </c15:formulaRef>
                      </c:ext>
                    </c:extLst>
                    <c:strCache>
                      <c:ptCount val="1"/>
                      <c:pt idx="0">
                        <c:v>#REF!</c:v>
                      </c:pt>
                    </c:strCache>
                  </c:strRef>
                </c:tx>
                <c:spPr>
                  <a:solidFill>
                    <a:schemeClr val="accent4">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ru-RU"/>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xmlns:c15="http://schemas.microsoft.com/office/drawing/2012/chart">
                      <c:ext xmlns:c15="http://schemas.microsoft.com/office/drawing/2012/chart" uri="{02D57815-91ED-43cb-92C2-25804820EDAC}">
                        <c15:formulaRef>
                          <c15:sqref>'data dash'!$D$7:$E$10</c15:sqref>
                        </c15:formulaRef>
                      </c:ext>
                    </c:extLst>
                    <c:strCache>
                      <c:ptCount val="4"/>
                      <c:pt idx="0">
                        <c:v>Income of intra-republican cargo turnover</c:v>
                      </c:pt>
                      <c:pt idx="1">
                        <c:v>Income of freight turnover from exports</c:v>
                      </c:pt>
                      <c:pt idx="2">
                        <c:v>Income of freight turnover from imports</c:v>
                      </c:pt>
                      <c:pt idx="3">
                        <c:v>Income of transit cargo turnover</c:v>
                      </c:pt>
                    </c:strCache>
                  </c:strRef>
                </c:cat>
                <c:val>
                  <c:numRef>
                    <c:extLst xmlns:c15="http://schemas.microsoft.com/office/drawing/2012/chart">
                      <c:ext xmlns:c15="http://schemas.microsoft.com/office/drawing/2012/chart" uri="{02D57815-91ED-43cb-92C2-25804820EDAC}">
                        <c15:formulaRef>
                          <c15:sqref>'data dash'!#REF!</c15:sqref>
                        </c15:formulaRef>
                      </c:ext>
                    </c:extLst>
                    <c:numCache>
                      <c:formatCode>General</c:formatCode>
                      <c:ptCount val="1"/>
                      <c:pt idx="0">
                        <c:v>1</c:v>
                      </c:pt>
                    </c:numCache>
                  </c:numRef>
                </c:val>
                <c:extLst xmlns:c15="http://schemas.microsoft.com/office/drawing/2012/chart">
                  <c:ext xmlns:c16="http://schemas.microsoft.com/office/drawing/2014/chart" uri="{C3380CC4-5D6E-409C-BE32-E72D297353CC}">
                    <c16:uniqueId val="{0000000B-F737-45FE-9ECF-E18907F9C66A}"/>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'data dash'!$J$6</c15:sqref>
                        </c15:formulaRef>
                      </c:ext>
                    </c:extLst>
                    <c:strCache>
                      <c:ptCount val="1"/>
                      <c:pt idx="0">
                        <c:v>Факт/План</c:v>
                      </c:pt>
                    </c:strCache>
                  </c:strRef>
                </c:tx>
                <c:spPr>
                  <a:solidFill>
                    <a:schemeClr val="accent5">
                      <a:alpha val="70000"/>
                    </a:schemeClr>
                  </a:solidFill>
                  <a:ln>
                    <a:noFill/>
                  </a:ln>
                  <a:effectLst/>
                </c:spPr>
                <c:invertIfNegative val="0"/>
                <c:cat>
                  <c:strRef>
                    <c:extLst xmlns:c15="http://schemas.microsoft.com/office/drawing/2012/chart">
                      <c:ext xmlns:c15="http://schemas.microsoft.com/office/drawing/2012/chart" uri="{02D57815-91ED-43cb-92C2-25804820EDAC}">
                        <c15:formulaRef>
                          <c15:sqref>'data dash'!$D$7:$E$10</c15:sqref>
                        </c15:formulaRef>
                      </c:ext>
                    </c:extLst>
                    <c:strCache>
                      <c:ptCount val="4"/>
                      <c:pt idx="0">
                        <c:v>Income of intra-republican cargo turnover</c:v>
                      </c:pt>
                      <c:pt idx="1">
                        <c:v>Income of freight turnover from exports</c:v>
                      </c:pt>
                      <c:pt idx="2">
                        <c:v>Income of freight turnover from imports</c:v>
                      </c:pt>
                      <c:pt idx="3">
                        <c:v>Income of transit cargo turnover</c:v>
                      </c:pt>
                    </c:strCache>
                  </c:strRef>
                </c:cat>
                <c:val>
                  <c:numRef>
                    <c:extLst xmlns:c15="http://schemas.microsoft.com/office/drawing/2012/chart">
                      <c:ext xmlns:c15="http://schemas.microsoft.com/office/drawing/2012/chart" uri="{02D57815-91ED-43cb-92C2-25804820EDAC}">
                        <c15:formulaRef>
                          <c15:sqref>'data dash'!$J$7:$J$10</c15:sqref>
                        </c15:formulaRef>
                      </c:ext>
                    </c:extLst>
                    <c:numCache>
                      <c:formatCode>0%</c:formatCode>
                      <c:ptCount val="4"/>
                      <c:pt idx="0">
                        <c:v>0.89807867830983312</c:v>
                      </c:pt>
                      <c:pt idx="1">
                        <c:v>1.0570170439179285</c:v>
                      </c:pt>
                      <c:pt idx="2">
                        <c:v>1.0694766796588921</c:v>
                      </c:pt>
                      <c:pt idx="3">
                        <c:v>1.0160028015194555</c:v>
                      </c:pt>
                    </c:numCache>
                  </c:numRef>
                </c:val>
                <c:extLst xmlns:c15="http://schemas.microsoft.com/office/drawing/2012/chart">
                  <c:ext xmlns:c16="http://schemas.microsoft.com/office/drawing/2014/chart" uri="{C3380CC4-5D6E-409C-BE32-E72D297353CC}">
                    <c16:uniqueId val="{0000000C-F737-45FE-9ECF-E18907F9C66A}"/>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'data dash'!$K$6</c15:sqref>
                        </c15:formulaRef>
                      </c:ext>
                    </c:extLst>
                    <c:strCache>
                      <c:ptCount val="1"/>
                      <c:pt idx="0">
                        <c:v>Факт/План@Risk</c:v>
                      </c:pt>
                    </c:strCache>
                  </c:strRef>
                </c:tx>
                <c:spPr>
                  <a:solidFill>
                    <a:schemeClr val="accent6">
                      <a:alpha val="70000"/>
                    </a:schemeClr>
                  </a:solidFill>
                  <a:ln>
                    <a:noFill/>
                  </a:ln>
                  <a:effectLst/>
                </c:spPr>
                <c:invertIfNegative val="0"/>
                <c:cat>
                  <c:strRef>
                    <c:extLst xmlns:c15="http://schemas.microsoft.com/office/drawing/2012/chart">
                      <c:ext xmlns:c15="http://schemas.microsoft.com/office/drawing/2012/chart" uri="{02D57815-91ED-43cb-92C2-25804820EDAC}">
                        <c15:formulaRef>
                          <c15:sqref>'data dash'!$D$7:$E$10</c15:sqref>
                        </c15:formulaRef>
                      </c:ext>
                    </c:extLst>
                    <c:strCache>
                      <c:ptCount val="4"/>
                      <c:pt idx="0">
                        <c:v>Income of intra-republican cargo turnover</c:v>
                      </c:pt>
                      <c:pt idx="1">
                        <c:v>Income of freight turnover from exports</c:v>
                      </c:pt>
                      <c:pt idx="2">
                        <c:v>Income of freight turnover from imports</c:v>
                      </c:pt>
                      <c:pt idx="3">
                        <c:v>Income of transit cargo turnover</c:v>
                      </c:pt>
                    </c:strCache>
                  </c:strRef>
                </c:cat>
                <c:val>
                  <c:numRef>
                    <c:extLst xmlns:c15="http://schemas.microsoft.com/office/drawing/2012/chart">
                      <c:ext xmlns:c15="http://schemas.microsoft.com/office/drawing/2012/chart" uri="{02D57815-91ED-43cb-92C2-25804820EDAC}">
                        <c15:formulaRef>
                          <c15:sqref>'data dash'!$K$7:$K$10</c15:sqref>
                        </c15:formulaRef>
                      </c:ext>
                    </c:extLst>
                    <c:numCache>
                      <c:formatCode>0%</c:formatCode>
                      <c:ptCount val="4"/>
                      <c:pt idx="0">
                        <c:v>1.1788502195875032</c:v>
                      </c:pt>
                      <c:pt idx="1">
                        <c:v>0.75387255530022779</c:v>
                      </c:pt>
                      <c:pt idx="2">
                        <c:v>2.1749174359079277</c:v>
                      </c:pt>
                      <c:pt idx="3">
                        <c:v>1.1102920969007271</c:v>
                      </c:pt>
                    </c:numCache>
                  </c:numRef>
                </c:val>
                <c:extLst xmlns:c15="http://schemas.microsoft.com/office/drawing/2012/chart">
                  <c:ext xmlns:c16="http://schemas.microsoft.com/office/drawing/2014/chart" uri="{C3380CC4-5D6E-409C-BE32-E72D297353CC}">
                    <c16:uniqueId val="{0000000D-F737-45FE-9ECF-E18907F9C66A}"/>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'data dash'!$L$6</c15:sqref>
                        </c15:formulaRef>
                      </c:ext>
                    </c:extLst>
                    <c:strCache>
                      <c:ptCount val="1"/>
                    </c:strCache>
                  </c:strRef>
                </c:tx>
                <c:spPr>
                  <a:solidFill>
                    <a:schemeClr val="accent1">
                      <a:lumMod val="60000"/>
                      <a:alpha val="70000"/>
                    </a:schemeClr>
                  </a:solidFill>
                  <a:ln>
                    <a:noFill/>
                  </a:ln>
                  <a:effectLst/>
                </c:spPr>
                <c:invertIfNegative val="0"/>
                <c:cat>
                  <c:strRef>
                    <c:extLst xmlns:c15="http://schemas.microsoft.com/office/drawing/2012/chart">
                      <c:ext xmlns:c15="http://schemas.microsoft.com/office/drawing/2012/chart" uri="{02D57815-91ED-43cb-92C2-25804820EDAC}">
                        <c15:formulaRef>
                          <c15:sqref>'data dash'!$D$7:$E$10</c15:sqref>
                        </c15:formulaRef>
                      </c:ext>
                    </c:extLst>
                    <c:strCache>
                      <c:ptCount val="4"/>
                      <c:pt idx="0">
                        <c:v>Income of intra-republican cargo turnover</c:v>
                      </c:pt>
                      <c:pt idx="1">
                        <c:v>Income of freight turnover from exports</c:v>
                      </c:pt>
                      <c:pt idx="2">
                        <c:v>Income of freight turnover from imports</c:v>
                      </c:pt>
                      <c:pt idx="3">
                        <c:v>Income of transit cargo turnover</c:v>
                      </c:pt>
                    </c:strCache>
                  </c:strRef>
                </c:cat>
                <c:val>
                  <c:numRef>
                    <c:extLst xmlns:c15="http://schemas.microsoft.com/office/drawing/2012/chart">
                      <c:ext xmlns:c15="http://schemas.microsoft.com/office/drawing/2012/chart" uri="{02D57815-91ED-43cb-92C2-25804820EDAC}">
                        <c15:formulaRef>
                          <c15:sqref>'data dash'!$L$7:$L$10</c15:sqref>
                        </c15:formulaRef>
                      </c:ext>
                    </c:extLst>
                    <c:numCache>
                      <c:formatCode>0%</c:formatCode>
                      <c:ptCount val="4"/>
                    </c:numCache>
                  </c:numRef>
                </c:val>
                <c:extLst xmlns:c15="http://schemas.microsoft.com/office/drawing/2012/chart">
                  <c:ext xmlns:c16="http://schemas.microsoft.com/office/drawing/2014/chart" uri="{C3380CC4-5D6E-409C-BE32-E72D297353CC}">
                    <c16:uniqueId val="{0000000E-F737-45FE-9ECF-E18907F9C66A}"/>
                  </c:ext>
                </c:extLst>
              </c15:ser>
            </c15:filteredBarSeries>
          </c:ext>
        </c:extLst>
      </c:barChart>
      <c:catAx>
        <c:axId val="314510720"/>
        <c:scaling>
          <c:orientation val="minMax"/>
        </c:scaling>
        <c:delete val="0"/>
        <c:axPos val="b"/>
        <c:numFmt formatCode="General" sourceLinked="0"/>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1" i="0" u="none" strike="noStrike" kern="1200" cap="none" spc="20" normalizeH="0" baseline="0">
                <a:solidFill>
                  <a:schemeClr val="tx1">
                    <a:lumMod val="65000"/>
                    <a:lumOff val="35000"/>
                  </a:schemeClr>
                </a:solidFill>
                <a:latin typeface="+mn-lt"/>
                <a:ea typeface="+mn-ea"/>
                <a:cs typeface="+mn-cs"/>
              </a:defRPr>
            </a:pPr>
            <a:endParaRPr lang="ru-RU"/>
          </a:p>
        </c:txPr>
        <c:crossAx val="314512512"/>
        <c:crosses val="autoZero"/>
        <c:auto val="1"/>
        <c:lblAlgn val="ctr"/>
        <c:lblOffset val="100"/>
        <c:noMultiLvlLbl val="0"/>
      </c:catAx>
      <c:valAx>
        <c:axId val="314512512"/>
        <c:scaling>
          <c:orientation val="minMax"/>
        </c:scaling>
        <c:delete val="0"/>
        <c:axPos val="l"/>
        <c:numFmt formatCode="_-* #,##0\ _₽_-;\-* #,##0\ _₽_-;_-* &quot;-&quot;??\ _₽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ru-RU"/>
          </a:p>
        </c:txPr>
        <c:crossAx val="314510720"/>
        <c:crosses val="autoZero"/>
        <c:crossBetween val="between"/>
      </c:valAx>
      <c:spPr>
        <a:noFill/>
        <a:ln>
          <a:noFill/>
        </a:ln>
        <a:effectLst/>
      </c:spPr>
    </c:plotArea>
    <c:legend>
      <c:legendPos val="r"/>
      <c:layout>
        <c:manualLayout>
          <c:xMode val="edge"/>
          <c:yMode val="edge"/>
          <c:x val="0.90422220782994855"/>
          <c:y val="0.17197864342669225"/>
          <c:w val="9.10295921462769E-2"/>
          <c:h val="0.54866216700860204"/>
        </c:manualLayout>
      </c:layout>
      <c:overlay val="0"/>
      <c:spPr>
        <a:noFill/>
        <a:ln>
          <a:noFill/>
        </a:ln>
        <a:effectLst/>
      </c:spPr>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ru-RU"/>
        </a:p>
      </c:txPr>
    </c:legend>
    <c:plotVisOnly val="1"/>
    <c:dispBlanksAs val="gap"/>
    <c:showDLblsOverMax val="0"/>
  </c:chart>
  <c:spPr>
    <a:noFill/>
    <a:ln w="9525" cap="flat" cmpd="sng" algn="ctr">
      <a:noFill/>
      <a:round/>
    </a:ln>
    <a:effectLst/>
  </c:spPr>
  <c:txPr>
    <a:bodyPr/>
    <a:lstStyle/>
    <a:p>
      <a:pPr>
        <a:defRPr/>
      </a:pPr>
      <a:endParaRPr lang="ru-RU"/>
    </a:p>
  </c:tx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cap="none" spc="20" baseline="0">
                <a:solidFill>
                  <a:schemeClr val="tx1">
                    <a:lumMod val="50000"/>
                    <a:lumOff val="50000"/>
                  </a:schemeClr>
                </a:solidFill>
                <a:latin typeface="+mn-lt"/>
                <a:ea typeface="+mn-ea"/>
                <a:cs typeface="+mn-cs"/>
              </a:defRPr>
            </a:pPr>
            <a:r>
              <a:rPr lang="ru-RU" sz="1200" b="1" i="0" baseline="0">
                <a:effectLst/>
              </a:rPr>
              <a:t>Доход от пассажирских перевозок</a:t>
            </a:r>
            <a:endParaRPr lang="ru-RU" sz="1200" b="1">
              <a:effectLst/>
            </a:endParaRPr>
          </a:p>
        </c:rich>
      </c:tx>
      <c:layout>
        <c:manualLayout>
          <c:xMode val="edge"/>
          <c:yMode val="edge"/>
          <c:x val="0.14492875925974424"/>
          <c:y val="1.9420722621154421E-2"/>
        </c:manualLayout>
      </c:layout>
      <c:overlay val="0"/>
      <c:spPr>
        <a:noFill/>
        <a:ln>
          <a:noFill/>
        </a:ln>
        <a:effectLst/>
      </c:spPr>
    </c:title>
    <c:autoTitleDeleted val="0"/>
    <c:plotArea>
      <c:layout/>
      <c:barChart>
        <c:barDir val="col"/>
        <c:grouping val="clustered"/>
        <c:varyColors val="0"/>
        <c:ser>
          <c:idx val="1"/>
          <c:order val="0"/>
          <c:tx>
            <c:strRef>
              <c:f>'data dash'!$D$4:$E$4</c:f>
              <c:strCache>
                <c:ptCount val="1"/>
                <c:pt idx="0">
                  <c:v>RISK OF PASSENGER TURNOVER</c:v>
                </c:pt>
              </c:strCache>
            </c:strRef>
          </c:tx>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noFill/>
              <a:round/>
            </a:ln>
            <a:effectLst/>
          </c:spPr>
          <c:invertIfNegative val="0"/>
          <c:dPt>
            <c:idx val="0"/>
            <c:invertIfNegative val="0"/>
            <c:bubble3D val="0"/>
            <c:spPr>
              <a:gradFill flip="none" rotWithShape="1">
                <a:gsLst>
                  <a:gs pos="0">
                    <a:schemeClr val="accent5">
                      <a:lumMod val="40000"/>
                      <a:lumOff val="60000"/>
                      <a:shade val="30000"/>
                      <a:satMod val="115000"/>
                    </a:schemeClr>
                  </a:gs>
                  <a:gs pos="50000">
                    <a:schemeClr val="accent5">
                      <a:lumMod val="40000"/>
                      <a:lumOff val="60000"/>
                      <a:shade val="67500"/>
                      <a:satMod val="115000"/>
                    </a:schemeClr>
                  </a:gs>
                  <a:gs pos="100000">
                    <a:schemeClr val="accent5">
                      <a:lumMod val="40000"/>
                      <a:lumOff val="60000"/>
                      <a:shade val="100000"/>
                      <a:satMod val="115000"/>
                    </a:schemeClr>
                  </a:gs>
                </a:gsLst>
                <a:lin ang="16200000" scaled="1"/>
                <a:tileRect/>
              </a:gradFill>
              <a:ln w="9525" cap="flat" cmpd="sng" algn="ctr">
                <a:noFill/>
                <a:round/>
              </a:ln>
              <a:effectLst/>
            </c:spPr>
            <c:extLst xmlns:c16r2="http://schemas.microsoft.com/office/drawing/2015/06/chart">
              <c:ext xmlns:c16="http://schemas.microsoft.com/office/drawing/2014/chart" uri="{C3380CC4-5D6E-409C-BE32-E72D297353CC}">
                <c16:uniqueId val="{00000001-2D80-4C01-BCAD-7F8D5322A420}"/>
              </c:ext>
            </c:extLst>
          </c:dPt>
          <c:dPt>
            <c:idx val="1"/>
            <c:invertIfNegative val="0"/>
            <c:bubble3D val="0"/>
            <c:spPr>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a:ln w="9525" cap="flat" cmpd="sng" algn="ctr">
                <a:noFill/>
                <a:round/>
              </a:ln>
              <a:effectLst/>
            </c:spPr>
            <c:extLst xmlns:c16r2="http://schemas.microsoft.com/office/drawing/2015/06/chart">
              <c:ext xmlns:c16="http://schemas.microsoft.com/office/drawing/2014/chart" uri="{C3380CC4-5D6E-409C-BE32-E72D297353CC}">
                <c16:uniqueId val="{00000003-2D80-4C01-BCAD-7F8D5322A420}"/>
              </c:ext>
            </c:extLst>
          </c:dPt>
          <c:dPt>
            <c:idx val="2"/>
            <c:invertIfNegative val="0"/>
            <c:bubble3D val="0"/>
            <c:spPr>
              <a:gradFill flip="none" rotWithShape="1">
                <a:gsLst>
                  <a:gs pos="0">
                    <a:schemeClr val="accent6">
                      <a:shade val="30000"/>
                      <a:satMod val="115000"/>
                    </a:schemeClr>
                  </a:gs>
                  <a:gs pos="50000">
                    <a:schemeClr val="accent6">
                      <a:shade val="67500"/>
                      <a:satMod val="115000"/>
                    </a:schemeClr>
                  </a:gs>
                  <a:gs pos="100000">
                    <a:schemeClr val="accent6">
                      <a:shade val="100000"/>
                      <a:satMod val="115000"/>
                    </a:schemeClr>
                  </a:gs>
                </a:gsLst>
                <a:lin ang="16200000" scaled="1"/>
                <a:tileRect/>
              </a:gradFill>
              <a:ln w="9525" cap="flat" cmpd="sng" algn="ctr">
                <a:noFill/>
                <a:round/>
              </a:ln>
              <a:effectLst/>
            </c:spPr>
            <c:extLst xmlns:c16r2="http://schemas.microsoft.com/office/drawing/2015/06/chart">
              <c:ext xmlns:c16="http://schemas.microsoft.com/office/drawing/2014/chart" uri="{C3380CC4-5D6E-409C-BE32-E72D297353CC}">
                <c16:uniqueId val="{00000005-2D80-4C01-BCAD-7F8D5322A420}"/>
              </c:ext>
            </c:extLst>
          </c:dPt>
          <c:dPt>
            <c:idx val="3"/>
            <c:invertIfNegative val="0"/>
            <c:bubble3D val="0"/>
            <c:spPr>
              <a:gradFill flip="none" rotWithShape="1">
                <a:gsLst>
                  <a:gs pos="0">
                    <a:srgbClr val="FFC000">
                      <a:shade val="30000"/>
                      <a:satMod val="115000"/>
                    </a:srgbClr>
                  </a:gs>
                  <a:gs pos="50000">
                    <a:srgbClr val="FFC000">
                      <a:shade val="67500"/>
                      <a:satMod val="115000"/>
                    </a:srgbClr>
                  </a:gs>
                  <a:gs pos="100000">
                    <a:srgbClr val="FFC000">
                      <a:shade val="100000"/>
                      <a:satMod val="115000"/>
                    </a:srgbClr>
                  </a:gs>
                </a:gsLst>
                <a:lin ang="16200000" scaled="1"/>
                <a:tileRect/>
              </a:gradFill>
              <a:ln w="9525" cap="flat" cmpd="sng" algn="ctr">
                <a:noFill/>
                <a:round/>
              </a:ln>
              <a:effectLst/>
            </c:spPr>
            <c:extLst xmlns:c16r2="http://schemas.microsoft.com/office/drawing/2015/06/chart">
              <c:ext xmlns:c16="http://schemas.microsoft.com/office/drawing/2014/chart" uri="{C3380CC4-5D6E-409C-BE32-E72D297353CC}">
                <c16:uniqueId val="{00000007-2D80-4C01-BCAD-7F8D5322A420}"/>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85000"/>
                        <a:lumOff val="15000"/>
                      </a:schemeClr>
                    </a:solidFill>
                    <a:latin typeface="+mn-lt"/>
                    <a:ea typeface="+mn-ea"/>
                    <a:cs typeface="+mn-cs"/>
                  </a:defRPr>
                </a:pPr>
                <a:endParaRPr lang="ru-RU"/>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'data dash'!$F$2:$I$2</c:f>
              <c:strCache>
                <c:ptCount val="4"/>
                <c:pt idx="0">
                  <c:v>PLAN 2021</c:v>
                </c:pt>
                <c:pt idx="1">
                  <c:v>PLAN 6mnth</c:v>
                </c:pt>
                <c:pt idx="2">
                  <c:v>FACT 6 mnth</c:v>
                </c:pt>
                <c:pt idx="3">
                  <c:v>PLAN 2021 @RISK</c:v>
                </c:pt>
              </c:strCache>
            </c:strRef>
          </c:cat>
          <c:val>
            <c:numRef>
              <c:f>'data dash'!$F$4:$I$4</c:f>
              <c:numCache>
                <c:formatCode>_-* #,##0\ _₽_-;\-* #,##0\ _₽_-;_-* "-"??\ _₽_-;_-@_-</c:formatCode>
                <c:ptCount val="4"/>
                <c:pt idx="0">
                  <c:v>83401.476185171938</c:v>
                </c:pt>
                <c:pt idx="1">
                  <c:v>32523.247627060737</c:v>
                </c:pt>
                <c:pt idx="2">
                  <c:v>35167.364999999998</c:v>
                </c:pt>
                <c:pt idx="3">
                  <c:v>102177.1</c:v>
                </c:pt>
              </c:numCache>
            </c:numRef>
          </c:val>
          <c:extLst xmlns:c16r2="http://schemas.microsoft.com/office/drawing/2015/06/chart">
            <c:ext xmlns:c16="http://schemas.microsoft.com/office/drawing/2014/chart" uri="{C3380CC4-5D6E-409C-BE32-E72D297353CC}">
              <c16:uniqueId val="{00000008-2D80-4C01-BCAD-7F8D5322A420}"/>
            </c:ext>
          </c:extLst>
        </c:ser>
        <c:dLbls>
          <c:dLblPos val="inEnd"/>
          <c:showLegendKey val="0"/>
          <c:showVal val="1"/>
          <c:showCatName val="0"/>
          <c:showSerName val="0"/>
          <c:showPercent val="0"/>
          <c:showBubbleSize val="0"/>
        </c:dLbls>
        <c:gapWidth val="0"/>
        <c:overlap val="-24"/>
        <c:axId val="313024512"/>
        <c:axId val="313028992"/>
        <c:extLst xmlns:c16r2="http://schemas.microsoft.com/office/drawing/2015/06/chart">
          <c:ext xmlns:c15="http://schemas.microsoft.com/office/drawing/2012/chart" uri="{02D57815-91ED-43cb-92C2-25804820EDAC}">
            <c15:filteredBarSeries>
              <c15:ser>
                <c:idx val="0"/>
                <c:order val="0"/>
                <c:tx>
                  <c:strRef>
                    <c:extLst>
                      <c:ext uri="{02D57815-91ED-43cb-92C2-25804820EDAC}">
                        <c15:formulaRef>
                          <c15:sqref>'data dash'!$D$3:$E$3</c15:sqref>
                        </c15:formulaRef>
                      </c:ext>
                    </c:extLst>
                    <c:strCache>
                      <c:ptCount val="2"/>
                      <c:pt idx="0">
                        <c:v>RISK OF CARGO TURNOVER</c:v>
                      </c:pt>
                    </c:strCache>
                  </c:strRef>
                </c:tx>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invertIfNegative val="0"/>
                <c:dPt>
                  <c:idx val="1"/>
                  <c:invertIfNegative val="0"/>
                  <c:bubble3D val="0"/>
                  <c:spPr>
                    <a:solidFill>
                      <a:schemeClr val="accent1">
                        <a:lumMod val="75000"/>
                      </a:schemeClr>
                    </a:solidFill>
                    <a:ln w="9525" cap="flat" cmpd="sng" algn="ctr">
                      <a:solidFill>
                        <a:schemeClr val="accent1">
                          <a:shade val="95000"/>
                        </a:schemeClr>
                      </a:solidFill>
                      <a:round/>
                    </a:ln>
                    <a:effectLst/>
                  </c:spPr>
                  <c:extLst>
                    <c:ext xmlns:c16="http://schemas.microsoft.com/office/drawing/2014/chart" uri="{C3380CC4-5D6E-409C-BE32-E72D297353CC}">
                      <c16:uniqueId val="{0000000A-2D80-4C01-BCAD-7F8D5322A420}"/>
                    </c:ext>
                  </c:extLst>
                </c:dPt>
                <c:dPt>
                  <c:idx val="2"/>
                  <c:invertIfNegative val="0"/>
                  <c:bubble3D val="0"/>
                  <c:spPr>
                    <a:solidFill>
                      <a:schemeClr val="bg1">
                        <a:lumMod val="75000"/>
                      </a:schemeClr>
                    </a:solidFill>
                    <a:ln w="9525" cap="flat" cmpd="sng" algn="ctr">
                      <a:solidFill>
                        <a:schemeClr val="accent1">
                          <a:shade val="95000"/>
                        </a:schemeClr>
                      </a:solidFill>
                      <a:round/>
                    </a:ln>
                    <a:effectLst/>
                  </c:spPr>
                  <c:extLst>
                    <c:ext xmlns:c16="http://schemas.microsoft.com/office/drawing/2014/chart" uri="{C3380CC4-5D6E-409C-BE32-E72D297353CC}">
                      <c16:uniqueId val="{0000000C-2D80-4C01-BCAD-7F8D5322A420}"/>
                    </c:ext>
                  </c:extLst>
                </c:dPt>
                <c:dPt>
                  <c:idx val="3"/>
                  <c:invertIfNegative val="0"/>
                  <c:bubble3D val="0"/>
                  <c:spPr>
                    <a:solidFill>
                      <a:srgbClr val="FFC000"/>
                    </a:solidFill>
                    <a:ln w="9525" cap="flat" cmpd="sng" algn="ctr">
                      <a:solidFill>
                        <a:schemeClr val="accent1">
                          <a:shade val="95000"/>
                        </a:schemeClr>
                      </a:solidFill>
                      <a:round/>
                    </a:ln>
                    <a:effectLst/>
                  </c:spPr>
                  <c:extLst>
                    <c:ext xmlns:c16="http://schemas.microsoft.com/office/drawing/2014/chart" uri="{C3380CC4-5D6E-409C-BE32-E72D297353CC}">
                      <c16:uniqueId val="{0000000E-2D80-4C01-BCAD-7F8D5322A420}"/>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50000"/>
                              <a:lumOff val="50000"/>
                            </a:schemeClr>
                          </a:solidFill>
                          <a:latin typeface="+mn-lt"/>
                          <a:ea typeface="+mn-ea"/>
                          <a:cs typeface="+mn-cs"/>
                        </a:defRPr>
                      </a:pPr>
                      <a:endParaRPr lang="ru-RU"/>
                    </a:p>
                  </c:txPr>
                  <c:dLblPos val="outEnd"/>
                  <c:showLegendKey val="0"/>
                  <c:showVal val="1"/>
                  <c:showCatName val="0"/>
                  <c:showSerName val="0"/>
                  <c:showPercent val="0"/>
                  <c:showBubbleSize val="0"/>
                  <c:showLeaderLines val="0"/>
                  <c:extLst>
                    <c:ext uri="{CE6537A1-D6FC-4f65-9D91-7224C49458BB}">
                      <c15:showLeaderLines val="1"/>
                      <c15:leaderLines>
                        <c:spPr>
                          <a:ln w="9525">
                            <a:solidFill>
                              <a:schemeClr val="tx1">
                                <a:lumMod val="35000"/>
                                <a:lumOff val="65000"/>
                              </a:schemeClr>
                            </a:solidFill>
                          </a:ln>
                          <a:effectLst/>
                        </c:spPr>
                      </c15:leaderLines>
                    </c:ext>
                  </c:extLst>
                </c:dLbls>
                <c:cat>
                  <c:strRef>
                    <c:extLst>
                      <c:ext uri="{02D57815-91ED-43cb-92C2-25804820EDAC}">
                        <c15:formulaRef>
                          <c15:sqref>'data dash'!$F$2:$I$2</c15:sqref>
                        </c15:formulaRef>
                      </c:ext>
                    </c:extLst>
                    <c:strCache>
                      <c:ptCount val="4"/>
                      <c:pt idx="0">
                        <c:v>PLAN 2021</c:v>
                      </c:pt>
                      <c:pt idx="1">
                        <c:v>PLAN 6mnth</c:v>
                      </c:pt>
                      <c:pt idx="2">
                        <c:v>FACT 6 mnth</c:v>
                      </c:pt>
                      <c:pt idx="3">
                        <c:v>PLAN 2021 @RISK</c:v>
                      </c:pt>
                    </c:strCache>
                  </c:strRef>
                </c:cat>
                <c:val>
                  <c:numRef>
                    <c:extLst>
                      <c:ext uri="{02D57815-91ED-43cb-92C2-25804820EDAC}">
                        <c15:formulaRef>
                          <c15:sqref>'data dash'!$F$3:$I$3</c15:sqref>
                        </c15:formulaRef>
                      </c:ext>
                    </c:extLst>
                    <c:numCache>
                      <c:formatCode>_-* #\ ##0\ _₽_-;\-* #\ ##0\ _₽_-;_-* "-"??\ _₽_-;_-@_-</c:formatCode>
                      <c:ptCount val="4"/>
                      <c:pt idx="0">
                        <c:v>1029110.581809653</c:v>
                      </c:pt>
                      <c:pt idx="1">
                        <c:v>502176.28646188835</c:v>
                      </c:pt>
                      <c:pt idx="2">
                        <c:v>500708.23774836562</c:v>
                      </c:pt>
                      <c:pt idx="3">
                        <c:v>987703</c:v>
                      </c:pt>
                    </c:numCache>
                  </c:numRef>
                </c:val>
                <c:extLst>
                  <c:ext xmlns:c16="http://schemas.microsoft.com/office/drawing/2014/chart" uri="{C3380CC4-5D6E-409C-BE32-E72D297353CC}">
                    <c16:uniqueId val="{0000000F-2D80-4C01-BCAD-7F8D5322A420}"/>
                  </c:ext>
                </c:extLst>
              </c15:ser>
            </c15:filteredBarSeries>
          </c:ext>
        </c:extLst>
      </c:barChart>
      <c:catAx>
        <c:axId val="3130245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50000"/>
                    <a:lumOff val="50000"/>
                  </a:schemeClr>
                </a:solidFill>
                <a:latin typeface="+mn-lt"/>
                <a:ea typeface="+mn-ea"/>
                <a:cs typeface="+mn-cs"/>
              </a:defRPr>
            </a:pPr>
            <a:endParaRPr lang="ru-RU"/>
          </a:p>
        </c:txPr>
        <c:crossAx val="313028992"/>
        <c:crosses val="autoZero"/>
        <c:auto val="1"/>
        <c:lblAlgn val="ctr"/>
        <c:lblOffset val="100"/>
        <c:noMultiLvlLbl val="0"/>
      </c:catAx>
      <c:valAx>
        <c:axId val="313028992"/>
        <c:scaling>
          <c:orientation val="minMax"/>
        </c:scaling>
        <c:delete val="0"/>
        <c:axPos val="l"/>
        <c:numFmt formatCode="_-* #,##0\ _₽_-;\-* #,##0\ _₽_-;_-* &quot;-&quot;??\ _₽_-;_-@_-"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50000"/>
                    <a:lumOff val="50000"/>
                  </a:schemeClr>
                </a:solidFill>
                <a:latin typeface="+mn-lt"/>
                <a:ea typeface="+mn-ea"/>
                <a:cs typeface="+mn-cs"/>
              </a:defRPr>
            </a:pPr>
            <a:endParaRPr lang="ru-RU"/>
          </a:p>
        </c:txPr>
        <c:crossAx val="3130245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cap="none" spc="20" baseline="0">
                <a:solidFill>
                  <a:schemeClr val="tx1">
                    <a:lumMod val="50000"/>
                    <a:lumOff val="50000"/>
                  </a:schemeClr>
                </a:solidFill>
                <a:latin typeface="+mn-lt"/>
                <a:ea typeface="+mn-ea"/>
                <a:cs typeface="+mn-cs"/>
              </a:defRPr>
            </a:pPr>
            <a:r>
              <a:rPr lang="en-US" sz="1200" b="1"/>
              <a:t>Freight transportation, mln KZT</a:t>
            </a:r>
            <a:endParaRPr lang="ru-RU" sz="1200" b="1"/>
          </a:p>
        </c:rich>
      </c:tx>
      <c:layout>
        <c:manualLayout>
          <c:xMode val="edge"/>
          <c:yMode val="edge"/>
          <c:x val="0.1940356676149777"/>
          <c:y val="3.6325840167852071E-2"/>
        </c:manualLayout>
      </c:layout>
      <c:overlay val="0"/>
      <c:spPr>
        <a:noFill/>
        <a:ln>
          <a:noFill/>
        </a:ln>
        <a:effectLst/>
      </c:spPr>
    </c:title>
    <c:autoTitleDeleted val="0"/>
    <c:plotArea>
      <c:layout>
        <c:manualLayout>
          <c:layoutTarget val="inner"/>
          <c:xMode val="edge"/>
          <c:yMode val="edge"/>
          <c:x val="0.18862519993548846"/>
          <c:y val="0.21298782636304853"/>
          <c:w val="0.78550430796279502"/>
          <c:h val="0.63836137967885453"/>
        </c:manualLayout>
      </c:layout>
      <c:barChart>
        <c:barDir val="col"/>
        <c:grouping val="clustered"/>
        <c:varyColors val="0"/>
        <c:ser>
          <c:idx val="0"/>
          <c:order val="0"/>
          <c:tx>
            <c:strRef>
              <c:f>'data dash'!$D$3:$E$3</c:f>
              <c:strCache>
                <c:ptCount val="1"/>
                <c:pt idx="0">
                  <c:v>RISK OF CARGO TURNOVER</c:v>
                </c:pt>
              </c:strCache>
            </c:strRef>
          </c:tx>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noFill/>
              <a:round/>
            </a:ln>
            <a:effectLst/>
          </c:spPr>
          <c:invertIfNegative val="0"/>
          <c:dPt>
            <c:idx val="0"/>
            <c:invertIfNegative val="0"/>
            <c:bubble3D val="0"/>
            <c:spPr>
              <a:gradFill flip="none" rotWithShape="1">
                <a:gsLst>
                  <a:gs pos="0">
                    <a:schemeClr val="accent1">
                      <a:lumMod val="40000"/>
                      <a:lumOff val="60000"/>
                      <a:shade val="30000"/>
                      <a:satMod val="115000"/>
                    </a:schemeClr>
                  </a:gs>
                  <a:gs pos="50000">
                    <a:schemeClr val="accent1">
                      <a:lumMod val="40000"/>
                      <a:lumOff val="60000"/>
                      <a:shade val="67500"/>
                      <a:satMod val="115000"/>
                    </a:schemeClr>
                  </a:gs>
                  <a:gs pos="100000">
                    <a:schemeClr val="accent1">
                      <a:lumMod val="40000"/>
                      <a:lumOff val="60000"/>
                      <a:shade val="100000"/>
                      <a:satMod val="115000"/>
                    </a:schemeClr>
                  </a:gs>
                </a:gsLst>
                <a:lin ang="16200000" scaled="1"/>
                <a:tileRect/>
              </a:gradFill>
              <a:ln w="9525" cap="flat" cmpd="sng" algn="ctr">
                <a:noFill/>
                <a:round/>
              </a:ln>
              <a:effectLst/>
            </c:spPr>
            <c:extLst xmlns:c16r2="http://schemas.microsoft.com/office/drawing/2015/06/chart">
              <c:ext xmlns:c16="http://schemas.microsoft.com/office/drawing/2014/chart" uri="{C3380CC4-5D6E-409C-BE32-E72D297353CC}">
                <c16:uniqueId val="{00000001-62B4-4665-957D-9B78F89358E7}"/>
              </c:ext>
            </c:extLst>
          </c:dPt>
          <c:dPt>
            <c:idx val="1"/>
            <c:invertIfNegative val="0"/>
            <c:bubble3D val="0"/>
            <c:spPr>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a:ln w="9525" cap="flat" cmpd="sng" algn="ctr">
                <a:noFill/>
                <a:round/>
              </a:ln>
              <a:effectLst/>
            </c:spPr>
            <c:extLst xmlns:c16r2="http://schemas.microsoft.com/office/drawing/2015/06/chart">
              <c:ext xmlns:c16="http://schemas.microsoft.com/office/drawing/2014/chart" uri="{C3380CC4-5D6E-409C-BE32-E72D297353CC}">
                <c16:uniqueId val="{00000003-62B4-4665-957D-9B78F89358E7}"/>
              </c:ext>
            </c:extLst>
          </c:dPt>
          <c:dPt>
            <c:idx val="2"/>
            <c:invertIfNegative val="0"/>
            <c:bubble3D val="0"/>
            <c:spPr>
              <a:gradFill flip="none" rotWithShape="1">
                <a:gsLst>
                  <a:gs pos="0">
                    <a:schemeClr val="accent6">
                      <a:shade val="30000"/>
                      <a:satMod val="115000"/>
                    </a:schemeClr>
                  </a:gs>
                  <a:gs pos="50000">
                    <a:schemeClr val="accent6">
                      <a:shade val="67500"/>
                      <a:satMod val="115000"/>
                    </a:schemeClr>
                  </a:gs>
                  <a:gs pos="100000">
                    <a:schemeClr val="accent6">
                      <a:shade val="100000"/>
                      <a:satMod val="115000"/>
                    </a:schemeClr>
                  </a:gs>
                </a:gsLst>
                <a:lin ang="16200000" scaled="1"/>
                <a:tileRect/>
              </a:gradFill>
              <a:ln w="9525" cap="flat" cmpd="sng" algn="ctr">
                <a:noFill/>
                <a:round/>
              </a:ln>
              <a:effectLst/>
            </c:spPr>
            <c:extLst xmlns:c16r2="http://schemas.microsoft.com/office/drawing/2015/06/chart">
              <c:ext xmlns:c16="http://schemas.microsoft.com/office/drawing/2014/chart" uri="{C3380CC4-5D6E-409C-BE32-E72D297353CC}">
                <c16:uniqueId val="{00000005-62B4-4665-957D-9B78F89358E7}"/>
              </c:ext>
            </c:extLst>
          </c:dPt>
          <c:dPt>
            <c:idx val="3"/>
            <c:invertIfNegative val="0"/>
            <c:bubble3D val="0"/>
            <c:spPr>
              <a:gradFill flip="none" rotWithShape="1">
                <a:gsLst>
                  <a:gs pos="0">
                    <a:srgbClr val="FFC000">
                      <a:shade val="30000"/>
                      <a:satMod val="115000"/>
                    </a:srgbClr>
                  </a:gs>
                  <a:gs pos="50000">
                    <a:srgbClr val="FFC000">
                      <a:shade val="67500"/>
                      <a:satMod val="115000"/>
                    </a:srgbClr>
                  </a:gs>
                  <a:gs pos="100000">
                    <a:srgbClr val="FFC000">
                      <a:shade val="100000"/>
                      <a:satMod val="115000"/>
                    </a:srgbClr>
                  </a:gs>
                </a:gsLst>
                <a:lin ang="16200000" scaled="1"/>
                <a:tileRect/>
              </a:gradFill>
              <a:ln w="9525" cap="flat" cmpd="sng" algn="ctr">
                <a:noFill/>
                <a:round/>
              </a:ln>
              <a:effectLst/>
            </c:spPr>
            <c:extLst xmlns:c16r2="http://schemas.microsoft.com/office/drawing/2015/06/chart">
              <c:ext xmlns:c16="http://schemas.microsoft.com/office/drawing/2014/chart" uri="{C3380CC4-5D6E-409C-BE32-E72D297353CC}">
                <c16:uniqueId val="{00000007-62B4-4665-957D-9B78F89358E7}"/>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85000"/>
                        <a:lumOff val="15000"/>
                      </a:schemeClr>
                    </a:solidFill>
                    <a:latin typeface="+mn-lt"/>
                    <a:ea typeface="+mn-ea"/>
                    <a:cs typeface="+mn-cs"/>
                  </a:defRPr>
                </a:pPr>
                <a:endParaRPr lang="ru-RU"/>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'data dash'!$F$2:$I$2</c:f>
              <c:strCache>
                <c:ptCount val="4"/>
                <c:pt idx="0">
                  <c:v>PLAN 2021</c:v>
                </c:pt>
                <c:pt idx="1">
                  <c:v>PLAN 6mnth</c:v>
                </c:pt>
                <c:pt idx="2">
                  <c:v>FACT 6 mnth</c:v>
                </c:pt>
                <c:pt idx="3">
                  <c:v>PLAN 2021 @RISK</c:v>
                </c:pt>
              </c:strCache>
            </c:strRef>
          </c:cat>
          <c:val>
            <c:numRef>
              <c:f>'data dash'!$F$3:$I$3</c:f>
              <c:numCache>
                <c:formatCode>_-* #,##0\ _₽_-;\-* #,##0\ _₽_-;_-* "-"??\ _₽_-;_-@_-</c:formatCode>
                <c:ptCount val="4"/>
                <c:pt idx="0">
                  <c:v>1029110.581809653</c:v>
                </c:pt>
                <c:pt idx="1">
                  <c:v>502176.28646188835</c:v>
                </c:pt>
                <c:pt idx="2">
                  <c:v>500708.23774836562</c:v>
                </c:pt>
                <c:pt idx="3">
                  <c:v>987703</c:v>
                </c:pt>
              </c:numCache>
            </c:numRef>
          </c:val>
          <c:extLst xmlns:c16r2="http://schemas.microsoft.com/office/drawing/2015/06/chart">
            <c:ext xmlns:c16="http://schemas.microsoft.com/office/drawing/2014/chart" uri="{C3380CC4-5D6E-409C-BE32-E72D297353CC}">
              <c16:uniqueId val="{00000008-62B4-4665-957D-9B78F89358E7}"/>
            </c:ext>
          </c:extLst>
        </c:ser>
        <c:dLbls>
          <c:dLblPos val="inEnd"/>
          <c:showLegendKey val="0"/>
          <c:showVal val="1"/>
          <c:showCatName val="0"/>
          <c:showSerName val="0"/>
          <c:showPercent val="0"/>
          <c:showBubbleSize val="0"/>
        </c:dLbls>
        <c:gapWidth val="0"/>
        <c:overlap val="-24"/>
        <c:axId val="319391232"/>
        <c:axId val="319395712"/>
      </c:barChart>
      <c:catAx>
        <c:axId val="3193912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50000"/>
                    <a:lumOff val="50000"/>
                  </a:schemeClr>
                </a:solidFill>
                <a:latin typeface="+mn-lt"/>
                <a:ea typeface="+mn-ea"/>
                <a:cs typeface="+mn-cs"/>
              </a:defRPr>
            </a:pPr>
            <a:endParaRPr lang="ru-RU"/>
          </a:p>
        </c:txPr>
        <c:crossAx val="319395712"/>
        <c:crosses val="autoZero"/>
        <c:auto val="1"/>
        <c:lblAlgn val="ctr"/>
        <c:lblOffset val="100"/>
        <c:noMultiLvlLbl val="0"/>
      </c:catAx>
      <c:valAx>
        <c:axId val="319395712"/>
        <c:scaling>
          <c:orientation val="minMax"/>
          <c:min val="200000"/>
        </c:scaling>
        <c:delete val="0"/>
        <c:axPos val="l"/>
        <c:numFmt formatCode="_-* #,##0\ _₽_-;\-* #,##0\ _₽_-;_-* &quot;-&quot;??\ _₽_-;_-@_-"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50000"/>
                    <a:lumOff val="50000"/>
                  </a:schemeClr>
                </a:solidFill>
                <a:latin typeface="+mn-lt"/>
                <a:ea typeface="+mn-ea"/>
                <a:cs typeface="+mn-cs"/>
              </a:defRPr>
            </a:pPr>
            <a:endParaRPr lang="ru-RU"/>
          </a:p>
        </c:txPr>
        <c:crossAx val="3193912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cap="none" spc="20" baseline="0">
                <a:solidFill>
                  <a:schemeClr val="tx1">
                    <a:lumMod val="50000"/>
                    <a:lumOff val="50000"/>
                  </a:schemeClr>
                </a:solidFill>
                <a:latin typeface="+mn-lt"/>
                <a:ea typeface="+mn-ea"/>
                <a:cs typeface="+mn-cs"/>
              </a:defRPr>
            </a:pPr>
            <a:r>
              <a:rPr lang="ru-RU" sz="1200" b="1" i="0" baseline="0">
                <a:effectLst/>
              </a:rPr>
              <a:t>Доход от оперирования, млн. тнг</a:t>
            </a:r>
            <a:endParaRPr lang="ru-RU" sz="1200" b="1">
              <a:effectLst/>
            </a:endParaRPr>
          </a:p>
        </c:rich>
      </c:tx>
      <c:layout>
        <c:manualLayout>
          <c:xMode val="edge"/>
          <c:yMode val="edge"/>
          <c:x val="0.15456507635655423"/>
          <c:y val="3.1368115256248899E-2"/>
        </c:manualLayout>
      </c:layout>
      <c:overlay val="0"/>
      <c:spPr>
        <a:noFill/>
        <a:ln>
          <a:noFill/>
        </a:ln>
        <a:effectLst/>
      </c:spPr>
    </c:title>
    <c:autoTitleDeleted val="0"/>
    <c:plotArea>
      <c:layout/>
      <c:barChart>
        <c:barDir val="col"/>
        <c:grouping val="clustered"/>
        <c:varyColors val="0"/>
        <c:ser>
          <c:idx val="2"/>
          <c:order val="0"/>
          <c:tx>
            <c:strRef>
              <c:f>'data dash'!$D$5:$E$5</c:f>
              <c:strCache>
                <c:ptCount val="1"/>
                <c:pt idx="0">
                  <c:v>WAGON OPERATING</c:v>
                </c:pt>
              </c:strCache>
            </c:strRef>
          </c:tx>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9525" cap="flat" cmpd="sng" algn="ctr">
              <a:noFill/>
              <a:round/>
            </a:ln>
            <a:effectLst/>
          </c:spPr>
          <c:invertIfNegative val="0"/>
          <c:dPt>
            <c:idx val="0"/>
            <c:invertIfNegative val="0"/>
            <c:bubble3D val="0"/>
            <c:spPr>
              <a:gradFill flip="none" rotWithShape="1">
                <a:gsLst>
                  <a:gs pos="0">
                    <a:schemeClr val="accent5">
                      <a:lumMod val="40000"/>
                      <a:lumOff val="60000"/>
                      <a:shade val="30000"/>
                      <a:satMod val="115000"/>
                    </a:schemeClr>
                  </a:gs>
                  <a:gs pos="50000">
                    <a:schemeClr val="accent5">
                      <a:lumMod val="40000"/>
                      <a:lumOff val="60000"/>
                      <a:shade val="67500"/>
                      <a:satMod val="115000"/>
                    </a:schemeClr>
                  </a:gs>
                  <a:gs pos="100000">
                    <a:schemeClr val="accent5">
                      <a:lumMod val="40000"/>
                      <a:lumOff val="60000"/>
                      <a:shade val="100000"/>
                      <a:satMod val="115000"/>
                    </a:schemeClr>
                  </a:gs>
                </a:gsLst>
                <a:lin ang="16200000" scaled="1"/>
                <a:tileRect/>
              </a:gradFill>
              <a:ln w="9525" cap="flat" cmpd="sng" algn="ctr">
                <a:noFill/>
                <a:round/>
              </a:ln>
              <a:effectLst/>
            </c:spPr>
            <c:extLst xmlns:c16r2="http://schemas.microsoft.com/office/drawing/2015/06/chart">
              <c:ext xmlns:c16="http://schemas.microsoft.com/office/drawing/2014/chart" uri="{C3380CC4-5D6E-409C-BE32-E72D297353CC}">
                <c16:uniqueId val="{00000001-BE57-4B0D-803B-5B9357485171}"/>
              </c:ext>
            </c:extLst>
          </c:dPt>
          <c:dPt>
            <c:idx val="1"/>
            <c:invertIfNegative val="0"/>
            <c:bubble3D val="0"/>
            <c:spPr>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a:ln w="9525" cap="flat" cmpd="sng" algn="ctr">
                <a:noFill/>
                <a:round/>
              </a:ln>
              <a:effectLst/>
            </c:spPr>
            <c:extLst xmlns:c16r2="http://schemas.microsoft.com/office/drawing/2015/06/chart">
              <c:ext xmlns:c16="http://schemas.microsoft.com/office/drawing/2014/chart" uri="{C3380CC4-5D6E-409C-BE32-E72D297353CC}">
                <c16:uniqueId val="{00000003-BE57-4B0D-803B-5B9357485171}"/>
              </c:ext>
            </c:extLst>
          </c:dPt>
          <c:dPt>
            <c:idx val="2"/>
            <c:invertIfNegative val="0"/>
            <c:bubble3D val="0"/>
            <c:spPr>
              <a:gradFill flip="none" rotWithShape="1">
                <a:gsLst>
                  <a:gs pos="0">
                    <a:schemeClr val="accent6">
                      <a:shade val="30000"/>
                      <a:satMod val="115000"/>
                    </a:schemeClr>
                  </a:gs>
                  <a:gs pos="50000">
                    <a:schemeClr val="accent6">
                      <a:shade val="67500"/>
                      <a:satMod val="115000"/>
                    </a:schemeClr>
                  </a:gs>
                  <a:gs pos="100000">
                    <a:schemeClr val="accent6">
                      <a:shade val="100000"/>
                      <a:satMod val="115000"/>
                    </a:schemeClr>
                  </a:gs>
                </a:gsLst>
                <a:lin ang="16200000" scaled="1"/>
                <a:tileRect/>
              </a:gradFill>
              <a:ln w="9525" cap="flat" cmpd="sng" algn="ctr">
                <a:noFill/>
                <a:round/>
              </a:ln>
              <a:effectLst/>
            </c:spPr>
            <c:extLst xmlns:c16r2="http://schemas.microsoft.com/office/drawing/2015/06/chart">
              <c:ext xmlns:c16="http://schemas.microsoft.com/office/drawing/2014/chart" uri="{C3380CC4-5D6E-409C-BE32-E72D297353CC}">
                <c16:uniqueId val="{00000005-BE57-4B0D-803B-5B9357485171}"/>
              </c:ext>
            </c:extLst>
          </c:dPt>
          <c:dPt>
            <c:idx val="3"/>
            <c:invertIfNegative val="0"/>
            <c:bubble3D val="0"/>
            <c:spPr>
              <a:gradFill flip="none" rotWithShape="1">
                <a:gsLst>
                  <a:gs pos="0">
                    <a:srgbClr val="FFC000">
                      <a:shade val="30000"/>
                      <a:satMod val="115000"/>
                    </a:srgbClr>
                  </a:gs>
                  <a:gs pos="50000">
                    <a:srgbClr val="FFC000">
                      <a:shade val="67500"/>
                      <a:satMod val="115000"/>
                    </a:srgbClr>
                  </a:gs>
                  <a:gs pos="100000">
                    <a:srgbClr val="FFC000">
                      <a:shade val="100000"/>
                      <a:satMod val="115000"/>
                    </a:srgbClr>
                  </a:gs>
                </a:gsLst>
                <a:lin ang="16200000" scaled="1"/>
                <a:tileRect/>
              </a:gradFill>
              <a:ln w="9525" cap="flat" cmpd="sng" algn="ctr">
                <a:noFill/>
                <a:round/>
              </a:ln>
              <a:effectLst/>
            </c:spPr>
            <c:extLst xmlns:c16r2="http://schemas.microsoft.com/office/drawing/2015/06/chart">
              <c:ext xmlns:c16="http://schemas.microsoft.com/office/drawing/2014/chart" uri="{C3380CC4-5D6E-409C-BE32-E72D297353CC}">
                <c16:uniqueId val="{00000007-BE57-4B0D-803B-5B9357485171}"/>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85000"/>
                        <a:lumOff val="15000"/>
                      </a:schemeClr>
                    </a:solidFill>
                    <a:latin typeface="+mn-lt"/>
                    <a:ea typeface="+mn-ea"/>
                    <a:cs typeface="+mn-cs"/>
                  </a:defRPr>
                </a:pPr>
                <a:endParaRPr lang="ru-RU"/>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'data dash'!$F$2:$I$2</c:f>
              <c:strCache>
                <c:ptCount val="4"/>
                <c:pt idx="0">
                  <c:v>PLAN 2021</c:v>
                </c:pt>
                <c:pt idx="1">
                  <c:v>PLAN 6mnth</c:v>
                </c:pt>
                <c:pt idx="2">
                  <c:v>FACT 6 mnth</c:v>
                </c:pt>
                <c:pt idx="3">
                  <c:v>PLAN 2021 @RISK</c:v>
                </c:pt>
              </c:strCache>
            </c:strRef>
          </c:cat>
          <c:val>
            <c:numRef>
              <c:f>'data dash'!$F$5:$I$5</c:f>
              <c:numCache>
                <c:formatCode>_-* #,##0\ _₽_-;\-* #,##0\ _₽_-;_-* "-"??\ _₽_-;_-@_-</c:formatCode>
                <c:ptCount val="4"/>
                <c:pt idx="0">
                  <c:v>161879.965329097</c:v>
                </c:pt>
                <c:pt idx="1">
                  <c:v>74495.270242732789</c:v>
                </c:pt>
                <c:pt idx="2">
                  <c:v>71926.399233279997</c:v>
                </c:pt>
                <c:pt idx="3">
                  <c:v>-25468.55</c:v>
                </c:pt>
              </c:numCache>
            </c:numRef>
          </c:val>
          <c:extLst xmlns:c16r2="http://schemas.microsoft.com/office/drawing/2015/06/chart">
            <c:ext xmlns:c16="http://schemas.microsoft.com/office/drawing/2014/chart" uri="{C3380CC4-5D6E-409C-BE32-E72D297353CC}">
              <c16:uniqueId val="{00000008-BE57-4B0D-803B-5B9357485171}"/>
            </c:ext>
          </c:extLst>
        </c:ser>
        <c:dLbls>
          <c:dLblPos val="inEnd"/>
          <c:showLegendKey val="0"/>
          <c:showVal val="1"/>
          <c:showCatName val="0"/>
          <c:showSerName val="0"/>
          <c:showPercent val="0"/>
          <c:showBubbleSize val="0"/>
        </c:dLbls>
        <c:gapWidth val="0"/>
        <c:overlap val="21"/>
        <c:axId val="40184832"/>
        <c:axId val="40209792"/>
        <c:extLst xmlns:c16r2="http://schemas.microsoft.com/office/drawing/2015/06/chart">
          <c:ext xmlns:c15="http://schemas.microsoft.com/office/drawing/2012/chart" uri="{02D57815-91ED-43cb-92C2-25804820EDAC}">
            <c15:filteredBarSeries>
              <c15:ser>
                <c:idx val="0"/>
                <c:order val="0"/>
                <c:tx>
                  <c:strRef>
                    <c:extLst>
                      <c:ext uri="{02D57815-91ED-43cb-92C2-25804820EDAC}">
                        <c15:formulaRef>
                          <c15:sqref>'data dash'!$D$3:$E$3</c15:sqref>
                        </c15:formulaRef>
                      </c:ext>
                    </c:extLst>
                    <c:strCache>
                      <c:ptCount val="2"/>
                      <c:pt idx="0">
                        <c:v>RISK OF CARGO TURNOVER</c:v>
                      </c:pt>
                    </c:strCache>
                  </c:strRef>
                </c:tx>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invertIfNegative val="0"/>
                <c:dPt>
                  <c:idx val="1"/>
                  <c:invertIfNegative val="0"/>
                  <c:bubble3D val="0"/>
                  <c:spPr>
                    <a:solidFill>
                      <a:schemeClr val="accent1">
                        <a:lumMod val="75000"/>
                      </a:schemeClr>
                    </a:solidFill>
                    <a:ln w="9525" cap="flat" cmpd="sng" algn="ctr">
                      <a:solidFill>
                        <a:schemeClr val="accent1">
                          <a:shade val="95000"/>
                        </a:schemeClr>
                      </a:solidFill>
                      <a:round/>
                    </a:ln>
                    <a:effectLst/>
                  </c:spPr>
                  <c:extLst>
                    <c:ext xmlns:c16="http://schemas.microsoft.com/office/drawing/2014/chart" uri="{C3380CC4-5D6E-409C-BE32-E72D297353CC}">
                      <c16:uniqueId val="{0000000A-BE57-4B0D-803B-5B9357485171}"/>
                    </c:ext>
                  </c:extLst>
                </c:dPt>
                <c:dPt>
                  <c:idx val="2"/>
                  <c:invertIfNegative val="0"/>
                  <c:bubble3D val="0"/>
                  <c:spPr>
                    <a:solidFill>
                      <a:schemeClr val="bg1">
                        <a:lumMod val="75000"/>
                      </a:schemeClr>
                    </a:solidFill>
                    <a:ln w="9525" cap="flat" cmpd="sng" algn="ctr">
                      <a:solidFill>
                        <a:schemeClr val="accent1">
                          <a:shade val="95000"/>
                        </a:schemeClr>
                      </a:solidFill>
                      <a:round/>
                    </a:ln>
                    <a:effectLst/>
                  </c:spPr>
                  <c:extLst>
                    <c:ext xmlns:c16="http://schemas.microsoft.com/office/drawing/2014/chart" uri="{C3380CC4-5D6E-409C-BE32-E72D297353CC}">
                      <c16:uniqueId val="{0000000C-BE57-4B0D-803B-5B9357485171}"/>
                    </c:ext>
                  </c:extLst>
                </c:dPt>
                <c:dPt>
                  <c:idx val="3"/>
                  <c:invertIfNegative val="0"/>
                  <c:bubble3D val="0"/>
                  <c:spPr>
                    <a:solidFill>
                      <a:srgbClr val="FFC000"/>
                    </a:solidFill>
                    <a:ln w="9525" cap="flat" cmpd="sng" algn="ctr">
                      <a:solidFill>
                        <a:schemeClr val="accent1">
                          <a:shade val="95000"/>
                        </a:schemeClr>
                      </a:solidFill>
                      <a:round/>
                    </a:ln>
                    <a:effectLst/>
                  </c:spPr>
                  <c:extLst>
                    <c:ext xmlns:c16="http://schemas.microsoft.com/office/drawing/2014/chart" uri="{C3380CC4-5D6E-409C-BE32-E72D297353CC}">
                      <c16:uniqueId val="{0000000E-BE57-4B0D-803B-5B9357485171}"/>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50000"/>
                              <a:lumOff val="50000"/>
                            </a:schemeClr>
                          </a:solidFill>
                          <a:latin typeface="+mn-lt"/>
                          <a:ea typeface="+mn-ea"/>
                          <a:cs typeface="+mn-cs"/>
                        </a:defRPr>
                      </a:pPr>
                      <a:endParaRPr lang="ru-RU"/>
                    </a:p>
                  </c:txPr>
                  <c:dLblPos val="outEnd"/>
                  <c:showLegendKey val="0"/>
                  <c:showVal val="1"/>
                  <c:showCatName val="0"/>
                  <c:showSerName val="0"/>
                  <c:showPercent val="0"/>
                  <c:showBubbleSize val="0"/>
                  <c:showLeaderLines val="0"/>
                  <c:extLst>
                    <c:ext uri="{CE6537A1-D6FC-4f65-9D91-7224C49458BB}">
                      <c15:showLeaderLines val="1"/>
                      <c15:leaderLines>
                        <c:spPr>
                          <a:ln w="9525">
                            <a:solidFill>
                              <a:schemeClr val="tx1">
                                <a:lumMod val="35000"/>
                                <a:lumOff val="65000"/>
                              </a:schemeClr>
                            </a:solidFill>
                          </a:ln>
                          <a:effectLst/>
                        </c:spPr>
                      </c15:leaderLines>
                    </c:ext>
                  </c:extLst>
                </c:dLbls>
                <c:cat>
                  <c:strRef>
                    <c:extLst>
                      <c:ext uri="{02D57815-91ED-43cb-92C2-25804820EDAC}">
                        <c15:formulaRef>
                          <c15:sqref>'data dash'!$F$2:$I$2</c15:sqref>
                        </c15:formulaRef>
                      </c:ext>
                    </c:extLst>
                    <c:strCache>
                      <c:ptCount val="4"/>
                      <c:pt idx="0">
                        <c:v>PLAN 2021</c:v>
                      </c:pt>
                      <c:pt idx="1">
                        <c:v>PLAN 6mnth</c:v>
                      </c:pt>
                      <c:pt idx="2">
                        <c:v>FACT 6 mnth</c:v>
                      </c:pt>
                      <c:pt idx="3">
                        <c:v>PLAN 2021 @RISK</c:v>
                      </c:pt>
                    </c:strCache>
                  </c:strRef>
                </c:cat>
                <c:val>
                  <c:numRef>
                    <c:extLst>
                      <c:ext uri="{02D57815-91ED-43cb-92C2-25804820EDAC}">
                        <c15:formulaRef>
                          <c15:sqref>'data dash'!$F$3:$I$3</c15:sqref>
                        </c15:formulaRef>
                      </c:ext>
                    </c:extLst>
                    <c:numCache>
                      <c:formatCode>_-* #\ ##0\ _₽_-;\-* #\ ##0\ _₽_-;_-* "-"??\ _₽_-;_-@_-</c:formatCode>
                      <c:ptCount val="4"/>
                      <c:pt idx="0">
                        <c:v>1029110.581809653</c:v>
                      </c:pt>
                      <c:pt idx="1">
                        <c:v>502176.28646188835</c:v>
                      </c:pt>
                      <c:pt idx="2">
                        <c:v>500708.23774836562</c:v>
                      </c:pt>
                      <c:pt idx="3">
                        <c:v>987703</c:v>
                      </c:pt>
                    </c:numCache>
                  </c:numRef>
                </c:val>
                <c:extLst>
                  <c:ext xmlns:c16="http://schemas.microsoft.com/office/drawing/2014/chart" uri="{C3380CC4-5D6E-409C-BE32-E72D297353CC}">
                    <c16:uniqueId val="{0000000F-BE57-4B0D-803B-5B9357485171}"/>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'data dash'!$D$4:$E$4</c15:sqref>
                        </c15:formulaRef>
                      </c:ext>
                    </c:extLst>
                    <c:strCache>
                      <c:ptCount val="2"/>
                      <c:pt idx="0">
                        <c:v>RISK OF PASSENGER TURNOVER</c:v>
                      </c:pt>
                    </c:strCache>
                  </c:strRef>
                </c:tx>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1">
                        <a:lumMod val="75000"/>
                      </a:schemeClr>
                    </a:solidFill>
                    <a:round/>
                  </a:ln>
                  <a:effectLst/>
                </c:spPr>
                <c:invertIfNegative val="0"/>
                <c:dPt>
                  <c:idx val="0"/>
                  <c:invertIfNegative val="0"/>
                  <c:bubble3D val="0"/>
                  <c:spPr>
                    <a:solidFill>
                      <a:schemeClr val="accent5">
                        <a:lumMod val="40000"/>
                        <a:lumOff val="60000"/>
                      </a:schemeClr>
                    </a:solidFill>
                    <a:ln w="9525" cap="flat" cmpd="sng" algn="ctr">
                      <a:solidFill>
                        <a:schemeClr val="accent1">
                          <a:lumMod val="75000"/>
                        </a:schemeClr>
                      </a:solidFill>
                      <a:round/>
                    </a:ln>
                    <a:effectLst/>
                  </c:spPr>
                  <c:extLst xmlns:c15="http://schemas.microsoft.com/office/drawing/2012/chart">
                    <c:ext xmlns:c16="http://schemas.microsoft.com/office/drawing/2014/chart" uri="{C3380CC4-5D6E-409C-BE32-E72D297353CC}">
                      <c16:uniqueId val="{00000011-BE57-4B0D-803B-5B9357485171}"/>
                    </c:ext>
                  </c:extLst>
                </c:dPt>
                <c:dPt>
                  <c:idx val="1"/>
                  <c:invertIfNegative val="0"/>
                  <c:bubble3D val="0"/>
                  <c:spPr>
                    <a:solidFill>
                      <a:schemeClr val="accent1">
                        <a:lumMod val="75000"/>
                      </a:schemeClr>
                    </a:solidFill>
                    <a:ln w="9525" cap="flat" cmpd="sng" algn="ctr">
                      <a:solidFill>
                        <a:schemeClr val="accent1">
                          <a:lumMod val="75000"/>
                        </a:schemeClr>
                      </a:solidFill>
                      <a:round/>
                    </a:ln>
                    <a:effectLst/>
                  </c:spPr>
                  <c:extLst xmlns:c15="http://schemas.microsoft.com/office/drawing/2012/chart">
                    <c:ext xmlns:c16="http://schemas.microsoft.com/office/drawing/2014/chart" uri="{C3380CC4-5D6E-409C-BE32-E72D297353CC}">
                      <c16:uniqueId val="{00000013-BE57-4B0D-803B-5B9357485171}"/>
                    </c:ext>
                  </c:extLst>
                </c:dPt>
                <c:dPt>
                  <c:idx val="2"/>
                  <c:invertIfNegative val="0"/>
                  <c:bubble3D val="0"/>
                  <c:spPr>
                    <a:solidFill>
                      <a:schemeClr val="bg1">
                        <a:lumMod val="75000"/>
                      </a:schemeClr>
                    </a:solidFill>
                    <a:ln w="9525" cap="flat" cmpd="sng" algn="ctr">
                      <a:solidFill>
                        <a:schemeClr val="accent1">
                          <a:lumMod val="75000"/>
                        </a:schemeClr>
                      </a:solidFill>
                      <a:round/>
                    </a:ln>
                    <a:effectLst/>
                  </c:spPr>
                  <c:extLst xmlns:c15="http://schemas.microsoft.com/office/drawing/2012/chart">
                    <c:ext xmlns:c16="http://schemas.microsoft.com/office/drawing/2014/chart" uri="{C3380CC4-5D6E-409C-BE32-E72D297353CC}">
                      <c16:uniqueId val="{00000015-BE57-4B0D-803B-5B9357485171}"/>
                    </c:ext>
                  </c:extLst>
                </c:dPt>
                <c:dPt>
                  <c:idx val="3"/>
                  <c:invertIfNegative val="0"/>
                  <c:bubble3D val="0"/>
                  <c:spPr>
                    <a:solidFill>
                      <a:srgbClr val="FFC000"/>
                    </a:solidFill>
                    <a:ln w="9525" cap="flat" cmpd="sng" algn="ctr">
                      <a:solidFill>
                        <a:schemeClr val="accent1">
                          <a:lumMod val="75000"/>
                        </a:schemeClr>
                      </a:solidFill>
                      <a:round/>
                    </a:ln>
                    <a:effectLst/>
                  </c:spPr>
                  <c:extLst xmlns:c15="http://schemas.microsoft.com/office/drawing/2012/chart">
                    <c:ext xmlns:c16="http://schemas.microsoft.com/office/drawing/2014/chart" uri="{C3380CC4-5D6E-409C-BE32-E72D297353CC}">
                      <c16:uniqueId val="{00000017-BE57-4B0D-803B-5B9357485171}"/>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50000"/>
                              <a:lumOff val="50000"/>
                            </a:schemeClr>
                          </a:solidFill>
                          <a:latin typeface="+mn-lt"/>
                          <a:ea typeface="+mn-ea"/>
                          <a:cs typeface="+mn-cs"/>
                        </a:defRPr>
                      </a:pPr>
                      <a:endParaRPr lang="ru-RU"/>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xmlns:c15="http://schemas.microsoft.com/office/drawing/2012/chart">
                      <c:ext xmlns:c15="http://schemas.microsoft.com/office/drawing/2012/chart" uri="{02D57815-91ED-43cb-92C2-25804820EDAC}">
                        <c15:formulaRef>
                          <c15:sqref>'data dash'!$F$2:$I$2</c15:sqref>
                        </c15:formulaRef>
                      </c:ext>
                    </c:extLst>
                    <c:strCache>
                      <c:ptCount val="4"/>
                      <c:pt idx="0">
                        <c:v>PLAN 2021</c:v>
                      </c:pt>
                      <c:pt idx="1">
                        <c:v>PLAN 6mnth</c:v>
                      </c:pt>
                      <c:pt idx="2">
                        <c:v>FACT 6 mnth</c:v>
                      </c:pt>
                      <c:pt idx="3">
                        <c:v>PLAN 2021 @RISK</c:v>
                      </c:pt>
                    </c:strCache>
                  </c:strRef>
                </c:cat>
                <c:val>
                  <c:numRef>
                    <c:extLst xmlns:c15="http://schemas.microsoft.com/office/drawing/2012/chart">
                      <c:ext xmlns:c15="http://schemas.microsoft.com/office/drawing/2012/chart" uri="{02D57815-91ED-43cb-92C2-25804820EDAC}">
                        <c15:formulaRef>
                          <c15:sqref>'data dash'!$F$4:$I$4</c15:sqref>
                        </c15:formulaRef>
                      </c:ext>
                    </c:extLst>
                    <c:numCache>
                      <c:formatCode>_-* #\ ##0\ _₽_-;\-* #\ ##0\ _₽_-;_-* "-"??\ _₽_-;_-@_-</c:formatCode>
                      <c:ptCount val="4"/>
                      <c:pt idx="0">
                        <c:v>83401.476185171938</c:v>
                      </c:pt>
                      <c:pt idx="1">
                        <c:v>32523.247627060737</c:v>
                      </c:pt>
                      <c:pt idx="2">
                        <c:v>35167.364999999998</c:v>
                      </c:pt>
                      <c:pt idx="3">
                        <c:v>102177.1</c:v>
                      </c:pt>
                    </c:numCache>
                  </c:numRef>
                </c:val>
                <c:extLst xmlns:c15="http://schemas.microsoft.com/office/drawing/2012/chart">
                  <c:ext xmlns:c16="http://schemas.microsoft.com/office/drawing/2014/chart" uri="{C3380CC4-5D6E-409C-BE32-E72D297353CC}">
                    <c16:uniqueId val="{00000018-BE57-4B0D-803B-5B9357485171}"/>
                  </c:ext>
                </c:extLst>
              </c15:ser>
            </c15:filteredBarSeries>
          </c:ext>
        </c:extLst>
      </c:barChart>
      <c:catAx>
        <c:axId val="401848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50000"/>
                    <a:lumOff val="50000"/>
                  </a:schemeClr>
                </a:solidFill>
                <a:latin typeface="+mn-lt"/>
                <a:ea typeface="+mn-ea"/>
                <a:cs typeface="+mn-cs"/>
              </a:defRPr>
            </a:pPr>
            <a:endParaRPr lang="ru-RU"/>
          </a:p>
        </c:txPr>
        <c:crossAx val="40209792"/>
        <c:crosses val="autoZero"/>
        <c:auto val="1"/>
        <c:lblAlgn val="ctr"/>
        <c:lblOffset val="100"/>
        <c:noMultiLvlLbl val="0"/>
      </c:catAx>
      <c:valAx>
        <c:axId val="40209792"/>
        <c:scaling>
          <c:orientation val="minMax"/>
        </c:scaling>
        <c:delete val="0"/>
        <c:axPos val="l"/>
        <c:numFmt formatCode="_-* #,##0\ _₽_-;\-* #,##0\ _₽_-;_-* &quot;-&quot;??\ _₽_-;_-@_-"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50000"/>
                    <a:lumOff val="50000"/>
                  </a:schemeClr>
                </a:solidFill>
                <a:latin typeface="+mn-lt"/>
                <a:ea typeface="+mn-ea"/>
                <a:cs typeface="+mn-cs"/>
              </a:defRPr>
            </a:pPr>
            <a:endParaRPr lang="ru-RU"/>
          </a:p>
        </c:txPr>
        <c:crossAx val="401848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sz="1800" b="1" i="0" baseline="0">
                <a:effectLst/>
              </a:rPr>
              <a:t>Риски доходов внутриреспубликанского грузооборота, млн.тнг</a:t>
            </a:r>
            <a:endParaRPr lang="ru-RU">
              <a:effectLst/>
            </a:endParaRPr>
          </a:p>
        </c:rich>
      </c:tx>
      <c:overlay val="0"/>
      <c:spPr>
        <a:noFill/>
        <a:ln>
          <a:noFill/>
        </a:ln>
        <a:effectLst/>
      </c:spPr>
    </c:title>
    <c:autoTitleDeleted val="0"/>
    <c:plotArea>
      <c:layout>
        <c:manualLayout>
          <c:layoutTarget val="inner"/>
          <c:xMode val="edge"/>
          <c:yMode val="edge"/>
          <c:x val="0.51225773209964587"/>
          <c:y val="0.16562058640172733"/>
          <c:w val="0.45798425616105626"/>
          <c:h val="0.80239602938991406"/>
        </c:manualLayout>
      </c:layout>
      <c:barChart>
        <c:barDir val="bar"/>
        <c:grouping val="stacked"/>
        <c:varyColors val="0"/>
        <c:ser>
          <c:idx val="0"/>
          <c:order val="0"/>
          <c:spPr>
            <a:noFill/>
            <a:ln>
              <a:noFill/>
            </a:ln>
            <a:effectLst/>
          </c:spPr>
          <c:invertIfNegative val="0"/>
          <c:dPt>
            <c:idx val="0"/>
            <c:invertIfNegative val="0"/>
            <c:bubble3D val="0"/>
            <c:spPr>
              <a:gradFill flip="none" rotWithShape="1">
                <a:gsLst>
                  <a:gs pos="0">
                    <a:schemeClr val="tx2">
                      <a:tint val="66000"/>
                      <a:satMod val="160000"/>
                    </a:schemeClr>
                  </a:gs>
                  <a:gs pos="50000">
                    <a:schemeClr val="tx2">
                      <a:tint val="44500"/>
                      <a:satMod val="160000"/>
                    </a:schemeClr>
                  </a:gs>
                  <a:gs pos="100000">
                    <a:schemeClr val="tx2">
                      <a:tint val="23500"/>
                      <a:satMod val="160000"/>
                    </a:schemeClr>
                  </a:gs>
                </a:gsLst>
                <a:lin ang="16200000" scaled="1"/>
                <a:tileRect/>
              </a:gradFill>
              <a:ln>
                <a:noFill/>
              </a:ln>
              <a:effectLst/>
            </c:spPr>
            <c:extLst xmlns:c16r2="http://schemas.microsoft.com/office/drawing/2015/06/chart">
              <c:ext xmlns:c16="http://schemas.microsoft.com/office/drawing/2014/chart" uri="{C3380CC4-5D6E-409C-BE32-E72D297353CC}">
                <c16:uniqueId val="{00000001-253F-4D0A-96A0-A4FF6E70A905}"/>
              </c:ext>
            </c:extLst>
          </c:dPt>
          <c:dPt>
            <c:idx val="5"/>
            <c:invertIfNegative val="0"/>
            <c:bubble3D val="0"/>
            <c:spPr>
              <a:gradFill flip="none" rotWithShape="1">
                <a:gsLst>
                  <a:gs pos="0">
                    <a:srgbClr val="FFC000">
                      <a:shade val="30000"/>
                      <a:satMod val="115000"/>
                    </a:srgbClr>
                  </a:gs>
                  <a:gs pos="50000">
                    <a:srgbClr val="FFC000">
                      <a:shade val="67500"/>
                      <a:satMod val="115000"/>
                    </a:srgbClr>
                  </a:gs>
                  <a:gs pos="100000">
                    <a:srgbClr val="FFC000">
                      <a:shade val="100000"/>
                      <a:satMod val="115000"/>
                    </a:srgbClr>
                  </a:gs>
                </a:gsLst>
                <a:lin ang="16200000" scaled="1"/>
                <a:tileRect/>
              </a:gradFill>
              <a:ln>
                <a:noFill/>
              </a:ln>
              <a:effectLst/>
            </c:spPr>
            <c:extLst xmlns:c16r2="http://schemas.microsoft.com/office/drawing/2015/06/chart">
              <c:ext xmlns:c16="http://schemas.microsoft.com/office/drawing/2014/chart" uri="{C3380CC4-5D6E-409C-BE32-E72D297353CC}">
                <c16:uniqueId val="{00000003-253F-4D0A-96A0-A4FF6E70A905}"/>
              </c:ext>
            </c:extLst>
          </c:dPt>
          <c:dLbls>
            <c:dLbl>
              <c:idx val="0"/>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1-253F-4D0A-96A0-A4FF6E70A905}"/>
                </c:ext>
              </c:extLst>
            </c:dLbl>
            <c:dLbl>
              <c:idx val="5"/>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3-253F-4D0A-96A0-A4FF6E70A905}"/>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(Check!$AI$3:$AI$7,Check!$AI$10)</c:f>
              <c:strCache>
                <c:ptCount val="6"/>
                <c:pt idx="0">
                  <c:v>ПЛАН</c:v>
                </c:pt>
                <c:pt idx="1">
                  <c:v>Интермодальный риск от частного сектора (основные 2 конкурента ТТТ Сервис, Дар Рэйл, возможно до 8 частных перевозчиков)</c:v>
                </c:pt>
                <c:pt idx="2">
                  <c:v>Снижение спроса со стороны грузоотправителей (Kz)</c:v>
                </c:pt>
                <c:pt idx="3">
                  <c:v>Интермодальная конкуренция со стороны альтернативных видов транспорта (воздушный,автомобильный, водный транспорт)</c:v>
                </c:pt>
                <c:pt idx="4">
                  <c:v>Нормативная скорость доставки груза, 330 км/сут</c:v>
                </c:pt>
                <c:pt idx="5">
                  <c:v>ПЛАН @Risk</c:v>
                </c:pt>
              </c:strCache>
              <c:extLst xmlns:c16r2="http://schemas.microsoft.com/office/drawing/2015/06/chart">
                <c:ext xmlns:c15="http://schemas.microsoft.com/office/drawing/2012/chart" uri="{02D57815-91ED-43cb-92C2-25804820EDAC}">
                  <c15:fullRef>
                    <c15:sqref>Check!$AI$3:$AI$10</c15:sqref>
                  </c15:fullRef>
                </c:ext>
              </c:extLst>
            </c:strRef>
          </c:cat>
          <c:val>
            <c:numRef>
              <c:f>(Check!$AJ$3:$AJ$7,Check!$AJ$10)</c:f>
              <c:numCache>
                <c:formatCode>0</c:formatCode>
                <c:ptCount val="6"/>
                <c:pt idx="0" formatCode="#,##0">
                  <c:v>354032</c:v>
                </c:pt>
                <c:pt idx="1">
                  <c:v>338402</c:v>
                </c:pt>
                <c:pt idx="2">
                  <c:v>338402</c:v>
                </c:pt>
                <c:pt idx="3">
                  <c:v>338402</c:v>
                </c:pt>
                <c:pt idx="4">
                  <c:v>342488</c:v>
                </c:pt>
                <c:pt idx="5">
                  <c:v>339578.71216973336</c:v>
                </c:pt>
              </c:numCache>
              <c:extLst xmlns:c16r2="http://schemas.microsoft.com/office/drawing/2015/06/chart">
                <c:ext xmlns:c15="http://schemas.microsoft.com/office/drawing/2012/chart" uri="{02D57815-91ED-43cb-92C2-25804820EDAC}">
                  <c15:fullRef>
                    <c15:sqref>Check!$AJ$3:$AJ$10</c15:sqref>
                  </c15:fullRef>
                </c:ext>
              </c:extLst>
            </c:numRef>
          </c:val>
          <c:extLst xmlns:c16r2="http://schemas.microsoft.com/office/drawing/2015/06/chart">
            <c:ext xmlns:c15="http://schemas.microsoft.com/office/drawing/2012/chart" uri="{02D57815-91ED-43cb-92C2-25804820EDAC}">
              <c15:categoryFilterExceptions>
                <c15:categoryFilterException>
                  <c15:sqref>Check!$AJ$9</c15:sqref>
                  <c15:spPr xmlns:c15="http://schemas.microsoft.com/office/drawing/2012/chart">
                    <a:noFill/>
                    <a:ln>
                      <a:noFill/>
                    </a:ln>
                    <a:effectLst/>
                  </c15:spPr>
                  <c15:invertIfNegative val="0"/>
                  <c15:bubble3D val="0"/>
                </c15:categoryFilterException>
              </c15:categoryFilterExceptions>
            </c:ext>
            <c:ext xmlns:c16="http://schemas.microsoft.com/office/drawing/2014/chart" uri="{C3380CC4-5D6E-409C-BE32-E72D297353CC}">
              <c16:uniqueId val="{00000004-253F-4D0A-96A0-A4FF6E70A905}"/>
            </c:ext>
          </c:extLst>
        </c:ser>
        <c:ser>
          <c:idx val="1"/>
          <c:order val="1"/>
          <c:spPr>
            <a:gradFill flip="none" rotWithShape="1">
              <a:gsLst>
                <a:gs pos="0">
                  <a:srgbClr val="FE948C">
                    <a:shade val="30000"/>
                    <a:satMod val="115000"/>
                  </a:srgbClr>
                </a:gs>
                <a:gs pos="50000">
                  <a:srgbClr val="FE948C">
                    <a:shade val="67500"/>
                    <a:satMod val="115000"/>
                  </a:srgbClr>
                </a:gs>
                <a:gs pos="100000">
                  <a:srgbClr val="FE948C">
                    <a:shade val="100000"/>
                    <a:satMod val="115000"/>
                  </a:srgbClr>
                </a:gs>
              </a:gsLst>
              <a:lin ang="16200000" scaled="1"/>
              <a:tileRect/>
            </a:gradFill>
            <a:ln>
              <a:noFill/>
            </a:ln>
            <a:effectLst/>
          </c:spPr>
          <c:invertIfNegative val="0"/>
          <c:dPt>
            <c:idx val="3"/>
            <c:invertIfNegative val="0"/>
            <c:bubble3D val="0"/>
            <c:spPr>
              <a:gradFill flip="none" rotWithShape="1">
                <a:gsLst>
                  <a:gs pos="0">
                    <a:schemeClr val="accent6">
                      <a:shade val="30000"/>
                      <a:satMod val="115000"/>
                    </a:schemeClr>
                  </a:gs>
                  <a:gs pos="50000">
                    <a:schemeClr val="accent6">
                      <a:shade val="67500"/>
                      <a:satMod val="115000"/>
                    </a:schemeClr>
                  </a:gs>
                  <a:gs pos="100000">
                    <a:schemeClr val="accent6">
                      <a:shade val="100000"/>
                      <a:satMod val="115000"/>
                    </a:schemeClr>
                  </a:gs>
                </a:gsLst>
                <a:lin ang="16200000" scaled="1"/>
                <a:tileRect/>
              </a:gradFill>
              <a:ln>
                <a:noFill/>
              </a:ln>
              <a:effectLst/>
            </c:spPr>
            <c:extLst xmlns:c16r2="http://schemas.microsoft.com/office/drawing/2015/06/chart">
              <c:ext xmlns:c16="http://schemas.microsoft.com/office/drawing/2014/chart" uri="{C3380CC4-5D6E-409C-BE32-E72D297353CC}">
                <c16:uniqueId val="{00000006-253F-4D0A-96A0-A4FF6E70A905}"/>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ru-RU"/>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(Check!$AI$3:$AI$7,Check!$AI$10)</c:f>
              <c:strCache>
                <c:ptCount val="6"/>
                <c:pt idx="0">
                  <c:v>ПЛАН</c:v>
                </c:pt>
                <c:pt idx="1">
                  <c:v>Интермодальный риск от частного сектора (основные 2 конкурента ТТТ Сервис, Дар Рэйл, возможно до 8 частных перевозчиков)</c:v>
                </c:pt>
                <c:pt idx="2">
                  <c:v>Снижение спроса со стороны грузоотправителей (Kz)</c:v>
                </c:pt>
                <c:pt idx="3">
                  <c:v>Интермодальная конкуренция со стороны альтернативных видов транспорта (воздушный,автомобильный, водный транспорт)</c:v>
                </c:pt>
                <c:pt idx="4">
                  <c:v>Нормативная скорость доставки груза, 330 км/сут</c:v>
                </c:pt>
                <c:pt idx="5">
                  <c:v>ПЛАН @Risk</c:v>
                </c:pt>
              </c:strCache>
              <c:extLst xmlns:c16r2="http://schemas.microsoft.com/office/drawing/2015/06/chart">
                <c:ext xmlns:c15="http://schemas.microsoft.com/office/drawing/2012/chart" uri="{02D57815-91ED-43cb-92C2-25804820EDAC}">
                  <c15:fullRef>
                    <c15:sqref>Check!$AI$3:$AI$10</c15:sqref>
                  </c15:fullRef>
                </c:ext>
              </c:extLst>
            </c:strRef>
          </c:cat>
          <c:val>
            <c:numRef>
              <c:f>(Check!$AK$3:$AK$7,Check!$AK$10)</c:f>
              <c:numCache>
                <c:formatCode>0</c:formatCode>
                <c:ptCount val="6"/>
                <c:pt idx="1">
                  <c:v>15630</c:v>
                </c:pt>
                <c:pt idx="2">
                  <c:v>0</c:v>
                </c:pt>
                <c:pt idx="3">
                  <c:v>4086</c:v>
                </c:pt>
                <c:pt idx="4">
                  <c:v>1600.8779999999997</c:v>
                </c:pt>
              </c:numCache>
              <c:extLst xmlns:c16r2="http://schemas.microsoft.com/office/drawing/2015/06/chart">
                <c:ext xmlns:c15="http://schemas.microsoft.com/office/drawing/2012/chart" uri="{02D57815-91ED-43cb-92C2-25804820EDAC}">
                  <c15:fullRef>
                    <c15:sqref>Check!$AK$3:$AK$10</c15:sqref>
                  </c15:fullRef>
                </c:ext>
              </c:extLst>
            </c:numRef>
          </c:val>
          <c:extLst xmlns:c16r2="http://schemas.microsoft.com/office/drawing/2015/06/chart">
            <c:ext xmlns:c16="http://schemas.microsoft.com/office/drawing/2014/chart" uri="{C3380CC4-5D6E-409C-BE32-E72D297353CC}">
              <c16:uniqueId val="{00000007-253F-4D0A-96A0-A4FF6E70A905}"/>
            </c:ext>
          </c:extLst>
        </c:ser>
        <c:dLbls>
          <c:showLegendKey val="0"/>
          <c:showVal val="0"/>
          <c:showCatName val="0"/>
          <c:showSerName val="0"/>
          <c:showPercent val="0"/>
          <c:showBubbleSize val="0"/>
        </c:dLbls>
        <c:gapWidth val="3"/>
        <c:overlap val="100"/>
        <c:axId val="323331584"/>
        <c:axId val="324145920"/>
      </c:barChart>
      <c:catAx>
        <c:axId val="323331584"/>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ru-RU"/>
          </a:p>
        </c:txPr>
        <c:crossAx val="324145920"/>
        <c:crosses val="autoZero"/>
        <c:auto val="1"/>
        <c:lblAlgn val="ctr"/>
        <c:lblOffset val="100"/>
        <c:noMultiLvlLbl val="0"/>
      </c:catAx>
      <c:valAx>
        <c:axId val="324145920"/>
        <c:scaling>
          <c:orientation val="minMax"/>
          <c:max val="267000"/>
        </c:scaling>
        <c:delete val="1"/>
        <c:axPos val="t"/>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crossAx val="323331584"/>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r>
              <a:rPr lang="en-US" sz="1800" b="1" i="0" u="none" strike="noStrike" baseline="0">
                <a:effectLst/>
              </a:rPr>
              <a:t>Risks of income of export cargo turnover, million tenge</a:t>
            </a:r>
            <a:endParaRPr lang="ru-RU" sz="1800">
              <a:effectLst/>
            </a:endParaRPr>
          </a:p>
        </c:rich>
      </c:tx>
      <c:overlay val="0"/>
      <c:spPr>
        <a:noFill/>
        <a:ln>
          <a:noFill/>
        </a:ln>
        <a:effectLst/>
      </c:spPr>
    </c:title>
    <c:autoTitleDeleted val="0"/>
    <c:plotArea>
      <c:layout>
        <c:manualLayout>
          <c:layoutTarget val="inner"/>
          <c:xMode val="edge"/>
          <c:yMode val="edge"/>
          <c:x val="0.51225773209964587"/>
          <c:y val="0.16562058640172733"/>
          <c:w val="0.45798425616105626"/>
          <c:h val="0.80239602938991406"/>
        </c:manualLayout>
      </c:layout>
      <c:barChart>
        <c:barDir val="bar"/>
        <c:grouping val="stacked"/>
        <c:varyColors val="0"/>
        <c:ser>
          <c:idx val="0"/>
          <c:order val="0"/>
          <c:spPr>
            <a:solidFill>
              <a:srgbClr val="FFC000"/>
            </a:solidFill>
            <a:ln>
              <a:noFill/>
            </a:ln>
            <a:effectLst/>
          </c:spPr>
          <c:invertIfNegative val="0"/>
          <c:dPt>
            <c:idx val="0"/>
            <c:invertIfNegative val="0"/>
            <c:bubble3D val="0"/>
            <c:spPr>
              <a:gradFill flip="none" rotWithShape="1">
                <a:gsLst>
                  <a:gs pos="0">
                    <a:schemeClr val="accent5">
                      <a:lumMod val="20000"/>
                      <a:lumOff val="80000"/>
                      <a:shade val="30000"/>
                      <a:satMod val="115000"/>
                    </a:schemeClr>
                  </a:gs>
                  <a:gs pos="33000">
                    <a:schemeClr val="accent5">
                      <a:lumMod val="20000"/>
                      <a:lumOff val="80000"/>
                      <a:shade val="67500"/>
                      <a:satMod val="115000"/>
                    </a:schemeClr>
                  </a:gs>
                  <a:gs pos="100000">
                    <a:schemeClr val="accent5">
                      <a:lumMod val="20000"/>
                      <a:lumOff val="80000"/>
                      <a:shade val="100000"/>
                      <a:satMod val="115000"/>
                    </a:schemeClr>
                  </a:gs>
                </a:gsLst>
                <a:lin ang="16200000" scaled="1"/>
                <a:tileRect/>
              </a:gradFill>
              <a:ln>
                <a:noFill/>
              </a:ln>
              <a:effectLst/>
            </c:spPr>
            <c:extLst xmlns:c16r2="http://schemas.microsoft.com/office/drawing/2015/06/chart">
              <c:ext xmlns:c16="http://schemas.microsoft.com/office/drawing/2014/chart" uri="{C3380CC4-5D6E-409C-BE32-E72D297353CC}">
                <c16:uniqueId val="{00000001-376C-40D1-8198-0132A3BD5972}"/>
              </c:ext>
            </c:extLst>
          </c:dPt>
          <c:dPt>
            <c:idx val="1"/>
            <c:invertIfNegative val="0"/>
            <c:bubble3D val="0"/>
            <c:spPr>
              <a:noFill/>
              <a:ln>
                <a:noFill/>
              </a:ln>
              <a:effectLst/>
            </c:spPr>
            <c:extLst xmlns:c16r2="http://schemas.microsoft.com/office/drawing/2015/06/chart">
              <c:ext xmlns:c16="http://schemas.microsoft.com/office/drawing/2014/chart" uri="{C3380CC4-5D6E-409C-BE32-E72D297353CC}">
                <c16:uniqueId val="{00000003-376C-40D1-8198-0132A3BD5972}"/>
              </c:ext>
            </c:extLst>
          </c:dPt>
          <c:dPt>
            <c:idx val="2"/>
            <c:invertIfNegative val="0"/>
            <c:bubble3D val="0"/>
            <c:spPr>
              <a:noFill/>
              <a:ln>
                <a:noFill/>
              </a:ln>
              <a:effectLst/>
            </c:spPr>
            <c:extLst xmlns:c16r2="http://schemas.microsoft.com/office/drawing/2015/06/chart">
              <c:ext xmlns:c16="http://schemas.microsoft.com/office/drawing/2014/chart" uri="{C3380CC4-5D6E-409C-BE32-E72D297353CC}">
                <c16:uniqueId val="{00000005-376C-40D1-8198-0132A3BD5972}"/>
              </c:ext>
            </c:extLst>
          </c:dPt>
          <c:dPt>
            <c:idx val="3"/>
            <c:invertIfNegative val="0"/>
            <c:bubble3D val="0"/>
            <c:spPr>
              <a:noFill/>
              <a:ln>
                <a:noFill/>
              </a:ln>
              <a:effectLst/>
            </c:spPr>
            <c:extLst xmlns:c16r2="http://schemas.microsoft.com/office/drawing/2015/06/chart">
              <c:ext xmlns:c16="http://schemas.microsoft.com/office/drawing/2014/chart" uri="{C3380CC4-5D6E-409C-BE32-E72D297353CC}">
                <c16:uniqueId val="{00000007-376C-40D1-8198-0132A3BD5972}"/>
              </c:ext>
            </c:extLst>
          </c:dPt>
          <c:dPt>
            <c:idx val="4"/>
            <c:invertIfNegative val="0"/>
            <c:bubble3D val="0"/>
            <c:spPr>
              <a:noFill/>
              <a:ln>
                <a:noFill/>
              </a:ln>
              <a:effectLst/>
            </c:spPr>
            <c:extLst xmlns:c16r2="http://schemas.microsoft.com/office/drawing/2015/06/chart">
              <c:ext xmlns:c16="http://schemas.microsoft.com/office/drawing/2014/chart" uri="{C3380CC4-5D6E-409C-BE32-E72D297353CC}">
                <c16:uniqueId val="{00000009-376C-40D1-8198-0132A3BD5972}"/>
              </c:ext>
            </c:extLst>
          </c:dPt>
          <c:dPt>
            <c:idx val="5"/>
            <c:invertIfNegative val="0"/>
            <c:bubble3D val="0"/>
            <c:spPr>
              <a:noFill/>
              <a:ln>
                <a:noFill/>
              </a:ln>
              <a:effectLst/>
            </c:spPr>
            <c:extLst xmlns:c16r2="http://schemas.microsoft.com/office/drawing/2015/06/chart">
              <c:ext xmlns:c16="http://schemas.microsoft.com/office/drawing/2014/chart" uri="{C3380CC4-5D6E-409C-BE32-E72D297353CC}">
                <c16:uniqueId val="{0000000B-376C-40D1-8198-0132A3BD5972}"/>
              </c:ext>
            </c:extLst>
          </c:dPt>
          <c:dPt>
            <c:idx val="6"/>
            <c:invertIfNegative val="0"/>
            <c:bubble3D val="0"/>
            <c:spPr>
              <a:gradFill flip="none" rotWithShape="1">
                <a:gsLst>
                  <a:gs pos="0">
                    <a:srgbClr val="FFC000">
                      <a:shade val="30000"/>
                      <a:satMod val="115000"/>
                    </a:srgbClr>
                  </a:gs>
                  <a:gs pos="50000">
                    <a:srgbClr val="FFC000">
                      <a:shade val="67500"/>
                      <a:satMod val="115000"/>
                    </a:srgbClr>
                  </a:gs>
                  <a:gs pos="100000">
                    <a:srgbClr val="FFC000">
                      <a:shade val="100000"/>
                      <a:satMod val="115000"/>
                    </a:srgbClr>
                  </a:gs>
                </a:gsLst>
                <a:lin ang="16200000" scaled="1"/>
                <a:tileRect/>
              </a:gradFill>
              <a:ln>
                <a:noFill/>
              </a:ln>
              <a:effectLst/>
            </c:spPr>
            <c:extLst xmlns:c16r2="http://schemas.microsoft.com/office/drawing/2015/06/chart">
              <c:ext xmlns:c16="http://schemas.microsoft.com/office/drawing/2014/chart" uri="{C3380CC4-5D6E-409C-BE32-E72D297353CC}">
                <c16:uniqueId val="{0000000D-376C-40D1-8198-0132A3BD5972}"/>
              </c:ext>
            </c:extLst>
          </c:dPt>
          <c:dLbls>
            <c:dLbl>
              <c:idx val="0"/>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1-376C-40D1-8198-0132A3BD5972}"/>
                </c:ext>
              </c:extLst>
            </c:dLbl>
            <c:dLbl>
              <c:idx val="6"/>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D-376C-40D1-8198-0132A3BD5972}"/>
                </c:ext>
              </c:extLst>
            </c:dLbl>
            <c:dLbl>
              <c:idx val="7"/>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E-376C-40D1-8198-0132A3BD5972}"/>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Check!$AI$31:$AI$37</c:f>
              <c:strCache>
                <c:ptCount val="7"/>
                <c:pt idx="0">
                  <c:v>ПЛАН</c:v>
                </c:pt>
                <c:pt idx="1">
                  <c:v>Снижение спроса со стороны грузоотправителей экспорта</c:v>
                </c:pt>
                <c:pt idx="2">
                  <c:v>Интермодальный риск от частного сектора (основные 2 конкурента ТТТ Сервис, Дар Рэйл)</c:v>
                </c:pt>
                <c:pt idx="3">
                  <c:v>Внутримодальные риски от конкуренции со стороны железнодорожного сектора других государств (современные подвижные составы российских железных дорог и порожние маршруты обратного транзита)</c:v>
                </c:pt>
                <c:pt idx="4">
                  <c:v>(A) Интермодальная конкуренция со стороны альтернативных видов транспорта (воздушный,автомобильный, водный транспорт)</c:v>
                </c:pt>
                <c:pt idx="5">
                  <c:v>Субсидии на реализацию Национального Проекта "Сильные регионы - драйвер развития страны"</c:v>
                </c:pt>
                <c:pt idx="6">
                  <c:v>ПЛАН @Risk</c:v>
                </c:pt>
              </c:strCache>
            </c:strRef>
          </c:cat>
          <c:val>
            <c:numRef>
              <c:f>Check!$AJ$31:$AJ$37</c:f>
              <c:numCache>
                <c:formatCode>0</c:formatCode>
                <c:ptCount val="7"/>
                <c:pt idx="0" formatCode="#,##0">
                  <c:v>150762</c:v>
                </c:pt>
                <c:pt idx="1">
                  <c:v>150762</c:v>
                </c:pt>
                <c:pt idx="2">
                  <c:v>140242</c:v>
                </c:pt>
                <c:pt idx="3">
                  <c:v>140242</c:v>
                </c:pt>
                <c:pt idx="4">
                  <c:v>140242</c:v>
                </c:pt>
                <c:pt idx="5">
                  <c:v>142441.60000000001</c:v>
                </c:pt>
                <c:pt idx="6">
                  <c:v>141369.5302500985</c:v>
                </c:pt>
              </c:numCache>
            </c:numRef>
          </c:val>
          <c:extLst xmlns:c16r2="http://schemas.microsoft.com/office/drawing/2015/06/chart">
            <c:ext xmlns:c16="http://schemas.microsoft.com/office/drawing/2014/chart" uri="{C3380CC4-5D6E-409C-BE32-E72D297353CC}">
              <c16:uniqueId val="{0000000F-376C-40D1-8198-0132A3BD5972}"/>
            </c:ext>
          </c:extLst>
        </c:ser>
        <c:ser>
          <c:idx val="1"/>
          <c:order val="1"/>
          <c:spPr>
            <a:gradFill flip="none" rotWithShape="1">
              <a:gsLst>
                <a:gs pos="0">
                  <a:srgbClr val="FE948C">
                    <a:shade val="30000"/>
                    <a:satMod val="115000"/>
                  </a:srgbClr>
                </a:gs>
                <a:gs pos="50000">
                  <a:srgbClr val="FE948C">
                    <a:shade val="67500"/>
                    <a:satMod val="115000"/>
                  </a:srgbClr>
                </a:gs>
                <a:gs pos="100000">
                  <a:srgbClr val="FE948C">
                    <a:shade val="100000"/>
                    <a:satMod val="115000"/>
                  </a:srgbClr>
                </a:gs>
              </a:gsLst>
              <a:lin ang="16200000" scaled="1"/>
              <a:tileRect/>
            </a:gradFill>
            <a:ln>
              <a:noFill/>
            </a:ln>
            <a:effectLst/>
          </c:spPr>
          <c:invertIfNegative val="0"/>
          <c:dPt>
            <c:idx val="2"/>
            <c:invertIfNegative val="0"/>
            <c:bubble3D val="0"/>
            <c:extLst xmlns:c16r2="http://schemas.microsoft.com/office/drawing/2015/06/chart">
              <c:ext xmlns:c16="http://schemas.microsoft.com/office/drawing/2014/chart" uri="{C3380CC4-5D6E-409C-BE32-E72D297353CC}">
                <c16:uniqueId val="{00000010-376C-40D1-8198-0132A3BD5972}"/>
              </c:ext>
            </c:extLst>
          </c:dPt>
          <c:dPt>
            <c:idx val="3"/>
            <c:invertIfNegative val="0"/>
            <c:bubble3D val="0"/>
            <c:spPr>
              <a:gradFill flip="none" rotWithShape="1">
                <a:gsLst>
                  <a:gs pos="0">
                    <a:schemeClr val="accent6">
                      <a:shade val="30000"/>
                      <a:satMod val="115000"/>
                    </a:schemeClr>
                  </a:gs>
                  <a:gs pos="50000">
                    <a:schemeClr val="accent6">
                      <a:shade val="67500"/>
                      <a:satMod val="115000"/>
                    </a:schemeClr>
                  </a:gs>
                  <a:gs pos="100000">
                    <a:schemeClr val="accent6">
                      <a:shade val="100000"/>
                      <a:satMod val="115000"/>
                    </a:schemeClr>
                  </a:gs>
                </a:gsLst>
                <a:lin ang="16200000" scaled="1"/>
                <a:tileRect/>
              </a:gradFill>
              <a:ln>
                <a:noFill/>
              </a:ln>
              <a:effectLst/>
            </c:spPr>
            <c:extLst xmlns:c16r2="http://schemas.microsoft.com/office/drawing/2015/06/chart">
              <c:ext xmlns:c16="http://schemas.microsoft.com/office/drawing/2014/chart" uri="{C3380CC4-5D6E-409C-BE32-E72D297353CC}">
                <c16:uniqueId val="{00000012-376C-40D1-8198-0132A3BD5972}"/>
              </c:ext>
            </c:extLst>
          </c:dPt>
          <c:dPt>
            <c:idx val="5"/>
            <c:invertIfNegative val="0"/>
            <c:bubble3D val="0"/>
            <c:extLst xmlns:c16r2="http://schemas.microsoft.com/office/drawing/2015/06/chart">
              <c:ext xmlns:c16="http://schemas.microsoft.com/office/drawing/2014/chart" uri="{C3380CC4-5D6E-409C-BE32-E72D297353CC}">
                <c16:uniqueId val="{00000013-376C-40D1-8198-0132A3BD5972}"/>
              </c:ext>
            </c:extLst>
          </c:dPt>
          <c:dPt>
            <c:idx val="6"/>
            <c:invertIfNegative val="0"/>
            <c:bubble3D val="0"/>
            <c:spPr>
              <a:noFill/>
              <a:ln>
                <a:noFill/>
              </a:ln>
              <a:effectLst/>
            </c:spPr>
            <c:extLst xmlns:c16r2="http://schemas.microsoft.com/office/drawing/2015/06/chart">
              <c:ext xmlns:c16="http://schemas.microsoft.com/office/drawing/2014/chart" uri="{C3380CC4-5D6E-409C-BE32-E72D297353CC}">
                <c16:uniqueId val="{00000015-376C-40D1-8198-0132A3BD5972}"/>
              </c:ext>
            </c:extLst>
          </c:dPt>
          <c:dLbls>
            <c:dLbl>
              <c:idx val="4"/>
              <c:layout>
                <c:manualLayout>
                  <c:x val="-8.6655727575135292E-3"/>
                  <c:y val="5.494896560735589E-3"/>
                </c:manualLayout>
              </c:layout>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16-376C-40D1-8198-0132A3BD5972}"/>
                </c:ext>
              </c:extLst>
            </c:dLbl>
            <c:dLbl>
              <c:idx val="6"/>
              <c:delete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15-376C-40D1-8198-0132A3BD5972}"/>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ru-RU"/>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Check!$AI$31:$AI$37</c:f>
              <c:strCache>
                <c:ptCount val="7"/>
                <c:pt idx="0">
                  <c:v>ПЛАН</c:v>
                </c:pt>
                <c:pt idx="1">
                  <c:v>Снижение спроса со стороны грузоотправителей экспорта</c:v>
                </c:pt>
                <c:pt idx="2">
                  <c:v>Интермодальный риск от частного сектора (основные 2 конкурента ТТТ Сервис, Дар Рэйл)</c:v>
                </c:pt>
                <c:pt idx="3">
                  <c:v>Внутримодальные риски от конкуренции со стороны железнодорожного сектора других государств (современные подвижные составы российских железных дорог и порожние маршруты обратного транзита)</c:v>
                </c:pt>
                <c:pt idx="4">
                  <c:v>(A) Интермодальная конкуренция со стороны альтернативных видов транспорта (воздушный,автомобильный, водный транспорт)</c:v>
                </c:pt>
                <c:pt idx="5">
                  <c:v>Субсидии на реализацию Национального Проекта "Сильные регионы - драйвер развития страны"</c:v>
                </c:pt>
                <c:pt idx="6">
                  <c:v>ПЛАН @Risk</c:v>
                </c:pt>
              </c:strCache>
            </c:strRef>
          </c:cat>
          <c:val>
            <c:numRef>
              <c:f>Check!$AK$31:$AK$37</c:f>
              <c:numCache>
                <c:formatCode>0</c:formatCode>
                <c:ptCount val="7"/>
                <c:pt idx="1">
                  <c:v>0</c:v>
                </c:pt>
                <c:pt idx="2">
                  <c:v>10520</c:v>
                </c:pt>
                <c:pt idx="3">
                  <c:v>0</c:v>
                </c:pt>
                <c:pt idx="4">
                  <c:v>3654</c:v>
                </c:pt>
                <c:pt idx="5">
                  <c:v>1454.3999999999999</c:v>
                </c:pt>
                <c:pt idx="6">
                  <c:v>0</c:v>
                </c:pt>
              </c:numCache>
            </c:numRef>
          </c:val>
          <c:extLst xmlns:c16r2="http://schemas.microsoft.com/office/drawing/2015/06/chart">
            <c:ext xmlns:c16="http://schemas.microsoft.com/office/drawing/2014/chart" uri="{C3380CC4-5D6E-409C-BE32-E72D297353CC}">
              <c16:uniqueId val="{00000017-376C-40D1-8198-0132A3BD5972}"/>
            </c:ext>
          </c:extLst>
        </c:ser>
        <c:dLbls>
          <c:showLegendKey val="0"/>
          <c:showVal val="0"/>
          <c:showCatName val="0"/>
          <c:showSerName val="0"/>
          <c:showPercent val="0"/>
          <c:showBubbleSize val="0"/>
        </c:dLbls>
        <c:gapWidth val="3"/>
        <c:overlap val="100"/>
        <c:axId val="325394816"/>
        <c:axId val="325406720"/>
      </c:barChart>
      <c:catAx>
        <c:axId val="325394816"/>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ru-RU"/>
          </a:p>
        </c:txPr>
        <c:crossAx val="325406720"/>
        <c:crosses val="autoZero"/>
        <c:auto val="1"/>
        <c:lblAlgn val="ctr"/>
        <c:lblOffset val="100"/>
        <c:noMultiLvlLbl val="0"/>
      </c:catAx>
      <c:valAx>
        <c:axId val="325406720"/>
        <c:scaling>
          <c:orientation val="minMax"/>
          <c:max val="181200"/>
        </c:scaling>
        <c:delete val="1"/>
        <c:axPos val="t"/>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crossAx val="325394816"/>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r>
              <a:rPr lang="en-US" sz="1800" b="1" i="0" u="none" strike="noStrike" baseline="0">
                <a:effectLst/>
              </a:rPr>
              <a:t>Risks of income of import cargo turnover, million tenge</a:t>
            </a:r>
            <a:endParaRPr lang="ru-RU" sz="1800">
              <a:effectLst/>
            </a:endParaRPr>
          </a:p>
        </c:rich>
      </c:tx>
      <c:overlay val="0"/>
      <c:spPr>
        <a:noFill/>
        <a:ln>
          <a:noFill/>
        </a:ln>
        <a:effectLst/>
      </c:spPr>
    </c:title>
    <c:autoTitleDeleted val="0"/>
    <c:plotArea>
      <c:layout>
        <c:manualLayout>
          <c:layoutTarget val="inner"/>
          <c:xMode val="edge"/>
          <c:yMode val="edge"/>
          <c:x val="0.51225773209964587"/>
          <c:y val="0.16562058640172733"/>
          <c:w val="0.45798425616105626"/>
          <c:h val="0.80239602938991406"/>
        </c:manualLayout>
      </c:layout>
      <c:barChart>
        <c:barDir val="bar"/>
        <c:grouping val="stacked"/>
        <c:varyColors val="0"/>
        <c:ser>
          <c:idx val="0"/>
          <c:order val="0"/>
          <c:spPr>
            <a:solidFill>
              <a:srgbClr val="FFC000"/>
            </a:solidFill>
            <a:ln>
              <a:noFill/>
            </a:ln>
            <a:effectLst/>
          </c:spPr>
          <c:invertIfNegative val="0"/>
          <c:dPt>
            <c:idx val="0"/>
            <c:invertIfNegative val="0"/>
            <c:bubble3D val="0"/>
            <c:spPr>
              <a:gradFill flip="none" rotWithShape="1">
                <a:gsLst>
                  <a:gs pos="0">
                    <a:schemeClr val="accent5">
                      <a:lumMod val="20000"/>
                      <a:lumOff val="80000"/>
                      <a:shade val="30000"/>
                      <a:satMod val="115000"/>
                    </a:schemeClr>
                  </a:gs>
                  <a:gs pos="33000">
                    <a:schemeClr val="accent5">
                      <a:lumMod val="20000"/>
                      <a:lumOff val="80000"/>
                      <a:shade val="67500"/>
                      <a:satMod val="115000"/>
                    </a:schemeClr>
                  </a:gs>
                  <a:gs pos="100000">
                    <a:schemeClr val="accent5">
                      <a:lumMod val="20000"/>
                      <a:lumOff val="80000"/>
                      <a:shade val="100000"/>
                      <a:satMod val="115000"/>
                    </a:schemeClr>
                  </a:gs>
                </a:gsLst>
                <a:lin ang="16200000" scaled="1"/>
                <a:tileRect/>
              </a:gradFill>
              <a:ln>
                <a:noFill/>
              </a:ln>
              <a:effectLst/>
            </c:spPr>
            <c:extLst xmlns:c16r2="http://schemas.microsoft.com/office/drawing/2015/06/chart">
              <c:ext xmlns:c16="http://schemas.microsoft.com/office/drawing/2014/chart" uri="{C3380CC4-5D6E-409C-BE32-E72D297353CC}">
                <c16:uniqueId val="{00000001-2AE8-4281-AEAD-540FC5A6A841}"/>
              </c:ext>
            </c:extLst>
          </c:dPt>
          <c:dPt>
            <c:idx val="1"/>
            <c:invertIfNegative val="0"/>
            <c:bubble3D val="0"/>
            <c:spPr>
              <a:noFill/>
              <a:ln>
                <a:noFill/>
              </a:ln>
              <a:effectLst/>
            </c:spPr>
            <c:extLst xmlns:c16r2="http://schemas.microsoft.com/office/drawing/2015/06/chart">
              <c:ext xmlns:c16="http://schemas.microsoft.com/office/drawing/2014/chart" uri="{C3380CC4-5D6E-409C-BE32-E72D297353CC}">
                <c16:uniqueId val="{00000003-2AE8-4281-AEAD-540FC5A6A841}"/>
              </c:ext>
            </c:extLst>
          </c:dPt>
          <c:dPt>
            <c:idx val="2"/>
            <c:invertIfNegative val="0"/>
            <c:bubble3D val="0"/>
            <c:spPr>
              <a:noFill/>
              <a:ln>
                <a:noFill/>
              </a:ln>
              <a:effectLst/>
            </c:spPr>
            <c:extLst xmlns:c16r2="http://schemas.microsoft.com/office/drawing/2015/06/chart">
              <c:ext xmlns:c16="http://schemas.microsoft.com/office/drawing/2014/chart" uri="{C3380CC4-5D6E-409C-BE32-E72D297353CC}">
                <c16:uniqueId val="{00000005-2AE8-4281-AEAD-540FC5A6A841}"/>
              </c:ext>
            </c:extLst>
          </c:dPt>
          <c:dPt>
            <c:idx val="3"/>
            <c:invertIfNegative val="0"/>
            <c:bubble3D val="0"/>
            <c:spPr>
              <a:noFill/>
              <a:ln>
                <a:noFill/>
              </a:ln>
              <a:effectLst/>
            </c:spPr>
            <c:extLst xmlns:c16r2="http://schemas.microsoft.com/office/drawing/2015/06/chart">
              <c:ext xmlns:c16="http://schemas.microsoft.com/office/drawing/2014/chart" uri="{C3380CC4-5D6E-409C-BE32-E72D297353CC}">
                <c16:uniqueId val="{00000007-2AE8-4281-AEAD-540FC5A6A841}"/>
              </c:ext>
            </c:extLst>
          </c:dPt>
          <c:dPt>
            <c:idx val="4"/>
            <c:invertIfNegative val="0"/>
            <c:bubble3D val="0"/>
            <c:spPr>
              <a:gradFill flip="none" rotWithShape="1">
                <a:gsLst>
                  <a:gs pos="0">
                    <a:srgbClr val="FFC000">
                      <a:shade val="30000"/>
                      <a:satMod val="115000"/>
                    </a:srgbClr>
                  </a:gs>
                  <a:gs pos="50000">
                    <a:srgbClr val="FFC000">
                      <a:shade val="67500"/>
                      <a:satMod val="115000"/>
                    </a:srgbClr>
                  </a:gs>
                  <a:gs pos="100000">
                    <a:srgbClr val="FFC000">
                      <a:shade val="100000"/>
                      <a:satMod val="115000"/>
                    </a:srgbClr>
                  </a:gs>
                </a:gsLst>
                <a:lin ang="16200000" scaled="1"/>
                <a:tileRect/>
              </a:gradFill>
              <a:ln>
                <a:noFill/>
              </a:ln>
              <a:effectLst/>
            </c:spPr>
            <c:extLst xmlns:c16r2="http://schemas.microsoft.com/office/drawing/2015/06/chart">
              <c:ext xmlns:c16="http://schemas.microsoft.com/office/drawing/2014/chart" uri="{C3380CC4-5D6E-409C-BE32-E72D297353CC}">
                <c16:uniqueId val="{00000009-2AE8-4281-AEAD-540FC5A6A841}"/>
              </c:ext>
            </c:extLst>
          </c:dPt>
          <c:dLbls>
            <c:dLbl>
              <c:idx val="0"/>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1-2AE8-4281-AEAD-540FC5A6A841}"/>
                </c:ext>
              </c:extLst>
            </c:dLbl>
            <c:dLbl>
              <c:idx val="4"/>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9-2AE8-4281-AEAD-540FC5A6A841}"/>
                </c:ext>
              </c:extLst>
            </c:dLbl>
            <c:dLbl>
              <c:idx val="6"/>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D-2AE8-4281-AEAD-540FC5A6A841}"/>
                </c:ext>
              </c:extLst>
            </c:dLbl>
            <c:dLbl>
              <c:idx val="7"/>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E-2AE8-4281-AEAD-540FC5A6A841}"/>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Check!$AI$17:$AI$21</c:f>
              <c:strCache>
                <c:ptCount val="5"/>
                <c:pt idx="0">
                  <c:v>ПЛАН</c:v>
                </c:pt>
                <c:pt idx="1">
                  <c:v>Снижение спроса со стороны грузоотправителей импорта</c:v>
                </c:pt>
                <c:pt idx="2">
                  <c:v>(A) Интермодальная конкуренция со стороны альтернативных видов транспорта (воздушный,автомобильный, водный транспорт) (imp)</c:v>
                </c:pt>
                <c:pt idx="3">
                  <c:v>(P) Нормативная скорость доставки груза, 220 км/сут (imp)</c:v>
                </c:pt>
                <c:pt idx="4">
                  <c:v>ПЛАН @Risk</c:v>
                </c:pt>
              </c:strCache>
            </c:strRef>
          </c:cat>
          <c:val>
            <c:numRef>
              <c:f>Check!$AJ$17:$AJ$21</c:f>
              <c:numCache>
                <c:formatCode>0</c:formatCode>
                <c:ptCount val="5"/>
                <c:pt idx="0" formatCode="#,##0">
                  <c:v>267833</c:v>
                </c:pt>
                <c:pt idx="1">
                  <c:v>267833</c:v>
                </c:pt>
                <c:pt idx="2">
                  <c:v>267833</c:v>
                </c:pt>
                <c:pt idx="3">
                  <c:v>270283.18669728428</c:v>
                </c:pt>
                <c:pt idx="4">
                  <c:v>267918.75653440494</c:v>
                </c:pt>
              </c:numCache>
            </c:numRef>
          </c:val>
          <c:extLst xmlns:c16r2="http://schemas.microsoft.com/office/drawing/2015/06/chart">
            <c:ext xmlns:c16="http://schemas.microsoft.com/office/drawing/2014/chart" uri="{C3380CC4-5D6E-409C-BE32-E72D297353CC}">
              <c16:uniqueId val="{0000000F-2AE8-4281-AEAD-540FC5A6A841}"/>
            </c:ext>
          </c:extLst>
        </c:ser>
        <c:ser>
          <c:idx val="1"/>
          <c:order val="1"/>
          <c:spPr>
            <a:gradFill flip="none" rotWithShape="1">
              <a:gsLst>
                <a:gs pos="0">
                  <a:srgbClr val="FE948C">
                    <a:shade val="30000"/>
                    <a:satMod val="115000"/>
                  </a:srgbClr>
                </a:gs>
                <a:gs pos="50000">
                  <a:srgbClr val="FE948C">
                    <a:shade val="67500"/>
                    <a:satMod val="115000"/>
                  </a:srgbClr>
                </a:gs>
                <a:gs pos="100000">
                  <a:srgbClr val="FE948C">
                    <a:shade val="100000"/>
                    <a:satMod val="115000"/>
                  </a:srgbClr>
                </a:gs>
              </a:gsLst>
              <a:lin ang="16200000" scaled="1"/>
              <a:tileRect/>
            </a:gradFill>
            <a:ln>
              <a:noFill/>
            </a:ln>
            <a:effectLst/>
          </c:spPr>
          <c:invertIfNegative val="0"/>
          <c:dPt>
            <c:idx val="2"/>
            <c:invertIfNegative val="0"/>
            <c:bubble3D val="0"/>
            <c:spPr>
              <a:gradFill flip="none" rotWithShape="1">
                <a:gsLst>
                  <a:gs pos="0">
                    <a:schemeClr val="accent6">
                      <a:shade val="30000"/>
                      <a:satMod val="115000"/>
                    </a:schemeClr>
                  </a:gs>
                  <a:gs pos="50000">
                    <a:schemeClr val="accent6">
                      <a:shade val="67500"/>
                      <a:satMod val="115000"/>
                    </a:schemeClr>
                  </a:gs>
                  <a:gs pos="100000">
                    <a:schemeClr val="accent6">
                      <a:shade val="100000"/>
                      <a:satMod val="115000"/>
                    </a:schemeClr>
                  </a:gs>
                </a:gsLst>
                <a:lin ang="16200000" scaled="1"/>
                <a:tileRect/>
              </a:gradFill>
              <a:ln>
                <a:noFill/>
              </a:ln>
              <a:effectLst/>
            </c:spPr>
            <c:extLst xmlns:c16r2="http://schemas.microsoft.com/office/drawing/2015/06/chart">
              <c:ext xmlns:c16="http://schemas.microsoft.com/office/drawing/2014/chart" uri="{C3380CC4-5D6E-409C-BE32-E72D297353CC}">
                <c16:uniqueId val="{00000011-2AE8-4281-AEAD-540FC5A6A841}"/>
              </c:ext>
            </c:extLst>
          </c:dPt>
          <c:dPt>
            <c:idx val="3"/>
            <c:invertIfNegative val="0"/>
            <c:bubble3D val="0"/>
            <c:extLst xmlns:c16r2="http://schemas.microsoft.com/office/drawing/2015/06/chart">
              <c:ext xmlns:c16="http://schemas.microsoft.com/office/drawing/2014/chart" uri="{C3380CC4-5D6E-409C-BE32-E72D297353CC}">
                <c16:uniqueId val="{00000012-2AE8-4281-AEAD-540FC5A6A841}"/>
              </c:ext>
            </c:extLst>
          </c:dPt>
          <c:dPt>
            <c:idx val="4"/>
            <c:invertIfNegative val="0"/>
            <c:bubble3D val="0"/>
            <c:spPr>
              <a:noFill/>
              <a:ln>
                <a:noFill/>
              </a:ln>
              <a:effectLst/>
            </c:spPr>
            <c:extLst xmlns:c16r2="http://schemas.microsoft.com/office/drawing/2015/06/chart">
              <c:ext xmlns:c16="http://schemas.microsoft.com/office/drawing/2014/chart" uri="{C3380CC4-5D6E-409C-BE32-E72D297353CC}">
                <c16:uniqueId val="{00000014-2AE8-4281-AEAD-540FC5A6A841}"/>
              </c:ext>
            </c:extLst>
          </c:dPt>
          <c:dLbls>
            <c:dLbl>
              <c:idx val="3"/>
              <c:layout>
                <c:manualLayout>
                  <c:x val="-1.1265244584767716E-2"/>
                  <c:y val="2.7474482803677945E-3"/>
                </c:manualLayout>
              </c:layout>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12-2AE8-4281-AEAD-540FC5A6A841}"/>
                </c:ext>
              </c:extLst>
            </c:dLbl>
            <c:dLbl>
              <c:idx val="4"/>
              <c:delete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14-2AE8-4281-AEAD-540FC5A6A841}"/>
                </c:ext>
              </c:extLst>
            </c:dLbl>
            <c:dLbl>
              <c:idx val="6"/>
              <c:delete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18-2AE8-4281-AEAD-540FC5A6A841}"/>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ru-RU"/>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Check!$AI$17:$AI$21</c:f>
              <c:strCache>
                <c:ptCount val="5"/>
                <c:pt idx="0">
                  <c:v>ПЛАН</c:v>
                </c:pt>
                <c:pt idx="1">
                  <c:v>Снижение спроса со стороны грузоотправителей импорта</c:v>
                </c:pt>
                <c:pt idx="2">
                  <c:v>(A) Интермодальная конкуренция со стороны альтернативных видов транспорта (воздушный,автомобильный, водный транспорт) (imp)</c:v>
                </c:pt>
                <c:pt idx="3">
                  <c:v>(P) Нормативная скорость доставки груза, 220 км/сут (imp)</c:v>
                </c:pt>
                <c:pt idx="4">
                  <c:v>ПЛАН @Risk</c:v>
                </c:pt>
              </c:strCache>
            </c:strRef>
          </c:cat>
          <c:val>
            <c:numRef>
              <c:f>Check!$AK$17:$AK$21</c:f>
              <c:numCache>
                <c:formatCode>0</c:formatCode>
                <c:ptCount val="5"/>
                <c:pt idx="1">
                  <c:v>0</c:v>
                </c:pt>
                <c:pt idx="2">
                  <c:v>2450.1866972842613</c:v>
                </c:pt>
                <c:pt idx="3">
                  <c:v>0</c:v>
                </c:pt>
                <c:pt idx="4">
                  <c:v>0</c:v>
                </c:pt>
              </c:numCache>
            </c:numRef>
          </c:val>
          <c:extLst xmlns:c16r2="http://schemas.microsoft.com/office/drawing/2015/06/chart">
            <c:ext xmlns:c16="http://schemas.microsoft.com/office/drawing/2014/chart" uri="{C3380CC4-5D6E-409C-BE32-E72D297353CC}">
              <c16:uniqueId val="{00000019-2AE8-4281-AEAD-540FC5A6A841}"/>
            </c:ext>
          </c:extLst>
        </c:ser>
        <c:dLbls>
          <c:showLegendKey val="0"/>
          <c:showVal val="0"/>
          <c:showCatName val="0"/>
          <c:showSerName val="0"/>
          <c:showPercent val="0"/>
          <c:showBubbleSize val="0"/>
        </c:dLbls>
        <c:gapWidth val="3"/>
        <c:overlap val="100"/>
        <c:axId val="327500928"/>
        <c:axId val="327529216"/>
      </c:barChart>
      <c:catAx>
        <c:axId val="327500928"/>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ru-RU"/>
          </a:p>
        </c:txPr>
        <c:crossAx val="327529216"/>
        <c:crosses val="autoZero"/>
        <c:auto val="1"/>
        <c:lblAlgn val="ctr"/>
        <c:lblOffset val="100"/>
        <c:noMultiLvlLbl val="0"/>
      </c:catAx>
      <c:valAx>
        <c:axId val="327529216"/>
        <c:scaling>
          <c:orientation val="minMax"/>
          <c:max val="121600"/>
        </c:scaling>
        <c:delete val="0"/>
        <c:axPos val="t"/>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b" anchorCtr="1"/>
          <a:lstStyle/>
          <a:p>
            <a:pPr>
              <a:defRPr sz="1050" b="0" i="0" u="none" strike="noStrike" kern="1200" baseline="0">
                <a:solidFill>
                  <a:schemeClr val="tx1">
                    <a:lumMod val="65000"/>
                    <a:lumOff val="35000"/>
                  </a:schemeClr>
                </a:solidFill>
                <a:latin typeface="+mn-lt"/>
                <a:ea typeface="+mn-ea"/>
                <a:cs typeface="+mn-cs"/>
              </a:defRPr>
            </a:pPr>
            <a:endParaRPr lang="ru-RU"/>
          </a:p>
        </c:txPr>
        <c:crossAx val="327500928"/>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userShapes r:id="rId1"/>
</c:chartSpace>
</file>

<file path=xl/charts/chart13.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r>
              <a:rPr lang="ru-RU" sz="1800" b="1" i="0" u="none" strike="noStrike" baseline="0">
                <a:effectLst/>
              </a:rPr>
              <a:t>Риски доходов транзитного грузооборота, млн.тнг</a:t>
            </a:r>
            <a:r>
              <a:rPr lang="en-US" sz="1800" b="1" i="0" u="none" strike="noStrike" baseline="0">
                <a:effectLst/>
              </a:rPr>
              <a:t> </a:t>
            </a:r>
            <a:endParaRPr lang="ru-RU" sz="1800">
              <a:effectLst/>
            </a:endParaRPr>
          </a:p>
        </c:rich>
      </c:tx>
      <c:overlay val="0"/>
      <c:spPr>
        <a:noFill/>
        <a:ln>
          <a:noFill/>
        </a:ln>
        <a:effectLst/>
      </c:spPr>
    </c:title>
    <c:autoTitleDeleted val="0"/>
    <c:plotArea>
      <c:layout>
        <c:manualLayout>
          <c:layoutTarget val="inner"/>
          <c:xMode val="edge"/>
          <c:yMode val="edge"/>
          <c:x val="0.51225773209964587"/>
          <c:y val="0.16562058640172733"/>
          <c:w val="0.45798425616105626"/>
          <c:h val="0.80239602938991406"/>
        </c:manualLayout>
      </c:layout>
      <c:barChart>
        <c:barDir val="bar"/>
        <c:grouping val="stacked"/>
        <c:varyColors val="0"/>
        <c:ser>
          <c:idx val="0"/>
          <c:order val="0"/>
          <c:spPr>
            <a:solidFill>
              <a:srgbClr val="FFC000"/>
            </a:solidFill>
            <a:ln>
              <a:noFill/>
            </a:ln>
            <a:effectLst/>
          </c:spPr>
          <c:invertIfNegative val="0"/>
          <c:dPt>
            <c:idx val="0"/>
            <c:invertIfNegative val="0"/>
            <c:bubble3D val="0"/>
            <c:spPr>
              <a:gradFill flip="none" rotWithShape="1">
                <a:gsLst>
                  <a:gs pos="0">
                    <a:schemeClr val="accent5">
                      <a:lumMod val="20000"/>
                      <a:lumOff val="80000"/>
                      <a:shade val="30000"/>
                      <a:satMod val="115000"/>
                    </a:schemeClr>
                  </a:gs>
                  <a:gs pos="33000">
                    <a:schemeClr val="accent5">
                      <a:lumMod val="20000"/>
                      <a:lumOff val="80000"/>
                      <a:shade val="67500"/>
                      <a:satMod val="115000"/>
                    </a:schemeClr>
                  </a:gs>
                  <a:gs pos="100000">
                    <a:schemeClr val="accent5">
                      <a:lumMod val="20000"/>
                      <a:lumOff val="80000"/>
                      <a:shade val="100000"/>
                      <a:satMod val="115000"/>
                    </a:schemeClr>
                  </a:gs>
                </a:gsLst>
                <a:lin ang="16200000" scaled="1"/>
                <a:tileRect/>
              </a:gradFill>
              <a:ln>
                <a:noFill/>
              </a:ln>
              <a:effectLst/>
            </c:spPr>
            <c:extLst xmlns:c16r2="http://schemas.microsoft.com/office/drawing/2015/06/chart">
              <c:ext xmlns:c16="http://schemas.microsoft.com/office/drawing/2014/chart" uri="{C3380CC4-5D6E-409C-BE32-E72D297353CC}">
                <c16:uniqueId val="{00000001-3060-4B11-8578-512604242A8B}"/>
              </c:ext>
            </c:extLst>
          </c:dPt>
          <c:dPt>
            <c:idx val="1"/>
            <c:invertIfNegative val="0"/>
            <c:bubble3D val="0"/>
            <c:spPr>
              <a:noFill/>
              <a:ln>
                <a:noFill/>
              </a:ln>
              <a:effectLst/>
            </c:spPr>
            <c:extLst xmlns:c16r2="http://schemas.microsoft.com/office/drawing/2015/06/chart">
              <c:ext xmlns:c16="http://schemas.microsoft.com/office/drawing/2014/chart" uri="{C3380CC4-5D6E-409C-BE32-E72D297353CC}">
                <c16:uniqueId val="{00000003-3060-4B11-8578-512604242A8B}"/>
              </c:ext>
            </c:extLst>
          </c:dPt>
          <c:dPt>
            <c:idx val="2"/>
            <c:invertIfNegative val="0"/>
            <c:bubble3D val="0"/>
            <c:spPr>
              <a:noFill/>
              <a:ln>
                <a:noFill/>
              </a:ln>
              <a:effectLst/>
            </c:spPr>
            <c:extLst xmlns:c16r2="http://schemas.microsoft.com/office/drawing/2015/06/chart">
              <c:ext xmlns:c16="http://schemas.microsoft.com/office/drawing/2014/chart" uri="{C3380CC4-5D6E-409C-BE32-E72D297353CC}">
                <c16:uniqueId val="{00000005-3060-4B11-8578-512604242A8B}"/>
              </c:ext>
            </c:extLst>
          </c:dPt>
          <c:dPt>
            <c:idx val="3"/>
            <c:invertIfNegative val="0"/>
            <c:bubble3D val="0"/>
            <c:spPr>
              <a:noFill/>
              <a:ln>
                <a:noFill/>
              </a:ln>
              <a:effectLst/>
            </c:spPr>
            <c:extLst xmlns:c16r2="http://schemas.microsoft.com/office/drawing/2015/06/chart">
              <c:ext xmlns:c16="http://schemas.microsoft.com/office/drawing/2014/chart" uri="{C3380CC4-5D6E-409C-BE32-E72D297353CC}">
                <c16:uniqueId val="{00000007-3060-4B11-8578-512604242A8B}"/>
              </c:ext>
            </c:extLst>
          </c:dPt>
          <c:dPt>
            <c:idx val="4"/>
            <c:invertIfNegative val="0"/>
            <c:bubble3D val="0"/>
            <c:spPr>
              <a:noFill/>
              <a:ln>
                <a:noFill/>
              </a:ln>
              <a:effectLst/>
            </c:spPr>
            <c:extLst xmlns:c16r2="http://schemas.microsoft.com/office/drawing/2015/06/chart">
              <c:ext xmlns:c16="http://schemas.microsoft.com/office/drawing/2014/chart" uri="{C3380CC4-5D6E-409C-BE32-E72D297353CC}">
                <c16:uniqueId val="{00000009-3060-4B11-8578-512604242A8B}"/>
              </c:ext>
            </c:extLst>
          </c:dPt>
          <c:dPt>
            <c:idx val="5"/>
            <c:invertIfNegative val="0"/>
            <c:bubble3D val="0"/>
            <c:spPr>
              <a:noFill/>
              <a:ln>
                <a:noFill/>
              </a:ln>
              <a:effectLst/>
            </c:spPr>
            <c:extLst xmlns:c16r2="http://schemas.microsoft.com/office/drawing/2015/06/chart">
              <c:ext xmlns:c16="http://schemas.microsoft.com/office/drawing/2014/chart" uri="{C3380CC4-5D6E-409C-BE32-E72D297353CC}">
                <c16:uniqueId val="{0000000B-3060-4B11-8578-512604242A8B}"/>
              </c:ext>
            </c:extLst>
          </c:dPt>
          <c:dPt>
            <c:idx val="6"/>
            <c:invertIfNegative val="0"/>
            <c:bubble3D val="0"/>
            <c:spPr>
              <a:noFill/>
              <a:ln>
                <a:noFill/>
              </a:ln>
              <a:effectLst/>
            </c:spPr>
            <c:extLst xmlns:c16r2="http://schemas.microsoft.com/office/drawing/2015/06/chart">
              <c:ext xmlns:c16="http://schemas.microsoft.com/office/drawing/2014/chart" uri="{C3380CC4-5D6E-409C-BE32-E72D297353CC}">
                <c16:uniqueId val="{0000000D-3060-4B11-8578-512604242A8B}"/>
              </c:ext>
            </c:extLst>
          </c:dPt>
          <c:dPt>
            <c:idx val="7"/>
            <c:invertIfNegative val="0"/>
            <c:bubble3D val="0"/>
            <c:spPr>
              <a:gradFill flip="none" rotWithShape="1">
                <a:gsLst>
                  <a:gs pos="0">
                    <a:srgbClr val="FFC000">
                      <a:shade val="30000"/>
                      <a:satMod val="115000"/>
                    </a:srgbClr>
                  </a:gs>
                  <a:gs pos="50000">
                    <a:srgbClr val="FFC000">
                      <a:shade val="67500"/>
                      <a:satMod val="115000"/>
                    </a:srgbClr>
                  </a:gs>
                  <a:gs pos="100000">
                    <a:srgbClr val="FFC000">
                      <a:shade val="100000"/>
                      <a:satMod val="115000"/>
                    </a:srgbClr>
                  </a:gs>
                </a:gsLst>
                <a:lin ang="16200000" scaled="1"/>
                <a:tileRect/>
              </a:gradFill>
              <a:ln>
                <a:noFill/>
              </a:ln>
              <a:effectLst/>
            </c:spPr>
            <c:extLst xmlns:c16r2="http://schemas.microsoft.com/office/drawing/2015/06/chart">
              <c:ext xmlns:c16="http://schemas.microsoft.com/office/drawing/2014/chart" uri="{C3380CC4-5D6E-409C-BE32-E72D297353CC}">
                <c16:uniqueId val="{0000000F-3060-4B11-8578-512604242A8B}"/>
              </c:ext>
            </c:extLst>
          </c:dPt>
          <c:dLbls>
            <c:dLbl>
              <c:idx val="0"/>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1-3060-4B11-8578-512604242A8B}"/>
                </c:ext>
              </c:extLst>
            </c:dLbl>
            <c:dLbl>
              <c:idx val="7"/>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F-3060-4B11-8578-512604242A8B}"/>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Check!$AI$42:$AI$49</c:f>
              <c:strCache>
                <c:ptCount val="8"/>
                <c:pt idx="0">
                  <c:v>ПЛАН</c:v>
                </c:pt>
                <c:pt idx="1">
                  <c:v>Нормативная скорость доставки груза, 220 км/сут (exp)</c:v>
                </c:pt>
                <c:pt idx="2">
                  <c:v>(A) Интермодальная конкуренция со стороны альтернативных видов транспорта (воздушный,автомобильный, водный транспорт) (tran)</c:v>
                </c:pt>
                <c:pt idx="3">
                  <c:v>(Q) Риск конкуренции из-за ухудшения качества предоставляемых услуг</c:v>
                </c:pt>
                <c:pt idx="4">
                  <c:v>Риск конкуренции со стороны частного сектора вследствие отказа государства от определения КТЖ национальным оператором транзитных перевозок</c:v>
                </c:pt>
                <c:pt idx="5">
                  <c:v>Нормативная скорость доставки груза, 220 км/сут (tran)</c:v>
                </c:pt>
                <c:pt idx="6">
                  <c:v>Применение навигационных пломб</c:v>
                </c:pt>
                <c:pt idx="7">
                  <c:v>ПЛАН @Risk</c:v>
                </c:pt>
              </c:strCache>
            </c:strRef>
          </c:cat>
          <c:val>
            <c:numRef>
              <c:f>Check!$AJ$42:$AJ$49</c:f>
              <c:numCache>
                <c:formatCode>0</c:formatCode>
                <c:ptCount val="8"/>
                <c:pt idx="0" formatCode="#,##0">
                  <c:v>478897</c:v>
                </c:pt>
                <c:pt idx="1">
                  <c:v>478897</c:v>
                </c:pt>
                <c:pt idx="2">
                  <c:v>478897</c:v>
                </c:pt>
                <c:pt idx="3">
                  <c:v>486768.64025227999</c:v>
                </c:pt>
                <c:pt idx="4">
                  <c:v>486768.64025227999</c:v>
                </c:pt>
                <c:pt idx="5">
                  <c:v>381198</c:v>
                </c:pt>
                <c:pt idx="6">
                  <c:v>350748</c:v>
                </c:pt>
                <c:pt idx="7">
                  <c:v>374363</c:v>
                </c:pt>
              </c:numCache>
            </c:numRef>
          </c:val>
          <c:extLst xmlns:c16r2="http://schemas.microsoft.com/office/drawing/2015/06/chart">
            <c:ext xmlns:c16="http://schemas.microsoft.com/office/drawing/2014/chart" uri="{C3380CC4-5D6E-409C-BE32-E72D297353CC}">
              <c16:uniqueId val="{00000010-3060-4B11-8578-512604242A8B}"/>
            </c:ext>
          </c:extLst>
        </c:ser>
        <c:ser>
          <c:idx val="1"/>
          <c:order val="1"/>
          <c:spPr>
            <a:gradFill flip="none" rotWithShape="1">
              <a:gsLst>
                <a:gs pos="0">
                  <a:srgbClr val="FE948C">
                    <a:shade val="30000"/>
                    <a:satMod val="115000"/>
                  </a:srgbClr>
                </a:gs>
                <a:gs pos="50000">
                  <a:srgbClr val="FE948C">
                    <a:shade val="67500"/>
                    <a:satMod val="115000"/>
                  </a:srgbClr>
                </a:gs>
                <a:gs pos="100000">
                  <a:srgbClr val="FE948C">
                    <a:shade val="100000"/>
                    <a:satMod val="115000"/>
                  </a:srgbClr>
                </a:gs>
              </a:gsLst>
              <a:lin ang="16200000" scaled="1"/>
              <a:tileRect/>
            </a:gradFill>
            <a:ln>
              <a:noFill/>
            </a:ln>
            <a:effectLst/>
          </c:spPr>
          <c:invertIfNegative val="0"/>
          <c:dPt>
            <c:idx val="1"/>
            <c:invertIfNegative val="0"/>
            <c:bubble3D val="0"/>
            <c:spPr>
              <a:gradFill flip="none" rotWithShape="1">
                <a:gsLst>
                  <a:gs pos="0">
                    <a:schemeClr val="accent6">
                      <a:shade val="30000"/>
                      <a:satMod val="115000"/>
                    </a:schemeClr>
                  </a:gs>
                  <a:gs pos="50000">
                    <a:schemeClr val="accent6">
                      <a:shade val="67500"/>
                      <a:satMod val="115000"/>
                    </a:schemeClr>
                  </a:gs>
                  <a:gs pos="100000">
                    <a:schemeClr val="accent6">
                      <a:shade val="100000"/>
                      <a:satMod val="115000"/>
                    </a:schemeClr>
                  </a:gs>
                </a:gsLst>
                <a:lin ang="16200000" scaled="1"/>
                <a:tileRect/>
              </a:gradFill>
              <a:ln>
                <a:noFill/>
              </a:ln>
              <a:effectLst/>
            </c:spPr>
            <c:extLst xmlns:c16r2="http://schemas.microsoft.com/office/drawing/2015/06/chart">
              <c:ext xmlns:c16="http://schemas.microsoft.com/office/drawing/2014/chart" uri="{C3380CC4-5D6E-409C-BE32-E72D297353CC}">
                <c16:uniqueId val="{00000012-3060-4B11-8578-512604242A8B}"/>
              </c:ext>
            </c:extLst>
          </c:dPt>
          <c:dPt>
            <c:idx val="2"/>
            <c:invertIfNegative val="0"/>
            <c:bubble3D val="0"/>
            <c:extLst xmlns:c16r2="http://schemas.microsoft.com/office/drawing/2015/06/chart">
              <c:ext xmlns:c16="http://schemas.microsoft.com/office/drawing/2014/chart" uri="{C3380CC4-5D6E-409C-BE32-E72D297353CC}">
                <c16:uniqueId val="{00000013-3060-4B11-8578-512604242A8B}"/>
              </c:ext>
            </c:extLst>
          </c:dPt>
          <c:dPt>
            <c:idx val="3"/>
            <c:invertIfNegative val="0"/>
            <c:bubble3D val="0"/>
            <c:extLst xmlns:c16r2="http://schemas.microsoft.com/office/drawing/2015/06/chart">
              <c:ext xmlns:c16="http://schemas.microsoft.com/office/drawing/2014/chart" uri="{C3380CC4-5D6E-409C-BE32-E72D297353CC}">
                <c16:uniqueId val="{00000014-3060-4B11-8578-512604242A8B}"/>
              </c:ext>
            </c:extLst>
          </c:dPt>
          <c:dPt>
            <c:idx val="4"/>
            <c:invertIfNegative val="0"/>
            <c:bubble3D val="0"/>
            <c:extLst xmlns:c16r2="http://schemas.microsoft.com/office/drawing/2015/06/chart">
              <c:ext xmlns:c16="http://schemas.microsoft.com/office/drawing/2014/chart" uri="{C3380CC4-5D6E-409C-BE32-E72D297353CC}">
                <c16:uniqueId val="{00000015-3060-4B11-8578-512604242A8B}"/>
              </c:ext>
            </c:extLst>
          </c:dPt>
          <c:dPt>
            <c:idx val="5"/>
            <c:invertIfNegative val="0"/>
            <c:bubble3D val="0"/>
            <c:extLst xmlns:c16r2="http://schemas.microsoft.com/office/drawing/2015/06/chart">
              <c:ext xmlns:c16="http://schemas.microsoft.com/office/drawing/2014/chart" uri="{C3380CC4-5D6E-409C-BE32-E72D297353CC}">
                <c16:uniqueId val="{00000016-3060-4B11-8578-512604242A8B}"/>
              </c:ext>
            </c:extLst>
          </c:dPt>
          <c:dPt>
            <c:idx val="6"/>
            <c:invertIfNegative val="0"/>
            <c:bubble3D val="0"/>
            <c:extLst xmlns:c16r2="http://schemas.microsoft.com/office/drawing/2015/06/chart">
              <c:ext xmlns:c16="http://schemas.microsoft.com/office/drawing/2014/chart" uri="{C3380CC4-5D6E-409C-BE32-E72D297353CC}">
                <c16:uniqueId val="{00000017-3060-4B11-8578-512604242A8B}"/>
              </c:ext>
            </c:extLst>
          </c:dPt>
          <c:dLbls>
            <c:dLbl>
              <c:idx val="3"/>
              <c:layout>
                <c:manualLayout>
                  <c:x val="-1.1265244584767716E-2"/>
                  <c:y val="2.7474482803677945E-3"/>
                </c:manualLayout>
              </c:layout>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14-3060-4B11-8578-512604242A8B}"/>
                </c:ext>
              </c:extLst>
            </c:dLbl>
            <c:dLbl>
              <c:idx val="4"/>
              <c:layout>
                <c:manualLayout>
                  <c:x val="1.7331145515027058E-2"/>
                  <c:y val="0"/>
                </c:manualLayout>
              </c:layout>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15-3060-4B11-8578-512604242A8B}"/>
                </c:ext>
              </c:extLst>
            </c:dLbl>
            <c:dLbl>
              <c:idx val="7"/>
              <c:delete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18-3060-4B11-8578-512604242A8B}"/>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ru-RU"/>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Check!$AI$42:$AI$49</c:f>
              <c:strCache>
                <c:ptCount val="8"/>
                <c:pt idx="0">
                  <c:v>ПЛАН</c:v>
                </c:pt>
                <c:pt idx="1">
                  <c:v>Нормативная скорость доставки груза, 220 км/сут (exp)</c:v>
                </c:pt>
                <c:pt idx="2">
                  <c:v>(A) Интермодальная конкуренция со стороны альтернативных видов транспорта (воздушный,автомобильный, водный транспорт) (tran)</c:v>
                </c:pt>
                <c:pt idx="3">
                  <c:v>(Q) Риск конкуренции из-за ухудшения качества предоставляемых услуг</c:v>
                </c:pt>
                <c:pt idx="4">
                  <c:v>Риск конкуренции со стороны частного сектора вследствие отказа государства от определения КТЖ национальным оператором транзитных перевозок</c:v>
                </c:pt>
                <c:pt idx="5">
                  <c:v>Нормативная скорость доставки груза, 220 км/сут (tran)</c:v>
                </c:pt>
                <c:pt idx="6">
                  <c:v>Применение навигационных пломб</c:v>
                </c:pt>
                <c:pt idx="7">
                  <c:v>ПЛАН @Risk</c:v>
                </c:pt>
              </c:strCache>
            </c:strRef>
          </c:cat>
          <c:val>
            <c:numRef>
              <c:f>Check!$AK$42:$AK$49</c:f>
              <c:numCache>
                <c:formatCode>0</c:formatCode>
                <c:ptCount val="8"/>
                <c:pt idx="1">
                  <c:v>0</c:v>
                </c:pt>
                <c:pt idx="2">
                  <c:v>7871.6402522800081</c:v>
                </c:pt>
                <c:pt idx="3">
                  <c:v>0</c:v>
                </c:pt>
                <c:pt idx="4">
                  <c:v>0</c:v>
                </c:pt>
                <c:pt idx="5">
                  <c:v>2252.9459999999999</c:v>
                </c:pt>
                <c:pt idx="7">
                  <c:v>0</c:v>
                </c:pt>
              </c:numCache>
            </c:numRef>
          </c:val>
          <c:extLst xmlns:c16r2="http://schemas.microsoft.com/office/drawing/2015/06/chart">
            <c:ext xmlns:c16="http://schemas.microsoft.com/office/drawing/2014/chart" uri="{C3380CC4-5D6E-409C-BE32-E72D297353CC}">
              <c16:uniqueId val="{00000019-3060-4B11-8578-512604242A8B}"/>
            </c:ext>
          </c:extLst>
        </c:ser>
        <c:dLbls>
          <c:showLegendKey val="0"/>
          <c:showVal val="0"/>
          <c:showCatName val="0"/>
          <c:showSerName val="0"/>
          <c:showPercent val="0"/>
          <c:showBubbleSize val="0"/>
        </c:dLbls>
        <c:gapWidth val="3"/>
        <c:overlap val="100"/>
        <c:axId val="327809280"/>
        <c:axId val="329647616"/>
      </c:barChart>
      <c:catAx>
        <c:axId val="327809280"/>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ru-RU"/>
          </a:p>
        </c:txPr>
        <c:crossAx val="329647616"/>
        <c:crosses val="autoZero"/>
        <c:auto val="1"/>
        <c:lblAlgn val="ctr"/>
        <c:lblOffset val="100"/>
        <c:noMultiLvlLbl val="0"/>
      </c:catAx>
      <c:valAx>
        <c:axId val="329647616"/>
        <c:scaling>
          <c:orientation val="minMax"/>
          <c:max val="383500"/>
        </c:scaling>
        <c:delete val="0"/>
        <c:axPos val="t"/>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b" anchorCtr="1"/>
          <a:lstStyle/>
          <a:p>
            <a:pPr>
              <a:defRPr sz="1050" b="0" i="0" u="none" strike="noStrike" kern="1200" baseline="0">
                <a:solidFill>
                  <a:schemeClr val="tx1">
                    <a:lumMod val="65000"/>
                    <a:lumOff val="35000"/>
                  </a:schemeClr>
                </a:solidFill>
                <a:latin typeface="+mn-lt"/>
                <a:ea typeface="+mn-ea"/>
                <a:cs typeface="+mn-cs"/>
              </a:defRPr>
            </a:pPr>
            <a:endParaRPr lang="ru-RU"/>
          </a:p>
        </c:txPr>
        <c:crossAx val="327809280"/>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Scroll" dx="22" fmlaLink="$B$5" horiz="1" max="2025" min="2021" page="0" val="202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Scroll" dx="22" fmlaLink="$B$5" horiz="1" max="2025" min="2021" page="0" val="2021"/>
</file>

<file path=xl/ctrlProps/ctrlProp5.xml><?xml version="1.0" encoding="utf-8"?>
<formControlPr xmlns="http://schemas.microsoft.com/office/spreadsheetml/2009/9/main" objectType="CheckBox" checked="Checked" fmlaLink="$D$1" lockText="1" noThreeD="1"/>
</file>

<file path=xl/ctrlProps/ctrlProp6.xml><?xml version="1.0" encoding="utf-8"?>
<formControlPr xmlns="http://schemas.microsoft.com/office/spreadsheetml/2009/9/main" objectType="CheckBox" fmlaLink="Check!$AH$1"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4" Type="http://schemas.openxmlformats.org/officeDocument/2006/relationships/chart" Target="../charts/chart5.xml"/></Relationships>
</file>

<file path=xl/drawings/_rels/drawing7.xml.rels><?xml version="1.0" encoding="UTF-8" standalone="yes"?>
<Relationships xmlns="http://schemas.openxmlformats.org/package/2006/relationships"><Relationship Id="rId8" Type="http://schemas.openxmlformats.org/officeDocument/2006/relationships/chart" Target="../charts/chart13.xml"/><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12</xdr:col>
      <xdr:colOff>432955</xdr:colOff>
      <xdr:row>37</xdr:row>
      <xdr:rowOff>275360</xdr:rowOff>
    </xdr:from>
    <xdr:to>
      <xdr:col>28</xdr:col>
      <xdr:colOff>57452</xdr:colOff>
      <xdr:row>72</xdr:row>
      <xdr:rowOff>95251</xdr:rowOff>
    </xdr:to>
    <xdr:graphicFrame macro="">
      <xdr:nvGraphicFramePr>
        <xdr:cNvPr id="4" name="Диаграмма 3">
          <a:extLst>
            <a:ext uri="{FF2B5EF4-FFF2-40B4-BE49-F238E27FC236}">
              <a16:creationId xmlns:a16="http://schemas.microsoft.com/office/drawing/2014/main" xmlns=""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76200</xdr:colOff>
      <xdr:row>27</xdr:row>
      <xdr:rowOff>380996</xdr:rowOff>
    </xdr:from>
    <xdr:to>
      <xdr:col>41</xdr:col>
      <xdr:colOff>223726</xdr:colOff>
      <xdr:row>36</xdr:row>
      <xdr:rowOff>209550</xdr:rowOff>
    </xdr:to>
    <mc:AlternateContent xmlns:mc="http://schemas.openxmlformats.org/markup-compatibility/2006" xmlns:a14="http://schemas.microsoft.com/office/drawing/2010/main">
      <mc:Choice Requires="a14">
        <xdr:graphicFrame macro="">
          <xdr:nvGraphicFramePr>
            <xdr:cNvPr id="5" name="КАТЕГОРИЯ РИСКА">
              <a:extLst>
                <a:ext uri="{FF2B5EF4-FFF2-40B4-BE49-F238E27FC236}">
                  <a16:creationId xmlns:a16="http://schemas.microsoft.com/office/drawing/2014/main" xmlns="" id="{00000000-0008-0000-0100-000005000000}"/>
                </a:ext>
              </a:extLst>
            </xdr:cNvPr>
            <xdr:cNvGraphicFramePr/>
          </xdr:nvGraphicFramePr>
          <xdr:xfrm>
            <a:off x="0" y="0"/>
            <a:ext cx="0" cy="0"/>
          </xdr:xfrm>
          <a:graphic>
            <a:graphicData uri="http://schemas.microsoft.com/office/drawing/2010/slicer">
              <sle:slicer xmlns:sle="http://schemas.microsoft.com/office/drawing/2010/slicer" name="КАТЕГОРИЯ РИСКА"/>
            </a:graphicData>
          </a:graphic>
        </xdr:graphicFrame>
      </mc:Choice>
      <mc:Fallback xmlns="">
        <xdr:sp macro="" textlink="">
          <xdr:nvSpPr>
            <xdr:cNvPr id="0" name=""/>
            <xdr:cNvSpPr>
              <a:spLocks noTextEdit="1"/>
            </xdr:cNvSpPr>
          </xdr:nvSpPr>
          <xdr:spPr>
            <a:xfrm>
              <a:off x="76200" y="5333996"/>
              <a:ext cx="23983839" cy="2828929"/>
            </a:xfrm>
            <a:prstGeom prst="rect">
              <a:avLst/>
            </a:prstGeom>
            <a:solidFill>
              <a:prstClr val="white"/>
            </a:solidFill>
            <a:ln w="1">
              <a:solidFill>
                <a:prstClr val="green"/>
              </a:solidFill>
            </a:ln>
          </xdr:spPr>
          <xdr:txBody>
            <a:bodyPr vertOverflow="clip" horzOverflow="clip"/>
            <a:lstStyle/>
            <a:p>
              <a:r>
                <a:rPr lang="ru-RU" sz="1100"/>
                <a:t>Эта фигура представляет срез. Срезы поддерживаются только в Excel 2010 и более поздних версиях.
Если фигура была изменена в более ранней версии Excel или книга была сохранена в Excel 2003 или более ранней версии, использование среза невозможно.</a:t>
              </a:r>
            </a:p>
          </xdr:txBody>
        </xdr:sp>
      </mc:Fallback>
    </mc:AlternateContent>
    <xdr:clientData/>
  </xdr:twoCellAnchor>
  <xdr:twoCellAnchor>
    <xdr:from>
      <xdr:col>1</xdr:col>
      <xdr:colOff>0</xdr:colOff>
      <xdr:row>1</xdr:row>
      <xdr:rowOff>0</xdr:rowOff>
    </xdr:from>
    <xdr:to>
      <xdr:col>16</xdr:col>
      <xdr:colOff>547687</xdr:colOff>
      <xdr:row>26</xdr:row>
      <xdr:rowOff>47625</xdr:rowOff>
    </xdr:to>
    <mc:AlternateContent xmlns:mc="http://schemas.openxmlformats.org/markup-compatibility/2006">
      <mc:Choice xmlns:cx1="http://schemas.microsoft.com/office/drawing/2015/9/8/chartex" xmlns="" Requires="cx1">
        <xdr:graphicFrame macro="">
          <xdr:nvGraphicFramePr>
            <xdr:cNvPr id="9" name="Диаграмма 8">
              <a:extLst>
                <a:ext uri="{FF2B5EF4-FFF2-40B4-BE49-F238E27FC236}">
                  <a16:creationId xmlns:a16="http://schemas.microsoft.com/office/drawing/2014/main" id="{00000000-0008-0000-0100-000009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
            </a:graphicData>
          </a:graphic>
        </xdr:graphicFrame>
      </mc:Choice>
      <mc:Fallback>
        <xdr:sp macro="" textlink="">
          <xdr:nvSpPr>
            <xdr:cNvPr id="2" name="Прямоугольник 1"/>
            <xdr:cNvSpPr>
              <a:spLocks noTextEdit="1"/>
            </xdr:cNvSpPr>
          </xdr:nvSpPr>
          <xdr:spPr>
            <a:xfrm>
              <a:off x="609600" y="447675"/>
              <a:ext cx="9786937" cy="4400550"/>
            </a:xfrm>
            <a:prstGeom prst="rect">
              <a:avLst/>
            </a:prstGeom>
            <a:solidFill>
              <a:prstClr val="white"/>
            </a:solidFill>
            <a:ln w="1">
              <a:solidFill>
                <a:prstClr val="green"/>
              </a:solidFill>
            </a:ln>
          </xdr:spPr>
          <xdr:txBody>
            <a:bodyPr vertOverflow="clip" horzOverflow="clip"/>
            <a:lstStyle/>
            <a:p>
              <a:r>
                <a:rPr lang="ru-RU" sz="1100"/>
                <a:t>Эта диаграмма недоступна в вашей версии Excel.
Изменение этой фигуры или сохранение книги в другом формате приведет к остаточному повреждению диаграммы.</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34</xdr:col>
      <xdr:colOff>6584950</xdr:colOff>
      <xdr:row>0</xdr:row>
      <xdr:rowOff>131762</xdr:rowOff>
    </xdr:from>
    <xdr:to>
      <xdr:col>34</xdr:col>
      <xdr:colOff>12138166</xdr:colOff>
      <xdr:row>0</xdr:row>
      <xdr:rowOff>1441767</xdr:rowOff>
    </xdr:to>
    <xdr:pic>
      <xdr:nvPicPr>
        <xdr:cNvPr id="2" name="Picture 2" descr="https://railways.kz/static/media/LogotipKTZH2.f99c52d2.png">
          <a:extLst>
            <a:ext uri="{FF2B5EF4-FFF2-40B4-BE49-F238E27FC236}">
              <a16:creationId xmlns:a16="http://schemas.microsoft.com/office/drawing/2014/main" xmlns="" id="{00000000-0008-0000-0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0065325" y="131762"/>
          <a:ext cx="5530949" cy="1298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21</xdr:col>
      <xdr:colOff>161231</xdr:colOff>
      <xdr:row>19</xdr:row>
      <xdr:rowOff>127239</xdr:rowOff>
    </xdr:from>
    <xdr:ext cx="184731" cy="405432"/>
    <xdr:sp macro="" textlink="">
      <xdr:nvSpPr>
        <xdr:cNvPr id="3" name="TextBox 2">
          <a:extLst>
            <a:ext uri="{FF2B5EF4-FFF2-40B4-BE49-F238E27FC236}">
              <a16:creationId xmlns:a16="http://schemas.microsoft.com/office/drawing/2014/main" xmlns="" id="{00000000-0008-0000-0200-000003000000}"/>
            </a:ext>
          </a:extLst>
        </xdr:cNvPr>
        <xdr:cNvSpPr txBox="1"/>
      </xdr:nvSpPr>
      <xdr:spPr>
        <a:xfrm>
          <a:off x="21154331" y="7118589"/>
          <a:ext cx="184731" cy="405432"/>
        </a:xfrm>
        <a:prstGeom prst="rect">
          <a:avLst/>
        </a:prstGeom>
        <a:noFill/>
        <a:effectLst>
          <a:innerShdw blurRad="228600" dist="76200" dir="11040000">
            <a:prstClr val="black">
              <a:alpha val="50000"/>
            </a:prstClr>
          </a:innerShdw>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ru-RU" sz="2000" b="1" i="1">
            <a:solidFill>
              <a:schemeClr val="accent5">
                <a:lumMod val="50000"/>
              </a:schemeClr>
            </a:solidFill>
          </a:endParaRPr>
        </a:p>
      </xdr:txBody>
    </xdr:sp>
    <xdr:clientData/>
  </xdr:oneCellAnchor>
  <xdr:oneCellAnchor>
    <xdr:from>
      <xdr:col>21</xdr:col>
      <xdr:colOff>246545</xdr:colOff>
      <xdr:row>20</xdr:row>
      <xdr:rowOff>42517</xdr:rowOff>
    </xdr:from>
    <xdr:ext cx="184731" cy="405432"/>
    <xdr:sp macro="" textlink="">
      <xdr:nvSpPr>
        <xdr:cNvPr id="4" name="TextBox 3">
          <a:extLst>
            <a:ext uri="{FF2B5EF4-FFF2-40B4-BE49-F238E27FC236}">
              <a16:creationId xmlns:a16="http://schemas.microsoft.com/office/drawing/2014/main" xmlns="" id="{00000000-0008-0000-0200-000004000000}"/>
            </a:ext>
          </a:extLst>
        </xdr:cNvPr>
        <xdr:cNvSpPr txBox="1"/>
      </xdr:nvSpPr>
      <xdr:spPr>
        <a:xfrm>
          <a:off x="21239645" y="7481542"/>
          <a:ext cx="184731" cy="405432"/>
        </a:xfrm>
        <a:prstGeom prst="rect">
          <a:avLst/>
        </a:prstGeom>
        <a:noFill/>
        <a:effectLst>
          <a:innerShdw blurRad="228600" dist="76200" dir="11040000">
            <a:prstClr val="black">
              <a:alpha val="50000"/>
            </a:prstClr>
          </a:innerShdw>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ru-RU" sz="2000" b="1" i="1">
            <a:solidFill>
              <a:srgbClr val="FF0000"/>
            </a:solidFill>
          </a:endParaRPr>
        </a:p>
      </xdr:txBody>
    </xdr:sp>
    <xdr:clientData/>
  </xdr:oneCellAnchor>
  <mc:AlternateContent xmlns:mc="http://schemas.openxmlformats.org/markup-compatibility/2006">
    <mc:Choice xmlns:a14="http://schemas.microsoft.com/office/drawing/2010/main" Requires="a14">
      <xdr:twoCellAnchor>
        <xdr:from>
          <xdr:col>34</xdr:col>
          <xdr:colOff>1744980</xdr:colOff>
          <xdr:row>0</xdr:row>
          <xdr:rowOff>0</xdr:rowOff>
        </xdr:from>
        <xdr:to>
          <xdr:col>34</xdr:col>
          <xdr:colOff>4465320</xdr:colOff>
          <xdr:row>6</xdr:row>
          <xdr:rowOff>68580</xdr:rowOff>
        </xdr:to>
        <xdr:sp macro="" textlink="">
          <xdr:nvSpPr>
            <xdr:cNvPr id="26625" name="Button 344" hidden="1">
              <a:extLst>
                <a:ext uri="{63B3BB69-23CF-44E3-9099-C40C66FF867C}">
                  <a14:compatExt spid="_x0000_s26625"/>
                </a:ext>
              </a:extLst>
            </xdr:cNvPr>
            <xdr:cNvSpPr/>
          </xdr:nvSpPr>
          <xdr:spPr>
            <a:xfrm>
              <a:off x="0" y="0"/>
              <a:ext cx="0" cy="0"/>
            </a:xfrm>
            <a:prstGeom prst="rect">
              <a:avLst/>
            </a:prstGeom>
          </xdr:spPr>
          <xdr:txBody>
            <a:bodyPr vertOverflow="clip" wrap="square" lIns="36576" tIns="41148" rIns="36576" bIns="41148" anchor="ctr" upright="1"/>
            <a:lstStyle/>
            <a:p>
              <a:pPr algn="ctr" rtl="0">
                <a:defRPr sz="1000"/>
              </a:pPr>
              <a:r>
                <a:rPr lang="ru-RU" sz="1100" b="0" i="0" u="none" strike="noStrike" baseline="0">
                  <a:solidFill>
                    <a:srgbClr val="008000"/>
                  </a:solidFill>
                  <a:latin typeface="Yu Gothic UI Semibold"/>
                  <a:ea typeface="Yu Gothic UI Semibold"/>
                </a:rPr>
                <a:t>ОБНОВИТЬ ДАННЫЕ</a:t>
              </a:r>
            </a:p>
          </xdr:txBody>
        </xdr:sp>
        <xdr:clientData fPrintsWithSheet="0"/>
      </xdr:twoCellAnchor>
    </mc:Choice>
    <mc:Fallback/>
  </mc:AlternateContent>
  <xdr:twoCellAnchor>
    <xdr:from>
      <xdr:col>16</xdr:col>
      <xdr:colOff>4312920</xdr:colOff>
      <xdr:row>1</xdr:row>
      <xdr:rowOff>146475</xdr:rowOff>
    </xdr:from>
    <xdr:to>
      <xdr:col>22</xdr:col>
      <xdr:colOff>1074420</xdr:colOff>
      <xdr:row>32</xdr:row>
      <xdr:rowOff>249980</xdr:rowOff>
    </xdr:to>
    <xdr:sp macro="" textlink="">
      <xdr:nvSpPr>
        <xdr:cNvPr id="5" name="Прямоугольник 4"/>
        <xdr:cNvSpPr>
          <a:spLocks noTextEdit="1"/>
        </xdr:cNvSpPr>
      </xdr:nvSpPr>
      <xdr:spPr>
        <a:xfrm>
          <a:off x="22357080" y="2584875"/>
          <a:ext cx="36233100" cy="15373985"/>
        </a:xfrm>
        <a:prstGeom prst="rect">
          <a:avLst/>
        </a:prstGeom>
        <a:solidFill>
          <a:prstClr val="white"/>
        </a:solidFill>
        <a:ln w="1">
          <a:solidFill>
            <a:prstClr val="green"/>
          </a:solidFill>
        </a:ln>
      </xdr:spPr>
      <xdr:txBody>
        <a:bodyPr vertOverflow="clip" horzOverflow="clip"/>
        <a:lstStyle/>
        <a:p>
          <a:r>
            <a:rPr lang="ru-RU" sz="1100"/>
            <a:t>Эта диаграмма недоступна в вашей версии Excel.
Изменение этой фигуры или сохранение книги в другом формате приведет к остаточному повреждению диаграммы.</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3047999</xdr:colOff>
      <xdr:row>5</xdr:row>
      <xdr:rowOff>23812</xdr:rowOff>
    </xdr:from>
    <xdr:to>
      <xdr:col>4</xdr:col>
      <xdr:colOff>476249</xdr:colOff>
      <xdr:row>6</xdr:row>
      <xdr:rowOff>23812</xdr:rowOff>
    </xdr:to>
    <xdr:sp macro="" textlink="">
      <xdr:nvSpPr>
        <xdr:cNvPr id="2" name="Овал 14">
          <a:extLst>
            <a:ext uri="{FF2B5EF4-FFF2-40B4-BE49-F238E27FC236}">
              <a16:creationId xmlns:a16="http://schemas.microsoft.com/office/drawing/2014/main" xmlns="" id="{00000000-0008-0000-0400-000002000000}"/>
            </a:ext>
          </a:extLst>
        </xdr:cNvPr>
        <xdr:cNvSpPr/>
      </xdr:nvSpPr>
      <xdr:spPr>
        <a:xfrm>
          <a:off x="4452937" y="2405062"/>
          <a:ext cx="547687" cy="595313"/>
        </a:xfrm>
        <a:prstGeom prst="ellipse">
          <a:avLst/>
        </a:prstGeom>
        <a:solidFill>
          <a:srgbClr val="FFC000"/>
        </a:solidFill>
        <a:ln>
          <a:solidFill>
            <a:srgbClr val="FFC000"/>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endParaRPr lang="ru-RU" sz="1050" b="1">
            <a:solidFill>
              <a:schemeClr val="tx1"/>
            </a:solidFill>
          </a:endParaRPr>
        </a:p>
      </xdr:txBody>
    </xdr:sp>
    <xdr:clientData/>
  </xdr:twoCellAnchor>
  <xdr:twoCellAnchor>
    <xdr:from>
      <xdr:col>5</xdr:col>
      <xdr:colOff>2928937</xdr:colOff>
      <xdr:row>5</xdr:row>
      <xdr:rowOff>23811</xdr:rowOff>
    </xdr:from>
    <xdr:to>
      <xdr:col>6</xdr:col>
      <xdr:colOff>277962</xdr:colOff>
      <xdr:row>6</xdr:row>
      <xdr:rowOff>-1</xdr:rowOff>
    </xdr:to>
    <xdr:sp macro="" textlink="">
      <xdr:nvSpPr>
        <xdr:cNvPr id="3" name="Овал 15">
          <a:extLst>
            <a:ext uri="{FF2B5EF4-FFF2-40B4-BE49-F238E27FC236}">
              <a16:creationId xmlns:a16="http://schemas.microsoft.com/office/drawing/2014/main" xmlns="" id="{00000000-0008-0000-0400-000003000000}"/>
            </a:ext>
          </a:extLst>
        </xdr:cNvPr>
        <xdr:cNvSpPr/>
      </xdr:nvSpPr>
      <xdr:spPr>
        <a:xfrm>
          <a:off x="10572750" y="2405061"/>
          <a:ext cx="468462" cy="571501"/>
        </a:xfrm>
        <a:prstGeom prst="ellipse">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algn="ctr"/>
          <a:endParaRPr lang="ru-RU" sz="1050" b="1">
            <a:solidFill>
              <a:schemeClr val="tx1"/>
            </a:solidFill>
          </a:endParaRPr>
        </a:p>
      </xdr:txBody>
    </xdr:sp>
    <xdr:clientData/>
  </xdr:twoCellAnchor>
  <xdr:twoCellAnchor>
    <xdr:from>
      <xdr:col>5</xdr:col>
      <xdr:colOff>261937</xdr:colOff>
      <xdr:row>5</xdr:row>
      <xdr:rowOff>14721</xdr:rowOff>
    </xdr:from>
    <xdr:to>
      <xdr:col>5</xdr:col>
      <xdr:colOff>798373</xdr:colOff>
      <xdr:row>6</xdr:row>
      <xdr:rowOff>25545</xdr:rowOff>
    </xdr:to>
    <xdr:sp macro="" textlink="">
      <xdr:nvSpPr>
        <xdr:cNvPr id="4" name="Овал 17">
          <a:extLst>
            <a:ext uri="{FF2B5EF4-FFF2-40B4-BE49-F238E27FC236}">
              <a16:creationId xmlns:a16="http://schemas.microsoft.com/office/drawing/2014/main" xmlns="" id="{00000000-0008-0000-0400-000004000000}"/>
            </a:ext>
          </a:extLst>
        </xdr:cNvPr>
        <xdr:cNvSpPr/>
      </xdr:nvSpPr>
      <xdr:spPr>
        <a:xfrm>
          <a:off x="7905750" y="2395971"/>
          <a:ext cx="536436" cy="606137"/>
        </a:xfrm>
        <a:prstGeom prst="ellipse">
          <a:avLst/>
        </a:prstGeom>
        <a:solidFill>
          <a:srgbClr val="FFFF00"/>
        </a:solidFill>
        <a:ln>
          <a:solidFill>
            <a:schemeClr val="accent4">
              <a:lumMod val="60000"/>
              <a:lumOff val="40000"/>
            </a:schemeClr>
          </a:solidFill>
        </a:ln>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algn="ctr"/>
          <a:endParaRPr lang="ru-RU" sz="1050" b="1">
            <a:solidFill>
              <a:schemeClr val="tx1"/>
            </a:solidFill>
          </a:endParaRPr>
        </a:p>
      </xdr:txBody>
    </xdr:sp>
    <xdr:clientData/>
  </xdr:twoCellAnchor>
  <xdr:twoCellAnchor>
    <xdr:from>
      <xdr:col>3</xdr:col>
      <xdr:colOff>238124</xdr:colOff>
      <xdr:row>5</xdr:row>
      <xdr:rowOff>23813</xdr:rowOff>
    </xdr:from>
    <xdr:to>
      <xdr:col>3</xdr:col>
      <xdr:colOff>764168</xdr:colOff>
      <xdr:row>6</xdr:row>
      <xdr:rowOff>23813</xdr:rowOff>
    </xdr:to>
    <xdr:sp macro="" textlink="">
      <xdr:nvSpPr>
        <xdr:cNvPr id="5" name="Овал 42">
          <a:extLst>
            <a:ext uri="{FF2B5EF4-FFF2-40B4-BE49-F238E27FC236}">
              <a16:creationId xmlns:a16="http://schemas.microsoft.com/office/drawing/2014/main" xmlns="" id="{00000000-0008-0000-0400-000005000000}"/>
            </a:ext>
          </a:extLst>
        </xdr:cNvPr>
        <xdr:cNvSpPr/>
      </xdr:nvSpPr>
      <xdr:spPr>
        <a:xfrm>
          <a:off x="1643062" y="2405063"/>
          <a:ext cx="526044" cy="595313"/>
        </a:xfrm>
        <a:prstGeom prst="ellipse">
          <a:avLst/>
        </a:prstGeom>
        <a:solidFill>
          <a:srgbClr val="FF0000"/>
        </a:solidFill>
        <a:ln>
          <a:solidFill>
            <a:srgbClr val="FF0000"/>
          </a:solidFill>
        </a:ln>
      </xdr:spPr>
      <xdr:style>
        <a:lnRef idx="1">
          <a:schemeClr val="accent3"/>
        </a:lnRef>
        <a:fillRef idx="3">
          <a:schemeClr val="accent3"/>
        </a:fillRef>
        <a:effectRef idx="2">
          <a:schemeClr val="accent3"/>
        </a:effectRef>
        <a:fontRef idx="minor">
          <a:schemeClr val="lt1"/>
        </a:fontRef>
      </xdr:style>
      <xdr:txBody>
        <a:bodyPr vertOverflow="clip" horzOverflow="clip" rtlCol="0" anchor="ctr"/>
        <a:lstStyle/>
        <a:p>
          <a:pPr marL="0" indent="0" algn="ctr"/>
          <a:endParaRPr lang="ru-RU" sz="1050" b="1">
            <a:solidFill>
              <a:schemeClr val="tx1"/>
            </a:solidFill>
            <a:latin typeface="+mn-lt"/>
            <a:ea typeface="+mn-ea"/>
            <a:cs typeface="+mn-cs"/>
          </a:endParaRPr>
        </a:p>
      </xdr:txBody>
    </xdr:sp>
    <xdr:clientData/>
  </xdr:twoCellAnchor>
  <xdr:twoCellAnchor>
    <xdr:from>
      <xdr:col>3</xdr:col>
      <xdr:colOff>71437</xdr:colOff>
      <xdr:row>23</xdr:row>
      <xdr:rowOff>23812</xdr:rowOff>
    </xdr:from>
    <xdr:to>
      <xdr:col>3</xdr:col>
      <xdr:colOff>1032637</xdr:colOff>
      <xdr:row>24</xdr:row>
      <xdr:rowOff>32512</xdr:rowOff>
    </xdr:to>
    <xdr:sp macro="" textlink="">
      <xdr:nvSpPr>
        <xdr:cNvPr id="17" name="Овал 16">
          <a:extLst>
            <a:ext uri="{FF2B5EF4-FFF2-40B4-BE49-F238E27FC236}">
              <a16:creationId xmlns:a16="http://schemas.microsoft.com/office/drawing/2014/main" xmlns="" id="{00000000-0008-0000-0400-000011000000}"/>
            </a:ext>
          </a:extLst>
        </xdr:cNvPr>
        <xdr:cNvSpPr>
          <a:spLocks noChangeAspect="1"/>
        </xdr:cNvSpPr>
      </xdr:nvSpPr>
      <xdr:spPr>
        <a:xfrm>
          <a:off x="1481137" y="21778912"/>
          <a:ext cx="961200" cy="961200"/>
        </a:xfrm>
        <a:prstGeom prst="ellipse">
          <a:avLst/>
        </a:prstGeom>
        <a:gradFill rotWithShape="1">
          <a:gsLst>
            <a:gs pos="0">
              <a:srgbClr val="9BBB59">
                <a:shade val="51000"/>
                <a:satMod val="130000"/>
              </a:srgbClr>
            </a:gs>
            <a:gs pos="80000">
              <a:srgbClr val="9BBB59">
                <a:shade val="93000"/>
                <a:satMod val="130000"/>
              </a:srgbClr>
            </a:gs>
            <a:gs pos="100000">
              <a:srgbClr val="9BBB59">
                <a:shade val="94000"/>
                <a:satMod val="135000"/>
              </a:srgbClr>
            </a:gs>
          </a:gsLst>
          <a:lin ang="16200000" scaled="0"/>
        </a:gradFill>
        <a:ln w="9525" cap="flat" cmpd="sng" algn="ctr">
          <a:solidFill>
            <a:srgbClr val="9BBB59">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ysClr val="windowText" lastClr="000000"/>
              </a:solidFill>
              <a:effectLst/>
              <a:uLnTx/>
              <a:uFillTx/>
              <a:latin typeface="Calibri" panose="020F0502020204030204"/>
              <a:ea typeface="+mn-ea"/>
              <a:cs typeface="+mn-cs"/>
            </a:rPr>
            <a:t>CTR-2</a:t>
          </a:r>
          <a:endPar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5</xdr:col>
      <xdr:colOff>1640897</xdr:colOff>
      <xdr:row>21</xdr:row>
      <xdr:rowOff>2168</xdr:rowOff>
    </xdr:from>
    <xdr:to>
      <xdr:col>5</xdr:col>
      <xdr:colOff>2602097</xdr:colOff>
      <xdr:row>22</xdr:row>
      <xdr:rowOff>10868</xdr:rowOff>
    </xdr:to>
    <xdr:sp macro="" textlink="">
      <xdr:nvSpPr>
        <xdr:cNvPr id="20" name="Овал 19">
          <a:extLst>
            <a:ext uri="{FF2B5EF4-FFF2-40B4-BE49-F238E27FC236}">
              <a16:creationId xmlns:a16="http://schemas.microsoft.com/office/drawing/2014/main" xmlns="" id="{00000000-0008-0000-0400-000014000000}"/>
            </a:ext>
          </a:extLst>
        </xdr:cNvPr>
        <xdr:cNvSpPr>
          <a:spLocks noChangeAspect="1"/>
        </xdr:cNvSpPr>
      </xdr:nvSpPr>
      <xdr:spPr>
        <a:xfrm>
          <a:off x="9298997" y="19471268"/>
          <a:ext cx="961200" cy="961200"/>
        </a:xfrm>
        <a:prstGeom prst="ellipse">
          <a:avLst/>
        </a:prstGeom>
        <a:gradFill flip="none" rotWithShape="1">
          <a:gsLst>
            <a:gs pos="0">
              <a:srgbClr val="FFFF00">
                <a:shade val="30000"/>
                <a:satMod val="115000"/>
              </a:srgbClr>
            </a:gs>
            <a:gs pos="50000">
              <a:srgbClr val="FFFF00">
                <a:shade val="67500"/>
                <a:satMod val="115000"/>
              </a:srgbClr>
            </a:gs>
            <a:gs pos="100000">
              <a:srgbClr val="FFFF00">
                <a:shade val="100000"/>
                <a:satMod val="115000"/>
              </a:srgbClr>
            </a:gs>
          </a:gsLst>
          <a:lin ang="16200000" scaled="1"/>
          <a:tileRect/>
        </a:gradFill>
      </xdr:spPr>
      <xdr:style>
        <a:lnRef idx="1">
          <a:schemeClr val="accent3"/>
        </a:lnRef>
        <a:fillRef idx="3">
          <a:schemeClr val="accent3"/>
        </a:fillRef>
        <a:effectRef idx="2">
          <a:schemeClr val="accent3"/>
        </a:effectRef>
        <a:fontRef idx="minor">
          <a:schemeClr val="lt1"/>
        </a:fontRef>
      </xdr:style>
      <xdr:txBody>
        <a:bodyPr vertOverflow="clip" horzOverflow="clip" rtlCol="0" anchor="ctr"/>
        <a:lstStyle/>
        <a:p>
          <a:pPr algn="ctr"/>
          <a:r>
            <a:rPr lang="en-US" sz="1600" b="1">
              <a:solidFill>
                <a:schemeClr val="tx1"/>
              </a:solidFill>
            </a:rPr>
            <a:t>LR-1</a:t>
          </a:r>
          <a:endParaRPr lang="ru-RU" sz="1050" b="1">
            <a:solidFill>
              <a:schemeClr val="tx1"/>
            </a:solidFill>
          </a:endParaRPr>
        </a:p>
      </xdr:txBody>
    </xdr:sp>
    <xdr:clientData/>
  </xdr:twoCellAnchor>
  <xdr:twoCellAnchor>
    <xdr:from>
      <xdr:col>7</xdr:col>
      <xdr:colOff>1280100</xdr:colOff>
      <xdr:row>24</xdr:row>
      <xdr:rowOff>453161</xdr:rowOff>
    </xdr:from>
    <xdr:to>
      <xdr:col>7</xdr:col>
      <xdr:colOff>2241300</xdr:colOff>
      <xdr:row>25</xdr:row>
      <xdr:rowOff>499961</xdr:rowOff>
    </xdr:to>
    <xdr:sp macro="" textlink="">
      <xdr:nvSpPr>
        <xdr:cNvPr id="22" name="Овал 21">
          <a:extLst>
            <a:ext uri="{FF2B5EF4-FFF2-40B4-BE49-F238E27FC236}">
              <a16:creationId xmlns:a16="http://schemas.microsoft.com/office/drawing/2014/main" xmlns="" id="{00000000-0008-0000-0400-000016000000}"/>
            </a:ext>
          </a:extLst>
        </xdr:cNvPr>
        <xdr:cNvSpPr>
          <a:spLocks noChangeAspect="1"/>
        </xdr:cNvSpPr>
      </xdr:nvSpPr>
      <xdr:spPr>
        <a:xfrm>
          <a:off x="15218350" y="22995661"/>
          <a:ext cx="961200" cy="935800"/>
        </a:xfrm>
        <a:prstGeom prst="ellipse">
          <a:avLst/>
        </a:prstGeom>
        <a:gradFill flip="none" rotWithShape="1">
          <a:gsLst>
            <a:gs pos="0">
              <a:srgbClr val="FFFF00">
                <a:shade val="30000"/>
                <a:satMod val="115000"/>
              </a:srgbClr>
            </a:gs>
            <a:gs pos="50000">
              <a:srgbClr val="FFFF00">
                <a:shade val="67500"/>
                <a:satMod val="115000"/>
              </a:srgbClr>
            </a:gs>
            <a:gs pos="100000">
              <a:srgbClr val="FFFF00">
                <a:shade val="100000"/>
                <a:satMod val="115000"/>
              </a:srgbClr>
            </a:gs>
          </a:gsLst>
          <a:lin ang="16200000" scaled="1"/>
          <a:tileRect/>
        </a:gradFill>
      </xdr:spPr>
      <xdr:style>
        <a:lnRef idx="1">
          <a:schemeClr val="accent3"/>
        </a:lnRef>
        <a:fillRef idx="3">
          <a:schemeClr val="accent3"/>
        </a:fillRef>
        <a:effectRef idx="2">
          <a:schemeClr val="accent3"/>
        </a:effectRef>
        <a:fontRef idx="minor">
          <a:schemeClr val="lt1"/>
        </a:fontRef>
      </xdr:style>
      <xdr:txBody>
        <a:bodyPr vertOverflow="clip" horzOverflow="clip" rtlCol="0" anchor="ctr"/>
        <a:lstStyle/>
        <a:p>
          <a:pPr algn="ctr"/>
          <a:r>
            <a:rPr lang="en-US" sz="1600" b="1">
              <a:solidFill>
                <a:schemeClr val="tx1"/>
              </a:solidFill>
            </a:rPr>
            <a:t>OR-</a:t>
          </a:r>
          <a:r>
            <a:rPr lang="ru-RU" sz="1600" b="1">
              <a:solidFill>
                <a:schemeClr val="tx1"/>
              </a:solidFill>
            </a:rPr>
            <a:t>5</a:t>
          </a:r>
          <a:endParaRPr lang="ru-RU" sz="1050" b="1">
            <a:solidFill>
              <a:schemeClr val="tx1"/>
            </a:solidFill>
          </a:endParaRPr>
        </a:p>
      </xdr:txBody>
    </xdr:sp>
    <xdr:clientData/>
  </xdr:twoCellAnchor>
  <xdr:twoCellAnchor>
    <xdr:from>
      <xdr:col>5</xdr:col>
      <xdr:colOff>2182523</xdr:colOff>
      <xdr:row>24</xdr:row>
      <xdr:rowOff>154132</xdr:rowOff>
    </xdr:from>
    <xdr:to>
      <xdr:col>6</xdr:col>
      <xdr:colOff>19523</xdr:colOff>
      <xdr:row>25</xdr:row>
      <xdr:rowOff>200932</xdr:rowOff>
    </xdr:to>
    <xdr:sp macro="" textlink="">
      <xdr:nvSpPr>
        <xdr:cNvPr id="23" name="Овал 22">
          <a:extLst>
            <a:ext uri="{FF2B5EF4-FFF2-40B4-BE49-F238E27FC236}">
              <a16:creationId xmlns:a16="http://schemas.microsoft.com/office/drawing/2014/main" xmlns="" id="{00000000-0008-0000-0400-000017000000}"/>
            </a:ext>
          </a:extLst>
        </xdr:cNvPr>
        <xdr:cNvSpPr>
          <a:spLocks noChangeAspect="1"/>
        </xdr:cNvSpPr>
      </xdr:nvSpPr>
      <xdr:spPr>
        <a:xfrm>
          <a:off x="9840623" y="22861732"/>
          <a:ext cx="961200" cy="961200"/>
        </a:xfrm>
        <a:prstGeom prst="ellipse">
          <a:avLst/>
        </a:prstGeom>
        <a:gradFill flip="none" rotWithShape="1">
          <a:gsLst>
            <a:gs pos="0">
              <a:srgbClr val="FFFF00">
                <a:shade val="30000"/>
                <a:satMod val="115000"/>
              </a:srgbClr>
            </a:gs>
            <a:gs pos="50000">
              <a:srgbClr val="FFFF00">
                <a:shade val="67500"/>
                <a:satMod val="115000"/>
              </a:srgbClr>
            </a:gs>
            <a:gs pos="100000">
              <a:srgbClr val="FFFF00">
                <a:shade val="100000"/>
                <a:satMod val="115000"/>
              </a:srgbClr>
            </a:gs>
          </a:gsLst>
          <a:lin ang="16200000" scaled="1"/>
          <a:tileRect/>
        </a:gradFill>
      </xdr:spPr>
      <xdr:style>
        <a:lnRef idx="1">
          <a:schemeClr val="accent3"/>
        </a:lnRef>
        <a:fillRef idx="3">
          <a:schemeClr val="accent3"/>
        </a:fillRef>
        <a:effectRef idx="2">
          <a:schemeClr val="accent3"/>
        </a:effectRef>
        <a:fontRef idx="minor">
          <a:schemeClr val="lt1"/>
        </a:fontRef>
      </xdr:style>
      <xdr:txBody>
        <a:bodyPr vertOverflow="clip" horzOverflow="clip" rtlCol="0" anchor="ctr"/>
        <a:lstStyle/>
        <a:p>
          <a:pPr algn="ctr"/>
          <a:r>
            <a:rPr lang="en-US" sz="1600" b="1">
              <a:solidFill>
                <a:schemeClr val="tx1"/>
              </a:solidFill>
            </a:rPr>
            <a:t>RP-2</a:t>
          </a:r>
          <a:endParaRPr lang="ru-RU" sz="1050" b="1">
            <a:solidFill>
              <a:schemeClr val="tx1"/>
            </a:solidFill>
          </a:endParaRPr>
        </a:p>
      </xdr:txBody>
    </xdr:sp>
    <xdr:clientData/>
  </xdr:twoCellAnchor>
  <xdr:twoCellAnchor>
    <xdr:from>
      <xdr:col>4</xdr:col>
      <xdr:colOff>3080528</xdr:colOff>
      <xdr:row>22</xdr:row>
      <xdr:rowOff>1218769</xdr:rowOff>
    </xdr:from>
    <xdr:to>
      <xdr:col>5</xdr:col>
      <xdr:colOff>910504</xdr:colOff>
      <xdr:row>23</xdr:row>
      <xdr:rowOff>872405</xdr:rowOff>
    </xdr:to>
    <xdr:sp macro="" textlink="">
      <xdr:nvSpPr>
        <xdr:cNvPr id="25" name="Овал 24">
          <a:extLst>
            <a:ext uri="{FF2B5EF4-FFF2-40B4-BE49-F238E27FC236}">
              <a16:creationId xmlns:a16="http://schemas.microsoft.com/office/drawing/2014/main" xmlns="" id="{00000000-0008-0000-0400-000019000000}"/>
            </a:ext>
          </a:extLst>
        </xdr:cNvPr>
        <xdr:cNvSpPr>
          <a:spLocks noChangeAspect="1"/>
        </xdr:cNvSpPr>
      </xdr:nvSpPr>
      <xdr:spPr>
        <a:xfrm>
          <a:off x="7604903" y="20721207"/>
          <a:ext cx="949414" cy="987136"/>
        </a:xfrm>
        <a:prstGeom prst="ellipse">
          <a:avLst/>
        </a:prstGeom>
        <a:gradFill flip="none" rotWithShape="1">
          <a:gsLst>
            <a:gs pos="0">
              <a:srgbClr val="FFFF00">
                <a:shade val="30000"/>
                <a:satMod val="115000"/>
              </a:srgbClr>
            </a:gs>
            <a:gs pos="50000">
              <a:srgbClr val="FFFF00">
                <a:shade val="67500"/>
                <a:satMod val="115000"/>
              </a:srgbClr>
            </a:gs>
            <a:gs pos="100000">
              <a:srgbClr val="FFFF00">
                <a:shade val="100000"/>
                <a:satMod val="115000"/>
              </a:srgbClr>
            </a:gs>
          </a:gsLst>
          <a:lin ang="16200000" scaled="1"/>
          <a:tileRect/>
        </a:gradFill>
      </xdr:spPr>
      <xdr:style>
        <a:lnRef idx="1">
          <a:schemeClr val="accent3"/>
        </a:lnRef>
        <a:fillRef idx="3">
          <a:schemeClr val="accent3"/>
        </a:fillRef>
        <a:effectRef idx="2">
          <a:schemeClr val="accent3"/>
        </a:effectRef>
        <a:fontRef idx="minor">
          <a:schemeClr val="lt1"/>
        </a:fontRef>
      </xdr:style>
      <xdr:txBody>
        <a:bodyPr vertOverflow="clip" horzOverflow="clip" rtlCol="0" anchor="ctr"/>
        <a:lstStyle/>
        <a:p>
          <a:pPr algn="ctr"/>
          <a:r>
            <a:rPr lang="en-US" sz="1600" b="1">
              <a:solidFill>
                <a:schemeClr val="tx1"/>
              </a:solidFill>
            </a:rPr>
            <a:t>HTR-1</a:t>
          </a:r>
          <a:endParaRPr lang="ru-RU" sz="1050" b="1">
            <a:solidFill>
              <a:schemeClr val="tx1"/>
            </a:solidFill>
          </a:endParaRPr>
        </a:p>
      </xdr:txBody>
    </xdr:sp>
    <xdr:clientData/>
  </xdr:twoCellAnchor>
  <xdr:twoCellAnchor>
    <xdr:from>
      <xdr:col>5</xdr:col>
      <xdr:colOff>971815</xdr:colOff>
      <xdr:row>22</xdr:row>
      <xdr:rowOff>1165946</xdr:rowOff>
    </xdr:from>
    <xdr:to>
      <xdr:col>5</xdr:col>
      <xdr:colOff>1899204</xdr:colOff>
      <xdr:row>23</xdr:row>
      <xdr:rowOff>746847</xdr:rowOff>
    </xdr:to>
    <xdr:sp macro="" textlink="">
      <xdr:nvSpPr>
        <xdr:cNvPr id="28" name="Овал 27">
          <a:extLst>
            <a:ext uri="{FF2B5EF4-FFF2-40B4-BE49-F238E27FC236}">
              <a16:creationId xmlns:a16="http://schemas.microsoft.com/office/drawing/2014/main" xmlns="" id="{00000000-0008-0000-0400-00001C000000}"/>
            </a:ext>
          </a:extLst>
        </xdr:cNvPr>
        <xdr:cNvSpPr>
          <a:spLocks noChangeAspect="1"/>
        </xdr:cNvSpPr>
      </xdr:nvSpPr>
      <xdr:spPr>
        <a:xfrm>
          <a:off x="8615628" y="20596946"/>
          <a:ext cx="927389" cy="914401"/>
        </a:xfrm>
        <a:prstGeom prst="ellipse">
          <a:avLst/>
        </a:prstGeom>
        <a:gradFill flip="none" rotWithShape="1">
          <a:gsLst>
            <a:gs pos="0">
              <a:srgbClr val="FFFF00">
                <a:shade val="30000"/>
                <a:satMod val="115000"/>
              </a:srgbClr>
            </a:gs>
            <a:gs pos="50000">
              <a:srgbClr val="FFFF00">
                <a:shade val="67500"/>
                <a:satMod val="115000"/>
              </a:srgbClr>
            </a:gs>
            <a:gs pos="100000">
              <a:srgbClr val="FFFF00">
                <a:shade val="100000"/>
                <a:satMod val="115000"/>
              </a:srgbClr>
            </a:gs>
          </a:gsLst>
          <a:lin ang="16200000" scaled="1"/>
          <a:tileRect/>
        </a:gradFill>
      </xdr:spPr>
      <xdr:style>
        <a:lnRef idx="1">
          <a:schemeClr val="accent3"/>
        </a:lnRef>
        <a:fillRef idx="3">
          <a:schemeClr val="accent3"/>
        </a:fillRef>
        <a:effectRef idx="2">
          <a:schemeClr val="accent3"/>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600" b="1" noProof="0">
              <a:solidFill>
                <a:schemeClr val="tx1"/>
              </a:solidFill>
              <a:latin typeface="+mn-lt"/>
              <a:ea typeface="+mn-ea"/>
              <a:cs typeface="+mn-cs"/>
            </a:rPr>
            <a:t>TR</a:t>
          </a:r>
          <a:r>
            <a:rPr lang="ru-RU" sz="1600" b="1" noProof="0">
              <a:solidFill>
                <a:schemeClr val="tx1"/>
              </a:solidFill>
              <a:latin typeface="+mn-lt"/>
              <a:ea typeface="+mn-ea"/>
              <a:cs typeface="+mn-cs"/>
            </a:rPr>
            <a:t>-</a:t>
          </a:r>
          <a:r>
            <a:rPr lang="en-US" sz="1600" b="1" noProof="0">
              <a:solidFill>
                <a:schemeClr val="tx1"/>
              </a:solidFill>
              <a:latin typeface="+mn-lt"/>
              <a:ea typeface="+mn-ea"/>
              <a:cs typeface="+mn-cs"/>
            </a:rPr>
            <a:t>1</a:t>
          </a:r>
          <a:endParaRPr lang="ru-RU" sz="1600" b="1" noProof="0">
            <a:solidFill>
              <a:schemeClr val="tx1"/>
            </a:solidFill>
            <a:latin typeface="+mn-lt"/>
            <a:ea typeface="+mn-ea"/>
            <a:cs typeface="+mn-cs"/>
          </a:endParaRPr>
        </a:p>
      </xdr:txBody>
    </xdr:sp>
    <xdr:clientData/>
  </xdr:twoCellAnchor>
  <xdr:twoCellAnchor>
    <xdr:from>
      <xdr:col>5</xdr:col>
      <xdr:colOff>2184255</xdr:colOff>
      <xdr:row>24</xdr:row>
      <xdr:rowOff>829108</xdr:rowOff>
    </xdr:from>
    <xdr:to>
      <xdr:col>6</xdr:col>
      <xdr:colOff>54818</xdr:colOff>
      <xdr:row>25</xdr:row>
      <xdr:rowOff>879597</xdr:rowOff>
    </xdr:to>
    <xdr:sp macro="" textlink="">
      <xdr:nvSpPr>
        <xdr:cNvPr id="38" name="Овал 37">
          <a:extLst>
            <a:ext uri="{FF2B5EF4-FFF2-40B4-BE49-F238E27FC236}">
              <a16:creationId xmlns:a16="http://schemas.microsoft.com/office/drawing/2014/main" xmlns="" id="{00000000-0008-0000-0400-000026000000}"/>
            </a:ext>
          </a:extLst>
        </xdr:cNvPr>
        <xdr:cNvSpPr>
          <a:spLocks noChangeAspect="1"/>
        </xdr:cNvSpPr>
      </xdr:nvSpPr>
      <xdr:spPr>
        <a:xfrm>
          <a:off x="9828068" y="22522296"/>
          <a:ext cx="990000" cy="955364"/>
        </a:xfrm>
        <a:prstGeom prst="ellipse">
          <a:avLst/>
        </a:prstGeom>
        <a:gradFill flip="none" rotWithShape="1">
          <a:gsLst>
            <a:gs pos="0">
              <a:srgbClr val="FFFF00">
                <a:shade val="30000"/>
                <a:satMod val="115000"/>
              </a:srgbClr>
            </a:gs>
            <a:gs pos="50000">
              <a:srgbClr val="FFFF00">
                <a:shade val="67500"/>
                <a:satMod val="115000"/>
              </a:srgbClr>
            </a:gs>
            <a:gs pos="100000">
              <a:srgbClr val="FFFF00">
                <a:shade val="100000"/>
                <a:satMod val="115000"/>
              </a:srgbClr>
            </a:gs>
          </a:gsLst>
          <a:lin ang="16200000" scaled="1"/>
          <a:tileRect/>
        </a:gradFill>
      </xdr:spPr>
      <xdr:style>
        <a:lnRef idx="1">
          <a:schemeClr val="accent3"/>
        </a:lnRef>
        <a:fillRef idx="3">
          <a:schemeClr val="accent3"/>
        </a:fillRef>
        <a:effectRef idx="2">
          <a:schemeClr val="accent3"/>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600" b="1" noProof="0">
              <a:solidFill>
                <a:schemeClr val="tx1"/>
              </a:solidFill>
              <a:latin typeface="+mn-lt"/>
              <a:ea typeface="+mn-ea"/>
              <a:cs typeface="+mn-cs"/>
            </a:rPr>
            <a:t>TR</a:t>
          </a:r>
          <a:r>
            <a:rPr lang="ru-RU" sz="1600" b="1" noProof="0">
              <a:solidFill>
                <a:schemeClr val="tx1"/>
              </a:solidFill>
              <a:latin typeface="+mn-lt"/>
              <a:ea typeface="+mn-ea"/>
              <a:cs typeface="+mn-cs"/>
            </a:rPr>
            <a:t>-</a:t>
          </a:r>
          <a:r>
            <a:rPr lang="en-US" sz="1600" b="1" noProof="0">
              <a:solidFill>
                <a:schemeClr val="tx1"/>
              </a:solidFill>
              <a:latin typeface="+mn-lt"/>
              <a:ea typeface="+mn-ea"/>
              <a:cs typeface="+mn-cs"/>
            </a:rPr>
            <a:t>2</a:t>
          </a:r>
          <a:endParaRPr lang="ru-RU" sz="1600" b="1" noProof="0">
            <a:solidFill>
              <a:schemeClr val="tx1"/>
            </a:solidFill>
            <a:latin typeface="+mn-lt"/>
            <a:ea typeface="+mn-ea"/>
            <a:cs typeface="+mn-cs"/>
          </a:endParaRPr>
        </a:p>
      </xdr:txBody>
    </xdr:sp>
    <xdr:clientData/>
  </xdr:twoCellAnchor>
  <xdr:twoCellAnchor>
    <xdr:from>
      <xdr:col>5</xdr:col>
      <xdr:colOff>319087</xdr:colOff>
      <xdr:row>23</xdr:row>
      <xdr:rowOff>676276</xdr:rowOff>
    </xdr:from>
    <xdr:to>
      <xdr:col>5</xdr:col>
      <xdr:colOff>1309087</xdr:colOff>
      <xdr:row>24</xdr:row>
      <xdr:rowOff>702950</xdr:rowOff>
    </xdr:to>
    <xdr:sp macro="" textlink="">
      <xdr:nvSpPr>
        <xdr:cNvPr id="39" name="Овал 38">
          <a:extLst>
            <a:ext uri="{FF2B5EF4-FFF2-40B4-BE49-F238E27FC236}">
              <a16:creationId xmlns:a16="http://schemas.microsoft.com/office/drawing/2014/main" xmlns="" id="{00000000-0008-0000-0400-000027000000}"/>
            </a:ext>
          </a:extLst>
        </xdr:cNvPr>
        <xdr:cNvSpPr>
          <a:spLocks noChangeAspect="1"/>
        </xdr:cNvSpPr>
      </xdr:nvSpPr>
      <xdr:spPr>
        <a:xfrm>
          <a:off x="7962900" y="21440776"/>
          <a:ext cx="990000" cy="955362"/>
        </a:xfrm>
        <a:prstGeom prst="ellipse">
          <a:avLst/>
        </a:prstGeom>
        <a:gradFill flip="none" rotWithShape="1">
          <a:gsLst>
            <a:gs pos="0">
              <a:srgbClr val="FFFF00">
                <a:shade val="30000"/>
                <a:satMod val="115000"/>
              </a:srgbClr>
            </a:gs>
            <a:gs pos="50000">
              <a:srgbClr val="FFFF00">
                <a:shade val="67500"/>
                <a:satMod val="115000"/>
              </a:srgbClr>
            </a:gs>
            <a:gs pos="100000">
              <a:srgbClr val="FFFF00">
                <a:shade val="100000"/>
                <a:satMod val="115000"/>
              </a:srgbClr>
            </a:gs>
          </a:gsLst>
          <a:lin ang="16200000" scaled="1"/>
          <a:tileRect/>
        </a:gradFill>
      </xdr:spPr>
      <xdr:style>
        <a:lnRef idx="1">
          <a:schemeClr val="accent3"/>
        </a:lnRef>
        <a:fillRef idx="3">
          <a:schemeClr val="accent3"/>
        </a:fillRef>
        <a:effectRef idx="2">
          <a:schemeClr val="accent3"/>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600" b="1" noProof="0">
              <a:solidFill>
                <a:schemeClr val="tx1"/>
              </a:solidFill>
              <a:latin typeface="+mn-lt"/>
              <a:ea typeface="+mn-ea"/>
              <a:cs typeface="+mn-cs"/>
            </a:rPr>
            <a:t>TR</a:t>
          </a:r>
          <a:r>
            <a:rPr lang="ru-RU" sz="1600" b="1" noProof="0">
              <a:solidFill>
                <a:schemeClr val="tx1"/>
              </a:solidFill>
              <a:latin typeface="+mn-lt"/>
              <a:ea typeface="+mn-ea"/>
              <a:cs typeface="+mn-cs"/>
            </a:rPr>
            <a:t>-</a:t>
          </a:r>
          <a:r>
            <a:rPr lang="en-US" sz="1600" b="1" noProof="0">
              <a:solidFill>
                <a:schemeClr val="tx1"/>
              </a:solidFill>
              <a:latin typeface="+mn-lt"/>
              <a:ea typeface="+mn-ea"/>
              <a:cs typeface="+mn-cs"/>
            </a:rPr>
            <a:t>3</a:t>
          </a:r>
          <a:endParaRPr lang="ru-RU" sz="1600" b="1" noProof="0">
            <a:solidFill>
              <a:schemeClr val="tx1"/>
            </a:solidFill>
            <a:latin typeface="+mn-lt"/>
            <a:ea typeface="+mn-ea"/>
            <a:cs typeface="+mn-cs"/>
          </a:endParaRPr>
        </a:p>
      </xdr:txBody>
    </xdr:sp>
    <xdr:clientData/>
  </xdr:twoCellAnchor>
  <xdr:twoCellAnchor>
    <xdr:from>
      <xdr:col>7</xdr:col>
      <xdr:colOff>2171968</xdr:colOff>
      <xdr:row>6</xdr:row>
      <xdr:rowOff>175527</xdr:rowOff>
    </xdr:from>
    <xdr:to>
      <xdr:col>7</xdr:col>
      <xdr:colOff>3124468</xdr:colOff>
      <xdr:row>8</xdr:row>
      <xdr:rowOff>32722</xdr:rowOff>
    </xdr:to>
    <xdr:sp macro="" textlink="$L$10">
      <xdr:nvSpPr>
        <xdr:cNvPr id="44" name="CTR-1">
          <a:extLst>
            <a:ext uri="{FF2B5EF4-FFF2-40B4-BE49-F238E27FC236}">
              <a16:creationId xmlns:a16="http://schemas.microsoft.com/office/drawing/2014/main" xmlns="" id="{00000000-0008-0000-0400-00002C000000}"/>
            </a:ext>
          </a:extLst>
        </xdr:cNvPr>
        <xdr:cNvSpPr>
          <a:spLocks noChangeAspect="1"/>
        </xdr:cNvSpPr>
      </xdr:nvSpPr>
      <xdr:spPr>
        <a:xfrm>
          <a:off x="16469494" y="5629843"/>
          <a:ext cx="952500" cy="899932"/>
        </a:xfrm>
        <a:prstGeom prst="ellipse">
          <a:avLst/>
        </a:prstGeom>
        <a:gradFill flip="none" rotWithShape="1">
          <a:gsLst>
            <a:gs pos="0">
              <a:srgbClr val="FF0000">
                <a:shade val="30000"/>
                <a:satMod val="115000"/>
              </a:srgbClr>
            </a:gs>
            <a:gs pos="50000">
              <a:srgbClr val="FF0000">
                <a:shade val="67500"/>
                <a:satMod val="115000"/>
              </a:srgbClr>
            </a:gs>
            <a:gs pos="100000">
              <a:srgbClr val="FF0000">
                <a:shade val="100000"/>
                <a:satMod val="115000"/>
              </a:srgbClr>
            </a:gs>
          </a:gsLst>
          <a:lin ang="16200000" scaled="1"/>
          <a:tileRect/>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8497FC6A-3906-4BF8-A026-EF2A410C5C8E}" type="TxLink">
            <a:rPr kumimoji="0" lang="en-US" sz="1600" b="1" i="0" u="none" strike="noStrike" kern="0" cap="none" spc="0" normalizeH="0" baseline="0" noProof="0">
              <a:ln>
                <a:noFill/>
              </a:ln>
              <a:solidFill>
                <a:srgbClr val="000000"/>
              </a:solidFill>
              <a:effectLst/>
              <a:uLnTx/>
              <a:uFillTx/>
              <a:latin typeface="Calibri" panose="020F0502020204030204" pitchFamily="34" charset="0"/>
              <a:ea typeface="+mn-ea"/>
              <a:cs typeface="Calibri" panose="020F0502020204030204" pitchFamily="34" charset="0"/>
            </a:rPr>
            <a:pPr marL="0" marR="0" lvl="0" indent="0" algn="ctr" defTabSz="914400" eaLnBrk="1" fontAlgn="auto" latinLnBrk="0" hangingPunct="1">
              <a:lnSpc>
                <a:spcPct val="100000"/>
              </a:lnSpc>
              <a:spcBef>
                <a:spcPts val="0"/>
              </a:spcBef>
              <a:spcAft>
                <a:spcPts val="0"/>
              </a:spcAft>
              <a:buClrTx/>
              <a:buSzTx/>
              <a:buFontTx/>
              <a:buNone/>
              <a:tabLst/>
              <a:defRPr/>
            </a:pPr>
            <a:t>CTR-1</a:t>
          </a:fld>
          <a:endParaRPr kumimoji="0" lang="ru-RU" sz="1200" b="1" i="0" u="none" strike="noStrike" kern="0" cap="none" spc="0" normalizeH="0" baseline="0" noProof="0">
            <a:ln>
              <a:noFill/>
            </a:ln>
            <a:solidFill>
              <a:sysClr val="windowText" lastClr="000000"/>
            </a:solidFill>
            <a:effectLst/>
            <a:uLnTx/>
            <a:uFillTx/>
            <a:latin typeface="Calibri" panose="020F0502020204030204" pitchFamily="34" charset="0"/>
            <a:ea typeface="+mn-ea"/>
            <a:cs typeface="Calibri" panose="020F0502020204030204" pitchFamily="34" charset="0"/>
          </a:endParaRPr>
        </a:p>
      </xdr:txBody>
    </xdr:sp>
    <xdr:clientData/>
  </xdr:twoCellAnchor>
  <xdr:twoCellAnchor>
    <xdr:from>
      <xdr:col>7</xdr:col>
      <xdr:colOff>2009173</xdr:colOff>
      <xdr:row>8</xdr:row>
      <xdr:rowOff>248839</xdr:rowOff>
    </xdr:from>
    <xdr:to>
      <xdr:col>7</xdr:col>
      <xdr:colOff>2965139</xdr:colOff>
      <xdr:row>9</xdr:row>
      <xdr:rowOff>336255</xdr:rowOff>
    </xdr:to>
    <xdr:sp macro="" textlink="">
      <xdr:nvSpPr>
        <xdr:cNvPr id="47" name="Овал 46">
          <a:extLst>
            <a:ext uri="{FF2B5EF4-FFF2-40B4-BE49-F238E27FC236}">
              <a16:creationId xmlns:a16="http://schemas.microsoft.com/office/drawing/2014/main" xmlns="" id="{00000000-0008-0000-0400-00002F000000}"/>
            </a:ext>
          </a:extLst>
        </xdr:cNvPr>
        <xdr:cNvSpPr>
          <a:spLocks noChangeAspect="1"/>
        </xdr:cNvSpPr>
      </xdr:nvSpPr>
      <xdr:spPr>
        <a:xfrm>
          <a:off x="15891861" y="6749652"/>
          <a:ext cx="955966" cy="920853"/>
        </a:xfrm>
        <a:prstGeom prst="ellipse">
          <a:avLst/>
        </a:prstGeom>
        <a:gradFill flip="none" rotWithShape="1">
          <a:gsLst>
            <a:gs pos="0">
              <a:srgbClr val="FF0000">
                <a:shade val="30000"/>
                <a:satMod val="115000"/>
              </a:srgbClr>
            </a:gs>
            <a:gs pos="50000">
              <a:srgbClr val="FF0000">
                <a:shade val="67500"/>
                <a:satMod val="115000"/>
              </a:srgbClr>
            </a:gs>
            <a:gs pos="100000">
              <a:srgbClr val="FF0000">
                <a:shade val="100000"/>
                <a:satMod val="115000"/>
              </a:srgbClr>
            </a:gs>
          </a:gsLst>
          <a:lin ang="16200000" scaled="1"/>
          <a:tileRect/>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ysClr val="windowText" lastClr="000000"/>
              </a:solidFill>
              <a:effectLst/>
              <a:uLnTx/>
              <a:uFillTx/>
              <a:latin typeface="Calibri" panose="020F0502020204030204"/>
              <a:ea typeface="+mn-ea"/>
              <a:cs typeface="+mn-cs"/>
            </a:rPr>
            <a:t>FX-1</a:t>
          </a:r>
          <a:endPar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5</xdr:col>
      <xdr:colOff>1146898</xdr:colOff>
      <xdr:row>24</xdr:row>
      <xdr:rowOff>664585</xdr:rowOff>
    </xdr:from>
    <xdr:to>
      <xdr:col>5</xdr:col>
      <xdr:colOff>2108098</xdr:colOff>
      <xdr:row>25</xdr:row>
      <xdr:rowOff>711385</xdr:rowOff>
    </xdr:to>
    <xdr:sp macro="" textlink="">
      <xdr:nvSpPr>
        <xdr:cNvPr id="49" name="Овал 48">
          <a:extLst>
            <a:ext uri="{FF2B5EF4-FFF2-40B4-BE49-F238E27FC236}">
              <a16:creationId xmlns:a16="http://schemas.microsoft.com/office/drawing/2014/main" xmlns="" id="{00000000-0008-0000-0400-000031000000}"/>
            </a:ext>
          </a:extLst>
        </xdr:cNvPr>
        <xdr:cNvSpPr>
          <a:spLocks noChangeAspect="1"/>
        </xdr:cNvSpPr>
      </xdr:nvSpPr>
      <xdr:spPr>
        <a:xfrm>
          <a:off x="8790711" y="22429210"/>
          <a:ext cx="961200" cy="951675"/>
        </a:xfrm>
        <a:prstGeom prst="ellipse">
          <a:avLst/>
        </a:prstGeom>
        <a:gradFill flip="none" rotWithShape="1">
          <a:gsLst>
            <a:gs pos="0">
              <a:srgbClr val="FFFF00">
                <a:shade val="30000"/>
                <a:satMod val="115000"/>
              </a:srgbClr>
            </a:gs>
            <a:gs pos="50000">
              <a:srgbClr val="FFFF00">
                <a:shade val="67500"/>
                <a:satMod val="115000"/>
              </a:srgbClr>
            </a:gs>
            <a:gs pos="100000">
              <a:srgbClr val="FFFF00">
                <a:shade val="100000"/>
                <a:satMod val="115000"/>
              </a:srgbClr>
            </a:gs>
          </a:gsLst>
          <a:lin ang="16200000" scaled="1"/>
          <a:tileRect/>
        </a:gradFill>
      </xdr:spPr>
      <xdr:style>
        <a:lnRef idx="1">
          <a:schemeClr val="accent3"/>
        </a:lnRef>
        <a:fillRef idx="3">
          <a:schemeClr val="accent3"/>
        </a:fillRef>
        <a:effectRef idx="2">
          <a:schemeClr val="accent3"/>
        </a:effectRef>
        <a:fontRef idx="minor">
          <a:schemeClr val="lt1"/>
        </a:fontRef>
      </xdr:style>
      <xdr:txBody>
        <a:bodyPr vertOverflow="clip" horzOverflow="clip" rtlCol="0" anchor="ctr"/>
        <a:lstStyle/>
        <a:p>
          <a:pPr algn="ctr"/>
          <a:r>
            <a:rPr lang="en-US" sz="1600" b="1">
              <a:solidFill>
                <a:schemeClr val="tx1"/>
              </a:solidFill>
            </a:rPr>
            <a:t>HTR-</a:t>
          </a:r>
          <a:r>
            <a:rPr lang="ru-RU" sz="1600" b="1">
              <a:solidFill>
                <a:schemeClr val="tx1"/>
              </a:solidFill>
            </a:rPr>
            <a:t>2</a:t>
          </a:r>
          <a:endParaRPr lang="ru-RU" sz="1050" b="1">
            <a:solidFill>
              <a:schemeClr val="tx1"/>
            </a:solidFill>
          </a:endParaRPr>
        </a:p>
      </xdr:txBody>
    </xdr:sp>
    <xdr:clientData/>
  </xdr:twoCellAnchor>
  <xdr:twoCellAnchor>
    <xdr:from>
      <xdr:col>4</xdr:col>
      <xdr:colOff>1593273</xdr:colOff>
      <xdr:row>7</xdr:row>
      <xdr:rowOff>190500</xdr:rowOff>
    </xdr:from>
    <xdr:to>
      <xdr:col>4</xdr:col>
      <xdr:colOff>2583273</xdr:colOff>
      <xdr:row>8</xdr:row>
      <xdr:rowOff>312425</xdr:rowOff>
    </xdr:to>
    <xdr:sp macro="" textlink="">
      <xdr:nvSpPr>
        <xdr:cNvPr id="50" name="Овал 49">
          <a:extLst>
            <a:ext uri="{FF2B5EF4-FFF2-40B4-BE49-F238E27FC236}">
              <a16:creationId xmlns:a16="http://schemas.microsoft.com/office/drawing/2014/main" xmlns="" id="{00000000-0008-0000-0400-000032000000}"/>
            </a:ext>
          </a:extLst>
        </xdr:cNvPr>
        <xdr:cNvSpPr>
          <a:spLocks noChangeAspect="1"/>
        </xdr:cNvSpPr>
      </xdr:nvSpPr>
      <xdr:spPr>
        <a:xfrm>
          <a:off x="6117648" y="6286500"/>
          <a:ext cx="990000" cy="955363"/>
        </a:xfrm>
        <a:prstGeom prst="ellipse">
          <a:avLst/>
        </a:prstGeom>
        <a:gradFill rotWithShape="1">
          <a:gsLst>
            <a:gs pos="0">
              <a:srgbClr val="F79646">
                <a:shade val="51000"/>
                <a:satMod val="130000"/>
              </a:srgbClr>
            </a:gs>
            <a:gs pos="80000">
              <a:srgbClr val="F79646">
                <a:shade val="93000"/>
                <a:satMod val="130000"/>
              </a:srgbClr>
            </a:gs>
            <a:gs pos="100000">
              <a:srgbClr val="F79646">
                <a:shade val="94000"/>
                <a:satMod val="135000"/>
              </a:srgbClr>
            </a:gs>
          </a:gsLst>
          <a:lin ang="16200000" scaled="0"/>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rPr>
            <a:t>С</a:t>
          </a:r>
          <a:r>
            <a:rPr kumimoji="0" lang="en-US" sz="1600" b="1" i="0" u="none" strike="noStrike" kern="0" cap="none" spc="0" normalizeH="0" baseline="0" noProof="0">
              <a:ln>
                <a:noFill/>
              </a:ln>
              <a:solidFill>
                <a:sysClr val="windowText" lastClr="000000"/>
              </a:solidFill>
              <a:effectLst/>
              <a:uLnTx/>
              <a:uFillTx/>
              <a:latin typeface="Calibri" panose="020F0502020204030204"/>
              <a:ea typeface="+mn-ea"/>
              <a:cs typeface="+mn-cs"/>
            </a:rPr>
            <a:t>R</a:t>
          </a:r>
          <a:r>
            <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rPr>
            <a:t>-1</a:t>
          </a:r>
        </a:p>
      </xdr:txBody>
    </xdr:sp>
    <xdr:clientData/>
  </xdr:twoCellAnchor>
  <xdr:twoCellAnchor>
    <xdr:from>
      <xdr:col>5</xdr:col>
      <xdr:colOff>2090057</xdr:colOff>
      <xdr:row>9</xdr:row>
      <xdr:rowOff>94507</xdr:rowOff>
    </xdr:from>
    <xdr:to>
      <xdr:col>5</xdr:col>
      <xdr:colOff>3088420</xdr:colOff>
      <xdr:row>10</xdr:row>
      <xdr:rowOff>249907</xdr:rowOff>
    </xdr:to>
    <xdr:sp macro="" textlink="">
      <xdr:nvSpPr>
        <xdr:cNvPr id="51" name="Овал 50">
          <a:extLst>
            <a:ext uri="{FF2B5EF4-FFF2-40B4-BE49-F238E27FC236}">
              <a16:creationId xmlns:a16="http://schemas.microsoft.com/office/drawing/2014/main" xmlns="" id="{00000000-0008-0000-0400-000033000000}"/>
            </a:ext>
          </a:extLst>
        </xdr:cNvPr>
        <xdr:cNvSpPr>
          <a:spLocks noChangeAspect="1"/>
        </xdr:cNvSpPr>
      </xdr:nvSpPr>
      <xdr:spPr>
        <a:xfrm>
          <a:off x="9786257" y="4971307"/>
          <a:ext cx="998363" cy="993600"/>
        </a:xfrm>
        <a:prstGeom prst="ellipse">
          <a:avLst/>
        </a:prstGeom>
        <a:gradFill rotWithShape="1">
          <a:gsLst>
            <a:gs pos="0">
              <a:srgbClr val="F79646">
                <a:shade val="51000"/>
                <a:satMod val="130000"/>
              </a:srgbClr>
            </a:gs>
            <a:gs pos="80000">
              <a:srgbClr val="F79646">
                <a:shade val="93000"/>
                <a:satMod val="130000"/>
              </a:srgbClr>
            </a:gs>
            <a:gs pos="100000">
              <a:srgbClr val="F79646">
                <a:shade val="94000"/>
                <a:satMod val="135000"/>
              </a:srgbClr>
            </a:gs>
          </a:gsLst>
          <a:lin ang="16200000" scaled="0"/>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rPr>
            <a:t>С</a:t>
          </a:r>
          <a:r>
            <a:rPr kumimoji="0" lang="en-US" sz="1600" b="1" i="0" u="none" strike="noStrike" kern="0" cap="none" spc="0" normalizeH="0" baseline="0" noProof="0">
              <a:ln>
                <a:noFill/>
              </a:ln>
              <a:solidFill>
                <a:sysClr val="windowText" lastClr="000000"/>
              </a:solidFill>
              <a:effectLst/>
              <a:uLnTx/>
              <a:uFillTx/>
              <a:latin typeface="Calibri" panose="020F0502020204030204"/>
              <a:ea typeface="+mn-ea"/>
              <a:cs typeface="+mn-cs"/>
            </a:rPr>
            <a:t>R</a:t>
          </a:r>
          <a:r>
            <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rPr>
            <a:t>-2</a:t>
          </a:r>
        </a:p>
      </xdr:txBody>
    </xdr:sp>
    <xdr:clientData/>
  </xdr:twoCellAnchor>
  <xdr:twoCellAnchor>
    <xdr:from>
      <xdr:col>7</xdr:col>
      <xdr:colOff>2136614</xdr:colOff>
      <xdr:row>20</xdr:row>
      <xdr:rowOff>400483</xdr:rowOff>
    </xdr:from>
    <xdr:to>
      <xdr:col>7</xdr:col>
      <xdr:colOff>3097814</xdr:colOff>
      <xdr:row>21</xdr:row>
      <xdr:rowOff>590158</xdr:rowOff>
    </xdr:to>
    <xdr:sp macro="" textlink="">
      <xdr:nvSpPr>
        <xdr:cNvPr id="53" name="Овал 52">
          <a:extLst>
            <a:ext uri="{FF2B5EF4-FFF2-40B4-BE49-F238E27FC236}">
              <a16:creationId xmlns:a16="http://schemas.microsoft.com/office/drawing/2014/main" xmlns="" id="{00000000-0008-0000-0400-000035000000}"/>
            </a:ext>
          </a:extLst>
        </xdr:cNvPr>
        <xdr:cNvSpPr>
          <a:spLocks noChangeAspect="1"/>
        </xdr:cNvSpPr>
      </xdr:nvSpPr>
      <xdr:spPr>
        <a:xfrm>
          <a:off x="16019302" y="17759796"/>
          <a:ext cx="961200" cy="951675"/>
        </a:xfrm>
        <a:prstGeom prst="ellipse">
          <a:avLst/>
        </a:prstGeom>
        <a:gradFill rotWithShape="1">
          <a:gsLst>
            <a:gs pos="0">
              <a:srgbClr val="F79646">
                <a:shade val="51000"/>
                <a:satMod val="130000"/>
              </a:srgbClr>
            </a:gs>
            <a:gs pos="80000">
              <a:srgbClr val="F79646">
                <a:shade val="93000"/>
                <a:satMod val="130000"/>
              </a:srgbClr>
            </a:gs>
            <a:gs pos="100000">
              <a:srgbClr val="F79646">
                <a:shade val="94000"/>
                <a:satMod val="135000"/>
              </a:srgbClr>
            </a:gs>
          </a:gsLst>
          <a:lin ang="16200000" scaled="0"/>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a:ln>
                <a:noFill/>
              </a:ln>
              <a:solidFill>
                <a:sysClr val="windowText" lastClr="000000"/>
              </a:solidFill>
              <a:effectLst/>
              <a:uLnTx/>
              <a:uFillTx/>
              <a:latin typeface="Calibri" panose="020F0502020204030204"/>
              <a:ea typeface="+mn-ea"/>
              <a:cs typeface="+mn-cs"/>
            </a:rPr>
            <a:t>ICR-1</a:t>
          </a:r>
          <a:endParaRPr kumimoji="0" lang="ru-RU" sz="1600" b="1" i="0" u="none" strike="noStrike" kern="0" cap="none" spc="0" normalizeH="0" baseline="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5</xdr:col>
      <xdr:colOff>1802822</xdr:colOff>
      <xdr:row>7</xdr:row>
      <xdr:rowOff>15585</xdr:rowOff>
    </xdr:from>
    <xdr:to>
      <xdr:col>5</xdr:col>
      <xdr:colOff>2764022</xdr:colOff>
      <xdr:row>8</xdr:row>
      <xdr:rowOff>133822</xdr:rowOff>
    </xdr:to>
    <xdr:sp macro="" textlink="">
      <xdr:nvSpPr>
        <xdr:cNvPr id="59" name="Овал 58">
          <a:extLst>
            <a:ext uri="{FF2B5EF4-FFF2-40B4-BE49-F238E27FC236}">
              <a16:creationId xmlns:a16="http://schemas.microsoft.com/office/drawing/2014/main" xmlns="" id="{00000000-0008-0000-0400-00003B000000}"/>
            </a:ext>
          </a:extLst>
        </xdr:cNvPr>
        <xdr:cNvSpPr>
          <a:spLocks noChangeAspect="1"/>
        </xdr:cNvSpPr>
      </xdr:nvSpPr>
      <xdr:spPr>
        <a:xfrm>
          <a:off x="9446635" y="5682960"/>
          <a:ext cx="961200" cy="951675"/>
        </a:xfrm>
        <a:prstGeom prst="ellipse">
          <a:avLst/>
        </a:prstGeom>
        <a:gradFill rotWithShape="1">
          <a:gsLst>
            <a:gs pos="0">
              <a:srgbClr val="F79646">
                <a:shade val="51000"/>
                <a:satMod val="130000"/>
              </a:srgbClr>
            </a:gs>
            <a:gs pos="80000">
              <a:srgbClr val="F79646">
                <a:shade val="93000"/>
                <a:satMod val="130000"/>
              </a:srgbClr>
            </a:gs>
            <a:gs pos="100000">
              <a:srgbClr val="F79646">
                <a:shade val="94000"/>
                <a:satMod val="135000"/>
              </a:srgbClr>
            </a:gs>
          </a:gsLst>
          <a:lin ang="16200000" scaled="0"/>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ysClr val="windowText" lastClr="000000"/>
              </a:solidFill>
              <a:effectLst/>
              <a:uLnTx/>
              <a:uFillTx/>
              <a:latin typeface="Calibri" panose="020F0502020204030204"/>
              <a:ea typeface="+mn-ea"/>
              <a:cs typeface="+mn-cs"/>
            </a:rPr>
            <a:t>CTR-4</a:t>
          </a:r>
          <a:endPar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4</xdr:col>
      <xdr:colOff>1764289</xdr:colOff>
      <xdr:row>13</xdr:row>
      <xdr:rowOff>699222</xdr:rowOff>
    </xdr:from>
    <xdr:to>
      <xdr:col>4</xdr:col>
      <xdr:colOff>2744764</xdr:colOff>
      <xdr:row>15</xdr:row>
      <xdr:rowOff>121227</xdr:rowOff>
    </xdr:to>
    <xdr:sp macro="" textlink="">
      <xdr:nvSpPr>
        <xdr:cNvPr id="60" name="Овал 59">
          <a:extLst>
            <a:ext uri="{FF2B5EF4-FFF2-40B4-BE49-F238E27FC236}">
              <a16:creationId xmlns:a16="http://schemas.microsoft.com/office/drawing/2014/main" xmlns="" id="{00000000-0008-0000-0400-00003C000000}"/>
            </a:ext>
          </a:extLst>
        </xdr:cNvPr>
        <xdr:cNvSpPr>
          <a:spLocks noChangeAspect="1"/>
        </xdr:cNvSpPr>
      </xdr:nvSpPr>
      <xdr:spPr>
        <a:xfrm>
          <a:off x="6301653" y="8596313"/>
          <a:ext cx="980475" cy="963323"/>
        </a:xfrm>
        <a:prstGeom prst="ellipse">
          <a:avLst/>
        </a:prstGeom>
        <a:gradFill rotWithShape="1">
          <a:gsLst>
            <a:gs pos="0">
              <a:srgbClr val="F79646">
                <a:shade val="51000"/>
                <a:satMod val="130000"/>
              </a:srgbClr>
            </a:gs>
            <a:gs pos="80000">
              <a:srgbClr val="F79646">
                <a:shade val="93000"/>
                <a:satMod val="130000"/>
              </a:srgbClr>
            </a:gs>
            <a:gs pos="100000">
              <a:srgbClr val="F79646">
                <a:shade val="94000"/>
                <a:satMod val="135000"/>
              </a:srgbClr>
            </a:gs>
          </a:gsLst>
          <a:lin ang="16200000" scaled="0"/>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ysClr val="windowText" lastClr="000000"/>
              </a:solidFill>
              <a:effectLst/>
              <a:uLnTx/>
              <a:uFillTx/>
              <a:latin typeface="Calibri" panose="020F0502020204030204"/>
              <a:ea typeface="+mn-ea"/>
              <a:cs typeface="+mn-cs"/>
            </a:rPr>
            <a:t>ICR</a:t>
          </a:r>
          <a:r>
            <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rPr>
            <a:t>-</a:t>
          </a:r>
          <a:r>
            <a:rPr kumimoji="0" lang="en-US" sz="1600" b="1" i="0" u="none" strike="noStrike" kern="0" cap="none" spc="0" normalizeH="0" baseline="0" noProof="0">
              <a:ln>
                <a:noFill/>
              </a:ln>
              <a:solidFill>
                <a:sysClr val="windowText" lastClr="000000"/>
              </a:solidFill>
              <a:effectLst/>
              <a:uLnTx/>
              <a:uFillTx/>
              <a:latin typeface="Calibri" panose="020F0502020204030204"/>
              <a:ea typeface="+mn-ea"/>
              <a:cs typeface="+mn-cs"/>
            </a:rPr>
            <a:t>2</a:t>
          </a:r>
          <a:endPar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5</xdr:col>
      <xdr:colOff>2234766</xdr:colOff>
      <xdr:row>12</xdr:row>
      <xdr:rowOff>134688</xdr:rowOff>
    </xdr:from>
    <xdr:to>
      <xdr:col>6</xdr:col>
      <xdr:colOff>89120</xdr:colOff>
      <xdr:row>13</xdr:row>
      <xdr:rowOff>326880</xdr:rowOff>
    </xdr:to>
    <xdr:sp macro="" textlink="">
      <xdr:nvSpPr>
        <xdr:cNvPr id="61" name="Овал 60">
          <a:extLst>
            <a:ext uri="{FF2B5EF4-FFF2-40B4-BE49-F238E27FC236}">
              <a16:creationId xmlns:a16="http://schemas.microsoft.com/office/drawing/2014/main" xmlns="" id="{00000000-0008-0000-0400-00003D000000}"/>
            </a:ext>
          </a:extLst>
        </xdr:cNvPr>
        <xdr:cNvSpPr>
          <a:spLocks noChangeAspect="1"/>
        </xdr:cNvSpPr>
      </xdr:nvSpPr>
      <xdr:spPr>
        <a:xfrm>
          <a:off x="9878579" y="9969251"/>
          <a:ext cx="973791" cy="1001817"/>
        </a:xfrm>
        <a:prstGeom prst="ellipse">
          <a:avLst/>
        </a:prstGeom>
        <a:gradFill rotWithShape="1">
          <a:gsLst>
            <a:gs pos="0">
              <a:srgbClr val="F79646">
                <a:shade val="51000"/>
                <a:satMod val="130000"/>
              </a:srgbClr>
            </a:gs>
            <a:gs pos="80000">
              <a:srgbClr val="F79646">
                <a:shade val="93000"/>
                <a:satMod val="130000"/>
              </a:srgbClr>
            </a:gs>
            <a:gs pos="100000">
              <a:srgbClr val="F79646">
                <a:shade val="94000"/>
                <a:satMod val="135000"/>
              </a:srgbClr>
            </a:gs>
          </a:gsLst>
          <a:lin ang="16200000" scaled="0"/>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ysClr val="windowText" lastClr="000000"/>
              </a:solidFill>
              <a:effectLst/>
              <a:uLnTx/>
              <a:uFillTx/>
              <a:latin typeface="Calibri" panose="020F0502020204030204"/>
              <a:ea typeface="+mn-ea"/>
              <a:cs typeface="+mn-cs"/>
            </a:rPr>
            <a:t>RTR-2</a:t>
          </a:r>
          <a:endPar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editAs="oneCell">
    <xdr:from>
      <xdr:col>27</xdr:col>
      <xdr:colOff>9327776</xdr:colOff>
      <xdr:row>1</xdr:row>
      <xdr:rowOff>244288</xdr:rowOff>
    </xdr:from>
    <xdr:to>
      <xdr:col>27</xdr:col>
      <xdr:colOff>14971438</xdr:colOff>
      <xdr:row>3</xdr:row>
      <xdr:rowOff>263992</xdr:rowOff>
    </xdr:to>
    <xdr:pic>
      <xdr:nvPicPr>
        <xdr:cNvPr id="62" name="Picture 2" descr="https://railways.kz/static/media/LogotipKTZH2.f99c52d2.png">
          <a:extLst>
            <a:ext uri="{FF2B5EF4-FFF2-40B4-BE49-F238E27FC236}">
              <a16:creationId xmlns:a16="http://schemas.microsoft.com/office/drawing/2014/main" xmlns="" id="{00000000-0008-0000-0400-00003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1939394" y="3213847"/>
          <a:ext cx="5643662" cy="1252351"/>
        </a:xfrm>
        <a:prstGeom prst="rect">
          <a:avLst/>
        </a:prstGeom>
        <a:solidFill>
          <a:sysClr val="window" lastClr="FFFFFF"/>
        </a:solidFill>
      </xdr:spPr>
    </xdr:pic>
    <xdr:clientData/>
  </xdr:twoCellAnchor>
  <xdr:twoCellAnchor>
    <xdr:from>
      <xdr:col>7</xdr:col>
      <xdr:colOff>-1</xdr:colOff>
      <xdr:row>23</xdr:row>
      <xdr:rowOff>-1</xdr:rowOff>
    </xdr:from>
    <xdr:to>
      <xdr:col>7</xdr:col>
      <xdr:colOff>961199</xdr:colOff>
      <xdr:row>24</xdr:row>
      <xdr:rowOff>8699</xdr:rowOff>
    </xdr:to>
    <xdr:sp macro="" textlink="">
      <xdr:nvSpPr>
        <xdr:cNvPr id="64" name="Овал 63">
          <a:extLst>
            <a:ext uri="{FF2B5EF4-FFF2-40B4-BE49-F238E27FC236}">
              <a16:creationId xmlns:a16="http://schemas.microsoft.com/office/drawing/2014/main" xmlns="" id="{00000000-0008-0000-0400-000040000000}"/>
            </a:ext>
          </a:extLst>
        </xdr:cNvPr>
        <xdr:cNvSpPr>
          <a:spLocks noChangeAspect="1"/>
        </xdr:cNvSpPr>
      </xdr:nvSpPr>
      <xdr:spPr>
        <a:xfrm>
          <a:off x="13906499" y="21755099"/>
          <a:ext cx="961200" cy="961200"/>
        </a:xfrm>
        <a:prstGeom prst="ellipse">
          <a:avLst/>
        </a:prstGeom>
        <a:gradFill flip="none" rotWithShape="1">
          <a:gsLst>
            <a:gs pos="0">
              <a:srgbClr val="FFFF00">
                <a:shade val="30000"/>
                <a:satMod val="115000"/>
              </a:srgbClr>
            </a:gs>
            <a:gs pos="50000">
              <a:srgbClr val="FFFF00">
                <a:shade val="67500"/>
                <a:satMod val="115000"/>
              </a:srgbClr>
            </a:gs>
            <a:gs pos="100000">
              <a:srgbClr val="FFFF00">
                <a:shade val="100000"/>
                <a:satMod val="115000"/>
              </a:srgbClr>
            </a:gs>
          </a:gsLst>
          <a:lin ang="16200000" scaled="1"/>
          <a:tileRect/>
        </a:gradFill>
      </xdr:spPr>
      <xdr:style>
        <a:lnRef idx="1">
          <a:schemeClr val="accent3"/>
        </a:lnRef>
        <a:fillRef idx="3">
          <a:schemeClr val="accent3"/>
        </a:fillRef>
        <a:effectRef idx="2">
          <a:schemeClr val="accent3"/>
        </a:effectRef>
        <a:fontRef idx="minor">
          <a:schemeClr val="lt1"/>
        </a:fontRef>
      </xdr:style>
      <xdr:txBody>
        <a:bodyPr vertOverflow="clip" horzOverflow="clip" rtlCol="0" anchor="ctr"/>
        <a:lstStyle/>
        <a:p>
          <a:pPr algn="ctr"/>
          <a:r>
            <a:rPr lang="en-US" sz="1600" b="1">
              <a:solidFill>
                <a:schemeClr val="tx1"/>
              </a:solidFill>
            </a:rPr>
            <a:t>HR-1</a:t>
          </a:r>
          <a:endParaRPr lang="ru-RU" sz="1050" b="1">
            <a:solidFill>
              <a:schemeClr val="tx1"/>
            </a:solidFill>
          </a:endParaRPr>
        </a:p>
      </xdr:txBody>
    </xdr:sp>
    <xdr:clientData/>
  </xdr:twoCellAnchor>
  <xdr:twoCellAnchor>
    <xdr:from>
      <xdr:col>7</xdr:col>
      <xdr:colOff>2259387</xdr:colOff>
      <xdr:row>9</xdr:row>
      <xdr:rowOff>617723</xdr:rowOff>
    </xdr:from>
    <xdr:to>
      <xdr:col>8</xdr:col>
      <xdr:colOff>119987</xdr:colOff>
      <xdr:row>10</xdr:row>
      <xdr:rowOff>784410</xdr:rowOff>
    </xdr:to>
    <xdr:sp macro="" textlink="">
      <xdr:nvSpPr>
        <xdr:cNvPr id="65" name="Овал 64">
          <a:extLst>
            <a:ext uri="{FF2B5EF4-FFF2-40B4-BE49-F238E27FC236}">
              <a16:creationId xmlns:a16="http://schemas.microsoft.com/office/drawing/2014/main" xmlns="" id="{00000000-0008-0000-0400-000041000000}"/>
            </a:ext>
          </a:extLst>
        </xdr:cNvPr>
        <xdr:cNvSpPr>
          <a:spLocks noChangeAspect="1"/>
        </xdr:cNvSpPr>
      </xdr:nvSpPr>
      <xdr:spPr>
        <a:xfrm>
          <a:off x="16197637" y="8396473"/>
          <a:ext cx="987975" cy="960437"/>
        </a:xfrm>
        <a:prstGeom prst="ellipse">
          <a:avLst/>
        </a:prstGeom>
        <a:gradFill flip="none" rotWithShape="1">
          <a:gsLst>
            <a:gs pos="0">
              <a:srgbClr val="FF0000">
                <a:shade val="30000"/>
                <a:satMod val="115000"/>
              </a:srgbClr>
            </a:gs>
            <a:gs pos="50000">
              <a:srgbClr val="FF0000">
                <a:shade val="67500"/>
                <a:satMod val="115000"/>
              </a:srgbClr>
            </a:gs>
            <a:gs pos="100000">
              <a:srgbClr val="FF0000">
                <a:shade val="100000"/>
                <a:satMod val="115000"/>
              </a:srgbClr>
            </a:gs>
          </a:gsLst>
          <a:lin ang="16200000" scaled="1"/>
          <a:tileRect/>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ysClr val="windowText" lastClr="000000"/>
              </a:solidFill>
              <a:effectLst/>
              <a:uLnTx/>
              <a:uFillTx/>
              <a:latin typeface="Calibri" panose="020F0502020204030204"/>
              <a:ea typeface="+mn-ea"/>
              <a:cs typeface="+mn-cs"/>
            </a:rPr>
            <a:t>HTR-3</a:t>
          </a:r>
          <a:endPar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8</xdr:col>
          <xdr:colOff>45720</xdr:colOff>
          <xdr:row>3</xdr:row>
          <xdr:rowOff>617220</xdr:rowOff>
        </xdr:from>
        <xdr:to>
          <xdr:col>11</xdr:col>
          <xdr:colOff>1516380</xdr:colOff>
          <xdr:row>6</xdr:row>
          <xdr:rowOff>190500</xdr:rowOff>
        </xdr:to>
        <xdr:sp macro="" textlink="">
          <xdr:nvSpPr>
            <xdr:cNvPr id="2053" name="Scroll Bar 5" hidden="1">
              <a:extLst>
                <a:ext uri="{63B3BB69-23CF-44E3-9099-C40C66FF867C}">
                  <a14:compatExt spid="_x0000_s2053"/>
                </a:ext>
              </a:extLst>
            </xdr:cNvPr>
            <xdr:cNvSpPr/>
          </xdr:nvSpPr>
          <xdr:spPr>
            <a:xfrm>
              <a:off x="0" y="0"/>
              <a:ext cx="0" cy="0"/>
            </a:xfrm>
            <a:prstGeom prst="rect">
              <a:avLst/>
            </a:prstGeom>
          </xdr:spPr>
        </xdr:sp>
        <xdr:clientData/>
      </xdr:twoCellAnchor>
    </mc:Choice>
    <mc:Fallback/>
  </mc:AlternateContent>
  <xdr:twoCellAnchor>
    <xdr:from>
      <xdr:col>7</xdr:col>
      <xdr:colOff>188191</xdr:colOff>
      <xdr:row>24</xdr:row>
      <xdr:rowOff>155080</xdr:rowOff>
    </xdr:from>
    <xdr:to>
      <xdr:col>7</xdr:col>
      <xdr:colOff>1149391</xdr:colOff>
      <xdr:row>25</xdr:row>
      <xdr:rowOff>211405</xdr:rowOff>
    </xdr:to>
    <xdr:sp macro="" textlink="">
      <xdr:nvSpPr>
        <xdr:cNvPr id="70" name="Овал 69">
          <a:extLst>
            <a:ext uri="{FF2B5EF4-FFF2-40B4-BE49-F238E27FC236}">
              <a16:creationId xmlns:a16="http://schemas.microsoft.com/office/drawing/2014/main" xmlns="" id="{00000000-0008-0000-0400-000046000000}"/>
            </a:ext>
          </a:extLst>
        </xdr:cNvPr>
        <xdr:cNvSpPr>
          <a:spLocks noChangeAspect="1"/>
        </xdr:cNvSpPr>
      </xdr:nvSpPr>
      <xdr:spPr>
        <a:xfrm>
          <a:off x="14126441" y="21872080"/>
          <a:ext cx="961200" cy="945325"/>
        </a:xfrm>
        <a:prstGeom prst="ellipse">
          <a:avLst/>
        </a:prstGeom>
        <a:gradFill flip="none" rotWithShape="1">
          <a:gsLst>
            <a:gs pos="0">
              <a:srgbClr val="FFFF00">
                <a:shade val="30000"/>
                <a:satMod val="115000"/>
              </a:srgbClr>
            </a:gs>
            <a:gs pos="50000">
              <a:srgbClr val="FFFF00">
                <a:shade val="67500"/>
                <a:satMod val="115000"/>
              </a:srgbClr>
            </a:gs>
            <a:gs pos="100000">
              <a:srgbClr val="FFFF00">
                <a:shade val="100000"/>
                <a:satMod val="115000"/>
              </a:srgbClr>
            </a:gs>
          </a:gsLst>
          <a:lin ang="16200000" scaled="1"/>
          <a:tileRect/>
        </a:gradFill>
      </xdr:spPr>
      <xdr:style>
        <a:lnRef idx="1">
          <a:schemeClr val="accent3"/>
        </a:lnRef>
        <a:fillRef idx="3">
          <a:schemeClr val="accent3"/>
        </a:fillRef>
        <a:effectRef idx="2">
          <a:schemeClr val="accent3"/>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600" b="1" noProof="0">
              <a:solidFill>
                <a:schemeClr val="tx1"/>
              </a:solidFill>
              <a:latin typeface="+mn-lt"/>
              <a:ea typeface="+mn-ea"/>
              <a:cs typeface="+mn-cs"/>
            </a:rPr>
            <a:t>RTR-</a:t>
          </a:r>
          <a:r>
            <a:rPr lang="ru-RU" sz="1600" b="1" noProof="0">
              <a:solidFill>
                <a:schemeClr val="tx1"/>
              </a:solidFill>
              <a:latin typeface="+mn-lt"/>
              <a:ea typeface="+mn-ea"/>
              <a:cs typeface="+mn-cs"/>
            </a:rPr>
            <a:t>3</a:t>
          </a:r>
        </a:p>
      </xdr:txBody>
    </xdr:sp>
    <xdr:clientData/>
  </xdr:twoCellAnchor>
  <xdr:twoCellAnchor>
    <xdr:from>
      <xdr:col>3</xdr:col>
      <xdr:colOff>3033567</xdr:colOff>
      <xdr:row>8</xdr:row>
      <xdr:rowOff>588095</xdr:rowOff>
    </xdr:from>
    <xdr:to>
      <xdr:col>4</xdr:col>
      <xdr:colOff>904130</xdr:colOff>
      <xdr:row>9</xdr:row>
      <xdr:rowOff>738885</xdr:rowOff>
    </xdr:to>
    <xdr:sp macro="" textlink="">
      <xdr:nvSpPr>
        <xdr:cNvPr id="74" name="Овал 73">
          <a:extLst>
            <a:ext uri="{FF2B5EF4-FFF2-40B4-BE49-F238E27FC236}">
              <a16:creationId xmlns:a16="http://schemas.microsoft.com/office/drawing/2014/main" xmlns="" id="{00000000-0008-0000-0400-00004A000000}"/>
            </a:ext>
          </a:extLst>
        </xdr:cNvPr>
        <xdr:cNvSpPr>
          <a:spLocks noChangeAspect="1"/>
        </xdr:cNvSpPr>
      </xdr:nvSpPr>
      <xdr:spPr>
        <a:xfrm>
          <a:off x="4438505" y="7088908"/>
          <a:ext cx="990000" cy="984227"/>
        </a:xfrm>
        <a:prstGeom prst="ellipse">
          <a:avLst/>
        </a:prstGeom>
        <a:gradFill rotWithShape="1">
          <a:gsLst>
            <a:gs pos="0">
              <a:srgbClr val="F79646">
                <a:shade val="51000"/>
                <a:satMod val="130000"/>
              </a:srgbClr>
            </a:gs>
            <a:gs pos="80000">
              <a:srgbClr val="F79646">
                <a:shade val="93000"/>
                <a:satMod val="130000"/>
              </a:srgbClr>
            </a:gs>
            <a:gs pos="100000">
              <a:srgbClr val="F79646">
                <a:shade val="94000"/>
                <a:satMod val="135000"/>
              </a:srgbClr>
            </a:gs>
          </a:gsLst>
          <a:lin ang="16200000" scaled="0"/>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ysClr val="windowText" lastClr="000000"/>
              </a:solidFill>
              <a:effectLst/>
              <a:uLnTx/>
              <a:uFillTx/>
              <a:latin typeface="Calibri" panose="020F0502020204030204"/>
              <a:ea typeface="+mn-ea"/>
              <a:cs typeface="+mn-cs"/>
            </a:rPr>
            <a:t>ER-1</a:t>
          </a:r>
          <a:endPar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4</xdr:col>
      <xdr:colOff>1993435</xdr:colOff>
      <xdr:row>9</xdr:row>
      <xdr:rowOff>742905</xdr:rowOff>
    </xdr:from>
    <xdr:to>
      <xdr:col>4</xdr:col>
      <xdr:colOff>2945933</xdr:colOff>
      <xdr:row>11</xdr:row>
      <xdr:rowOff>79539</xdr:rowOff>
    </xdr:to>
    <xdr:sp macro="" textlink="">
      <xdr:nvSpPr>
        <xdr:cNvPr id="75" name="Овал 74">
          <a:extLst>
            <a:ext uri="{FF2B5EF4-FFF2-40B4-BE49-F238E27FC236}">
              <a16:creationId xmlns:a16="http://schemas.microsoft.com/office/drawing/2014/main" xmlns="" id="{00000000-0008-0000-0400-00004B000000}"/>
            </a:ext>
          </a:extLst>
        </xdr:cNvPr>
        <xdr:cNvSpPr>
          <a:spLocks noChangeAspect="1"/>
        </xdr:cNvSpPr>
      </xdr:nvSpPr>
      <xdr:spPr>
        <a:xfrm>
          <a:off x="6517810" y="8077155"/>
          <a:ext cx="952498" cy="955884"/>
        </a:xfrm>
        <a:prstGeom prst="ellipse">
          <a:avLst/>
        </a:prstGeom>
        <a:gradFill rotWithShape="1">
          <a:gsLst>
            <a:gs pos="0">
              <a:srgbClr val="F79646">
                <a:shade val="51000"/>
                <a:satMod val="130000"/>
              </a:srgbClr>
            </a:gs>
            <a:gs pos="80000">
              <a:srgbClr val="F79646">
                <a:shade val="93000"/>
                <a:satMod val="130000"/>
              </a:srgbClr>
            </a:gs>
            <a:gs pos="100000">
              <a:srgbClr val="F79646">
                <a:shade val="94000"/>
                <a:satMod val="135000"/>
              </a:srgbClr>
            </a:gs>
          </a:gsLst>
          <a:lin ang="16200000" scaled="0"/>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ysClr val="windowText" lastClr="000000"/>
              </a:solidFill>
              <a:effectLst/>
              <a:uLnTx/>
              <a:uFillTx/>
              <a:latin typeface="Calibri" panose="020F0502020204030204"/>
              <a:ea typeface="+mn-ea"/>
              <a:cs typeface="+mn-cs"/>
            </a:rPr>
            <a:t>ER-2</a:t>
          </a:r>
          <a:endPar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7</xdr:col>
      <xdr:colOff>1004454</xdr:colOff>
      <xdr:row>20</xdr:row>
      <xdr:rowOff>0</xdr:rowOff>
    </xdr:from>
    <xdr:to>
      <xdr:col>7</xdr:col>
      <xdr:colOff>1943277</xdr:colOff>
      <xdr:row>21</xdr:row>
      <xdr:rowOff>196827</xdr:rowOff>
    </xdr:to>
    <xdr:sp macro="" textlink="">
      <xdr:nvSpPr>
        <xdr:cNvPr id="77" name="Овал 76">
          <a:extLst>
            <a:ext uri="{FF2B5EF4-FFF2-40B4-BE49-F238E27FC236}">
              <a16:creationId xmlns:a16="http://schemas.microsoft.com/office/drawing/2014/main" xmlns="" id="{00000000-0008-0000-0400-00004D000000}"/>
            </a:ext>
          </a:extLst>
        </xdr:cNvPr>
        <xdr:cNvSpPr>
          <a:spLocks noChangeAspect="1"/>
        </xdr:cNvSpPr>
      </xdr:nvSpPr>
      <xdr:spPr>
        <a:xfrm>
          <a:off x="14893636" y="13733318"/>
          <a:ext cx="938823" cy="889554"/>
        </a:xfrm>
        <a:prstGeom prst="ellipse">
          <a:avLst/>
        </a:prstGeom>
        <a:gradFill rotWithShape="1">
          <a:gsLst>
            <a:gs pos="0">
              <a:srgbClr val="F79646">
                <a:shade val="51000"/>
                <a:satMod val="130000"/>
              </a:srgbClr>
            </a:gs>
            <a:gs pos="80000">
              <a:srgbClr val="F79646">
                <a:shade val="93000"/>
                <a:satMod val="130000"/>
              </a:srgbClr>
            </a:gs>
            <a:gs pos="100000">
              <a:srgbClr val="F79646">
                <a:shade val="94000"/>
                <a:satMod val="135000"/>
              </a:srgbClr>
            </a:gs>
          </a:gsLst>
          <a:lin ang="16200000" scaled="0"/>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ysClr val="windowText" lastClr="000000"/>
              </a:solidFill>
              <a:effectLst/>
              <a:uLnTx/>
              <a:uFillTx/>
              <a:latin typeface="Calibri" panose="020F0502020204030204"/>
              <a:ea typeface="+mn-ea"/>
              <a:cs typeface="+mn-cs"/>
            </a:rPr>
            <a:t>OR</a:t>
          </a:r>
          <a:r>
            <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rPr>
            <a:t>-</a:t>
          </a:r>
          <a:r>
            <a:rPr kumimoji="0" lang="en-US" sz="1600" b="1" i="0" u="none" strike="noStrike" kern="0" cap="none" spc="0" normalizeH="0" baseline="0" noProof="0">
              <a:ln>
                <a:noFill/>
              </a:ln>
              <a:solidFill>
                <a:sysClr val="windowText" lastClr="000000"/>
              </a:solidFill>
              <a:effectLst/>
              <a:uLnTx/>
              <a:uFillTx/>
              <a:latin typeface="Calibri" panose="020F0502020204030204"/>
              <a:ea typeface="+mn-ea"/>
              <a:cs typeface="+mn-cs"/>
            </a:rPr>
            <a:t>7</a:t>
          </a:r>
          <a:endPar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6</xdr:col>
      <xdr:colOff>1386321</xdr:colOff>
      <xdr:row>19</xdr:row>
      <xdr:rowOff>723900</xdr:rowOff>
    </xdr:from>
    <xdr:to>
      <xdr:col>6</xdr:col>
      <xdr:colOff>2269548</xdr:colOff>
      <xdr:row>20</xdr:row>
      <xdr:rowOff>397020</xdr:rowOff>
    </xdr:to>
    <xdr:sp macro="" textlink="">
      <xdr:nvSpPr>
        <xdr:cNvPr id="78" name="Овал 77">
          <a:extLst>
            <a:ext uri="{FF2B5EF4-FFF2-40B4-BE49-F238E27FC236}">
              <a16:creationId xmlns:a16="http://schemas.microsoft.com/office/drawing/2014/main" xmlns="" id="{00000000-0008-0000-0400-00004E000000}"/>
            </a:ext>
          </a:extLst>
        </xdr:cNvPr>
        <xdr:cNvSpPr>
          <a:spLocks noChangeAspect="1"/>
        </xdr:cNvSpPr>
      </xdr:nvSpPr>
      <xdr:spPr>
        <a:xfrm>
          <a:off x="12149571" y="17297400"/>
          <a:ext cx="883227" cy="887558"/>
        </a:xfrm>
        <a:prstGeom prst="ellipse">
          <a:avLst/>
        </a:prstGeom>
        <a:gradFill flip="none" rotWithShape="1">
          <a:gsLst>
            <a:gs pos="0">
              <a:srgbClr val="FFFF00">
                <a:shade val="30000"/>
                <a:satMod val="115000"/>
              </a:srgbClr>
            </a:gs>
            <a:gs pos="50000">
              <a:srgbClr val="FFFF00">
                <a:shade val="67500"/>
                <a:satMod val="115000"/>
              </a:srgbClr>
            </a:gs>
            <a:gs pos="100000">
              <a:srgbClr val="FFFF00">
                <a:shade val="100000"/>
                <a:satMod val="115000"/>
              </a:srgbClr>
            </a:gs>
          </a:gsLst>
          <a:lin ang="16200000" scaled="1"/>
          <a:tileRect/>
        </a:gradFill>
      </xdr:spPr>
      <xdr:style>
        <a:lnRef idx="1">
          <a:schemeClr val="accent3"/>
        </a:lnRef>
        <a:fillRef idx="3">
          <a:schemeClr val="accent3"/>
        </a:fillRef>
        <a:effectRef idx="2">
          <a:schemeClr val="accent3"/>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600" b="1" noProof="0">
              <a:solidFill>
                <a:schemeClr val="tx1"/>
              </a:solidFill>
              <a:latin typeface="+mn-lt"/>
              <a:ea typeface="+mn-ea"/>
              <a:cs typeface="+mn-cs"/>
            </a:rPr>
            <a:t>IR</a:t>
          </a:r>
          <a:r>
            <a:rPr lang="ru-RU" sz="1600" b="1" noProof="0">
              <a:solidFill>
                <a:schemeClr val="tx1"/>
              </a:solidFill>
              <a:latin typeface="+mn-lt"/>
              <a:ea typeface="+mn-ea"/>
              <a:cs typeface="+mn-cs"/>
            </a:rPr>
            <a:t>-3</a:t>
          </a:r>
        </a:p>
      </xdr:txBody>
    </xdr:sp>
    <xdr:clientData/>
  </xdr:twoCellAnchor>
  <xdr:twoCellAnchor>
    <xdr:from>
      <xdr:col>6</xdr:col>
      <xdr:colOff>619125</xdr:colOff>
      <xdr:row>9</xdr:row>
      <xdr:rowOff>426460</xdr:rowOff>
    </xdr:from>
    <xdr:to>
      <xdr:col>6</xdr:col>
      <xdr:colOff>1609125</xdr:colOff>
      <xdr:row>10</xdr:row>
      <xdr:rowOff>585188</xdr:rowOff>
    </xdr:to>
    <xdr:sp macro="" textlink="">
      <xdr:nvSpPr>
        <xdr:cNvPr id="79" name="Овал 78">
          <a:extLst>
            <a:ext uri="{FF2B5EF4-FFF2-40B4-BE49-F238E27FC236}">
              <a16:creationId xmlns:a16="http://schemas.microsoft.com/office/drawing/2014/main" xmlns="" id="{00000000-0008-0000-0400-00004F000000}"/>
            </a:ext>
          </a:extLst>
        </xdr:cNvPr>
        <xdr:cNvSpPr>
          <a:spLocks noChangeAspect="1"/>
        </xdr:cNvSpPr>
      </xdr:nvSpPr>
      <xdr:spPr>
        <a:xfrm>
          <a:off x="11382375" y="7760710"/>
          <a:ext cx="990000" cy="944541"/>
        </a:xfrm>
        <a:prstGeom prst="ellipse">
          <a:avLst/>
        </a:prstGeom>
        <a:gradFill flip="none" rotWithShape="1">
          <a:gsLst>
            <a:gs pos="0">
              <a:srgbClr val="FF0000">
                <a:shade val="30000"/>
                <a:satMod val="115000"/>
              </a:srgbClr>
            </a:gs>
            <a:gs pos="50000">
              <a:srgbClr val="FF0000">
                <a:shade val="67500"/>
                <a:satMod val="115000"/>
              </a:srgbClr>
            </a:gs>
            <a:gs pos="100000">
              <a:srgbClr val="FF0000">
                <a:shade val="100000"/>
                <a:satMod val="115000"/>
              </a:srgbClr>
            </a:gs>
          </a:gsLst>
          <a:lin ang="16200000" scaled="1"/>
          <a:tileRect/>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ysClr val="windowText" lastClr="000000"/>
              </a:solidFill>
              <a:effectLst/>
              <a:uLnTx/>
              <a:uFillTx/>
              <a:latin typeface="Calibri" panose="020F0502020204030204"/>
              <a:ea typeface="+mn-ea"/>
              <a:cs typeface="+mn-cs"/>
            </a:rPr>
            <a:t>CCR-1</a:t>
          </a:r>
          <a:endPar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5</xdr:col>
      <xdr:colOff>1212272</xdr:colOff>
      <xdr:row>9</xdr:row>
      <xdr:rowOff>623454</xdr:rowOff>
    </xdr:from>
    <xdr:to>
      <xdr:col>5</xdr:col>
      <xdr:colOff>2173472</xdr:colOff>
      <xdr:row>10</xdr:row>
      <xdr:rowOff>784554</xdr:rowOff>
    </xdr:to>
    <xdr:sp macro="" textlink="">
      <xdr:nvSpPr>
        <xdr:cNvPr id="82" name="Овал 81">
          <a:extLst>
            <a:ext uri="{FF2B5EF4-FFF2-40B4-BE49-F238E27FC236}">
              <a16:creationId xmlns:a16="http://schemas.microsoft.com/office/drawing/2014/main" xmlns="" id="{00000000-0008-0000-0400-000052000000}"/>
            </a:ext>
          </a:extLst>
        </xdr:cNvPr>
        <xdr:cNvSpPr>
          <a:spLocks noChangeAspect="1"/>
        </xdr:cNvSpPr>
      </xdr:nvSpPr>
      <xdr:spPr>
        <a:xfrm>
          <a:off x="8870372" y="9310254"/>
          <a:ext cx="961200" cy="961200"/>
        </a:xfrm>
        <a:prstGeom prst="ellipse">
          <a:avLst/>
        </a:prstGeom>
        <a:gradFill rotWithShape="1">
          <a:gsLst>
            <a:gs pos="0">
              <a:srgbClr val="F79646">
                <a:shade val="51000"/>
                <a:satMod val="130000"/>
              </a:srgbClr>
            </a:gs>
            <a:gs pos="80000">
              <a:srgbClr val="F79646">
                <a:shade val="93000"/>
                <a:satMod val="130000"/>
              </a:srgbClr>
            </a:gs>
            <a:gs pos="100000">
              <a:srgbClr val="F79646">
                <a:shade val="94000"/>
                <a:satMod val="135000"/>
              </a:srgbClr>
            </a:gs>
          </a:gsLst>
          <a:lin ang="16200000" scaled="0"/>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ysClr val="windowText" lastClr="000000"/>
              </a:solidFill>
              <a:effectLst/>
              <a:uLnTx/>
              <a:uFillTx/>
              <a:latin typeface="Calibri" panose="020F0502020204030204"/>
              <a:ea typeface="+mn-ea"/>
              <a:cs typeface="+mn-cs"/>
            </a:rPr>
            <a:t>CCR</a:t>
          </a:r>
          <a:r>
            <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rPr>
            <a:t>-</a:t>
          </a:r>
          <a:r>
            <a:rPr kumimoji="0" lang="en-US" sz="1600" b="1" i="0" u="none" strike="noStrike" kern="0" cap="none" spc="0" normalizeH="0" baseline="0" noProof="0">
              <a:ln>
                <a:noFill/>
              </a:ln>
              <a:solidFill>
                <a:sysClr val="windowText" lastClr="000000"/>
              </a:solidFill>
              <a:effectLst/>
              <a:uLnTx/>
              <a:uFillTx/>
              <a:latin typeface="Calibri" panose="020F0502020204030204"/>
              <a:ea typeface="+mn-ea"/>
              <a:cs typeface="+mn-cs"/>
            </a:rPr>
            <a:t>8</a:t>
          </a:r>
          <a:endPar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6</xdr:col>
      <xdr:colOff>2992438</xdr:colOff>
      <xdr:row>6</xdr:row>
      <xdr:rowOff>158750</xdr:rowOff>
    </xdr:from>
    <xdr:to>
      <xdr:col>7</xdr:col>
      <xdr:colOff>846791</xdr:colOff>
      <xdr:row>8</xdr:row>
      <xdr:rowOff>120755</xdr:rowOff>
    </xdr:to>
    <xdr:sp macro="" textlink="">
      <xdr:nvSpPr>
        <xdr:cNvPr id="83" name="Овал 82">
          <a:extLst>
            <a:ext uri="{FF2B5EF4-FFF2-40B4-BE49-F238E27FC236}">
              <a16:creationId xmlns:a16="http://schemas.microsoft.com/office/drawing/2014/main" xmlns="" id="{00000000-0008-0000-0400-000053000000}"/>
            </a:ext>
          </a:extLst>
        </xdr:cNvPr>
        <xdr:cNvSpPr>
          <a:spLocks noChangeAspect="1"/>
        </xdr:cNvSpPr>
      </xdr:nvSpPr>
      <xdr:spPr>
        <a:xfrm>
          <a:off x="13755688" y="5611813"/>
          <a:ext cx="973791" cy="1009755"/>
        </a:xfrm>
        <a:prstGeom prst="ellipse">
          <a:avLst/>
        </a:prstGeom>
        <a:gradFill flip="none" rotWithShape="1">
          <a:gsLst>
            <a:gs pos="0">
              <a:srgbClr val="FF0000">
                <a:shade val="30000"/>
                <a:satMod val="115000"/>
              </a:srgbClr>
            </a:gs>
            <a:gs pos="50000">
              <a:srgbClr val="FF0000">
                <a:shade val="67500"/>
                <a:satMod val="115000"/>
              </a:srgbClr>
            </a:gs>
            <a:gs pos="100000">
              <a:srgbClr val="FF0000">
                <a:shade val="100000"/>
                <a:satMod val="115000"/>
              </a:srgbClr>
            </a:gs>
          </a:gsLst>
          <a:lin ang="16200000" scaled="1"/>
          <a:tileRect/>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ysClr val="windowText" lastClr="000000"/>
              </a:solidFill>
              <a:effectLst/>
              <a:uLnTx/>
              <a:uFillTx/>
              <a:latin typeface="Calibri" panose="020F0502020204030204"/>
              <a:ea typeface="+mn-ea"/>
              <a:cs typeface="+mn-cs"/>
            </a:rPr>
            <a:t>CTR-7</a:t>
          </a:r>
          <a:endPar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7</xdr:col>
      <xdr:colOff>374650</xdr:colOff>
      <xdr:row>8</xdr:row>
      <xdr:rowOff>247648</xdr:rowOff>
    </xdr:from>
    <xdr:to>
      <xdr:col>7</xdr:col>
      <xdr:colOff>1340504</xdr:colOff>
      <xdr:row>9</xdr:row>
      <xdr:rowOff>416030</xdr:rowOff>
    </xdr:to>
    <xdr:sp macro="" textlink="">
      <xdr:nvSpPr>
        <xdr:cNvPr id="54" name="Овал 53">
          <a:extLst>
            <a:ext uri="{FF2B5EF4-FFF2-40B4-BE49-F238E27FC236}">
              <a16:creationId xmlns:a16="http://schemas.microsoft.com/office/drawing/2014/main" xmlns="" id="{00000000-0008-0000-0400-000036000000}"/>
            </a:ext>
          </a:extLst>
        </xdr:cNvPr>
        <xdr:cNvSpPr>
          <a:spLocks noChangeAspect="1"/>
        </xdr:cNvSpPr>
      </xdr:nvSpPr>
      <xdr:spPr>
        <a:xfrm>
          <a:off x="14257338" y="6748461"/>
          <a:ext cx="965854" cy="1001819"/>
        </a:xfrm>
        <a:prstGeom prst="ellipse">
          <a:avLst/>
        </a:prstGeom>
        <a:gradFill flip="none" rotWithShape="1">
          <a:gsLst>
            <a:gs pos="0">
              <a:srgbClr val="FF0000">
                <a:shade val="30000"/>
                <a:satMod val="115000"/>
              </a:srgbClr>
            </a:gs>
            <a:gs pos="50000">
              <a:srgbClr val="FF0000">
                <a:shade val="67500"/>
                <a:satMod val="115000"/>
              </a:srgbClr>
            </a:gs>
            <a:gs pos="100000">
              <a:srgbClr val="FF0000">
                <a:shade val="100000"/>
                <a:satMod val="115000"/>
              </a:srgbClr>
            </a:gs>
          </a:gsLst>
          <a:lin ang="16200000" scaled="1"/>
          <a:tileRect/>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ysClr val="windowText" lastClr="000000"/>
              </a:solidFill>
              <a:effectLst/>
              <a:uLnTx/>
              <a:uFillTx/>
              <a:latin typeface="Calibri" panose="020F0502020204030204"/>
              <a:ea typeface="+mn-ea"/>
              <a:cs typeface="+mn-cs"/>
            </a:rPr>
            <a:t>RTR-</a:t>
          </a:r>
          <a:r>
            <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rPr>
            <a:t>1</a:t>
          </a:r>
        </a:p>
      </xdr:txBody>
    </xdr:sp>
    <xdr:clientData/>
  </xdr:twoCellAnchor>
  <xdr:twoCellAnchor>
    <xdr:from>
      <xdr:col>7</xdr:col>
      <xdr:colOff>723899</xdr:colOff>
      <xdr:row>17</xdr:row>
      <xdr:rowOff>785811</xdr:rowOff>
    </xdr:from>
    <xdr:to>
      <xdr:col>7</xdr:col>
      <xdr:colOff>1685099</xdr:colOff>
      <xdr:row>18</xdr:row>
      <xdr:rowOff>818324</xdr:rowOff>
    </xdr:to>
    <xdr:sp macro="" textlink="">
      <xdr:nvSpPr>
        <xdr:cNvPr id="57" name="Овал 56">
          <a:extLst>
            <a:ext uri="{FF2B5EF4-FFF2-40B4-BE49-F238E27FC236}">
              <a16:creationId xmlns:a16="http://schemas.microsoft.com/office/drawing/2014/main" xmlns="" id="{00000000-0008-0000-0400-000039000000}"/>
            </a:ext>
          </a:extLst>
        </xdr:cNvPr>
        <xdr:cNvSpPr>
          <a:spLocks noChangeAspect="1"/>
        </xdr:cNvSpPr>
      </xdr:nvSpPr>
      <xdr:spPr>
        <a:xfrm>
          <a:off x="14606587" y="15263811"/>
          <a:ext cx="961200" cy="937388"/>
        </a:xfrm>
        <a:prstGeom prst="ellipse">
          <a:avLst/>
        </a:prstGeom>
        <a:gradFill rotWithShape="1">
          <a:gsLst>
            <a:gs pos="0">
              <a:srgbClr val="F79646">
                <a:shade val="51000"/>
                <a:satMod val="130000"/>
              </a:srgbClr>
            </a:gs>
            <a:gs pos="80000">
              <a:srgbClr val="F79646">
                <a:shade val="93000"/>
                <a:satMod val="130000"/>
              </a:srgbClr>
            </a:gs>
            <a:gs pos="100000">
              <a:srgbClr val="F79646">
                <a:shade val="94000"/>
                <a:satMod val="135000"/>
              </a:srgbClr>
            </a:gs>
          </a:gsLst>
          <a:lin ang="16200000" scaled="0"/>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a:ln>
                <a:noFill/>
              </a:ln>
              <a:solidFill>
                <a:sysClr val="windowText" lastClr="000000"/>
              </a:solidFill>
              <a:effectLst/>
              <a:uLnTx/>
              <a:uFillTx/>
              <a:latin typeface="Calibri" panose="020F0502020204030204"/>
              <a:ea typeface="+mn-ea"/>
              <a:cs typeface="+mn-cs"/>
            </a:rPr>
            <a:t>IR-</a:t>
          </a:r>
          <a:r>
            <a:rPr kumimoji="0" lang="ru-RU" sz="1600" b="1" i="0" u="none" strike="noStrike" kern="0" cap="none" spc="0" normalizeH="0" baseline="0">
              <a:ln>
                <a:noFill/>
              </a:ln>
              <a:solidFill>
                <a:sysClr val="windowText" lastClr="000000"/>
              </a:solidFill>
              <a:effectLst/>
              <a:uLnTx/>
              <a:uFillTx/>
              <a:latin typeface="Calibri" panose="020F0502020204030204"/>
              <a:ea typeface="+mn-ea"/>
              <a:cs typeface="+mn-cs"/>
            </a:rPr>
            <a:t>4</a:t>
          </a:r>
        </a:p>
      </xdr:txBody>
    </xdr:sp>
    <xdr:clientData/>
  </xdr:twoCellAnchor>
  <xdr:twoCellAnchor>
    <xdr:from>
      <xdr:col>6</xdr:col>
      <xdr:colOff>1466849</xdr:colOff>
      <xdr:row>23</xdr:row>
      <xdr:rowOff>95249</xdr:rowOff>
    </xdr:from>
    <xdr:to>
      <xdr:col>6</xdr:col>
      <xdr:colOff>2428049</xdr:colOff>
      <xdr:row>24</xdr:row>
      <xdr:rowOff>103949</xdr:rowOff>
    </xdr:to>
    <xdr:sp macro="" textlink="">
      <xdr:nvSpPr>
        <xdr:cNvPr id="58" name="Овал 57">
          <a:extLst>
            <a:ext uri="{FF2B5EF4-FFF2-40B4-BE49-F238E27FC236}">
              <a16:creationId xmlns:a16="http://schemas.microsoft.com/office/drawing/2014/main" xmlns="" id="{00000000-0008-0000-0400-00003A000000}"/>
            </a:ext>
          </a:extLst>
        </xdr:cNvPr>
        <xdr:cNvSpPr>
          <a:spLocks noChangeAspect="1"/>
        </xdr:cNvSpPr>
      </xdr:nvSpPr>
      <xdr:spPr>
        <a:xfrm>
          <a:off x="12249149" y="21850349"/>
          <a:ext cx="961200" cy="961200"/>
        </a:xfrm>
        <a:prstGeom prst="ellipse">
          <a:avLst/>
        </a:prstGeom>
        <a:gradFill flip="none" rotWithShape="1">
          <a:gsLst>
            <a:gs pos="0">
              <a:srgbClr val="FFFF00">
                <a:shade val="30000"/>
                <a:satMod val="115000"/>
              </a:srgbClr>
            </a:gs>
            <a:gs pos="50000">
              <a:srgbClr val="FFFF00">
                <a:shade val="67500"/>
                <a:satMod val="115000"/>
              </a:srgbClr>
            </a:gs>
            <a:gs pos="100000">
              <a:srgbClr val="FFFF00">
                <a:shade val="100000"/>
                <a:satMod val="115000"/>
              </a:srgbClr>
            </a:gs>
          </a:gsLst>
          <a:lin ang="16200000" scaled="1"/>
          <a:tileRect/>
        </a:gradFill>
      </xdr:spPr>
      <xdr:style>
        <a:lnRef idx="1">
          <a:schemeClr val="accent3"/>
        </a:lnRef>
        <a:fillRef idx="3">
          <a:schemeClr val="accent3"/>
        </a:fillRef>
        <a:effectRef idx="2">
          <a:schemeClr val="accent3"/>
        </a:effectRef>
        <a:fontRef idx="minor">
          <a:schemeClr val="lt1"/>
        </a:fontRef>
      </xdr:style>
      <xdr:txBody>
        <a:bodyPr vertOverflow="clip" horzOverflow="clip" rtlCol="0" anchor="ctr"/>
        <a:lstStyle/>
        <a:p>
          <a:pPr algn="ctr"/>
          <a:r>
            <a:rPr lang="en-US" sz="1600" b="1">
              <a:solidFill>
                <a:schemeClr val="tx1"/>
              </a:solidFill>
            </a:rPr>
            <a:t>IR-</a:t>
          </a:r>
          <a:r>
            <a:rPr lang="ru-RU" sz="1600" b="1">
              <a:solidFill>
                <a:schemeClr val="tx1"/>
              </a:solidFill>
            </a:rPr>
            <a:t>5</a:t>
          </a:r>
          <a:endParaRPr lang="ru-RU" sz="1050" b="1">
            <a:solidFill>
              <a:schemeClr val="tx1"/>
            </a:solidFill>
          </a:endParaRPr>
        </a:p>
      </xdr:txBody>
    </xdr:sp>
    <xdr:clientData/>
  </xdr:twoCellAnchor>
  <xdr:twoCellAnchor>
    <xdr:from>
      <xdr:col>5</xdr:col>
      <xdr:colOff>2171699</xdr:colOff>
      <xdr:row>23</xdr:row>
      <xdr:rowOff>38099</xdr:rowOff>
    </xdr:from>
    <xdr:to>
      <xdr:col>6</xdr:col>
      <xdr:colOff>19653</xdr:colOff>
      <xdr:row>24</xdr:row>
      <xdr:rowOff>46799</xdr:rowOff>
    </xdr:to>
    <xdr:sp macro="" textlink="">
      <xdr:nvSpPr>
        <xdr:cNvPr id="63" name="Овал 62">
          <a:extLst>
            <a:ext uri="{FF2B5EF4-FFF2-40B4-BE49-F238E27FC236}">
              <a16:creationId xmlns:a16="http://schemas.microsoft.com/office/drawing/2014/main" xmlns="" id="{00000000-0008-0000-0400-00003F000000}"/>
            </a:ext>
          </a:extLst>
        </xdr:cNvPr>
        <xdr:cNvSpPr>
          <a:spLocks noChangeAspect="1"/>
        </xdr:cNvSpPr>
      </xdr:nvSpPr>
      <xdr:spPr>
        <a:xfrm>
          <a:off x="9829799" y="21793199"/>
          <a:ext cx="972154" cy="961200"/>
        </a:xfrm>
        <a:prstGeom prst="ellipse">
          <a:avLst/>
        </a:prstGeom>
        <a:gradFill flip="none" rotWithShape="1">
          <a:gsLst>
            <a:gs pos="0">
              <a:srgbClr val="FFFF00">
                <a:shade val="30000"/>
                <a:satMod val="115000"/>
              </a:srgbClr>
            </a:gs>
            <a:gs pos="50000">
              <a:srgbClr val="FFFF00">
                <a:shade val="67500"/>
                <a:satMod val="115000"/>
              </a:srgbClr>
            </a:gs>
            <a:gs pos="100000">
              <a:srgbClr val="FFFF00">
                <a:shade val="100000"/>
                <a:satMod val="115000"/>
              </a:srgbClr>
            </a:gs>
          </a:gsLst>
          <a:lin ang="16200000" scaled="1"/>
          <a:tileRect/>
        </a:gradFill>
      </xdr:spPr>
      <xdr:style>
        <a:lnRef idx="1">
          <a:schemeClr val="accent3"/>
        </a:lnRef>
        <a:fillRef idx="3">
          <a:schemeClr val="accent3"/>
        </a:fillRef>
        <a:effectRef idx="2">
          <a:schemeClr val="accent3"/>
        </a:effectRef>
        <a:fontRef idx="minor">
          <a:schemeClr val="lt1"/>
        </a:fontRef>
      </xdr:style>
      <xdr:txBody>
        <a:bodyPr vertOverflow="clip" horzOverflow="clip" rtlCol="0" anchor="ctr"/>
        <a:lstStyle/>
        <a:p>
          <a:pPr algn="ctr"/>
          <a:r>
            <a:rPr lang="en-US" sz="1600" b="1">
              <a:solidFill>
                <a:schemeClr val="tx1"/>
              </a:solidFill>
            </a:rPr>
            <a:t>IR-</a:t>
          </a:r>
          <a:r>
            <a:rPr lang="ru-RU" sz="1600" b="1">
              <a:solidFill>
                <a:schemeClr val="tx1"/>
              </a:solidFill>
            </a:rPr>
            <a:t>6</a:t>
          </a:r>
          <a:endParaRPr lang="ru-RU" sz="1050" b="1">
            <a:solidFill>
              <a:schemeClr val="tx1"/>
            </a:solidFill>
          </a:endParaRPr>
        </a:p>
      </xdr:txBody>
    </xdr:sp>
    <xdr:clientData/>
  </xdr:twoCellAnchor>
  <xdr:twoCellAnchor>
    <xdr:from>
      <xdr:col>7</xdr:col>
      <xdr:colOff>1132134</xdr:colOff>
      <xdr:row>7</xdr:row>
      <xdr:rowOff>186978</xdr:rowOff>
    </xdr:from>
    <xdr:to>
      <xdr:col>7</xdr:col>
      <xdr:colOff>2156460</xdr:colOff>
      <xdr:row>8</xdr:row>
      <xdr:rowOff>357187</xdr:rowOff>
    </xdr:to>
    <xdr:sp macro="" textlink="">
      <xdr:nvSpPr>
        <xdr:cNvPr id="67" name="Овал 66">
          <a:extLst>
            <a:ext uri="{FF2B5EF4-FFF2-40B4-BE49-F238E27FC236}">
              <a16:creationId xmlns:a16="http://schemas.microsoft.com/office/drawing/2014/main" xmlns="" id="{00000000-0008-0000-0400-000043000000}"/>
            </a:ext>
          </a:extLst>
        </xdr:cNvPr>
        <xdr:cNvSpPr>
          <a:spLocks noChangeAspect="1"/>
        </xdr:cNvSpPr>
      </xdr:nvSpPr>
      <xdr:spPr>
        <a:xfrm>
          <a:off x="15014822" y="5854353"/>
          <a:ext cx="1024326" cy="1003647"/>
        </a:xfrm>
        <a:prstGeom prst="ellipse">
          <a:avLst/>
        </a:prstGeom>
        <a:gradFill flip="none" rotWithShape="1">
          <a:gsLst>
            <a:gs pos="0">
              <a:srgbClr val="FF0000">
                <a:shade val="30000"/>
                <a:satMod val="115000"/>
              </a:srgbClr>
            </a:gs>
            <a:gs pos="50000">
              <a:srgbClr val="FF0000">
                <a:shade val="67500"/>
                <a:satMod val="115000"/>
              </a:srgbClr>
            </a:gs>
            <a:gs pos="100000">
              <a:srgbClr val="FF0000">
                <a:shade val="100000"/>
                <a:satMod val="115000"/>
              </a:srgbClr>
            </a:gs>
          </a:gsLst>
          <a:lin ang="16200000" scaled="1"/>
          <a:tileRect/>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ysClr val="windowText" lastClr="000000"/>
              </a:solidFill>
              <a:effectLst/>
              <a:uLnTx/>
              <a:uFillTx/>
              <a:latin typeface="Calibri" panose="020F0502020204030204"/>
              <a:ea typeface="+mn-ea"/>
              <a:cs typeface="+mn-cs"/>
            </a:rPr>
            <a:t>HR-3</a:t>
          </a:r>
          <a:endPar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6</xdr:col>
      <xdr:colOff>738654</xdr:colOff>
      <xdr:row>7</xdr:row>
      <xdr:rowOff>42490</xdr:rowOff>
    </xdr:from>
    <xdr:to>
      <xdr:col>6</xdr:col>
      <xdr:colOff>1712445</xdr:colOff>
      <xdr:row>8</xdr:row>
      <xdr:rowOff>202931</xdr:rowOff>
    </xdr:to>
    <xdr:sp macro="" textlink="">
      <xdr:nvSpPr>
        <xdr:cNvPr id="68" name="Овал 67">
          <a:extLst>
            <a:ext uri="{FF2B5EF4-FFF2-40B4-BE49-F238E27FC236}">
              <a16:creationId xmlns:a16="http://schemas.microsoft.com/office/drawing/2014/main" xmlns="" id="{00000000-0008-0000-0400-000044000000}"/>
            </a:ext>
          </a:extLst>
        </xdr:cNvPr>
        <xdr:cNvSpPr>
          <a:spLocks noChangeAspect="1"/>
        </xdr:cNvSpPr>
      </xdr:nvSpPr>
      <xdr:spPr>
        <a:xfrm>
          <a:off x="11501904" y="5709865"/>
          <a:ext cx="973791" cy="993879"/>
        </a:xfrm>
        <a:prstGeom prst="ellipse">
          <a:avLst/>
        </a:prstGeom>
        <a:gradFill flip="none" rotWithShape="1">
          <a:gsLst>
            <a:gs pos="0">
              <a:srgbClr val="FF0000">
                <a:shade val="30000"/>
                <a:satMod val="115000"/>
              </a:srgbClr>
            </a:gs>
            <a:gs pos="50000">
              <a:srgbClr val="FF0000">
                <a:shade val="67500"/>
                <a:satMod val="115000"/>
              </a:srgbClr>
            </a:gs>
            <a:gs pos="100000">
              <a:srgbClr val="FF0000">
                <a:shade val="100000"/>
                <a:satMod val="115000"/>
              </a:srgbClr>
            </a:gs>
          </a:gsLst>
          <a:lin ang="16200000" scaled="1"/>
          <a:tileRect/>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ysClr val="windowText" lastClr="000000"/>
              </a:solidFill>
              <a:effectLst/>
              <a:uLnTx/>
              <a:uFillTx/>
              <a:latin typeface="Calibri" panose="020F0502020204030204"/>
              <a:ea typeface="+mn-ea"/>
              <a:cs typeface="+mn-cs"/>
            </a:rPr>
            <a:t>PIR-1</a:t>
          </a:r>
          <a:endPar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6</xdr:col>
      <xdr:colOff>1833563</xdr:colOff>
      <xdr:row>7</xdr:row>
      <xdr:rowOff>547688</xdr:rowOff>
    </xdr:from>
    <xdr:to>
      <xdr:col>6</xdr:col>
      <xdr:colOff>2823563</xdr:colOff>
      <xdr:row>8</xdr:row>
      <xdr:rowOff>706414</xdr:rowOff>
    </xdr:to>
    <xdr:sp macro="" textlink="">
      <xdr:nvSpPr>
        <xdr:cNvPr id="69" name="Овал 68">
          <a:extLst>
            <a:ext uri="{FF2B5EF4-FFF2-40B4-BE49-F238E27FC236}">
              <a16:creationId xmlns:a16="http://schemas.microsoft.com/office/drawing/2014/main" xmlns="" id="{00000000-0008-0000-0400-000045000000}"/>
            </a:ext>
          </a:extLst>
        </xdr:cNvPr>
        <xdr:cNvSpPr>
          <a:spLocks noChangeAspect="1"/>
        </xdr:cNvSpPr>
      </xdr:nvSpPr>
      <xdr:spPr>
        <a:xfrm>
          <a:off x="12596813" y="6215063"/>
          <a:ext cx="990000" cy="992164"/>
        </a:xfrm>
        <a:prstGeom prst="ellipse">
          <a:avLst/>
        </a:prstGeom>
        <a:gradFill flip="none" rotWithShape="1">
          <a:gsLst>
            <a:gs pos="0">
              <a:srgbClr val="FF0000">
                <a:shade val="30000"/>
                <a:satMod val="115000"/>
              </a:srgbClr>
            </a:gs>
            <a:gs pos="50000">
              <a:srgbClr val="FF0000">
                <a:shade val="67500"/>
                <a:satMod val="115000"/>
              </a:srgbClr>
            </a:gs>
            <a:gs pos="100000">
              <a:srgbClr val="FF0000">
                <a:shade val="100000"/>
                <a:satMod val="115000"/>
              </a:srgbClr>
            </a:gs>
          </a:gsLst>
          <a:lin ang="16200000" scaled="1"/>
          <a:tileRect/>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ysClr val="windowText" lastClr="000000"/>
              </a:solidFill>
              <a:effectLst/>
              <a:uLnTx/>
              <a:uFillTx/>
              <a:latin typeface="Calibri" panose="020F0502020204030204"/>
              <a:ea typeface="+mn-ea"/>
              <a:cs typeface="+mn-cs"/>
            </a:rPr>
            <a:t>IR-1</a:t>
          </a:r>
          <a:endPar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7</xdr:col>
      <xdr:colOff>1165939</xdr:colOff>
      <xdr:row>9</xdr:row>
      <xdr:rowOff>452836</xdr:rowOff>
    </xdr:from>
    <xdr:to>
      <xdr:col>7</xdr:col>
      <xdr:colOff>2110683</xdr:colOff>
      <xdr:row>10</xdr:row>
      <xdr:rowOff>625151</xdr:rowOff>
    </xdr:to>
    <xdr:sp macro="" textlink="">
      <xdr:nvSpPr>
        <xdr:cNvPr id="66" name="Овал 65">
          <a:extLst>
            <a:ext uri="{FF2B5EF4-FFF2-40B4-BE49-F238E27FC236}">
              <a16:creationId xmlns:a16="http://schemas.microsoft.com/office/drawing/2014/main" xmlns="" id="{00000000-0008-0000-0400-000042000000}"/>
            </a:ext>
          </a:extLst>
        </xdr:cNvPr>
        <xdr:cNvSpPr>
          <a:spLocks noChangeAspect="1"/>
        </xdr:cNvSpPr>
      </xdr:nvSpPr>
      <xdr:spPr>
        <a:xfrm>
          <a:off x="15048627" y="7787086"/>
          <a:ext cx="944744" cy="958128"/>
        </a:xfrm>
        <a:prstGeom prst="ellipse">
          <a:avLst/>
        </a:prstGeom>
        <a:gradFill flip="none" rotWithShape="1">
          <a:gsLst>
            <a:gs pos="0">
              <a:srgbClr val="FF0000">
                <a:shade val="30000"/>
                <a:satMod val="115000"/>
              </a:srgbClr>
            </a:gs>
            <a:gs pos="50000">
              <a:srgbClr val="FF0000">
                <a:shade val="67500"/>
                <a:satMod val="115000"/>
              </a:srgbClr>
            </a:gs>
            <a:gs pos="100000">
              <a:srgbClr val="FF0000">
                <a:shade val="100000"/>
                <a:satMod val="115000"/>
              </a:srgbClr>
            </a:gs>
          </a:gsLst>
          <a:lin ang="16200000" scaled="1"/>
          <a:tileRect/>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ysClr val="windowText" lastClr="000000"/>
              </a:solidFill>
              <a:effectLst/>
              <a:uLnTx/>
              <a:uFillTx/>
              <a:latin typeface="Calibri" panose="020F0502020204030204"/>
              <a:ea typeface="+mn-ea"/>
              <a:cs typeface="+mn-cs"/>
            </a:rPr>
            <a:t>FX-</a:t>
          </a:r>
          <a:r>
            <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rPr>
            <a:t>2</a:t>
          </a:r>
        </a:p>
      </xdr:txBody>
    </xdr:sp>
    <xdr:clientData/>
  </xdr:twoCellAnchor>
  <xdr:twoCellAnchor>
    <xdr:from>
      <xdr:col>7</xdr:col>
      <xdr:colOff>127000</xdr:colOff>
      <xdr:row>9</xdr:row>
      <xdr:rowOff>555626</xdr:rowOff>
    </xdr:from>
    <xdr:to>
      <xdr:col>7</xdr:col>
      <xdr:colOff>1142999</xdr:colOff>
      <xdr:row>10</xdr:row>
      <xdr:rowOff>806114</xdr:rowOff>
    </xdr:to>
    <xdr:sp macro="" textlink="">
      <xdr:nvSpPr>
        <xdr:cNvPr id="71" name="Овал 70">
          <a:extLst>
            <a:ext uri="{FF2B5EF4-FFF2-40B4-BE49-F238E27FC236}">
              <a16:creationId xmlns:a16="http://schemas.microsoft.com/office/drawing/2014/main" xmlns="" id="{00000000-0008-0000-0400-000047000000}"/>
            </a:ext>
          </a:extLst>
        </xdr:cNvPr>
        <xdr:cNvSpPr>
          <a:spLocks noChangeAspect="1"/>
        </xdr:cNvSpPr>
      </xdr:nvSpPr>
      <xdr:spPr>
        <a:xfrm>
          <a:off x="14009688" y="7889876"/>
          <a:ext cx="1015999" cy="1036301"/>
        </a:xfrm>
        <a:prstGeom prst="ellipse">
          <a:avLst/>
        </a:prstGeom>
        <a:gradFill flip="none" rotWithShape="1">
          <a:gsLst>
            <a:gs pos="0">
              <a:srgbClr val="FF0000">
                <a:shade val="30000"/>
                <a:satMod val="115000"/>
              </a:srgbClr>
            </a:gs>
            <a:gs pos="50000">
              <a:srgbClr val="FF0000">
                <a:shade val="67500"/>
                <a:satMod val="115000"/>
              </a:srgbClr>
            </a:gs>
            <a:gs pos="100000">
              <a:srgbClr val="FF0000">
                <a:shade val="100000"/>
                <a:satMod val="115000"/>
              </a:srgbClr>
            </a:gs>
          </a:gsLst>
          <a:lin ang="16200000" scaled="1"/>
          <a:tileRect/>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ysClr val="windowText" lastClr="000000"/>
              </a:solidFill>
              <a:effectLst/>
              <a:uLnTx/>
              <a:uFillTx/>
              <a:latin typeface="Calibri" panose="020F0502020204030204"/>
              <a:ea typeface="+mn-ea"/>
              <a:cs typeface="+mn-cs"/>
            </a:rPr>
            <a:t>CTR-</a:t>
          </a:r>
          <a:r>
            <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rPr>
            <a:t>5</a:t>
          </a:r>
        </a:p>
      </xdr:txBody>
    </xdr:sp>
    <xdr:clientData/>
  </xdr:twoCellAnchor>
  <xdr:twoCellAnchor>
    <xdr:from>
      <xdr:col>5</xdr:col>
      <xdr:colOff>3001962</xdr:colOff>
      <xdr:row>7</xdr:row>
      <xdr:rowOff>787401</xdr:rowOff>
    </xdr:from>
    <xdr:to>
      <xdr:col>6</xdr:col>
      <xdr:colOff>872524</xdr:colOff>
      <xdr:row>9</xdr:row>
      <xdr:rowOff>104753</xdr:rowOff>
    </xdr:to>
    <xdr:sp macro="" textlink="">
      <xdr:nvSpPr>
        <xdr:cNvPr id="86" name="Овал 85">
          <a:extLst>
            <a:ext uri="{FF2B5EF4-FFF2-40B4-BE49-F238E27FC236}">
              <a16:creationId xmlns:a16="http://schemas.microsoft.com/office/drawing/2014/main" xmlns="" id="{00000000-0008-0000-0400-000056000000}"/>
            </a:ext>
          </a:extLst>
        </xdr:cNvPr>
        <xdr:cNvSpPr>
          <a:spLocks noChangeAspect="1"/>
        </xdr:cNvSpPr>
      </xdr:nvSpPr>
      <xdr:spPr>
        <a:xfrm>
          <a:off x="10685462" y="6883401"/>
          <a:ext cx="997937" cy="1000102"/>
        </a:xfrm>
        <a:prstGeom prst="ellipse">
          <a:avLst/>
        </a:prstGeom>
        <a:gradFill flip="none" rotWithShape="1">
          <a:gsLst>
            <a:gs pos="0">
              <a:srgbClr val="FF0000">
                <a:shade val="30000"/>
                <a:satMod val="115000"/>
              </a:srgbClr>
            </a:gs>
            <a:gs pos="50000">
              <a:srgbClr val="FF0000">
                <a:shade val="67500"/>
                <a:satMod val="115000"/>
              </a:srgbClr>
            </a:gs>
            <a:gs pos="100000">
              <a:srgbClr val="FF0000">
                <a:shade val="100000"/>
                <a:satMod val="115000"/>
              </a:srgbClr>
            </a:gs>
          </a:gsLst>
          <a:lin ang="16200000" scaled="1"/>
          <a:tileRect/>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ysClr val="windowText" lastClr="000000"/>
              </a:solidFill>
              <a:effectLst/>
              <a:uLnTx/>
              <a:uFillTx/>
              <a:latin typeface="Calibri" panose="020F0502020204030204"/>
              <a:ea typeface="+mn-ea"/>
              <a:cs typeface="+mn-cs"/>
            </a:rPr>
            <a:t>OR-3</a:t>
          </a:r>
          <a:endPar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4</xdr:col>
      <xdr:colOff>396876</xdr:colOff>
      <xdr:row>7</xdr:row>
      <xdr:rowOff>119063</xdr:rowOff>
    </xdr:from>
    <xdr:to>
      <xdr:col>4</xdr:col>
      <xdr:colOff>1349374</xdr:colOff>
      <xdr:row>8</xdr:row>
      <xdr:rowOff>240288</xdr:rowOff>
    </xdr:to>
    <xdr:sp macro="" textlink="">
      <xdr:nvSpPr>
        <xdr:cNvPr id="73" name="Овал 72">
          <a:extLst>
            <a:ext uri="{FF2B5EF4-FFF2-40B4-BE49-F238E27FC236}">
              <a16:creationId xmlns:a16="http://schemas.microsoft.com/office/drawing/2014/main" xmlns="" id="{00000000-0008-0000-0400-000049000000}"/>
            </a:ext>
          </a:extLst>
        </xdr:cNvPr>
        <xdr:cNvSpPr>
          <a:spLocks noChangeAspect="1"/>
        </xdr:cNvSpPr>
      </xdr:nvSpPr>
      <xdr:spPr>
        <a:xfrm>
          <a:off x="4921251" y="5786438"/>
          <a:ext cx="952498" cy="954663"/>
        </a:xfrm>
        <a:prstGeom prst="ellipse">
          <a:avLst/>
        </a:prstGeom>
        <a:gradFill rotWithShape="1">
          <a:gsLst>
            <a:gs pos="0">
              <a:srgbClr val="F79646">
                <a:shade val="51000"/>
                <a:satMod val="130000"/>
              </a:srgbClr>
            </a:gs>
            <a:gs pos="80000">
              <a:srgbClr val="F79646">
                <a:shade val="93000"/>
                <a:satMod val="130000"/>
              </a:srgbClr>
            </a:gs>
            <a:gs pos="100000">
              <a:srgbClr val="F79646">
                <a:shade val="94000"/>
                <a:satMod val="135000"/>
              </a:srgbClr>
            </a:gs>
          </a:gsLst>
          <a:lin ang="16200000" scaled="0"/>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ysClr val="windowText" lastClr="000000"/>
              </a:solidFill>
              <a:effectLst/>
              <a:uLnTx/>
              <a:uFillTx/>
              <a:latin typeface="Calibri" panose="020F0502020204030204"/>
              <a:ea typeface="+mn-ea"/>
              <a:cs typeface="+mn-cs"/>
            </a:rPr>
            <a:t>ER-</a:t>
          </a:r>
          <a:r>
            <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rPr>
            <a:t>3</a:t>
          </a:r>
        </a:p>
      </xdr:txBody>
    </xdr:sp>
    <xdr:clientData/>
  </xdr:twoCellAnchor>
  <xdr:twoCellAnchor>
    <xdr:from>
      <xdr:col>6</xdr:col>
      <xdr:colOff>809626</xdr:colOff>
      <xdr:row>12</xdr:row>
      <xdr:rowOff>785813</xdr:rowOff>
    </xdr:from>
    <xdr:to>
      <xdr:col>6</xdr:col>
      <xdr:colOff>1833506</xdr:colOff>
      <xdr:row>14</xdr:row>
      <xdr:rowOff>261937</xdr:rowOff>
    </xdr:to>
    <xdr:sp macro="" textlink="">
      <xdr:nvSpPr>
        <xdr:cNvPr id="87" name="Овал 86">
          <a:extLst>
            <a:ext uri="{FF2B5EF4-FFF2-40B4-BE49-F238E27FC236}">
              <a16:creationId xmlns:a16="http://schemas.microsoft.com/office/drawing/2014/main" xmlns="" id="{00000000-0008-0000-0400-000057000000}"/>
            </a:ext>
          </a:extLst>
        </xdr:cNvPr>
        <xdr:cNvSpPr>
          <a:spLocks noChangeAspect="1"/>
        </xdr:cNvSpPr>
      </xdr:nvSpPr>
      <xdr:spPr>
        <a:xfrm>
          <a:off x="11572876" y="10620376"/>
          <a:ext cx="1023880" cy="1071561"/>
        </a:xfrm>
        <a:prstGeom prst="ellipse">
          <a:avLst/>
        </a:prstGeom>
        <a:gradFill rotWithShape="1">
          <a:gsLst>
            <a:gs pos="0">
              <a:srgbClr val="F79646">
                <a:shade val="51000"/>
                <a:satMod val="130000"/>
              </a:srgbClr>
            </a:gs>
            <a:gs pos="80000">
              <a:srgbClr val="F79646">
                <a:shade val="93000"/>
                <a:satMod val="130000"/>
              </a:srgbClr>
            </a:gs>
            <a:gs pos="100000">
              <a:srgbClr val="F79646">
                <a:shade val="94000"/>
                <a:satMod val="135000"/>
              </a:srgbClr>
            </a:gs>
          </a:gsLst>
          <a:lin ang="16200000" scaled="0"/>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ysClr val="windowText" lastClr="000000"/>
              </a:solidFill>
              <a:effectLst/>
              <a:uLnTx/>
              <a:uFillTx/>
              <a:latin typeface="Calibri" panose="020F0502020204030204"/>
              <a:ea typeface="+mn-ea"/>
              <a:cs typeface="+mn-cs"/>
            </a:rPr>
            <a:t>OR-6</a:t>
          </a:r>
          <a:endPar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4</xdr:col>
      <xdr:colOff>1000125</xdr:colOff>
      <xdr:row>8</xdr:row>
      <xdr:rowOff>642938</xdr:rowOff>
    </xdr:from>
    <xdr:to>
      <xdr:col>4</xdr:col>
      <xdr:colOff>1990125</xdr:colOff>
      <xdr:row>9</xdr:row>
      <xdr:rowOff>764862</xdr:rowOff>
    </xdr:to>
    <xdr:sp macro="" textlink="">
      <xdr:nvSpPr>
        <xdr:cNvPr id="88" name="Овал 87">
          <a:extLst>
            <a:ext uri="{FF2B5EF4-FFF2-40B4-BE49-F238E27FC236}">
              <a16:creationId xmlns:a16="http://schemas.microsoft.com/office/drawing/2014/main" xmlns="" id="{00000000-0008-0000-0400-000058000000}"/>
            </a:ext>
          </a:extLst>
        </xdr:cNvPr>
        <xdr:cNvSpPr>
          <a:spLocks noChangeAspect="1"/>
        </xdr:cNvSpPr>
      </xdr:nvSpPr>
      <xdr:spPr>
        <a:xfrm>
          <a:off x="5524500" y="8405813"/>
          <a:ext cx="990000" cy="955362"/>
        </a:xfrm>
        <a:prstGeom prst="ellipse">
          <a:avLst/>
        </a:prstGeom>
        <a:gradFill rotWithShape="1">
          <a:gsLst>
            <a:gs pos="0">
              <a:srgbClr val="F79646">
                <a:shade val="51000"/>
                <a:satMod val="130000"/>
              </a:srgbClr>
            </a:gs>
            <a:gs pos="80000">
              <a:srgbClr val="F79646">
                <a:shade val="93000"/>
                <a:satMod val="130000"/>
              </a:srgbClr>
            </a:gs>
            <a:gs pos="100000">
              <a:srgbClr val="F79646">
                <a:shade val="94000"/>
                <a:satMod val="135000"/>
              </a:srgbClr>
            </a:gs>
          </a:gsLst>
          <a:lin ang="16200000" scaled="0"/>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rPr>
            <a:t>С</a:t>
          </a:r>
          <a:r>
            <a:rPr kumimoji="0" lang="en-US" sz="1600" b="1" i="0" u="none" strike="noStrike" kern="0" cap="none" spc="0" normalizeH="0" baseline="0" noProof="0">
              <a:ln>
                <a:noFill/>
              </a:ln>
              <a:solidFill>
                <a:sysClr val="windowText" lastClr="000000"/>
              </a:solidFill>
              <a:effectLst/>
              <a:uLnTx/>
              <a:uFillTx/>
              <a:latin typeface="Calibri" panose="020F0502020204030204"/>
              <a:ea typeface="+mn-ea"/>
              <a:cs typeface="+mn-cs"/>
            </a:rPr>
            <a:t>CR</a:t>
          </a:r>
          <a:r>
            <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rPr>
            <a:t>-</a:t>
          </a:r>
          <a:r>
            <a:rPr kumimoji="0" lang="en-US" sz="1600" b="1" i="0" u="none" strike="noStrike" kern="0" cap="none" spc="0" normalizeH="0" baseline="0" noProof="0">
              <a:ln>
                <a:noFill/>
              </a:ln>
              <a:solidFill>
                <a:sysClr val="windowText" lastClr="000000"/>
              </a:solidFill>
              <a:effectLst/>
              <a:uLnTx/>
              <a:uFillTx/>
              <a:latin typeface="Calibri" panose="020F0502020204030204"/>
              <a:ea typeface="+mn-ea"/>
              <a:cs typeface="+mn-cs"/>
            </a:rPr>
            <a:t>5</a:t>
          </a:r>
          <a:endPar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6</xdr:col>
      <xdr:colOff>1881189</xdr:colOff>
      <xdr:row>9</xdr:row>
      <xdr:rowOff>208147</xdr:rowOff>
    </xdr:from>
    <xdr:to>
      <xdr:col>6</xdr:col>
      <xdr:colOff>2853054</xdr:colOff>
      <xdr:row>10</xdr:row>
      <xdr:rowOff>452437</xdr:rowOff>
    </xdr:to>
    <xdr:sp macro="" textlink="">
      <xdr:nvSpPr>
        <xdr:cNvPr id="90" name="Овал 89">
          <a:extLst>
            <a:ext uri="{FF2B5EF4-FFF2-40B4-BE49-F238E27FC236}">
              <a16:creationId xmlns:a16="http://schemas.microsoft.com/office/drawing/2014/main" xmlns="" id="{00000000-0008-0000-0400-00005A000000}"/>
            </a:ext>
          </a:extLst>
        </xdr:cNvPr>
        <xdr:cNvSpPr>
          <a:spLocks noChangeAspect="1"/>
        </xdr:cNvSpPr>
      </xdr:nvSpPr>
      <xdr:spPr>
        <a:xfrm>
          <a:off x="12644439" y="7542397"/>
          <a:ext cx="971865" cy="1030103"/>
        </a:xfrm>
        <a:prstGeom prst="ellipse">
          <a:avLst/>
        </a:prstGeom>
        <a:gradFill flip="none" rotWithShape="1">
          <a:gsLst>
            <a:gs pos="0">
              <a:srgbClr val="FF0000">
                <a:shade val="30000"/>
                <a:satMod val="115000"/>
              </a:srgbClr>
            </a:gs>
            <a:gs pos="50000">
              <a:srgbClr val="FF0000">
                <a:shade val="67500"/>
                <a:satMod val="115000"/>
              </a:srgbClr>
            </a:gs>
            <a:gs pos="100000">
              <a:srgbClr val="FF0000">
                <a:shade val="100000"/>
                <a:satMod val="115000"/>
              </a:srgbClr>
            </a:gs>
          </a:gsLst>
          <a:lin ang="16200000" scaled="1"/>
          <a:tileRect/>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ysClr val="windowText" lastClr="000000"/>
              </a:solidFill>
              <a:effectLst/>
              <a:uLnTx/>
              <a:uFillTx/>
              <a:latin typeface="Calibri" panose="020F0502020204030204"/>
              <a:ea typeface="+mn-ea"/>
              <a:cs typeface="+mn-cs"/>
            </a:rPr>
            <a:t>CCR-</a:t>
          </a:r>
          <a:r>
            <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rPr>
            <a:t>9</a:t>
          </a:r>
        </a:p>
      </xdr:txBody>
    </xdr:sp>
    <xdr:clientData/>
  </xdr:twoCellAnchor>
  <xdr:twoCellAnchor>
    <xdr:from>
      <xdr:col>6</xdr:col>
      <xdr:colOff>2151063</xdr:colOff>
      <xdr:row>15</xdr:row>
      <xdr:rowOff>857250</xdr:rowOff>
    </xdr:from>
    <xdr:to>
      <xdr:col>6</xdr:col>
      <xdr:colOff>3112263</xdr:colOff>
      <xdr:row>17</xdr:row>
      <xdr:rowOff>2350</xdr:rowOff>
    </xdr:to>
    <xdr:sp macro="" textlink="">
      <xdr:nvSpPr>
        <xdr:cNvPr id="92" name="Овал 91">
          <a:extLst>
            <a:ext uri="{FF2B5EF4-FFF2-40B4-BE49-F238E27FC236}">
              <a16:creationId xmlns:a16="http://schemas.microsoft.com/office/drawing/2014/main" xmlns="" id="{00000000-0008-0000-0400-00005C000000}"/>
            </a:ext>
          </a:extLst>
        </xdr:cNvPr>
        <xdr:cNvSpPr>
          <a:spLocks noChangeAspect="1"/>
        </xdr:cNvSpPr>
      </xdr:nvSpPr>
      <xdr:spPr>
        <a:xfrm>
          <a:off x="12961938" y="13525500"/>
          <a:ext cx="961200" cy="954850"/>
        </a:xfrm>
        <a:prstGeom prst="ellipse">
          <a:avLst/>
        </a:prstGeom>
        <a:gradFill rotWithShape="1">
          <a:gsLst>
            <a:gs pos="0">
              <a:srgbClr val="F79646">
                <a:shade val="51000"/>
                <a:satMod val="130000"/>
              </a:srgbClr>
            </a:gs>
            <a:gs pos="80000">
              <a:srgbClr val="F79646">
                <a:shade val="93000"/>
                <a:satMod val="130000"/>
              </a:srgbClr>
            </a:gs>
            <a:gs pos="100000">
              <a:srgbClr val="F79646">
                <a:shade val="94000"/>
                <a:satMod val="135000"/>
              </a:srgbClr>
            </a:gs>
          </a:gsLst>
          <a:lin ang="16200000" scaled="0"/>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ysClr val="windowText" lastClr="000000"/>
              </a:solidFill>
              <a:effectLst/>
              <a:uLnTx/>
              <a:uFillTx/>
              <a:latin typeface="Calibri" panose="020F0502020204030204"/>
              <a:ea typeface="+mn-ea"/>
              <a:cs typeface="+mn-cs"/>
            </a:rPr>
            <a:t>CTR</a:t>
          </a:r>
          <a:r>
            <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rPr>
            <a:t>-</a:t>
          </a:r>
          <a:r>
            <a:rPr kumimoji="0" lang="en-US" sz="1600" b="1" i="0" u="none" strike="noStrike" kern="0" cap="none" spc="0" normalizeH="0" baseline="0" noProof="0">
              <a:ln>
                <a:noFill/>
              </a:ln>
              <a:solidFill>
                <a:sysClr val="windowText" lastClr="000000"/>
              </a:solidFill>
              <a:effectLst/>
              <a:uLnTx/>
              <a:uFillTx/>
              <a:latin typeface="Calibri" panose="020F0502020204030204"/>
              <a:ea typeface="+mn-ea"/>
              <a:cs typeface="+mn-cs"/>
            </a:rPr>
            <a:t>6</a:t>
          </a:r>
          <a:endPar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5</xdr:col>
      <xdr:colOff>1042864</xdr:colOff>
      <xdr:row>11</xdr:row>
      <xdr:rowOff>50068</xdr:rowOff>
    </xdr:from>
    <xdr:to>
      <xdr:col>5</xdr:col>
      <xdr:colOff>2004064</xdr:colOff>
      <xdr:row>12</xdr:row>
      <xdr:rowOff>85633</xdr:rowOff>
    </xdr:to>
    <xdr:sp macro="" textlink="">
      <xdr:nvSpPr>
        <xdr:cNvPr id="93" name="Овал 92">
          <a:extLst>
            <a:ext uri="{FF2B5EF4-FFF2-40B4-BE49-F238E27FC236}">
              <a16:creationId xmlns:a16="http://schemas.microsoft.com/office/drawing/2014/main" xmlns="" id="{00000000-0008-0000-0400-00005D000000}"/>
            </a:ext>
          </a:extLst>
        </xdr:cNvPr>
        <xdr:cNvSpPr>
          <a:spLocks noChangeAspect="1"/>
        </xdr:cNvSpPr>
      </xdr:nvSpPr>
      <xdr:spPr>
        <a:xfrm>
          <a:off x="8686677" y="9003568"/>
          <a:ext cx="961200" cy="916628"/>
        </a:xfrm>
        <a:prstGeom prst="ellipse">
          <a:avLst/>
        </a:prstGeom>
        <a:gradFill rotWithShape="1">
          <a:gsLst>
            <a:gs pos="0">
              <a:srgbClr val="F79646">
                <a:shade val="51000"/>
                <a:satMod val="130000"/>
              </a:srgbClr>
            </a:gs>
            <a:gs pos="80000">
              <a:srgbClr val="F79646">
                <a:shade val="93000"/>
                <a:satMod val="130000"/>
              </a:srgbClr>
            </a:gs>
            <a:gs pos="100000">
              <a:srgbClr val="F79646">
                <a:shade val="94000"/>
                <a:satMod val="135000"/>
              </a:srgbClr>
            </a:gs>
          </a:gsLst>
          <a:lin ang="16200000" scaled="0"/>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a:ln>
                <a:noFill/>
              </a:ln>
              <a:solidFill>
                <a:sysClr val="windowText" lastClr="000000"/>
              </a:solidFill>
              <a:effectLst/>
              <a:uLnTx/>
              <a:uFillTx/>
              <a:latin typeface="Calibri" panose="020F0502020204030204"/>
              <a:ea typeface="+mn-ea"/>
              <a:cs typeface="+mn-cs"/>
            </a:rPr>
            <a:t>PTR-2</a:t>
          </a:r>
          <a:endParaRPr kumimoji="0" lang="ru-RU" sz="1600" b="1" i="0" u="none" strike="noStrike" kern="0" cap="none" spc="0" normalizeH="0" baseline="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5</xdr:col>
      <xdr:colOff>1265672</xdr:colOff>
      <xdr:row>16</xdr:row>
      <xdr:rowOff>318221</xdr:rowOff>
    </xdr:from>
    <xdr:to>
      <xdr:col>5</xdr:col>
      <xdr:colOff>2263609</xdr:colOff>
      <xdr:row>17</xdr:row>
      <xdr:rowOff>410560</xdr:rowOff>
    </xdr:to>
    <xdr:sp macro="" textlink="">
      <xdr:nvSpPr>
        <xdr:cNvPr id="94" name="Овал 93">
          <a:extLst>
            <a:ext uri="{FF2B5EF4-FFF2-40B4-BE49-F238E27FC236}">
              <a16:creationId xmlns:a16="http://schemas.microsoft.com/office/drawing/2014/main" xmlns="" id="{00000000-0008-0000-0400-00005E000000}"/>
            </a:ext>
          </a:extLst>
        </xdr:cNvPr>
        <xdr:cNvSpPr>
          <a:spLocks noChangeAspect="1"/>
        </xdr:cNvSpPr>
      </xdr:nvSpPr>
      <xdr:spPr>
        <a:xfrm>
          <a:off x="8920308" y="13462721"/>
          <a:ext cx="997937" cy="1010203"/>
        </a:xfrm>
        <a:prstGeom prst="ellipse">
          <a:avLst/>
        </a:prstGeom>
        <a:gradFill rotWithShape="1">
          <a:gsLst>
            <a:gs pos="0">
              <a:srgbClr val="F79646">
                <a:shade val="51000"/>
                <a:satMod val="130000"/>
              </a:srgbClr>
            </a:gs>
            <a:gs pos="80000">
              <a:srgbClr val="F79646">
                <a:shade val="93000"/>
                <a:satMod val="130000"/>
              </a:srgbClr>
            </a:gs>
            <a:gs pos="100000">
              <a:srgbClr val="F79646">
                <a:shade val="94000"/>
                <a:satMod val="135000"/>
              </a:srgbClr>
            </a:gs>
          </a:gsLst>
          <a:lin ang="16200000" scaled="0"/>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ysClr val="windowText" lastClr="000000"/>
              </a:solidFill>
              <a:effectLst/>
              <a:uLnTx/>
              <a:uFillTx/>
              <a:latin typeface="Calibri" panose="020F0502020204030204"/>
              <a:ea typeface="+mn-ea"/>
              <a:cs typeface="+mn-cs"/>
            </a:rPr>
            <a:t>OR-10</a:t>
          </a:r>
          <a:endPar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6</xdr:col>
      <xdr:colOff>335539</xdr:colOff>
      <xdr:row>11</xdr:row>
      <xdr:rowOff>134651</xdr:rowOff>
    </xdr:from>
    <xdr:to>
      <xdr:col>6</xdr:col>
      <xdr:colOff>1336066</xdr:colOff>
      <xdr:row>12</xdr:row>
      <xdr:rowOff>263071</xdr:rowOff>
    </xdr:to>
    <xdr:sp macro="" textlink="">
      <xdr:nvSpPr>
        <xdr:cNvPr id="97" name="Овал 96">
          <a:extLst>
            <a:ext uri="{FF2B5EF4-FFF2-40B4-BE49-F238E27FC236}">
              <a16:creationId xmlns:a16="http://schemas.microsoft.com/office/drawing/2014/main" xmlns="" id="{00000000-0008-0000-0400-000061000000}"/>
            </a:ext>
          </a:extLst>
        </xdr:cNvPr>
        <xdr:cNvSpPr>
          <a:spLocks noChangeAspect="1"/>
        </xdr:cNvSpPr>
      </xdr:nvSpPr>
      <xdr:spPr>
        <a:xfrm>
          <a:off x="11098789" y="9088151"/>
          <a:ext cx="1000527" cy="1009483"/>
        </a:xfrm>
        <a:prstGeom prst="ellipse">
          <a:avLst/>
        </a:prstGeom>
        <a:gradFill rotWithShape="1">
          <a:gsLst>
            <a:gs pos="0">
              <a:srgbClr val="F79646">
                <a:shade val="51000"/>
                <a:satMod val="130000"/>
              </a:srgbClr>
            </a:gs>
            <a:gs pos="80000">
              <a:srgbClr val="F79646">
                <a:shade val="93000"/>
                <a:satMod val="130000"/>
              </a:srgbClr>
            </a:gs>
            <a:gs pos="100000">
              <a:srgbClr val="F79646">
                <a:shade val="94000"/>
                <a:satMod val="135000"/>
              </a:srgbClr>
            </a:gs>
          </a:gsLst>
          <a:lin ang="16200000" scaled="0"/>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ysClr val="windowText" lastClr="000000"/>
              </a:solidFill>
              <a:effectLst/>
              <a:uLnTx/>
              <a:uFillTx/>
              <a:latin typeface="Calibri" panose="020F0502020204030204"/>
              <a:ea typeface="+mn-ea"/>
              <a:cs typeface="+mn-cs"/>
            </a:rPr>
            <a:t>CCR</a:t>
          </a:r>
          <a:r>
            <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rPr>
            <a:t>-</a:t>
          </a:r>
          <a:r>
            <a:rPr kumimoji="0" lang="en-US" sz="1600" b="1" i="0" u="none" strike="noStrike" kern="0" cap="none" spc="0" normalizeH="0" baseline="0" noProof="0">
              <a:ln>
                <a:noFill/>
              </a:ln>
              <a:solidFill>
                <a:sysClr val="windowText" lastClr="000000"/>
              </a:solidFill>
              <a:effectLst/>
              <a:uLnTx/>
              <a:uFillTx/>
              <a:latin typeface="Calibri" panose="020F0502020204030204"/>
              <a:ea typeface="+mn-ea"/>
              <a:cs typeface="+mn-cs"/>
            </a:rPr>
            <a:t>2</a:t>
          </a:r>
          <a:endPar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4</xdr:col>
      <xdr:colOff>3000376</xdr:colOff>
      <xdr:row>8</xdr:row>
      <xdr:rowOff>333376</xdr:rowOff>
    </xdr:from>
    <xdr:to>
      <xdr:col>5</xdr:col>
      <xdr:colOff>870938</xdr:colOff>
      <xdr:row>9</xdr:row>
      <xdr:rowOff>455300</xdr:rowOff>
    </xdr:to>
    <xdr:sp macro="" textlink="">
      <xdr:nvSpPr>
        <xdr:cNvPr id="99" name="Овал 98">
          <a:extLst>
            <a:ext uri="{FF2B5EF4-FFF2-40B4-BE49-F238E27FC236}">
              <a16:creationId xmlns:a16="http://schemas.microsoft.com/office/drawing/2014/main" xmlns="" id="{00000000-0008-0000-0400-000063000000}"/>
            </a:ext>
          </a:extLst>
        </xdr:cNvPr>
        <xdr:cNvSpPr>
          <a:spLocks noChangeAspect="1"/>
        </xdr:cNvSpPr>
      </xdr:nvSpPr>
      <xdr:spPr>
        <a:xfrm>
          <a:off x="7524751" y="8096251"/>
          <a:ext cx="990000" cy="955362"/>
        </a:xfrm>
        <a:prstGeom prst="ellipse">
          <a:avLst/>
        </a:prstGeom>
        <a:gradFill rotWithShape="1">
          <a:gsLst>
            <a:gs pos="0">
              <a:srgbClr val="F79646">
                <a:shade val="51000"/>
                <a:satMod val="130000"/>
              </a:srgbClr>
            </a:gs>
            <a:gs pos="80000">
              <a:srgbClr val="F79646">
                <a:shade val="93000"/>
                <a:satMod val="130000"/>
              </a:srgbClr>
            </a:gs>
            <a:gs pos="100000">
              <a:srgbClr val="F79646">
                <a:shade val="94000"/>
                <a:satMod val="135000"/>
              </a:srgbClr>
            </a:gs>
          </a:gsLst>
          <a:lin ang="16200000" scaled="0"/>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rPr>
            <a:t>С</a:t>
          </a:r>
          <a:r>
            <a:rPr kumimoji="0" lang="en-US" sz="1600" b="1" i="0" u="none" strike="noStrike" kern="0" cap="none" spc="0" normalizeH="0" baseline="0" noProof="0">
              <a:ln>
                <a:noFill/>
              </a:ln>
              <a:solidFill>
                <a:sysClr val="windowText" lastClr="000000"/>
              </a:solidFill>
              <a:effectLst/>
              <a:uLnTx/>
              <a:uFillTx/>
              <a:latin typeface="Calibri" panose="020F0502020204030204"/>
              <a:ea typeface="+mn-ea"/>
              <a:cs typeface="+mn-cs"/>
            </a:rPr>
            <a:t>CR</a:t>
          </a:r>
          <a:r>
            <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rPr>
            <a:t>-</a:t>
          </a:r>
          <a:r>
            <a:rPr kumimoji="0" lang="en-US" sz="1600" b="1" i="0" u="none" strike="noStrike" kern="0" cap="none" spc="0" normalizeH="0" baseline="0" noProof="0">
              <a:ln>
                <a:noFill/>
              </a:ln>
              <a:solidFill>
                <a:sysClr val="windowText" lastClr="000000"/>
              </a:solidFill>
              <a:effectLst/>
              <a:uLnTx/>
              <a:uFillTx/>
              <a:latin typeface="Calibri" panose="020F0502020204030204"/>
              <a:ea typeface="+mn-ea"/>
              <a:cs typeface="+mn-cs"/>
            </a:rPr>
            <a:t>3</a:t>
          </a:r>
          <a:endPar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5</xdr:col>
      <xdr:colOff>966787</xdr:colOff>
      <xdr:row>8</xdr:row>
      <xdr:rowOff>385762</xdr:rowOff>
    </xdr:from>
    <xdr:to>
      <xdr:col>5</xdr:col>
      <xdr:colOff>1927987</xdr:colOff>
      <xdr:row>9</xdr:row>
      <xdr:rowOff>508762</xdr:rowOff>
    </xdr:to>
    <xdr:sp macro="" textlink="">
      <xdr:nvSpPr>
        <xdr:cNvPr id="101" name="Овал 100">
          <a:extLst>
            <a:ext uri="{FF2B5EF4-FFF2-40B4-BE49-F238E27FC236}">
              <a16:creationId xmlns:a16="http://schemas.microsoft.com/office/drawing/2014/main" xmlns="" id="{00000000-0008-0000-0400-000065000000}"/>
            </a:ext>
          </a:extLst>
        </xdr:cNvPr>
        <xdr:cNvSpPr>
          <a:spLocks noChangeAspect="1"/>
        </xdr:cNvSpPr>
      </xdr:nvSpPr>
      <xdr:spPr>
        <a:xfrm>
          <a:off x="8610600" y="7315200"/>
          <a:ext cx="961200" cy="956437"/>
        </a:xfrm>
        <a:prstGeom prst="ellipse">
          <a:avLst/>
        </a:prstGeom>
        <a:gradFill rotWithShape="1">
          <a:gsLst>
            <a:gs pos="0">
              <a:srgbClr val="F79646">
                <a:shade val="51000"/>
                <a:satMod val="130000"/>
              </a:srgbClr>
            </a:gs>
            <a:gs pos="80000">
              <a:srgbClr val="F79646">
                <a:shade val="93000"/>
                <a:satMod val="130000"/>
              </a:srgbClr>
            </a:gs>
            <a:gs pos="100000">
              <a:srgbClr val="F79646">
                <a:shade val="94000"/>
                <a:satMod val="135000"/>
              </a:srgbClr>
            </a:gs>
          </a:gsLst>
          <a:lin ang="16200000" scaled="0"/>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ysClr val="windowText" lastClr="000000"/>
              </a:solidFill>
              <a:effectLst/>
              <a:uLnTx/>
              <a:uFillTx/>
              <a:latin typeface="Calibri" panose="020F0502020204030204"/>
              <a:ea typeface="+mn-ea"/>
              <a:cs typeface="+mn-cs"/>
            </a:rPr>
            <a:t>CCR</a:t>
          </a:r>
          <a:r>
            <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rPr>
            <a:t>-4</a:t>
          </a:r>
        </a:p>
      </xdr:txBody>
    </xdr:sp>
    <xdr:clientData/>
  </xdr:twoCellAnchor>
  <xdr:twoCellAnchor>
    <xdr:from>
      <xdr:col>7</xdr:col>
      <xdr:colOff>1757590</xdr:colOff>
      <xdr:row>12</xdr:row>
      <xdr:rowOff>11339</xdr:rowOff>
    </xdr:from>
    <xdr:to>
      <xdr:col>7</xdr:col>
      <xdr:colOff>2720281</xdr:colOff>
      <xdr:row>13</xdr:row>
      <xdr:rowOff>214312</xdr:rowOff>
    </xdr:to>
    <xdr:sp macro="" textlink="">
      <xdr:nvSpPr>
        <xdr:cNvPr id="84" name="Овал 83">
          <a:extLst>
            <a:ext uri="{FF2B5EF4-FFF2-40B4-BE49-F238E27FC236}">
              <a16:creationId xmlns:a16="http://schemas.microsoft.com/office/drawing/2014/main" xmlns="" id="{00000000-0008-0000-0400-000054000000}"/>
            </a:ext>
          </a:extLst>
        </xdr:cNvPr>
        <xdr:cNvSpPr>
          <a:spLocks noChangeAspect="1"/>
        </xdr:cNvSpPr>
      </xdr:nvSpPr>
      <xdr:spPr>
        <a:xfrm>
          <a:off x="15640278" y="9845902"/>
          <a:ext cx="962691" cy="1012598"/>
        </a:xfrm>
        <a:prstGeom prst="ellipse">
          <a:avLst/>
        </a:prstGeom>
        <a:gradFill flip="none" rotWithShape="1">
          <a:gsLst>
            <a:gs pos="0">
              <a:srgbClr val="FF0000">
                <a:shade val="30000"/>
                <a:satMod val="115000"/>
              </a:srgbClr>
            </a:gs>
            <a:gs pos="50000">
              <a:srgbClr val="FF0000">
                <a:shade val="67500"/>
                <a:satMod val="115000"/>
              </a:srgbClr>
            </a:gs>
            <a:gs pos="100000">
              <a:srgbClr val="FF0000">
                <a:shade val="100000"/>
                <a:satMod val="115000"/>
              </a:srgbClr>
            </a:gs>
          </a:gsLst>
          <a:lin ang="16200000" scaled="1"/>
          <a:tileRect/>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ysClr val="windowText" lastClr="000000"/>
              </a:solidFill>
              <a:effectLst/>
              <a:uLnTx/>
              <a:uFillTx/>
              <a:latin typeface="Calibri" panose="020F0502020204030204"/>
              <a:ea typeface="+mn-ea"/>
              <a:cs typeface="+mn-cs"/>
            </a:rPr>
            <a:t>STR-</a:t>
          </a:r>
          <a:r>
            <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rPr>
            <a:t>2</a:t>
          </a:r>
        </a:p>
      </xdr:txBody>
    </xdr:sp>
    <xdr:clientData/>
  </xdr:twoCellAnchor>
  <xdr:twoCellAnchor>
    <xdr:from>
      <xdr:col>4</xdr:col>
      <xdr:colOff>1500187</xdr:colOff>
      <xdr:row>23</xdr:row>
      <xdr:rowOff>380999</xdr:rowOff>
    </xdr:from>
    <xdr:to>
      <xdr:col>4</xdr:col>
      <xdr:colOff>2461387</xdr:colOff>
      <xdr:row>24</xdr:row>
      <xdr:rowOff>415100</xdr:rowOff>
    </xdr:to>
    <xdr:sp macro="" textlink="">
      <xdr:nvSpPr>
        <xdr:cNvPr id="89" name="Овал 88">
          <a:extLst>
            <a:ext uri="{FF2B5EF4-FFF2-40B4-BE49-F238E27FC236}">
              <a16:creationId xmlns:a16="http://schemas.microsoft.com/office/drawing/2014/main" xmlns="" id="{00000000-0008-0000-0400-000059000000}"/>
            </a:ext>
          </a:extLst>
        </xdr:cNvPr>
        <xdr:cNvSpPr>
          <a:spLocks noChangeAspect="1"/>
        </xdr:cNvSpPr>
      </xdr:nvSpPr>
      <xdr:spPr>
        <a:xfrm>
          <a:off x="6024562" y="20788312"/>
          <a:ext cx="961200" cy="962788"/>
        </a:xfrm>
        <a:prstGeom prst="ellipse">
          <a:avLst/>
        </a:prstGeom>
        <a:gradFill rotWithShape="1">
          <a:gsLst>
            <a:gs pos="0">
              <a:srgbClr val="9BBB59">
                <a:shade val="51000"/>
                <a:satMod val="130000"/>
              </a:srgbClr>
            </a:gs>
            <a:gs pos="80000">
              <a:srgbClr val="9BBB59">
                <a:shade val="93000"/>
                <a:satMod val="130000"/>
              </a:srgbClr>
            </a:gs>
            <a:gs pos="100000">
              <a:srgbClr val="9BBB59">
                <a:shade val="94000"/>
                <a:satMod val="135000"/>
              </a:srgbClr>
            </a:gs>
          </a:gsLst>
          <a:lin ang="16200000" scaled="0"/>
        </a:gradFill>
        <a:ln w="9525" cap="flat" cmpd="sng" algn="ctr">
          <a:solidFill>
            <a:srgbClr val="9BBB59">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ysClr val="windowText" lastClr="000000"/>
              </a:solidFill>
              <a:effectLst/>
              <a:uLnTx/>
              <a:uFillTx/>
              <a:latin typeface="Calibri" panose="020F0502020204030204"/>
              <a:ea typeface="+mn-ea"/>
              <a:cs typeface="+mn-cs"/>
            </a:rPr>
            <a:t>CTR</a:t>
          </a:r>
          <a:r>
            <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rPr>
            <a:t>-9</a:t>
          </a:r>
        </a:p>
      </xdr:txBody>
    </xdr:sp>
    <xdr:clientData/>
  </xdr:twoCellAnchor>
  <xdr:twoCellAnchor>
    <xdr:from>
      <xdr:col>4</xdr:col>
      <xdr:colOff>1857375</xdr:colOff>
      <xdr:row>19</xdr:row>
      <xdr:rowOff>635000</xdr:rowOff>
    </xdr:from>
    <xdr:to>
      <xdr:col>4</xdr:col>
      <xdr:colOff>2817812</xdr:colOff>
      <xdr:row>20</xdr:row>
      <xdr:rowOff>414442</xdr:rowOff>
    </xdr:to>
    <xdr:sp macro="" textlink="">
      <xdr:nvSpPr>
        <xdr:cNvPr id="103" name="Овал 102">
          <a:extLst>
            <a:ext uri="{FF2B5EF4-FFF2-40B4-BE49-F238E27FC236}">
              <a16:creationId xmlns:a16="http://schemas.microsoft.com/office/drawing/2014/main" xmlns="" id="{00000000-0008-0000-0400-000067000000}"/>
            </a:ext>
          </a:extLst>
        </xdr:cNvPr>
        <xdr:cNvSpPr>
          <a:spLocks noChangeAspect="1"/>
        </xdr:cNvSpPr>
      </xdr:nvSpPr>
      <xdr:spPr>
        <a:xfrm>
          <a:off x="6381750" y="16779875"/>
          <a:ext cx="960437" cy="993880"/>
        </a:xfrm>
        <a:prstGeom prst="ellipse">
          <a:avLst/>
        </a:prstGeom>
        <a:gradFill flip="none" rotWithShape="1">
          <a:gsLst>
            <a:gs pos="0">
              <a:srgbClr val="FFFF00">
                <a:shade val="30000"/>
                <a:satMod val="115000"/>
              </a:srgbClr>
            </a:gs>
            <a:gs pos="50000">
              <a:srgbClr val="FFFF00">
                <a:shade val="67500"/>
                <a:satMod val="115000"/>
              </a:srgbClr>
            </a:gs>
            <a:gs pos="100000">
              <a:srgbClr val="FFFF00">
                <a:shade val="100000"/>
                <a:satMod val="115000"/>
              </a:srgbClr>
            </a:gs>
          </a:gsLst>
          <a:lin ang="16200000" scaled="1"/>
          <a:tileRect/>
        </a:gradFill>
      </xdr:spPr>
      <xdr:style>
        <a:lnRef idx="1">
          <a:schemeClr val="accent3"/>
        </a:lnRef>
        <a:fillRef idx="3">
          <a:schemeClr val="accent3"/>
        </a:fillRef>
        <a:effectRef idx="2">
          <a:schemeClr val="accent3"/>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600" b="1" noProof="0">
              <a:solidFill>
                <a:schemeClr val="tx1"/>
              </a:solidFill>
              <a:latin typeface="+mn-lt"/>
              <a:ea typeface="+mn-ea"/>
              <a:cs typeface="+mn-cs"/>
            </a:rPr>
            <a:t>CTR-</a:t>
          </a:r>
          <a:r>
            <a:rPr lang="ru-RU" sz="1600" b="1" noProof="0">
              <a:solidFill>
                <a:schemeClr val="tx1"/>
              </a:solidFill>
              <a:latin typeface="+mn-lt"/>
              <a:ea typeface="+mn-ea"/>
              <a:cs typeface="+mn-cs"/>
            </a:rPr>
            <a:t>3</a:t>
          </a:r>
        </a:p>
      </xdr:txBody>
    </xdr:sp>
    <xdr:clientData/>
  </xdr:twoCellAnchor>
  <xdr:twoCellAnchor>
    <xdr:from>
      <xdr:col>5</xdr:col>
      <xdr:colOff>1222375</xdr:colOff>
      <xdr:row>23</xdr:row>
      <xdr:rowOff>603250</xdr:rowOff>
    </xdr:from>
    <xdr:to>
      <xdr:col>5</xdr:col>
      <xdr:colOff>2183575</xdr:colOff>
      <xdr:row>24</xdr:row>
      <xdr:rowOff>602425</xdr:rowOff>
    </xdr:to>
    <xdr:sp macro="" textlink="">
      <xdr:nvSpPr>
        <xdr:cNvPr id="104" name="Овал 103">
          <a:extLst>
            <a:ext uri="{FF2B5EF4-FFF2-40B4-BE49-F238E27FC236}">
              <a16:creationId xmlns:a16="http://schemas.microsoft.com/office/drawing/2014/main" xmlns="" id="{00000000-0008-0000-0400-000068000000}"/>
            </a:ext>
          </a:extLst>
        </xdr:cNvPr>
        <xdr:cNvSpPr>
          <a:spLocks noChangeAspect="1"/>
        </xdr:cNvSpPr>
      </xdr:nvSpPr>
      <xdr:spPr>
        <a:xfrm>
          <a:off x="8905875" y="21383625"/>
          <a:ext cx="961200" cy="935800"/>
        </a:xfrm>
        <a:prstGeom prst="ellipse">
          <a:avLst/>
        </a:prstGeom>
        <a:gradFill flip="none" rotWithShape="1">
          <a:gsLst>
            <a:gs pos="0">
              <a:srgbClr val="FFFF00">
                <a:shade val="30000"/>
                <a:satMod val="115000"/>
              </a:srgbClr>
            </a:gs>
            <a:gs pos="50000">
              <a:srgbClr val="FFFF00">
                <a:shade val="67500"/>
                <a:satMod val="115000"/>
              </a:srgbClr>
            </a:gs>
            <a:gs pos="100000">
              <a:srgbClr val="FFFF00">
                <a:shade val="100000"/>
                <a:satMod val="115000"/>
              </a:srgbClr>
            </a:gs>
          </a:gsLst>
          <a:lin ang="16200000" scaled="1"/>
          <a:tileRect/>
        </a:gradFill>
      </xdr:spPr>
      <xdr:style>
        <a:lnRef idx="1">
          <a:schemeClr val="accent3"/>
        </a:lnRef>
        <a:fillRef idx="3">
          <a:schemeClr val="accent3"/>
        </a:fillRef>
        <a:effectRef idx="2">
          <a:schemeClr val="accent3"/>
        </a:effectRef>
        <a:fontRef idx="minor">
          <a:schemeClr val="lt1"/>
        </a:fontRef>
      </xdr:style>
      <xdr:txBody>
        <a:bodyPr vertOverflow="clip" horzOverflow="clip" rtlCol="0" anchor="ctr"/>
        <a:lstStyle/>
        <a:p>
          <a:pPr algn="ctr"/>
          <a:r>
            <a:rPr lang="en-US" sz="1600" b="1">
              <a:solidFill>
                <a:schemeClr val="tx1"/>
              </a:solidFill>
            </a:rPr>
            <a:t>CTR-</a:t>
          </a:r>
          <a:r>
            <a:rPr lang="ru-RU" sz="1600" b="1">
              <a:solidFill>
                <a:schemeClr val="tx1"/>
              </a:solidFill>
            </a:rPr>
            <a:t>8</a:t>
          </a:r>
          <a:endParaRPr lang="ru-RU" sz="1050" b="1">
            <a:solidFill>
              <a:schemeClr val="tx1"/>
            </a:solidFill>
          </a:endParaRPr>
        </a:p>
      </xdr:txBody>
    </xdr:sp>
    <xdr:clientData/>
  </xdr:twoCellAnchor>
  <xdr:twoCellAnchor>
    <xdr:from>
      <xdr:col>5</xdr:col>
      <xdr:colOff>2111374</xdr:colOff>
      <xdr:row>10</xdr:row>
      <xdr:rowOff>793751</xdr:rowOff>
    </xdr:from>
    <xdr:to>
      <xdr:col>5</xdr:col>
      <xdr:colOff>3072574</xdr:colOff>
      <xdr:row>12</xdr:row>
      <xdr:rowOff>763</xdr:rowOff>
    </xdr:to>
    <xdr:sp macro="" textlink="">
      <xdr:nvSpPr>
        <xdr:cNvPr id="105" name="Овал 104">
          <a:extLst>
            <a:ext uri="{FF2B5EF4-FFF2-40B4-BE49-F238E27FC236}">
              <a16:creationId xmlns:a16="http://schemas.microsoft.com/office/drawing/2014/main" xmlns="" id="{00000000-0008-0000-0400-000069000000}"/>
            </a:ext>
          </a:extLst>
        </xdr:cNvPr>
        <xdr:cNvSpPr>
          <a:spLocks noChangeAspect="1"/>
        </xdr:cNvSpPr>
      </xdr:nvSpPr>
      <xdr:spPr>
        <a:xfrm>
          <a:off x="9755187" y="8913814"/>
          <a:ext cx="961200" cy="921512"/>
        </a:xfrm>
        <a:prstGeom prst="ellipse">
          <a:avLst/>
        </a:prstGeom>
        <a:gradFill rotWithShape="1">
          <a:gsLst>
            <a:gs pos="0">
              <a:srgbClr val="F79646">
                <a:shade val="51000"/>
                <a:satMod val="130000"/>
              </a:srgbClr>
            </a:gs>
            <a:gs pos="80000">
              <a:srgbClr val="F79646">
                <a:shade val="93000"/>
                <a:satMod val="130000"/>
              </a:srgbClr>
            </a:gs>
            <a:gs pos="100000">
              <a:srgbClr val="F79646">
                <a:shade val="94000"/>
                <a:satMod val="135000"/>
              </a:srgbClr>
            </a:gs>
          </a:gsLst>
          <a:lin ang="16200000" scaled="0"/>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a:ln>
                <a:noFill/>
              </a:ln>
              <a:solidFill>
                <a:sysClr val="windowText" lastClr="000000"/>
              </a:solidFill>
              <a:effectLst/>
              <a:uLnTx/>
              <a:uFillTx/>
              <a:latin typeface="Calibri" panose="020F0502020204030204"/>
              <a:ea typeface="+mn-ea"/>
              <a:cs typeface="+mn-cs"/>
            </a:rPr>
            <a:t>PTR-1</a:t>
          </a:r>
          <a:endParaRPr kumimoji="0" lang="ru-RU" sz="1600" b="1" i="0" u="none" strike="noStrike" kern="0" cap="none" spc="0" normalizeH="0" baseline="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4</xdr:col>
      <xdr:colOff>381000</xdr:colOff>
      <xdr:row>10</xdr:row>
      <xdr:rowOff>158750</xdr:rowOff>
    </xdr:from>
    <xdr:to>
      <xdr:col>4</xdr:col>
      <xdr:colOff>1342200</xdr:colOff>
      <xdr:row>11</xdr:row>
      <xdr:rowOff>262700</xdr:rowOff>
    </xdr:to>
    <xdr:sp macro="" textlink="">
      <xdr:nvSpPr>
        <xdr:cNvPr id="106" name="Овал 105">
          <a:extLst>
            <a:ext uri="{FF2B5EF4-FFF2-40B4-BE49-F238E27FC236}">
              <a16:creationId xmlns:a16="http://schemas.microsoft.com/office/drawing/2014/main" xmlns="" id="{00000000-0008-0000-0400-00006A000000}"/>
            </a:ext>
          </a:extLst>
        </xdr:cNvPr>
        <xdr:cNvSpPr>
          <a:spLocks noChangeAspect="1"/>
        </xdr:cNvSpPr>
      </xdr:nvSpPr>
      <xdr:spPr>
        <a:xfrm>
          <a:off x="4905375" y="8278813"/>
          <a:ext cx="961200" cy="937387"/>
        </a:xfrm>
        <a:prstGeom prst="ellipse">
          <a:avLst/>
        </a:prstGeom>
        <a:gradFill rotWithShape="1">
          <a:gsLst>
            <a:gs pos="0">
              <a:srgbClr val="F79646">
                <a:shade val="51000"/>
                <a:satMod val="130000"/>
              </a:srgbClr>
            </a:gs>
            <a:gs pos="80000">
              <a:srgbClr val="F79646">
                <a:shade val="93000"/>
                <a:satMod val="130000"/>
              </a:srgbClr>
            </a:gs>
            <a:gs pos="100000">
              <a:srgbClr val="F79646">
                <a:shade val="94000"/>
                <a:satMod val="135000"/>
              </a:srgbClr>
            </a:gs>
          </a:gsLst>
          <a:lin ang="16200000" scaled="0"/>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ysClr val="windowText" lastClr="000000"/>
              </a:solidFill>
              <a:effectLst/>
              <a:uLnTx/>
              <a:uFillTx/>
              <a:latin typeface="Calibri" panose="020F0502020204030204"/>
              <a:ea typeface="+mn-ea"/>
              <a:cs typeface="+mn-cs"/>
            </a:rPr>
            <a:t>STR-1</a:t>
          </a:r>
          <a:endPar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7</xdr:col>
      <xdr:colOff>2174875</xdr:colOff>
      <xdr:row>24</xdr:row>
      <xdr:rowOff>841375</xdr:rowOff>
    </xdr:from>
    <xdr:to>
      <xdr:col>8</xdr:col>
      <xdr:colOff>8700</xdr:colOff>
      <xdr:row>25</xdr:row>
      <xdr:rowOff>888175</xdr:rowOff>
    </xdr:to>
    <xdr:sp macro="" textlink="">
      <xdr:nvSpPr>
        <xdr:cNvPr id="107" name="Овал 106">
          <a:extLst>
            <a:ext uri="{FF2B5EF4-FFF2-40B4-BE49-F238E27FC236}">
              <a16:creationId xmlns:a16="http://schemas.microsoft.com/office/drawing/2014/main" xmlns="" id="{00000000-0008-0000-0400-00006B000000}"/>
            </a:ext>
          </a:extLst>
        </xdr:cNvPr>
        <xdr:cNvSpPr>
          <a:spLocks noChangeAspect="1"/>
        </xdr:cNvSpPr>
      </xdr:nvSpPr>
      <xdr:spPr>
        <a:xfrm>
          <a:off x="16113125" y="22558375"/>
          <a:ext cx="961200" cy="935800"/>
        </a:xfrm>
        <a:prstGeom prst="ellipse">
          <a:avLst/>
        </a:prstGeom>
        <a:gradFill flip="none" rotWithShape="1">
          <a:gsLst>
            <a:gs pos="0">
              <a:srgbClr val="FFFF00">
                <a:shade val="30000"/>
                <a:satMod val="115000"/>
              </a:srgbClr>
            </a:gs>
            <a:gs pos="50000">
              <a:srgbClr val="FFFF00">
                <a:shade val="67500"/>
                <a:satMod val="115000"/>
              </a:srgbClr>
            </a:gs>
            <a:gs pos="100000">
              <a:srgbClr val="FFFF00">
                <a:shade val="100000"/>
                <a:satMod val="115000"/>
              </a:srgbClr>
            </a:gs>
          </a:gsLst>
          <a:lin ang="16200000" scaled="1"/>
          <a:tileRect/>
        </a:gradFill>
      </xdr:spPr>
      <xdr:style>
        <a:lnRef idx="1">
          <a:schemeClr val="accent3"/>
        </a:lnRef>
        <a:fillRef idx="3">
          <a:schemeClr val="accent3"/>
        </a:fillRef>
        <a:effectRef idx="2">
          <a:schemeClr val="accent3"/>
        </a:effectRef>
        <a:fontRef idx="minor">
          <a:schemeClr val="lt1"/>
        </a:fontRef>
      </xdr:style>
      <xdr:txBody>
        <a:bodyPr vertOverflow="clip" horzOverflow="clip" rtlCol="0" anchor="ctr"/>
        <a:lstStyle/>
        <a:p>
          <a:pPr algn="ctr"/>
          <a:r>
            <a:rPr lang="en-US" sz="1600" b="1">
              <a:solidFill>
                <a:schemeClr val="tx1"/>
              </a:solidFill>
            </a:rPr>
            <a:t>OR-6</a:t>
          </a:r>
          <a:endParaRPr lang="ru-RU" sz="1050" b="1">
            <a:solidFill>
              <a:schemeClr val="tx1"/>
            </a:solidFill>
          </a:endParaRPr>
        </a:p>
      </xdr:txBody>
    </xdr:sp>
    <xdr:clientData/>
  </xdr:twoCellAnchor>
  <xdr:twoCellAnchor>
    <xdr:from>
      <xdr:col>5</xdr:col>
      <xdr:colOff>15875</xdr:colOff>
      <xdr:row>24</xdr:row>
      <xdr:rowOff>460375</xdr:rowOff>
    </xdr:from>
    <xdr:to>
      <xdr:col>5</xdr:col>
      <xdr:colOff>977075</xdr:colOff>
      <xdr:row>25</xdr:row>
      <xdr:rowOff>507175</xdr:rowOff>
    </xdr:to>
    <xdr:sp macro="" textlink="">
      <xdr:nvSpPr>
        <xdr:cNvPr id="108" name="Овал 107">
          <a:extLst>
            <a:ext uri="{FF2B5EF4-FFF2-40B4-BE49-F238E27FC236}">
              <a16:creationId xmlns:a16="http://schemas.microsoft.com/office/drawing/2014/main" xmlns="" id="{00000000-0008-0000-0400-00006C000000}"/>
            </a:ext>
          </a:extLst>
        </xdr:cNvPr>
        <xdr:cNvSpPr>
          <a:spLocks noChangeAspect="1"/>
        </xdr:cNvSpPr>
      </xdr:nvSpPr>
      <xdr:spPr>
        <a:xfrm>
          <a:off x="7699375" y="22177375"/>
          <a:ext cx="961200" cy="935800"/>
        </a:xfrm>
        <a:prstGeom prst="ellipse">
          <a:avLst/>
        </a:prstGeom>
        <a:gradFill flip="none" rotWithShape="1">
          <a:gsLst>
            <a:gs pos="0">
              <a:srgbClr val="FFFF00">
                <a:shade val="30000"/>
                <a:satMod val="115000"/>
              </a:srgbClr>
            </a:gs>
            <a:gs pos="50000">
              <a:srgbClr val="FFFF00">
                <a:shade val="67500"/>
                <a:satMod val="115000"/>
              </a:srgbClr>
            </a:gs>
            <a:gs pos="100000">
              <a:srgbClr val="FFFF00">
                <a:shade val="100000"/>
                <a:satMod val="115000"/>
              </a:srgbClr>
            </a:gs>
          </a:gsLst>
          <a:lin ang="16200000" scaled="1"/>
          <a:tileRect/>
        </a:gradFill>
      </xdr:spPr>
      <xdr:style>
        <a:lnRef idx="1">
          <a:schemeClr val="accent3"/>
        </a:lnRef>
        <a:fillRef idx="3">
          <a:schemeClr val="accent3"/>
        </a:fillRef>
        <a:effectRef idx="2">
          <a:schemeClr val="accent3"/>
        </a:effectRef>
        <a:fontRef idx="minor">
          <a:schemeClr val="lt1"/>
        </a:fontRef>
      </xdr:style>
      <xdr:txBody>
        <a:bodyPr vertOverflow="clip" horzOverflow="clip" rtlCol="0" anchor="ctr"/>
        <a:lstStyle/>
        <a:p>
          <a:pPr algn="ctr"/>
          <a:r>
            <a:rPr lang="en-US" sz="1600" b="1">
              <a:solidFill>
                <a:schemeClr val="tx1"/>
              </a:solidFill>
            </a:rPr>
            <a:t>OR-8</a:t>
          </a:r>
          <a:endParaRPr lang="ru-RU" sz="1050" b="1">
            <a:solidFill>
              <a:schemeClr val="tx1"/>
            </a:solidFill>
          </a:endParaRPr>
        </a:p>
      </xdr:txBody>
    </xdr:sp>
    <xdr:clientData/>
  </xdr:twoCellAnchor>
  <xdr:twoCellAnchor>
    <xdr:from>
      <xdr:col>6</xdr:col>
      <xdr:colOff>1833563</xdr:colOff>
      <xdr:row>14</xdr:row>
      <xdr:rowOff>428625</xdr:rowOff>
    </xdr:from>
    <xdr:to>
      <xdr:col>6</xdr:col>
      <xdr:colOff>2760952</xdr:colOff>
      <xdr:row>15</xdr:row>
      <xdr:rowOff>549853</xdr:rowOff>
    </xdr:to>
    <xdr:sp macro="" textlink="">
      <xdr:nvSpPr>
        <xdr:cNvPr id="109" name="Овал 108">
          <a:extLst>
            <a:ext uri="{FF2B5EF4-FFF2-40B4-BE49-F238E27FC236}">
              <a16:creationId xmlns:a16="http://schemas.microsoft.com/office/drawing/2014/main" xmlns="" id="{00000000-0008-0000-0400-00006D000000}"/>
            </a:ext>
          </a:extLst>
        </xdr:cNvPr>
        <xdr:cNvSpPr>
          <a:spLocks noChangeAspect="1"/>
        </xdr:cNvSpPr>
      </xdr:nvSpPr>
      <xdr:spPr>
        <a:xfrm>
          <a:off x="12596813" y="12287250"/>
          <a:ext cx="927389" cy="930853"/>
        </a:xfrm>
        <a:prstGeom prst="ellipse">
          <a:avLst/>
        </a:prstGeom>
        <a:gradFill rotWithShape="1">
          <a:gsLst>
            <a:gs pos="0">
              <a:srgbClr val="F79646">
                <a:shade val="51000"/>
                <a:satMod val="130000"/>
              </a:srgbClr>
            </a:gs>
            <a:gs pos="80000">
              <a:srgbClr val="F79646">
                <a:shade val="93000"/>
                <a:satMod val="130000"/>
              </a:srgbClr>
            </a:gs>
            <a:gs pos="100000">
              <a:srgbClr val="F79646">
                <a:shade val="94000"/>
                <a:satMod val="135000"/>
              </a:srgbClr>
            </a:gs>
          </a:gsLst>
          <a:lin ang="16200000" scaled="0"/>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ysClr val="windowText" lastClr="000000"/>
              </a:solidFill>
              <a:effectLst/>
              <a:uLnTx/>
              <a:uFillTx/>
              <a:latin typeface="Calibri" panose="020F0502020204030204"/>
              <a:ea typeface="+mn-ea"/>
              <a:cs typeface="+mn-cs"/>
            </a:rPr>
            <a:t>RP</a:t>
          </a:r>
          <a:r>
            <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rPr>
            <a:t>-</a:t>
          </a:r>
          <a:r>
            <a:rPr kumimoji="0" lang="en-US" sz="1600" b="1" i="0" u="none" strike="noStrike" kern="0" cap="none" spc="0" normalizeH="0" baseline="0" noProof="0">
              <a:ln>
                <a:noFill/>
              </a:ln>
              <a:solidFill>
                <a:sysClr val="windowText" lastClr="000000"/>
              </a:solidFill>
              <a:effectLst/>
              <a:uLnTx/>
              <a:uFillTx/>
              <a:latin typeface="Calibri" panose="020F0502020204030204"/>
              <a:ea typeface="+mn-ea"/>
              <a:cs typeface="+mn-cs"/>
            </a:rPr>
            <a:t>1</a:t>
          </a:r>
          <a:endPar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5</xdr:col>
      <xdr:colOff>785812</xdr:colOff>
      <xdr:row>7</xdr:row>
      <xdr:rowOff>47625</xdr:rowOff>
    </xdr:from>
    <xdr:to>
      <xdr:col>5</xdr:col>
      <xdr:colOff>1775812</xdr:colOff>
      <xdr:row>8</xdr:row>
      <xdr:rowOff>169548</xdr:rowOff>
    </xdr:to>
    <xdr:sp macro="" textlink="">
      <xdr:nvSpPr>
        <xdr:cNvPr id="111" name="Овал 110">
          <a:extLst>
            <a:ext uri="{FF2B5EF4-FFF2-40B4-BE49-F238E27FC236}">
              <a16:creationId xmlns:a16="http://schemas.microsoft.com/office/drawing/2014/main" xmlns="" id="{00000000-0008-0000-0400-00006F000000}"/>
            </a:ext>
          </a:extLst>
        </xdr:cNvPr>
        <xdr:cNvSpPr>
          <a:spLocks noChangeAspect="1"/>
        </xdr:cNvSpPr>
      </xdr:nvSpPr>
      <xdr:spPr>
        <a:xfrm>
          <a:off x="8429625" y="6143625"/>
          <a:ext cx="990000" cy="955361"/>
        </a:xfrm>
        <a:prstGeom prst="ellipse">
          <a:avLst/>
        </a:prstGeom>
        <a:gradFill rotWithShape="1">
          <a:gsLst>
            <a:gs pos="0">
              <a:srgbClr val="F79646">
                <a:shade val="51000"/>
                <a:satMod val="130000"/>
              </a:srgbClr>
            </a:gs>
            <a:gs pos="80000">
              <a:srgbClr val="F79646">
                <a:shade val="93000"/>
                <a:satMod val="130000"/>
              </a:srgbClr>
            </a:gs>
            <a:gs pos="100000">
              <a:srgbClr val="F79646">
                <a:shade val="94000"/>
                <a:satMod val="135000"/>
              </a:srgbClr>
            </a:gs>
          </a:gsLst>
          <a:lin ang="16200000" scaled="0"/>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rPr>
            <a:t>С</a:t>
          </a:r>
          <a:r>
            <a:rPr kumimoji="0" lang="en-US" sz="1600" b="1" i="0" u="none" strike="noStrike" kern="0" cap="none" spc="0" normalizeH="0" baseline="0" noProof="0">
              <a:ln>
                <a:noFill/>
              </a:ln>
              <a:solidFill>
                <a:sysClr val="windowText" lastClr="000000"/>
              </a:solidFill>
              <a:effectLst/>
              <a:uLnTx/>
              <a:uFillTx/>
              <a:latin typeface="Calibri" panose="020F0502020204030204"/>
              <a:ea typeface="+mn-ea"/>
              <a:cs typeface="+mn-cs"/>
            </a:rPr>
            <a:t>LR</a:t>
          </a:r>
          <a:r>
            <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rPr>
            <a:t>-1</a:t>
          </a:r>
        </a:p>
      </xdr:txBody>
    </xdr:sp>
    <xdr:clientData/>
  </xdr:twoCellAnchor>
  <xdr:twoCellAnchor>
    <xdr:from>
      <xdr:col>5</xdr:col>
      <xdr:colOff>1181100</xdr:colOff>
      <xdr:row>13</xdr:row>
      <xdr:rowOff>266700</xdr:rowOff>
    </xdr:from>
    <xdr:to>
      <xdr:col>5</xdr:col>
      <xdr:colOff>2142300</xdr:colOff>
      <xdr:row>14</xdr:row>
      <xdr:rowOff>432563</xdr:rowOff>
    </xdr:to>
    <xdr:sp macro="" textlink="">
      <xdr:nvSpPr>
        <xdr:cNvPr id="72" name="Овал 71">
          <a:extLst>
            <a:ext uri="{FF2B5EF4-FFF2-40B4-BE49-F238E27FC236}">
              <a16:creationId xmlns:a16="http://schemas.microsoft.com/office/drawing/2014/main" xmlns="" id="{00000000-0008-0000-0400-000048000000}"/>
            </a:ext>
          </a:extLst>
        </xdr:cNvPr>
        <xdr:cNvSpPr>
          <a:spLocks noChangeAspect="1"/>
        </xdr:cNvSpPr>
      </xdr:nvSpPr>
      <xdr:spPr>
        <a:xfrm>
          <a:off x="8877300" y="10972800"/>
          <a:ext cx="961200" cy="946913"/>
        </a:xfrm>
        <a:prstGeom prst="ellipse">
          <a:avLst/>
        </a:prstGeom>
        <a:gradFill rotWithShape="1">
          <a:gsLst>
            <a:gs pos="0">
              <a:srgbClr val="F79646">
                <a:shade val="51000"/>
                <a:satMod val="130000"/>
              </a:srgbClr>
            </a:gs>
            <a:gs pos="80000">
              <a:srgbClr val="F79646">
                <a:shade val="93000"/>
                <a:satMod val="130000"/>
              </a:srgbClr>
            </a:gs>
            <a:gs pos="100000">
              <a:srgbClr val="F79646">
                <a:shade val="94000"/>
                <a:satMod val="135000"/>
              </a:srgbClr>
            </a:gs>
          </a:gsLst>
          <a:lin ang="16200000" scaled="0"/>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a:ln>
                <a:noFill/>
              </a:ln>
              <a:solidFill>
                <a:sysClr val="windowText" lastClr="000000"/>
              </a:solidFill>
              <a:effectLst/>
              <a:uLnTx/>
              <a:uFillTx/>
              <a:latin typeface="Calibri" panose="020F0502020204030204"/>
              <a:ea typeface="+mn-ea"/>
              <a:cs typeface="+mn-cs"/>
            </a:rPr>
            <a:t>IR-</a:t>
          </a:r>
          <a:r>
            <a:rPr kumimoji="0" lang="ru-RU" sz="1600" b="1" i="0" u="none" strike="noStrike" kern="0" cap="none" spc="0" normalizeH="0" baseline="0">
              <a:ln>
                <a:noFill/>
              </a:ln>
              <a:solidFill>
                <a:sysClr val="windowText" lastClr="000000"/>
              </a:solidFill>
              <a:effectLst/>
              <a:uLnTx/>
              <a:uFillTx/>
              <a:latin typeface="Calibri" panose="020F0502020204030204"/>
              <a:ea typeface="+mn-ea"/>
              <a:cs typeface="+mn-cs"/>
            </a:rPr>
            <a:t>2</a:t>
          </a:r>
        </a:p>
      </xdr:txBody>
    </xdr:sp>
    <xdr:clientData/>
  </xdr:twoCellAnchor>
  <xdr:twoCellAnchor>
    <xdr:from>
      <xdr:col>5</xdr:col>
      <xdr:colOff>0</xdr:colOff>
      <xdr:row>9</xdr:row>
      <xdr:rowOff>544286</xdr:rowOff>
    </xdr:from>
    <xdr:to>
      <xdr:col>5</xdr:col>
      <xdr:colOff>990000</xdr:colOff>
      <xdr:row>10</xdr:row>
      <xdr:rowOff>720640</xdr:rowOff>
    </xdr:to>
    <xdr:sp macro="" textlink="">
      <xdr:nvSpPr>
        <xdr:cNvPr id="81" name="Овал 80">
          <a:extLst>
            <a:ext uri="{FF2B5EF4-FFF2-40B4-BE49-F238E27FC236}">
              <a16:creationId xmlns:a16="http://schemas.microsoft.com/office/drawing/2014/main" xmlns="" id="{00000000-0008-0000-0400-000051000000}"/>
            </a:ext>
          </a:extLst>
        </xdr:cNvPr>
        <xdr:cNvSpPr>
          <a:spLocks noChangeAspect="1"/>
        </xdr:cNvSpPr>
      </xdr:nvSpPr>
      <xdr:spPr>
        <a:xfrm>
          <a:off x="7688036" y="7892143"/>
          <a:ext cx="990000" cy="965568"/>
        </a:xfrm>
        <a:prstGeom prst="ellipse">
          <a:avLst/>
        </a:prstGeom>
        <a:gradFill rotWithShape="1">
          <a:gsLst>
            <a:gs pos="0">
              <a:srgbClr val="F79646">
                <a:shade val="51000"/>
                <a:satMod val="130000"/>
              </a:srgbClr>
            </a:gs>
            <a:gs pos="80000">
              <a:srgbClr val="F79646">
                <a:shade val="93000"/>
                <a:satMod val="130000"/>
              </a:srgbClr>
            </a:gs>
            <a:gs pos="100000">
              <a:srgbClr val="F79646">
                <a:shade val="94000"/>
                <a:satMod val="135000"/>
              </a:srgbClr>
            </a:gs>
          </a:gsLst>
          <a:lin ang="16200000" scaled="0"/>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rPr>
            <a:t>С</a:t>
          </a:r>
          <a:r>
            <a:rPr kumimoji="0" lang="en-US" sz="1600" b="1" i="0" u="none" strike="noStrike" kern="0" cap="none" spc="0" normalizeH="0" baseline="0" noProof="0">
              <a:ln>
                <a:noFill/>
              </a:ln>
              <a:solidFill>
                <a:sysClr val="windowText" lastClr="000000"/>
              </a:solidFill>
              <a:effectLst/>
              <a:uLnTx/>
              <a:uFillTx/>
              <a:latin typeface="Calibri" panose="020F0502020204030204"/>
              <a:ea typeface="+mn-ea"/>
              <a:cs typeface="+mn-cs"/>
            </a:rPr>
            <a:t>R</a:t>
          </a:r>
          <a:r>
            <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rPr>
            <a:t>-3</a:t>
          </a:r>
        </a:p>
      </xdr:txBody>
    </xdr:sp>
    <xdr:clientData/>
  </xdr:twoCellAnchor>
  <xdr:twoCellAnchor>
    <xdr:from>
      <xdr:col>6</xdr:col>
      <xdr:colOff>1952626</xdr:colOff>
      <xdr:row>12</xdr:row>
      <xdr:rowOff>261936</xdr:rowOff>
    </xdr:from>
    <xdr:to>
      <xdr:col>6</xdr:col>
      <xdr:colOff>2976506</xdr:colOff>
      <xdr:row>13</xdr:row>
      <xdr:rowOff>523872</xdr:rowOff>
    </xdr:to>
    <xdr:sp macro="" textlink="">
      <xdr:nvSpPr>
        <xdr:cNvPr id="6" name="Овал 5">
          <a:extLst>
            <a:ext uri="{FF2B5EF4-FFF2-40B4-BE49-F238E27FC236}">
              <a16:creationId xmlns:a16="http://schemas.microsoft.com/office/drawing/2014/main" xmlns="" id="{00000000-0008-0000-0400-000006000000}"/>
            </a:ext>
          </a:extLst>
        </xdr:cNvPr>
        <xdr:cNvSpPr>
          <a:spLocks noChangeAspect="1"/>
        </xdr:cNvSpPr>
      </xdr:nvSpPr>
      <xdr:spPr>
        <a:xfrm>
          <a:off x="12715876" y="10096499"/>
          <a:ext cx="1023880" cy="1071561"/>
        </a:xfrm>
        <a:prstGeom prst="ellipse">
          <a:avLst/>
        </a:prstGeom>
        <a:gradFill rotWithShape="1">
          <a:gsLst>
            <a:gs pos="0">
              <a:srgbClr val="F79646">
                <a:shade val="51000"/>
                <a:satMod val="130000"/>
              </a:srgbClr>
            </a:gs>
            <a:gs pos="80000">
              <a:srgbClr val="F79646">
                <a:shade val="93000"/>
                <a:satMod val="130000"/>
              </a:srgbClr>
            </a:gs>
            <a:gs pos="100000">
              <a:srgbClr val="F79646">
                <a:shade val="94000"/>
                <a:satMod val="135000"/>
              </a:srgbClr>
            </a:gs>
          </a:gsLst>
          <a:lin ang="16200000" scaled="0"/>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ysClr val="windowText" lastClr="000000"/>
              </a:solidFill>
              <a:effectLst/>
              <a:uLnTx/>
              <a:uFillTx/>
              <a:latin typeface="Calibri" panose="020F0502020204030204"/>
              <a:ea typeface="+mn-ea"/>
              <a:cs typeface="+mn-cs"/>
            </a:rPr>
            <a:t>SR-3</a:t>
          </a:r>
          <a:endPar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3</xdr:col>
      <xdr:colOff>1381125</xdr:colOff>
      <xdr:row>24</xdr:row>
      <xdr:rowOff>1</xdr:rowOff>
    </xdr:from>
    <xdr:to>
      <xdr:col>3</xdr:col>
      <xdr:colOff>2405005</xdr:colOff>
      <xdr:row>25</xdr:row>
      <xdr:rowOff>166687</xdr:rowOff>
    </xdr:to>
    <xdr:sp macro="" textlink="">
      <xdr:nvSpPr>
        <xdr:cNvPr id="7" name="Овал 6">
          <a:extLst>
            <a:ext uri="{FF2B5EF4-FFF2-40B4-BE49-F238E27FC236}">
              <a16:creationId xmlns:a16="http://schemas.microsoft.com/office/drawing/2014/main" xmlns="" id="{00000000-0008-0000-0400-000007000000}"/>
            </a:ext>
          </a:extLst>
        </xdr:cNvPr>
        <xdr:cNvSpPr>
          <a:spLocks noChangeAspect="1"/>
        </xdr:cNvSpPr>
      </xdr:nvSpPr>
      <xdr:spPr>
        <a:xfrm>
          <a:off x="2786063" y="21336001"/>
          <a:ext cx="1023880" cy="1071561"/>
        </a:xfrm>
        <a:prstGeom prst="ellipse">
          <a:avLst/>
        </a:prstGeom>
        <a:gradFill rotWithShape="1">
          <a:gsLst>
            <a:gs pos="0">
              <a:srgbClr val="9BBB59">
                <a:shade val="51000"/>
                <a:satMod val="130000"/>
              </a:srgbClr>
            </a:gs>
            <a:gs pos="80000">
              <a:srgbClr val="9BBB59">
                <a:shade val="93000"/>
                <a:satMod val="130000"/>
              </a:srgbClr>
            </a:gs>
            <a:gs pos="100000">
              <a:srgbClr val="9BBB59">
                <a:shade val="94000"/>
                <a:satMod val="135000"/>
              </a:srgbClr>
            </a:gs>
          </a:gsLst>
          <a:lin ang="16200000" scaled="0"/>
        </a:gradFill>
        <a:ln w="9525" cap="flat" cmpd="sng" algn="ctr">
          <a:solidFill>
            <a:srgbClr val="9BBB59">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ysClr val="windowText" lastClr="000000"/>
              </a:solidFill>
              <a:effectLst/>
              <a:uLnTx/>
              <a:uFillTx/>
              <a:latin typeface="Calibri" panose="020F0502020204030204"/>
              <a:ea typeface="+mn-ea"/>
              <a:cs typeface="+mn-cs"/>
            </a:rPr>
            <a:t>SR-2</a:t>
          </a:r>
          <a:endPar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4</xdr:col>
      <xdr:colOff>2000250</xdr:colOff>
      <xdr:row>8</xdr:row>
      <xdr:rowOff>309562</xdr:rowOff>
    </xdr:from>
    <xdr:to>
      <xdr:col>4</xdr:col>
      <xdr:colOff>3024130</xdr:colOff>
      <xdr:row>9</xdr:row>
      <xdr:rowOff>547686</xdr:rowOff>
    </xdr:to>
    <xdr:sp macro="" textlink="">
      <xdr:nvSpPr>
        <xdr:cNvPr id="8" name="Овал 7">
          <a:extLst>
            <a:ext uri="{FF2B5EF4-FFF2-40B4-BE49-F238E27FC236}">
              <a16:creationId xmlns:a16="http://schemas.microsoft.com/office/drawing/2014/main" xmlns="" id="{00000000-0008-0000-0400-000008000000}"/>
            </a:ext>
          </a:extLst>
        </xdr:cNvPr>
        <xdr:cNvSpPr>
          <a:spLocks noChangeAspect="1"/>
        </xdr:cNvSpPr>
      </xdr:nvSpPr>
      <xdr:spPr>
        <a:xfrm>
          <a:off x="6524625" y="6810375"/>
          <a:ext cx="1023880" cy="1071561"/>
        </a:xfrm>
        <a:prstGeom prst="ellipse">
          <a:avLst/>
        </a:prstGeom>
        <a:gradFill rotWithShape="1">
          <a:gsLst>
            <a:gs pos="0">
              <a:srgbClr val="F79646">
                <a:shade val="51000"/>
                <a:satMod val="130000"/>
              </a:srgbClr>
            </a:gs>
            <a:gs pos="80000">
              <a:srgbClr val="F79646">
                <a:shade val="93000"/>
                <a:satMod val="130000"/>
              </a:srgbClr>
            </a:gs>
            <a:gs pos="100000">
              <a:srgbClr val="F79646">
                <a:shade val="94000"/>
                <a:satMod val="135000"/>
              </a:srgbClr>
            </a:gs>
          </a:gsLst>
          <a:lin ang="16200000" scaled="0"/>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ysClr val="windowText" lastClr="000000"/>
              </a:solidFill>
              <a:effectLst/>
              <a:uLnTx/>
              <a:uFillTx/>
              <a:latin typeface="Calibri" panose="020F0502020204030204"/>
              <a:ea typeface="+mn-ea"/>
              <a:cs typeface="+mn-cs"/>
            </a:rPr>
            <a:t>SR-1</a:t>
          </a:r>
          <a:endPar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4</xdr:col>
      <xdr:colOff>2928938</xdr:colOff>
      <xdr:row>7</xdr:row>
      <xdr:rowOff>0</xdr:rowOff>
    </xdr:from>
    <xdr:to>
      <xdr:col>5</xdr:col>
      <xdr:colOff>789975</xdr:colOff>
      <xdr:row>8</xdr:row>
      <xdr:rowOff>184004</xdr:rowOff>
    </xdr:to>
    <xdr:sp macro="" textlink="">
      <xdr:nvSpPr>
        <xdr:cNvPr id="9" name="Овал 8">
          <a:extLst>
            <a:ext uri="{FF2B5EF4-FFF2-40B4-BE49-F238E27FC236}">
              <a16:creationId xmlns:a16="http://schemas.microsoft.com/office/drawing/2014/main" xmlns="" id="{00000000-0008-0000-0400-000009000000}"/>
            </a:ext>
          </a:extLst>
        </xdr:cNvPr>
        <xdr:cNvSpPr>
          <a:spLocks noChangeAspect="1"/>
        </xdr:cNvSpPr>
      </xdr:nvSpPr>
      <xdr:spPr>
        <a:xfrm>
          <a:off x="7453313" y="5667375"/>
          <a:ext cx="980475" cy="1017442"/>
        </a:xfrm>
        <a:prstGeom prst="ellipse">
          <a:avLst/>
        </a:prstGeom>
        <a:gradFill rotWithShape="1">
          <a:gsLst>
            <a:gs pos="0">
              <a:srgbClr val="F79646">
                <a:shade val="51000"/>
                <a:satMod val="130000"/>
              </a:srgbClr>
            </a:gs>
            <a:gs pos="80000">
              <a:srgbClr val="F79646">
                <a:shade val="93000"/>
                <a:satMod val="130000"/>
              </a:srgbClr>
            </a:gs>
            <a:gs pos="100000">
              <a:srgbClr val="F79646">
                <a:shade val="94000"/>
                <a:satMod val="135000"/>
              </a:srgbClr>
            </a:gs>
          </a:gsLst>
          <a:lin ang="16200000" scaled="0"/>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ysClr val="windowText" lastClr="000000"/>
              </a:solidFill>
              <a:effectLst/>
              <a:uLnTx/>
              <a:uFillTx/>
              <a:latin typeface="Calibri" panose="020F0502020204030204"/>
              <a:ea typeface="+mn-ea"/>
              <a:cs typeface="+mn-cs"/>
            </a:rPr>
            <a:t>IRR</a:t>
          </a:r>
          <a:r>
            <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rPr>
            <a:t>-1</a:t>
          </a:r>
        </a:p>
      </xdr:txBody>
    </xdr:sp>
    <xdr:clientData/>
  </xdr:twoCellAnchor>
  <xdr:twoCellAnchor>
    <xdr:from>
      <xdr:col>6</xdr:col>
      <xdr:colOff>966107</xdr:colOff>
      <xdr:row>8</xdr:row>
      <xdr:rowOff>231321</xdr:rowOff>
    </xdr:from>
    <xdr:to>
      <xdr:col>6</xdr:col>
      <xdr:colOff>1956107</xdr:colOff>
      <xdr:row>9</xdr:row>
      <xdr:rowOff>390047</xdr:rowOff>
    </xdr:to>
    <xdr:sp macro="" textlink="">
      <xdr:nvSpPr>
        <xdr:cNvPr id="19" name="Овал 18">
          <a:extLst>
            <a:ext uri="{FF2B5EF4-FFF2-40B4-BE49-F238E27FC236}">
              <a16:creationId xmlns:a16="http://schemas.microsoft.com/office/drawing/2014/main" xmlns="" id="{00000000-0008-0000-0400-000013000000}"/>
            </a:ext>
          </a:extLst>
        </xdr:cNvPr>
        <xdr:cNvSpPr>
          <a:spLocks noChangeAspect="1"/>
        </xdr:cNvSpPr>
      </xdr:nvSpPr>
      <xdr:spPr>
        <a:xfrm>
          <a:off x="11783786" y="6735535"/>
          <a:ext cx="990000" cy="1002369"/>
        </a:xfrm>
        <a:prstGeom prst="ellipse">
          <a:avLst/>
        </a:prstGeom>
        <a:gradFill flip="none" rotWithShape="1">
          <a:gsLst>
            <a:gs pos="0">
              <a:srgbClr val="FF0000">
                <a:shade val="30000"/>
                <a:satMod val="115000"/>
              </a:srgbClr>
            </a:gs>
            <a:gs pos="50000">
              <a:srgbClr val="FF0000">
                <a:shade val="67500"/>
                <a:satMod val="115000"/>
              </a:srgbClr>
            </a:gs>
            <a:gs pos="100000">
              <a:srgbClr val="FF0000">
                <a:shade val="100000"/>
                <a:satMod val="115000"/>
              </a:srgbClr>
            </a:gs>
          </a:gsLst>
          <a:lin ang="16200000" scaled="1"/>
          <a:tileRect/>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ysClr val="windowText" lastClr="000000"/>
              </a:solidFill>
              <a:effectLst/>
              <a:uLnTx/>
              <a:uFillTx/>
              <a:latin typeface="Calibri" panose="020F0502020204030204"/>
              <a:ea typeface="+mn-ea"/>
              <a:cs typeface="+mn-cs"/>
            </a:rPr>
            <a:t>MR-1</a:t>
          </a:r>
          <a:endPar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47624</xdr:colOff>
      <xdr:row>4</xdr:row>
      <xdr:rowOff>785812</xdr:rowOff>
    </xdr:from>
    <xdr:to>
      <xdr:col>4</xdr:col>
      <xdr:colOff>762000</xdr:colOff>
      <xdr:row>6</xdr:row>
      <xdr:rowOff>71438</xdr:rowOff>
    </xdr:to>
    <xdr:sp macro="" textlink="">
      <xdr:nvSpPr>
        <xdr:cNvPr id="2" name="Овал 14">
          <a:extLst>
            <a:ext uri="{FF2B5EF4-FFF2-40B4-BE49-F238E27FC236}">
              <a16:creationId xmlns:a16="http://schemas.microsoft.com/office/drawing/2014/main" xmlns="" id="{00000000-0008-0000-0600-000002000000}"/>
            </a:ext>
          </a:extLst>
        </xdr:cNvPr>
        <xdr:cNvSpPr>
          <a:spLocks noChangeAspect="1"/>
        </xdr:cNvSpPr>
      </xdr:nvSpPr>
      <xdr:spPr>
        <a:xfrm>
          <a:off x="4591049" y="4129087"/>
          <a:ext cx="714376" cy="714376"/>
        </a:xfrm>
        <a:prstGeom prst="ellipse">
          <a:avLst/>
        </a:prstGeom>
        <a:solidFill>
          <a:srgbClr val="FFC000"/>
        </a:solidFill>
        <a:ln>
          <a:solidFill>
            <a:srgbClr val="FFC000"/>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endParaRPr lang="ru-RU" sz="1400" b="1">
            <a:solidFill>
              <a:schemeClr val="tx1"/>
            </a:solidFill>
          </a:endParaRPr>
        </a:p>
      </xdr:txBody>
    </xdr:sp>
    <xdr:clientData/>
  </xdr:twoCellAnchor>
  <xdr:twoCellAnchor>
    <xdr:from>
      <xdr:col>5</xdr:col>
      <xdr:colOff>2928937</xdr:colOff>
      <xdr:row>5</xdr:row>
      <xdr:rowOff>23812</xdr:rowOff>
    </xdr:from>
    <xdr:to>
      <xdr:col>6</xdr:col>
      <xdr:colOff>476251</xdr:colOff>
      <xdr:row>6</xdr:row>
      <xdr:rowOff>95251</xdr:rowOff>
    </xdr:to>
    <xdr:sp macro="" textlink="">
      <xdr:nvSpPr>
        <xdr:cNvPr id="3" name="Овал 15">
          <a:extLst>
            <a:ext uri="{FF2B5EF4-FFF2-40B4-BE49-F238E27FC236}">
              <a16:creationId xmlns:a16="http://schemas.microsoft.com/office/drawing/2014/main" xmlns="" id="{00000000-0008-0000-0600-000003000000}"/>
            </a:ext>
          </a:extLst>
        </xdr:cNvPr>
        <xdr:cNvSpPr>
          <a:spLocks noChangeAspect="1"/>
        </xdr:cNvSpPr>
      </xdr:nvSpPr>
      <xdr:spPr>
        <a:xfrm>
          <a:off x="10825162" y="4195762"/>
          <a:ext cx="671514" cy="671514"/>
        </a:xfrm>
        <a:prstGeom prst="ellipse">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algn="ctr"/>
          <a:endParaRPr lang="ru-RU" sz="1400" b="1">
            <a:solidFill>
              <a:schemeClr val="tx1"/>
            </a:solidFill>
          </a:endParaRPr>
        </a:p>
      </xdr:txBody>
    </xdr:sp>
    <xdr:clientData/>
  </xdr:twoCellAnchor>
  <xdr:twoCellAnchor>
    <xdr:from>
      <xdr:col>5</xdr:col>
      <xdr:colOff>261937</xdr:colOff>
      <xdr:row>5</xdr:row>
      <xdr:rowOff>14721</xdr:rowOff>
    </xdr:from>
    <xdr:to>
      <xdr:col>5</xdr:col>
      <xdr:colOff>961591</xdr:colOff>
      <xdr:row>6</xdr:row>
      <xdr:rowOff>95250</xdr:rowOff>
    </xdr:to>
    <xdr:sp macro="" textlink="">
      <xdr:nvSpPr>
        <xdr:cNvPr id="4" name="Овал 17">
          <a:extLst>
            <a:ext uri="{FF2B5EF4-FFF2-40B4-BE49-F238E27FC236}">
              <a16:creationId xmlns:a16="http://schemas.microsoft.com/office/drawing/2014/main" xmlns="" id="{00000000-0008-0000-0600-000004000000}"/>
            </a:ext>
          </a:extLst>
        </xdr:cNvPr>
        <xdr:cNvSpPr>
          <a:spLocks noChangeAspect="1"/>
        </xdr:cNvSpPr>
      </xdr:nvSpPr>
      <xdr:spPr>
        <a:xfrm>
          <a:off x="8158162" y="4186671"/>
          <a:ext cx="699654" cy="680604"/>
        </a:xfrm>
        <a:prstGeom prst="ellipse">
          <a:avLst/>
        </a:prstGeom>
        <a:solidFill>
          <a:srgbClr val="FFFF00"/>
        </a:solidFill>
        <a:ln>
          <a:solidFill>
            <a:schemeClr val="accent4">
              <a:lumMod val="60000"/>
              <a:lumOff val="40000"/>
            </a:schemeClr>
          </a:solidFill>
        </a:ln>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algn="ctr"/>
          <a:endParaRPr lang="ru-RU" sz="1400" b="1">
            <a:solidFill>
              <a:schemeClr val="tx1"/>
            </a:solidFill>
          </a:endParaRPr>
        </a:p>
      </xdr:txBody>
    </xdr:sp>
    <xdr:clientData/>
  </xdr:twoCellAnchor>
  <xdr:twoCellAnchor>
    <xdr:from>
      <xdr:col>3</xdr:col>
      <xdr:colOff>238124</xdr:colOff>
      <xdr:row>5</xdr:row>
      <xdr:rowOff>23813</xdr:rowOff>
    </xdr:from>
    <xdr:to>
      <xdr:col>3</xdr:col>
      <xdr:colOff>904875</xdr:colOff>
      <xdr:row>6</xdr:row>
      <xdr:rowOff>71439</xdr:rowOff>
    </xdr:to>
    <xdr:sp macro="" textlink="">
      <xdr:nvSpPr>
        <xdr:cNvPr id="5" name="Овал 42">
          <a:extLst>
            <a:ext uri="{FF2B5EF4-FFF2-40B4-BE49-F238E27FC236}">
              <a16:creationId xmlns:a16="http://schemas.microsoft.com/office/drawing/2014/main" xmlns="" id="{00000000-0008-0000-0600-000005000000}"/>
            </a:ext>
          </a:extLst>
        </xdr:cNvPr>
        <xdr:cNvSpPr>
          <a:spLocks noChangeAspect="1"/>
        </xdr:cNvSpPr>
      </xdr:nvSpPr>
      <xdr:spPr>
        <a:xfrm>
          <a:off x="1657349" y="4195763"/>
          <a:ext cx="666751" cy="647701"/>
        </a:xfrm>
        <a:prstGeom prst="ellipse">
          <a:avLst/>
        </a:prstGeom>
        <a:solidFill>
          <a:srgbClr val="FF0000"/>
        </a:solidFill>
        <a:ln>
          <a:solidFill>
            <a:srgbClr val="FF0000"/>
          </a:solidFill>
        </a:ln>
      </xdr:spPr>
      <xdr:style>
        <a:lnRef idx="1">
          <a:schemeClr val="accent3"/>
        </a:lnRef>
        <a:fillRef idx="3">
          <a:schemeClr val="accent3"/>
        </a:fillRef>
        <a:effectRef idx="2">
          <a:schemeClr val="accent3"/>
        </a:effectRef>
        <a:fontRef idx="minor">
          <a:schemeClr val="lt1"/>
        </a:fontRef>
      </xdr:style>
      <xdr:txBody>
        <a:bodyPr vertOverflow="clip" horzOverflow="clip" rtlCol="0" anchor="ctr"/>
        <a:lstStyle/>
        <a:p>
          <a:pPr marL="0" indent="0" algn="ctr"/>
          <a:endParaRPr lang="ru-RU" sz="1400" b="1">
            <a:solidFill>
              <a:schemeClr val="tx1"/>
            </a:solidFill>
            <a:latin typeface="+mn-lt"/>
            <a:ea typeface="+mn-ea"/>
            <a:cs typeface="+mn-cs"/>
          </a:endParaRPr>
        </a:p>
      </xdr:txBody>
    </xdr:sp>
    <xdr:clientData/>
  </xdr:twoCellAnchor>
  <xdr:oneCellAnchor>
    <xdr:from>
      <xdr:col>12</xdr:col>
      <xdr:colOff>6691312</xdr:colOff>
      <xdr:row>0</xdr:row>
      <xdr:rowOff>95250</xdr:rowOff>
    </xdr:from>
    <xdr:ext cx="5295900" cy="1380700"/>
    <xdr:pic>
      <xdr:nvPicPr>
        <xdr:cNvPr id="7" name="Picture 2" descr="https://railways.kz/static/media/LogotipKTZH2.f99c52d2.png">
          <a:extLst>
            <a:ext uri="{FF2B5EF4-FFF2-40B4-BE49-F238E27FC236}">
              <a16:creationId xmlns:a16="http://schemas.microsoft.com/office/drawing/2014/main" xmlns="" id="{00000000-0008-0000-06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9956125" y="95250"/>
          <a:ext cx="5295900" cy="1380700"/>
        </a:xfrm>
        <a:prstGeom prst="rect">
          <a:avLst/>
        </a:prstGeom>
        <a:solidFill>
          <a:sysClr val="window" lastClr="FFFFFF"/>
        </a:solidFill>
      </xdr:spPr>
    </xdr:pic>
    <xdr:clientData/>
  </xdr:oneCellAnchor>
  <xdr:twoCellAnchor>
    <xdr:from>
      <xdr:col>8</xdr:col>
      <xdr:colOff>233045</xdr:colOff>
      <xdr:row>6</xdr:row>
      <xdr:rowOff>94758</xdr:rowOff>
    </xdr:from>
    <xdr:to>
      <xdr:col>8</xdr:col>
      <xdr:colOff>2508250</xdr:colOff>
      <xdr:row>9</xdr:row>
      <xdr:rowOff>277041</xdr:rowOff>
    </xdr:to>
    <xdr:sp macro="" textlink="$L$9">
      <xdr:nvSpPr>
        <xdr:cNvPr id="11" name="CTR-1">
          <a:extLst>
            <a:ext uri="{FF2B5EF4-FFF2-40B4-BE49-F238E27FC236}">
              <a16:creationId xmlns:a16="http://schemas.microsoft.com/office/drawing/2014/main" xmlns="" id="{00000000-0008-0000-0600-00000B000000}"/>
            </a:ext>
          </a:extLst>
        </xdr:cNvPr>
        <xdr:cNvSpPr>
          <a:spLocks noChangeAspect="1"/>
        </xdr:cNvSpPr>
      </xdr:nvSpPr>
      <xdr:spPr>
        <a:xfrm>
          <a:off x="18362295" y="4666758"/>
          <a:ext cx="2275205" cy="2150783"/>
        </a:xfrm>
        <a:prstGeom prst="ellipse">
          <a:avLst/>
        </a:prstGeom>
        <a:gradFill flip="none" rotWithShape="1">
          <a:gsLst>
            <a:gs pos="0">
              <a:srgbClr val="FF0000">
                <a:shade val="30000"/>
                <a:satMod val="115000"/>
              </a:srgbClr>
            </a:gs>
            <a:gs pos="50000">
              <a:srgbClr val="FF0000">
                <a:shade val="67500"/>
                <a:satMod val="115000"/>
              </a:srgbClr>
            </a:gs>
            <a:gs pos="100000">
              <a:srgbClr val="FF0000">
                <a:shade val="100000"/>
                <a:satMod val="115000"/>
              </a:srgbClr>
            </a:gs>
          </a:gsLst>
          <a:lin ang="16200000" scaled="1"/>
          <a:tileRect/>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8497FC6A-3906-4BF8-A026-EF2A410C5C8E}" type="TxLink">
            <a:rPr kumimoji="0" lang="en-US" sz="4400" b="1" i="0" u="none" strike="noStrike" kern="0" cap="none" spc="0" normalizeH="0" baseline="0" noProof="0">
              <a:ln>
                <a:noFill/>
              </a:ln>
              <a:solidFill>
                <a:srgbClr val="000000"/>
              </a:solidFill>
              <a:effectLst/>
              <a:uLnTx/>
              <a:uFillTx/>
              <a:latin typeface="Calibri" panose="020F0502020204030204" pitchFamily="34" charset="0"/>
              <a:ea typeface="+mn-ea"/>
              <a:cs typeface="Calibri" panose="020F0502020204030204" pitchFamily="34" charset="0"/>
            </a:rPr>
            <a:pPr marL="0" marR="0" lvl="0" indent="0" algn="ctr" defTabSz="914400" eaLnBrk="1" fontAlgn="auto" latinLnBrk="0" hangingPunct="1">
              <a:lnSpc>
                <a:spcPct val="100000"/>
              </a:lnSpc>
              <a:spcBef>
                <a:spcPts val="0"/>
              </a:spcBef>
              <a:spcAft>
                <a:spcPts val="0"/>
              </a:spcAft>
              <a:buClrTx/>
              <a:buSzTx/>
              <a:buFontTx/>
              <a:buNone/>
              <a:tabLst/>
              <a:defRPr/>
            </a:pPr>
            <a:t>CTR</a:t>
          </a:fld>
          <a:endParaRPr kumimoji="0" lang="ru-RU" sz="3600" b="1" i="0" u="none" strike="noStrike" kern="0" cap="none" spc="0" normalizeH="0" baseline="0" noProof="0">
            <a:ln>
              <a:noFill/>
            </a:ln>
            <a:solidFill>
              <a:sysClr val="windowText" lastClr="000000"/>
            </a:solidFill>
            <a:effectLst/>
            <a:uLnTx/>
            <a:uFillTx/>
            <a:latin typeface="Calibri" panose="020F0502020204030204" pitchFamily="34" charset="0"/>
            <a:ea typeface="+mn-ea"/>
            <a:cs typeface="Calibri" panose="020F0502020204030204" pitchFamily="34" charset="0"/>
          </a:endParaRPr>
        </a:p>
      </xdr:txBody>
    </xdr:sp>
    <xdr:clientData/>
  </xdr:twoCellAnchor>
  <xdr:twoCellAnchor>
    <xdr:from>
      <xdr:col>4</xdr:col>
      <xdr:colOff>1325563</xdr:colOff>
      <xdr:row>11</xdr:row>
      <xdr:rowOff>1190625</xdr:rowOff>
    </xdr:from>
    <xdr:to>
      <xdr:col>4</xdr:col>
      <xdr:colOff>2693563</xdr:colOff>
      <xdr:row>13</xdr:row>
      <xdr:rowOff>228601</xdr:rowOff>
    </xdr:to>
    <xdr:sp macro="" textlink="$L$10">
      <xdr:nvSpPr>
        <xdr:cNvPr id="14" name="CTR-1">
          <a:extLst>
            <a:ext uri="{FF2B5EF4-FFF2-40B4-BE49-F238E27FC236}">
              <a16:creationId xmlns:a16="http://schemas.microsoft.com/office/drawing/2014/main" xmlns="" id="{00000000-0008-0000-0600-00000E000000}"/>
            </a:ext>
          </a:extLst>
        </xdr:cNvPr>
        <xdr:cNvSpPr>
          <a:spLocks noChangeAspect="1"/>
        </xdr:cNvSpPr>
      </xdr:nvSpPr>
      <xdr:spPr>
        <a:xfrm>
          <a:off x="5834063" y="9763125"/>
          <a:ext cx="1368000" cy="1387476"/>
        </a:xfrm>
        <a:prstGeom prst="ellipse">
          <a:avLst/>
        </a:prstGeom>
        <a:gradFill flip="none" rotWithShape="1">
          <a:gsLst>
            <a:gs pos="0">
              <a:srgbClr val="FF0000">
                <a:shade val="30000"/>
                <a:satMod val="115000"/>
              </a:srgbClr>
            </a:gs>
            <a:gs pos="50000">
              <a:srgbClr val="FF0000">
                <a:shade val="67500"/>
                <a:satMod val="115000"/>
              </a:srgbClr>
            </a:gs>
            <a:gs pos="100000">
              <a:srgbClr val="FF0000">
                <a:shade val="100000"/>
                <a:satMod val="115000"/>
              </a:srgbClr>
            </a:gs>
          </a:gsLst>
          <a:lin ang="16200000" scaled="1"/>
          <a:tileRect/>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25C47B61-9D74-4414-8735-18072C7DD903}" type="TxLink">
            <a:rPr kumimoji="0" lang="en-US" sz="2400" b="1" i="0" u="none" strike="noStrike" kern="0" cap="none" spc="0" normalizeH="0" baseline="0" noProof="0">
              <a:ln>
                <a:noFill/>
              </a:ln>
              <a:solidFill>
                <a:srgbClr val="000000"/>
              </a:solidFill>
              <a:effectLst/>
              <a:uLnTx/>
              <a:uFillTx/>
              <a:latin typeface="Calibri" panose="020F0502020204030204" pitchFamily="34" charset="0"/>
              <a:ea typeface="+mn-ea"/>
              <a:cs typeface="Calibri" panose="020F0502020204030204" pitchFamily="34" charset="0"/>
            </a:rPr>
            <a:pPr marL="0" marR="0" lvl="0" indent="0" algn="ctr" defTabSz="914400" eaLnBrk="1" fontAlgn="auto" latinLnBrk="0" hangingPunct="1">
              <a:lnSpc>
                <a:spcPct val="100000"/>
              </a:lnSpc>
              <a:spcBef>
                <a:spcPts val="0"/>
              </a:spcBef>
              <a:spcAft>
                <a:spcPts val="0"/>
              </a:spcAft>
              <a:buClrTx/>
              <a:buSzTx/>
              <a:buFontTx/>
              <a:buNone/>
              <a:tabLst/>
              <a:defRPr/>
            </a:pPr>
            <a:t>PTR</a:t>
          </a:fld>
          <a:endParaRPr kumimoji="0" lang="ru-RU" sz="2400" b="1" i="0" u="none" strike="noStrike" kern="0" cap="none" spc="0" normalizeH="0" baseline="0" noProof="0">
            <a:ln>
              <a:noFill/>
            </a:ln>
            <a:solidFill>
              <a:srgbClr val="000000"/>
            </a:solidFill>
            <a:effectLst/>
            <a:uLnTx/>
            <a:uFillTx/>
            <a:latin typeface="Calibri" panose="020F0502020204030204" pitchFamily="34" charset="0"/>
            <a:ea typeface="+mn-ea"/>
            <a:cs typeface="Calibri" panose="020F0502020204030204" pitchFamily="34" charset="0"/>
          </a:endParaRPr>
        </a:p>
      </xdr:txBody>
    </xdr:sp>
    <xdr:clientData/>
  </xdr:twoCellAnchor>
  <xdr:twoCellAnchor>
    <xdr:from>
      <xdr:col>4</xdr:col>
      <xdr:colOff>1012825</xdr:colOff>
      <xdr:row>20</xdr:row>
      <xdr:rowOff>33337</xdr:rowOff>
    </xdr:from>
    <xdr:to>
      <xdr:col>4</xdr:col>
      <xdr:colOff>2368125</xdr:colOff>
      <xdr:row>21</xdr:row>
      <xdr:rowOff>323850</xdr:rowOff>
    </xdr:to>
    <xdr:sp macro="" textlink="$L$11">
      <xdr:nvSpPr>
        <xdr:cNvPr id="15" name="CTR-1">
          <a:extLst>
            <a:ext uri="{FF2B5EF4-FFF2-40B4-BE49-F238E27FC236}">
              <a16:creationId xmlns:a16="http://schemas.microsoft.com/office/drawing/2014/main" xmlns="" id="{00000000-0008-0000-0600-00000F000000}"/>
            </a:ext>
          </a:extLst>
        </xdr:cNvPr>
        <xdr:cNvSpPr>
          <a:spLocks noChangeAspect="1"/>
        </xdr:cNvSpPr>
      </xdr:nvSpPr>
      <xdr:spPr>
        <a:xfrm>
          <a:off x="5521325" y="19623087"/>
          <a:ext cx="1355300" cy="1401763"/>
        </a:xfrm>
        <a:prstGeom prst="ellipse">
          <a:avLst/>
        </a:prstGeom>
        <a:gradFill rotWithShape="1">
          <a:gsLst>
            <a:gs pos="0">
              <a:srgbClr val="F79646">
                <a:shade val="51000"/>
                <a:satMod val="130000"/>
              </a:srgbClr>
            </a:gs>
            <a:gs pos="80000">
              <a:srgbClr val="F79646">
                <a:shade val="93000"/>
                <a:satMod val="130000"/>
              </a:srgbClr>
            </a:gs>
            <a:gs pos="100000">
              <a:srgbClr val="F79646">
                <a:shade val="94000"/>
                <a:satMod val="135000"/>
              </a:srgbClr>
            </a:gs>
          </a:gsLst>
          <a:lin ang="16200000" scaled="0"/>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392BD7E3-DD15-4151-9A59-2B673649008E}" type="TxLink">
            <a:rPr kumimoji="0" lang="en-US" sz="2400" b="1" i="0" u="none" strike="noStrike" kern="0" cap="none" spc="0" normalizeH="0" baseline="0" noProof="0">
              <a:ln>
                <a:noFill/>
              </a:ln>
              <a:solidFill>
                <a:srgbClr val="000000"/>
              </a:solidFill>
              <a:effectLst/>
              <a:uLnTx/>
              <a:uFillTx/>
              <a:latin typeface="+mn-lt"/>
              <a:ea typeface="+mn-ea"/>
              <a:cs typeface="Times New Roman"/>
            </a:rPr>
            <a:pPr marL="0" marR="0" lvl="0" indent="0" algn="ctr" defTabSz="914400" eaLnBrk="1" fontAlgn="auto" latinLnBrk="0" hangingPunct="1">
              <a:lnSpc>
                <a:spcPct val="100000"/>
              </a:lnSpc>
              <a:spcBef>
                <a:spcPts val="0"/>
              </a:spcBef>
              <a:spcAft>
                <a:spcPts val="0"/>
              </a:spcAft>
              <a:buClrTx/>
              <a:buSzTx/>
              <a:buFontTx/>
              <a:buNone/>
              <a:tabLst/>
              <a:defRPr/>
            </a:pPr>
            <a:t>ER</a:t>
          </a:fld>
          <a:endParaRPr kumimoji="0" lang="ru-RU" sz="2400" b="1" i="0" u="none" strike="noStrike" kern="0" cap="none" spc="0" normalizeH="0" baseline="0" noProof="0">
            <a:ln>
              <a:noFill/>
            </a:ln>
            <a:solidFill>
              <a:srgbClr val="000000"/>
            </a:solidFill>
            <a:effectLst/>
            <a:uLnTx/>
            <a:uFillTx/>
            <a:latin typeface="+mn-lt"/>
            <a:ea typeface="+mn-ea"/>
            <a:cs typeface="Times New Roman"/>
          </a:endParaRPr>
        </a:p>
      </xdr:txBody>
    </xdr:sp>
    <xdr:clientData/>
  </xdr:twoCellAnchor>
  <xdr:twoCellAnchor>
    <xdr:from>
      <xdr:col>5</xdr:col>
      <xdr:colOff>0</xdr:colOff>
      <xdr:row>16</xdr:row>
      <xdr:rowOff>0</xdr:rowOff>
    </xdr:from>
    <xdr:to>
      <xdr:col>5</xdr:col>
      <xdr:colOff>1368000</xdr:colOff>
      <xdr:row>17</xdr:row>
      <xdr:rowOff>463125</xdr:rowOff>
    </xdr:to>
    <xdr:sp macro="" textlink="$L$12">
      <xdr:nvSpPr>
        <xdr:cNvPr id="16" name="Овал 15">
          <a:extLst>
            <a:ext uri="{FF2B5EF4-FFF2-40B4-BE49-F238E27FC236}">
              <a16:creationId xmlns:a16="http://schemas.microsoft.com/office/drawing/2014/main" xmlns="" id="{00000000-0008-0000-0600-000010000000}"/>
            </a:ext>
          </a:extLst>
        </xdr:cNvPr>
        <xdr:cNvSpPr>
          <a:spLocks noChangeAspect="1"/>
        </xdr:cNvSpPr>
      </xdr:nvSpPr>
      <xdr:spPr>
        <a:xfrm>
          <a:off x="7896225" y="13001625"/>
          <a:ext cx="1368000" cy="1377525"/>
        </a:xfrm>
        <a:prstGeom prst="ellipse">
          <a:avLst/>
        </a:prstGeom>
        <a:gradFill flip="none" rotWithShape="1">
          <a:gsLst>
            <a:gs pos="0">
              <a:srgbClr val="FF0000">
                <a:shade val="30000"/>
                <a:satMod val="115000"/>
              </a:srgbClr>
            </a:gs>
            <a:gs pos="50000">
              <a:srgbClr val="FF0000">
                <a:shade val="67500"/>
                <a:satMod val="115000"/>
              </a:srgbClr>
            </a:gs>
            <a:gs pos="100000">
              <a:srgbClr val="FF0000">
                <a:shade val="100000"/>
                <a:satMod val="115000"/>
              </a:srgbClr>
            </a:gs>
          </a:gsLst>
          <a:lin ang="16200000" scaled="1"/>
          <a:tileRect/>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0BE6F624-665C-418B-89C4-4716CF2A1744}" type="TxLink">
            <a:rPr kumimoji="0" lang="en-US" sz="2400" b="1" i="0" u="none" strike="noStrike" kern="0" cap="none" spc="0" normalizeH="0" baseline="0" noProof="0">
              <a:ln>
                <a:noFill/>
              </a:ln>
              <a:solidFill>
                <a:srgbClr val="000000"/>
              </a:solidFill>
              <a:effectLst/>
              <a:uLnTx/>
              <a:uFillTx/>
              <a:latin typeface="Calibri" panose="020F0502020204030204" pitchFamily="34" charset="0"/>
              <a:ea typeface="+mn-ea"/>
              <a:cs typeface="Calibri" panose="020F0502020204030204" pitchFamily="34" charset="0"/>
            </a:rPr>
            <a:pPr marL="0" marR="0" lvl="0" indent="0" algn="ctr" defTabSz="914400" eaLnBrk="1" fontAlgn="auto" latinLnBrk="0" hangingPunct="1">
              <a:lnSpc>
                <a:spcPct val="100000"/>
              </a:lnSpc>
              <a:spcBef>
                <a:spcPts val="0"/>
              </a:spcBef>
              <a:spcAft>
                <a:spcPts val="0"/>
              </a:spcAft>
              <a:buClrTx/>
              <a:buSzTx/>
              <a:buFontTx/>
              <a:buNone/>
              <a:tabLst/>
              <a:defRPr/>
            </a:pPr>
            <a:t>STR</a:t>
          </a:fld>
          <a:endParaRPr kumimoji="0" lang="ru-RU" sz="2400" b="1" i="0" u="none" strike="noStrike" kern="0" cap="none" spc="0" normalizeH="0" baseline="0" noProof="0">
            <a:ln>
              <a:noFill/>
            </a:ln>
            <a:solidFill>
              <a:srgbClr val="000000"/>
            </a:solidFill>
            <a:effectLst/>
            <a:uLnTx/>
            <a:uFillTx/>
            <a:latin typeface="Calibri" panose="020F0502020204030204" pitchFamily="34" charset="0"/>
            <a:ea typeface="+mn-ea"/>
            <a:cs typeface="Calibri" panose="020F0502020204030204" pitchFamily="34" charset="0"/>
          </a:endParaRPr>
        </a:p>
      </xdr:txBody>
    </xdr:sp>
    <xdr:clientData/>
  </xdr:twoCellAnchor>
  <xdr:twoCellAnchor>
    <xdr:from>
      <xdr:col>6</xdr:col>
      <xdr:colOff>3641724</xdr:colOff>
      <xdr:row>6</xdr:row>
      <xdr:rowOff>219073</xdr:rowOff>
    </xdr:from>
    <xdr:to>
      <xdr:col>7</xdr:col>
      <xdr:colOff>2698750</xdr:colOff>
      <xdr:row>10</xdr:row>
      <xdr:rowOff>144904</xdr:rowOff>
    </xdr:to>
    <xdr:sp macro="" textlink="$L$13">
      <xdr:nvSpPr>
        <xdr:cNvPr id="17" name="CTR-1">
          <a:extLst>
            <a:ext uri="{FF2B5EF4-FFF2-40B4-BE49-F238E27FC236}">
              <a16:creationId xmlns:a16="http://schemas.microsoft.com/office/drawing/2014/main" xmlns="" id="{00000000-0008-0000-0600-000011000000}"/>
            </a:ext>
          </a:extLst>
        </xdr:cNvPr>
        <xdr:cNvSpPr>
          <a:spLocks noChangeAspect="1"/>
        </xdr:cNvSpPr>
      </xdr:nvSpPr>
      <xdr:spPr>
        <a:xfrm>
          <a:off x="14627224" y="4791073"/>
          <a:ext cx="3089276" cy="3100831"/>
        </a:xfrm>
        <a:prstGeom prst="ellipse">
          <a:avLst/>
        </a:prstGeom>
        <a:gradFill flip="none" rotWithShape="1">
          <a:gsLst>
            <a:gs pos="0">
              <a:srgbClr val="FF0000">
                <a:shade val="30000"/>
                <a:satMod val="115000"/>
              </a:srgbClr>
            </a:gs>
            <a:gs pos="50000">
              <a:srgbClr val="FF0000">
                <a:shade val="67500"/>
                <a:satMod val="115000"/>
              </a:srgbClr>
            </a:gs>
            <a:gs pos="100000">
              <a:srgbClr val="FF0000">
                <a:shade val="100000"/>
                <a:satMod val="115000"/>
              </a:srgbClr>
            </a:gs>
          </a:gsLst>
          <a:lin ang="16200000" scaled="1"/>
          <a:tileRect/>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2D9CD5B6-496C-4643-94D9-AD1BD4E3518C}" type="TxLink">
            <a:rPr kumimoji="0" lang="en-US" sz="4000" b="1" i="0" u="none" strike="noStrike" kern="0" cap="none" spc="0" normalizeH="0" baseline="0" noProof="0">
              <a:ln>
                <a:noFill/>
              </a:ln>
              <a:solidFill>
                <a:srgbClr val="000000"/>
              </a:solidFill>
              <a:effectLst/>
              <a:uLnTx/>
              <a:uFillTx/>
              <a:latin typeface="+mn-lt"/>
              <a:ea typeface="+mn-ea"/>
              <a:cs typeface="Times New Roman"/>
            </a:rPr>
            <a:pPr marL="0" marR="0" lvl="0" indent="0" algn="ctr" defTabSz="914400" eaLnBrk="1" fontAlgn="auto" latinLnBrk="0" hangingPunct="1">
              <a:lnSpc>
                <a:spcPct val="100000"/>
              </a:lnSpc>
              <a:spcBef>
                <a:spcPts val="0"/>
              </a:spcBef>
              <a:spcAft>
                <a:spcPts val="0"/>
              </a:spcAft>
              <a:buClrTx/>
              <a:buSzTx/>
              <a:buFontTx/>
              <a:buNone/>
              <a:tabLst/>
              <a:defRPr/>
            </a:pPr>
            <a:t>RTR</a:t>
          </a:fld>
          <a:endParaRPr kumimoji="0" lang="ru-RU" sz="3600" b="1" i="0" u="none" strike="noStrike" kern="0" cap="none" spc="0" normalizeH="0" baseline="0" noProof="0">
            <a:ln>
              <a:noFill/>
            </a:ln>
            <a:solidFill>
              <a:srgbClr val="000000"/>
            </a:solidFill>
            <a:effectLst/>
            <a:uLnTx/>
            <a:uFillTx/>
            <a:latin typeface="+mn-lt"/>
            <a:ea typeface="+mn-ea"/>
            <a:cs typeface="Calibri" panose="020F0502020204030204" pitchFamily="34" charset="0"/>
          </a:endParaRPr>
        </a:p>
      </xdr:txBody>
    </xdr:sp>
    <xdr:clientData/>
  </xdr:twoCellAnchor>
  <xdr:twoCellAnchor>
    <xdr:from>
      <xdr:col>8</xdr:col>
      <xdr:colOff>968375</xdr:colOff>
      <xdr:row>9</xdr:row>
      <xdr:rowOff>577851</xdr:rowOff>
    </xdr:from>
    <xdr:to>
      <xdr:col>8</xdr:col>
      <xdr:colOff>3143250</xdr:colOff>
      <xdr:row>11</xdr:row>
      <xdr:rowOff>835718</xdr:rowOff>
    </xdr:to>
    <xdr:sp macro="" textlink="$L$14">
      <xdr:nvSpPr>
        <xdr:cNvPr id="18" name="CTR-1">
          <a:extLst>
            <a:ext uri="{FF2B5EF4-FFF2-40B4-BE49-F238E27FC236}">
              <a16:creationId xmlns:a16="http://schemas.microsoft.com/office/drawing/2014/main" xmlns="" id="{00000000-0008-0000-0600-000012000000}"/>
            </a:ext>
          </a:extLst>
        </xdr:cNvPr>
        <xdr:cNvSpPr>
          <a:spLocks noChangeAspect="1"/>
        </xdr:cNvSpPr>
      </xdr:nvSpPr>
      <xdr:spPr>
        <a:xfrm>
          <a:off x="19097625" y="7118351"/>
          <a:ext cx="2174875" cy="2289867"/>
        </a:xfrm>
        <a:prstGeom prst="ellipse">
          <a:avLst/>
        </a:prstGeom>
        <a:gradFill flip="none" rotWithShape="1">
          <a:gsLst>
            <a:gs pos="0">
              <a:srgbClr val="FF0000">
                <a:shade val="30000"/>
                <a:satMod val="115000"/>
              </a:srgbClr>
            </a:gs>
            <a:gs pos="50000">
              <a:srgbClr val="FF0000">
                <a:shade val="67500"/>
                <a:satMod val="115000"/>
              </a:srgbClr>
            </a:gs>
            <a:gs pos="100000">
              <a:srgbClr val="FF0000">
                <a:shade val="100000"/>
                <a:satMod val="115000"/>
              </a:srgbClr>
            </a:gs>
          </a:gsLst>
          <a:lin ang="16200000" scaled="1"/>
          <a:tileRect/>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B1D8BCE9-D0CA-48F2-8EE1-753E9FA5ED0C}" type="TxLink">
            <a:rPr kumimoji="0" lang="en-US" sz="4000" b="1" i="0" u="none" strike="noStrike" kern="0" cap="none" spc="0" normalizeH="0" baseline="0" noProof="0">
              <a:ln>
                <a:noFill/>
              </a:ln>
              <a:solidFill>
                <a:srgbClr val="000000"/>
              </a:solidFill>
              <a:effectLst/>
              <a:uLnTx/>
              <a:uFillTx/>
              <a:latin typeface="+mn-lt"/>
              <a:ea typeface="+mn-ea"/>
              <a:cs typeface="Times New Roman"/>
            </a:rPr>
            <a:pPr marL="0" marR="0" lvl="0" indent="0" algn="ctr" defTabSz="914400" eaLnBrk="1" fontAlgn="auto" latinLnBrk="0" hangingPunct="1">
              <a:lnSpc>
                <a:spcPct val="100000"/>
              </a:lnSpc>
              <a:spcBef>
                <a:spcPts val="0"/>
              </a:spcBef>
              <a:spcAft>
                <a:spcPts val="0"/>
              </a:spcAft>
              <a:buClrTx/>
              <a:buSzTx/>
              <a:buFontTx/>
              <a:buNone/>
              <a:tabLst/>
              <a:defRPr/>
            </a:pPr>
            <a:t>FX</a:t>
          </a:fld>
          <a:endParaRPr kumimoji="0" lang="ru-RU" sz="3200" b="1" i="0" u="none" strike="noStrike" kern="0" cap="none" spc="0" normalizeH="0" baseline="0" noProof="0">
            <a:ln>
              <a:noFill/>
            </a:ln>
            <a:solidFill>
              <a:srgbClr val="000000"/>
            </a:solidFill>
            <a:effectLst/>
            <a:uLnTx/>
            <a:uFillTx/>
            <a:latin typeface="+mn-lt"/>
            <a:ea typeface="+mn-ea"/>
            <a:cs typeface="Calibri" panose="020F0502020204030204" pitchFamily="34" charset="0"/>
          </a:endParaRPr>
        </a:p>
      </xdr:txBody>
    </xdr:sp>
    <xdr:clientData/>
  </xdr:twoCellAnchor>
  <xdr:twoCellAnchor>
    <xdr:from>
      <xdr:col>8</xdr:col>
      <xdr:colOff>1866900</xdr:colOff>
      <xdr:row>17</xdr:row>
      <xdr:rowOff>776288</xdr:rowOff>
    </xdr:from>
    <xdr:to>
      <xdr:col>8</xdr:col>
      <xdr:colOff>3253950</xdr:colOff>
      <xdr:row>18</xdr:row>
      <xdr:rowOff>571500</xdr:rowOff>
    </xdr:to>
    <xdr:sp macro="" textlink="$L$15">
      <xdr:nvSpPr>
        <xdr:cNvPr id="19" name="CTR-1">
          <a:extLst>
            <a:ext uri="{FF2B5EF4-FFF2-40B4-BE49-F238E27FC236}">
              <a16:creationId xmlns:a16="http://schemas.microsoft.com/office/drawing/2014/main" xmlns="" id="{00000000-0008-0000-0600-000013000000}"/>
            </a:ext>
          </a:extLst>
        </xdr:cNvPr>
        <xdr:cNvSpPr>
          <a:spLocks noChangeAspect="1"/>
        </xdr:cNvSpPr>
      </xdr:nvSpPr>
      <xdr:spPr>
        <a:xfrm>
          <a:off x="20035838" y="16373476"/>
          <a:ext cx="1387050" cy="1390649"/>
        </a:xfrm>
        <a:prstGeom prst="ellipse">
          <a:avLst/>
        </a:prstGeom>
        <a:gradFill flip="none" rotWithShape="1">
          <a:gsLst>
            <a:gs pos="0">
              <a:srgbClr val="FF0000">
                <a:shade val="30000"/>
                <a:satMod val="115000"/>
              </a:srgbClr>
            </a:gs>
            <a:gs pos="50000">
              <a:srgbClr val="FF0000">
                <a:shade val="67500"/>
                <a:satMod val="115000"/>
              </a:srgbClr>
            </a:gs>
            <a:gs pos="100000">
              <a:srgbClr val="FF0000">
                <a:shade val="100000"/>
                <a:satMod val="115000"/>
              </a:srgbClr>
            </a:gs>
          </a:gsLst>
          <a:lin ang="16200000" scaled="1"/>
          <a:tileRect/>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93517673-621F-4737-B01F-0BB7A1183813}" type="TxLink">
            <a:rPr kumimoji="0" lang="en-US" sz="2400" b="1" i="0" u="none" strike="noStrike" kern="0" cap="none" spc="0" normalizeH="0" baseline="0" noProof="0">
              <a:ln>
                <a:noFill/>
              </a:ln>
              <a:solidFill>
                <a:srgbClr val="000000"/>
              </a:solidFill>
              <a:effectLst/>
              <a:uLnTx/>
              <a:uFillTx/>
              <a:latin typeface="+mn-lt"/>
              <a:ea typeface="+mn-ea"/>
              <a:cs typeface="Times New Roman"/>
            </a:rPr>
            <a:pPr marL="0" marR="0" lvl="0" indent="0" algn="ctr" defTabSz="914400" eaLnBrk="1" fontAlgn="auto" latinLnBrk="0" hangingPunct="1">
              <a:lnSpc>
                <a:spcPct val="100000"/>
              </a:lnSpc>
              <a:spcBef>
                <a:spcPts val="0"/>
              </a:spcBef>
              <a:spcAft>
                <a:spcPts val="0"/>
              </a:spcAft>
              <a:buClrTx/>
              <a:buSzTx/>
              <a:buFontTx/>
              <a:buNone/>
              <a:tabLst/>
              <a:defRPr/>
            </a:pPr>
            <a:t>OR</a:t>
          </a:fld>
          <a:endParaRPr kumimoji="0" lang="ru-RU" sz="1600" b="1" i="0" u="none" strike="noStrike" kern="0" cap="none" spc="0" normalizeH="0" baseline="0" noProof="0">
            <a:ln>
              <a:noFill/>
            </a:ln>
            <a:solidFill>
              <a:srgbClr val="000000"/>
            </a:solidFill>
            <a:effectLst/>
            <a:uLnTx/>
            <a:uFillTx/>
            <a:latin typeface="+mn-lt"/>
            <a:ea typeface="+mn-ea"/>
            <a:cs typeface="Calibri" panose="020F0502020204030204" pitchFamily="34" charset="0"/>
          </a:endParaRPr>
        </a:p>
      </xdr:txBody>
    </xdr:sp>
    <xdr:clientData/>
  </xdr:twoCellAnchor>
  <xdr:twoCellAnchor>
    <xdr:from>
      <xdr:col>8</xdr:col>
      <xdr:colOff>514349</xdr:colOff>
      <xdr:row>11</xdr:row>
      <xdr:rowOff>685801</xdr:rowOff>
    </xdr:from>
    <xdr:to>
      <xdr:col>8</xdr:col>
      <xdr:colOff>1882349</xdr:colOff>
      <xdr:row>12</xdr:row>
      <xdr:rowOff>793750</xdr:rowOff>
    </xdr:to>
    <xdr:sp macro="" textlink="$L$16">
      <xdr:nvSpPr>
        <xdr:cNvPr id="20" name="CTR-1">
          <a:extLst>
            <a:ext uri="{FF2B5EF4-FFF2-40B4-BE49-F238E27FC236}">
              <a16:creationId xmlns:a16="http://schemas.microsoft.com/office/drawing/2014/main" xmlns="" id="{00000000-0008-0000-0600-000014000000}"/>
            </a:ext>
          </a:extLst>
        </xdr:cNvPr>
        <xdr:cNvSpPr>
          <a:spLocks noChangeAspect="1"/>
        </xdr:cNvSpPr>
      </xdr:nvSpPr>
      <xdr:spPr>
        <a:xfrm>
          <a:off x="18643599" y="8940801"/>
          <a:ext cx="1368000" cy="1314449"/>
        </a:xfrm>
        <a:prstGeom prst="ellipse">
          <a:avLst/>
        </a:prstGeom>
        <a:gradFill flip="none" rotWithShape="1">
          <a:gsLst>
            <a:gs pos="0">
              <a:srgbClr val="FF0000">
                <a:shade val="30000"/>
                <a:satMod val="115000"/>
              </a:srgbClr>
            </a:gs>
            <a:gs pos="50000">
              <a:srgbClr val="FF0000">
                <a:shade val="67500"/>
                <a:satMod val="115000"/>
              </a:srgbClr>
            </a:gs>
            <a:gs pos="100000">
              <a:srgbClr val="FF0000">
                <a:shade val="100000"/>
                <a:satMod val="115000"/>
              </a:srgbClr>
            </a:gs>
          </a:gsLst>
          <a:lin ang="16200000" scaled="1"/>
          <a:tileRect/>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36A208D0-4C03-49CB-9BE2-AA2DAFEE7EBE}" type="TxLink">
            <a:rPr kumimoji="0" lang="en-US" sz="2400" b="1" i="0" u="none" strike="noStrike" kern="0" cap="none" spc="0" normalizeH="0" baseline="0" noProof="0">
              <a:ln>
                <a:noFill/>
              </a:ln>
              <a:solidFill>
                <a:srgbClr val="000000"/>
              </a:solidFill>
              <a:effectLst/>
              <a:uLnTx/>
              <a:uFillTx/>
              <a:latin typeface="+mn-lt"/>
              <a:ea typeface="+mn-ea"/>
              <a:cs typeface="Times New Roman"/>
            </a:rPr>
            <a:pPr marL="0" marR="0" lvl="0" indent="0" algn="ctr" defTabSz="914400" eaLnBrk="1" fontAlgn="auto" latinLnBrk="0" hangingPunct="1">
              <a:lnSpc>
                <a:spcPct val="100000"/>
              </a:lnSpc>
              <a:spcBef>
                <a:spcPts val="0"/>
              </a:spcBef>
              <a:spcAft>
                <a:spcPts val="0"/>
              </a:spcAft>
              <a:buClrTx/>
              <a:buSzTx/>
              <a:buFontTx/>
              <a:buNone/>
              <a:tabLst/>
              <a:defRPr/>
            </a:pPr>
            <a:t>IR</a:t>
          </a:fld>
          <a:endParaRPr kumimoji="0" lang="ru-RU" sz="1400" b="1" i="0" u="none" strike="noStrike" kern="0" cap="none" spc="0" normalizeH="0" baseline="0" noProof="0">
            <a:ln>
              <a:noFill/>
            </a:ln>
            <a:solidFill>
              <a:srgbClr val="000000"/>
            </a:solidFill>
            <a:effectLst/>
            <a:uLnTx/>
            <a:uFillTx/>
            <a:latin typeface="+mn-lt"/>
            <a:ea typeface="+mn-ea"/>
            <a:cs typeface="Calibri" panose="020F0502020204030204" pitchFamily="34" charset="0"/>
          </a:endParaRPr>
        </a:p>
      </xdr:txBody>
    </xdr:sp>
    <xdr:clientData/>
  </xdr:twoCellAnchor>
  <xdr:twoCellAnchor>
    <xdr:from>
      <xdr:col>6</xdr:col>
      <xdr:colOff>741362</xdr:colOff>
      <xdr:row>12</xdr:row>
      <xdr:rowOff>247651</xdr:rowOff>
    </xdr:from>
    <xdr:to>
      <xdr:col>6</xdr:col>
      <xdr:colOff>2109362</xdr:colOff>
      <xdr:row>13</xdr:row>
      <xdr:rowOff>628651</xdr:rowOff>
    </xdr:to>
    <xdr:sp macro="" textlink="$L$18">
      <xdr:nvSpPr>
        <xdr:cNvPr id="21" name="CTR-1">
          <a:extLst>
            <a:ext uri="{FF2B5EF4-FFF2-40B4-BE49-F238E27FC236}">
              <a16:creationId xmlns:a16="http://schemas.microsoft.com/office/drawing/2014/main" xmlns="" id="{00000000-0008-0000-0600-000015000000}"/>
            </a:ext>
          </a:extLst>
        </xdr:cNvPr>
        <xdr:cNvSpPr>
          <a:spLocks noChangeAspect="1"/>
        </xdr:cNvSpPr>
      </xdr:nvSpPr>
      <xdr:spPr>
        <a:xfrm>
          <a:off x="11726862" y="10121901"/>
          <a:ext cx="1368000" cy="1428750"/>
        </a:xfrm>
        <a:prstGeom prst="ellipse">
          <a:avLst/>
        </a:prstGeom>
        <a:gradFill flip="none" rotWithShape="1">
          <a:gsLst>
            <a:gs pos="0">
              <a:srgbClr val="FF0000">
                <a:shade val="30000"/>
                <a:satMod val="115000"/>
              </a:srgbClr>
            </a:gs>
            <a:gs pos="50000">
              <a:srgbClr val="FF0000">
                <a:shade val="67500"/>
                <a:satMod val="115000"/>
              </a:srgbClr>
            </a:gs>
            <a:gs pos="100000">
              <a:srgbClr val="FF0000">
                <a:shade val="100000"/>
                <a:satMod val="115000"/>
              </a:srgbClr>
            </a:gs>
          </a:gsLst>
          <a:lin ang="16200000" scaled="1"/>
          <a:tileRect/>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B95871B2-5C7D-40D8-B565-9A1234FC6E27}" type="TxLink">
            <a:rPr kumimoji="0" lang="en-US" sz="2400" b="1" i="0" u="none" strike="noStrike" kern="0" cap="none" spc="0" normalizeH="0" baseline="0" noProof="0">
              <a:ln>
                <a:noFill/>
              </a:ln>
              <a:solidFill>
                <a:srgbClr val="000000"/>
              </a:solidFill>
              <a:effectLst/>
              <a:uLnTx/>
              <a:uFillTx/>
              <a:latin typeface="+mn-lt"/>
              <a:ea typeface="+mn-ea"/>
              <a:cs typeface="Times New Roman"/>
            </a:rPr>
            <a:pPr marL="0" marR="0" lvl="0" indent="0" algn="ctr" defTabSz="914400" eaLnBrk="1" fontAlgn="auto" latinLnBrk="0" hangingPunct="1">
              <a:lnSpc>
                <a:spcPct val="100000"/>
              </a:lnSpc>
              <a:spcBef>
                <a:spcPts val="0"/>
              </a:spcBef>
              <a:spcAft>
                <a:spcPts val="0"/>
              </a:spcAft>
              <a:buClrTx/>
              <a:buSzTx/>
              <a:buFontTx/>
              <a:buNone/>
              <a:tabLst/>
              <a:defRPr/>
            </a:pPr>
            <a:t>TR</a:t>
          </a:fld>
          <a:endParaRPr kumimoji="0" lang="ru-RU" sz="2400" b="1" i="0" u="none" strike="noStrike" kern="0" cap="none" spc="0" normalizeH="0" baseline="0" noProof="0">
            <a:ln>
              <a:noFill/>
            </a:ln>
            <a:solidFill>
              <a:srgbClr val="000000"/>
            </a:solidFill>
            <a:effectLst/>
            <a:uLnTx/>
            <a:uFillTx/>
            <a:latin typeface="+mn-lt"/>
            <a:ea typeface="+mn-ea"/>
            <a:cs typeface="Times New Roman"/>
          </a:endParaRPr>
        </a:p>
      </xdr:txBody>
    </xdr:sp>
    <xdr:clientData/>
  </xdr:twoCellAnchor>
  <xdr:twoCellAnchor>
    <xdr:from>
      <xdr:col>7</xdr:col>
      <xdr:colOff>3048000</xdr:colOff>
      <xdr:row>16</xdr:row>
      <xdr:rowOff>71437</xdr:rowOff>
    </xdr:from>
    <xdr:to>
      <xdr:col>8</xdr:col>
      <xdr:colOff>1272750</xdr:colOff>
      <xdr:row>17</xdr:row>
      <xdr:rowOff>304800</xdr:rowOff>
    </xdr:to>
    <xdr:sp macro="" textlink="$L$19">
      <xdr:nvSpPr>
        <xdr:cNvPr id="22" name="CTR-1">
          <a:extLst>
            <a:ext uri="{FF2B5EF4-FFF2-40B4-BE49-F238E27FC236}">
              <a16:creationId xmlns:a16="http://schemas.microsoft.com/office/drawing/2014/main" xmlns="" id="{00000000-0008-0000-0600-000016000000}"/>
            </a:ext>
          </a:extLst>
        </xdr:cNvPr>
        <xdr:cNvSpPr>
          <a:spLocks noChangeAspect="1"/>
        </xdr:cNvSpPr>
      </xdr:nvSpPr>
      <xdr:spPr>
        <a:xfrm>
          <a:off x="18097500" y="14587537"/>
          <a:ext cx="1348950" cy="1376363"/>
        </a:xfrm>
        <a:prstGeom prst="ellipse">
          <a:avLst/>
        </a:prstGeom>
        <a:gradFill flip="none" rotWithShape="1">
          <a:gsLst>
            <a:gs pos="0">
              <a:srgbClr val="FF0000">
                <a:shade val="30000"/>
                <a:satMod val="115000"/>
              </a:srgbClr>
            </a:gs>
            <a:gs pos="50000">
              <a:srgbClr val="FF0000">
                <a:shade val="67500"/>
                <a:satMod val="115000"/>
              </a:srgbClr>
            </a:gs>
            <a:gs pos="100000">
              <a:srgbClr val="FF0000">
                <a:shade val="100000"/>
                <a:satMod val="115000"/>
              </a:srgbClr>
            </a:gs>
          </a:gsLst>
          <a:lin ang="16200000" scaled="1"/>
          <a:tileRect/>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87A6E148-8890-412D-B604-0FA7EA04682E}" type="TxLink">
            <a:rPr kumimoji="0" lang="en-US" sz="2400" b="1" i="0" u="none" strike="noStrike" kern="0" cap="none" spc="0" normalizeH="0" baseline="0" noProof="0">
              <a:ln>
                <a:noFill/>
              </a:ln>
              <a:solidFill>
                <a:srgbClr val="000000"/>
              </a:solidFill>
              <a:effectLst/>
              <a:uLnTx/>
              <a:uFillTx/>
              <a:latin typeface="+mn-lt"/>
              <a:ea typeface="+mn-ea"/>
              <a:cs typeface="Times New Roman"/>
            </a:rPr>
            <a:pPr marL="0" marR="0" lvl="0" indent="0" algn="ctr" defTabSz="914400" eaLnBrk="1" fontAlgn="auto" latinLnBrk="0" hangingPunct="1">
              <a:lnSpc>
                <a:spcPct val="100000"/>
              </a:lnSpc>
              <a:spcBef>
                <a:spcPts val="0"/>
              </a:spcBef>
              <a:spcAft>
                <a:spcPts val="0"/>
              </a:spcAft>
              <a:buClrTx/>
              <a:buSzTx/>
              <a:buFontTx/>
              <a:buNone/>
              <a:tabLst/>
              <a:defRPr/>
            </a:pPr>
            <a:t>CCR</a:t>
          </a:fld>
          <a:endParaRPr kumimoji="0" lang="ru-RU" sz="2400" b="1" i="0" u="none" strike="noStrike" kern="0" cap="none" spc="0" normalizeH="0" baseline="0" noProof="0">
            <a:ln>
              <a:noFill/>
            </a:ln>
            <a:solidFill>
              <a:srgbClr val="000000"/>
            </a:solidFill>
            <a:effectLst/>
            <a:uLnTx/>
            <a:uFillTx/>
            <a:latin typeface="+mn-lt"/>
            <a:ea typeface="+mn-ea"/>
            <a:cs typeface="Times New Roman"/>
          </a:endParaRPr>
        </a:p>
      </xdr:txBody>
    </xdr:sp>
    <xdr:clientData/>
  </xdr:twoCellAnchor>
  <xdr:twoCellAnchor>
    <xdr:from>
      <xdr:col>6</xdr:col>
      <xdr:colOff>1785938</xdr:colOff>
      <xdr:row>24</xdr:row>
      <xdr:rowOff>833438</xdr:rowOff>
    </xdr:from>
    <xdr:to>
      <xdr:col>6</xdr:col>
      <xdr:colOff>3153938</xdr:colOff>
      <xdr:row>26</xdr:row>
      <xdr:rowOff>391688</xdr:rowOff>
    </xdr:to>
    <xdr:sp macro="" textlink="$L$19">
      <xdr:nvSpPr>
        <xdr:cNvPr id="23" name="Овал 22">
          <a:extLst>
            <a:ext uri="{FF2B5EF4-FFF2-40B4-BE49-F238E27FC236}">
              <a16:creationId xmlns:a16="http://schemas.microsoft.com/office/drawing/2014/main" xmlns="" id="{00000000-0008-0000-0600-000017000000}"/>
            </a:ext>
          </a:extLst>
        </xdr:cNvPr>
        <xdr:cNvSpPr>
          <a:spLocks noChangeAspect="1"/>
        </xdr:cNvSpPr>
      </xdr:nvSpPr>
      <xdr:spPr>
        <a:xfrm>
          <a:off x="12806363" y="23007638"/>
          <a:ext cx="1368000" cy="1472775"/>
        </a:xfrm>
        <a:prstGeom prst="ellipse">
          <a:avLst/>
        </a:prstGeom>
        <a:gradFill rotWithShape="1">
          <a:gsLst>
            <a:gs pos="0">
              <a:srgbClr val="F79646">
                <a:shade val="51000"/>
                <a:satMod val="130000"/>
              </a:srgbClr>
            </a:gs>
            <a:gs pos="80000">
              <a:srgbClr val="F79646">
                <a:shade val="93000"/>
                <a:satMod val="130000"/>
              </a:srgbClr>
            </a:gs>
            <a:gs pos="100000">
              <a:srgbClr val="F79646">
                <a:shade val="94000"/>
                <a:satMod val="135000"/>
              </a:srgbClr>
            </a:gs>
          </a:gsLst>
          <a:lin ang="16200000" scaled="0"/>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7ABE05C0-AD41-405B-9A2E-53EB7F278079}" type="TxLink">
            <a:rPr kumimoji="0" lang="en-US" sz="2400" b="1" i="0" u="none" strike="noStrike" kern="0" cap="none" spc="0" normalizeH="0" baseline="0" noProof="0">
              <a:ln>
                <a:noFill/>
              </a:ln>
              <a:solidFill>
                <a:srgbClr val="000000"/>
              </a:solidFill>
              <a:effectLst/>
              <a:uLnTx/>
              <a:uFillTx/>
              <a:latin typeface="+mn-lt"/>
              <a:ea typeface="+mn-ea"/>
              <a:cs typeface="Times New Roman"/>
            </a:rPr>
            <a:pPr marL="0" marR="0" lvl="0" indent="0" algn="ctr" defTabSz="914400" eaLnBrk="1" fontAlgn="auto" latinLnBrk="0" hangingPunct="1">
              <a:lnSpc>
                <a:spcPct val="100000"/>
              </a:lnSpc>
              <a:spcBef>
                <a:spcPts val="0"/>
              </a:spcBef>
              <a:spcAft>
                <a:spcPts val="0"/>
              </a:spcAft>
              <a:buClrTx/>
              <a:buSzTx/>
              <a:buFontTx/>
              <a:buNone/>
              <a:tabLst/>
              <a:defRPr/>
            </a:pPr>
            <a:t>CCR</a:t>
          </a:fld>
          <a:endParaRPr kumimoji="0" lang="ru-RU" sz="1800" b="1" i="0" u="none" strike="noStrike" kern="0" cap="none" spc="0" normalizeH="0" baseline="0" noProof="0">
            <a:ln>
              <a:noFill/>
            </a:ln>
            <a:solidFill>
              <a:sysClr val="windowText" lastClr="000000"/>
            </a:solidFill>
            <a:effectLst/>
            <a:uLnTx/>
            <a:uFillTx/>
            <a:latin typeface="+mn-lt"/>
            <a:ea typeface="+mn-ea"/>
            <a:cs typeface="+mn-cs"/>
          </a:endParaRPr>
        </a:p>
      </xdr:txBody>
    </xdr:sp>
    <xdr:clientData/>
  </xdr:twoCellAnchor>
  <xdr:twoCellAnchor>
    <xdr:from>
      <xdr:col>4</xdr:col>
      <xdr:colOff>793750</xdr:colOff>
      <xdr:row>22</xdr:row>
      <xdr:rowOff>641350</xdr:rowOff>
    </xdr:from>
    <xdr:to>
      <xdr:col>4</xdr:col>
      <xdr:colOff>2504650</xdr:colOff>
      <xdr:row>24</xdr:row>
      <xdr:rowOff>73952</xdr:rowOff>
    </xdr:to>
    <xdr:sp macro="" textlink="$L$21">
      <xdr:nvSpPr>
        <xdr:cNvPr id="44" name="CTR-1">
          <a:extLst>
            <a:ext uri="{FF2B5EF4-FFF2-40B4-BE49-F238E27FC236}">
              <a16:creationId xmlns:a16="http://schemas.microsoft.com/office/drawing/2014/main" xmlns="" id="{00000000-0008-0000-0600-00002C000000}"/>
            </a:ext>
          </a:extLst>
        </xdr:cNvPr>
        <xdr:cNvSpPr>
          <a:spLocks noChangeAspect="1"/>
        </xdr:cNvSpPr>
      </xdr:nvSpPr>
      <xdr:spPr>
        <a:xfrm>
          <a:off x="5302250" y="22612350"/>
          <a:ext cx="1710900" cy="1686852"/>
        </a:xfrm>
        <a:prstGeom prst="ellipse">
          <a:avLst/>
        </a:prstGeom>
        <a:gradFill flip="none" rotWithShape="1">
          <a:gsLst>
            <a:gs pos="0">
              <a:srgbClr val="FF0000">
                <a:shade val="30000"/>
                <a:satMod val="115000"/>
              </a:srgbClr>
            </a:gs>
            <a:gs pos="50000">
              <a:srgbClr val="FF0000">
                <a:shade val="67500"/>
                <a:satMod val="115000"/>
              </a:srgbClr>
            </a:gs>
            <a:gs pos="100000">
              <a:srgbClr val="FF0000">
                <a:shade val="100000"/>
                <a:satMod val="115000"/>
              </a:srgbClr>
            </a:gs>
          </a:gsLst>
          <a:lin ang="16200000" scaled="1"/>
          <a:tileRect/>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A18485BB-9277-48D1-BC7F-B8573970157C}" type="TxLink">
            <a:rPr kumimoji="0" lang="en-US" sz="2400" b="1" i="0" u="none" strike="noStrike" kern="0" cap="none" spc="0" normalizeH="0" baseline="0" noProof="0">
              <a:ln>
                <a:noFill/>
              </a:ln>
              <a:solidFill>
                <a:srgbClr val="000000"/>
              </a:solidFill>
              <a:effectLst/>
              <a:uLnTx/>
              <a:uFillTx/>
              <a:latin typeface="+mn-lt"/>
              <a:ea typeface="+mn-ea"/>
              <a:cs typeface="Times New Roman"/>
            </a:rPr>
            <a:pPr marL="0" marR="0" lvl="0" indent="0" algn="ctr" defTabSz="914400" eaLnBrk="1" fontAlgn="auto" latinLnBrk="0" hangingPunct="1">
              <a:lnSpc>
                <a:spcPct val="100000"/>
              </a:lnSpc>
              <a:spcBef>
                <a:spcPts val="0"/>
              </a:spcBef>
              <a:spcAft>
                <a:spcPts val="0"/>
              </a:spcAft>
              <a:buClrTx/>
              <a:buSzTx/>
              <a:buFontTx/>
              <a:buNone/>
              <a:tabLst/>
              <a:defRPr/>
            </a:pPr>
            <a:t>LR</a:t>
          </a:fld>
          <a:endParaRPr kumimoji="0" lang="ru-RU" sz="2400" b="1" i="0" u="none" strike="noStrike" kern="0" cap="none" spc="0" normalizeH="0" baseline="0" noProof="0">
            <a:ln>
              <a:noFill/>
            </a:ln>
            <a:solidFill>
              <a:srgbClr val="000000"/>
            </a:solidFill>
            <a:effectLst/>
            <a:uLnTx/>
            <a:uFillTx/>
            <a:latin typeface="+mn-lt"/>
            <a:ea typeface="+mn-ea"/>
            <a:cs typeface="Times New Roman"/>
          </a:endParaRPr>
        </a:p>
      </xdr:txBody>
    </xdr:sp>
    <xdr:clientData/>
  </xdr:twoCellAnchor>
  <xdr:twoCellAnchor>
    <xdr:from>
      <xdr:col>6</xdr:col>
      <xdr:colOff>647700</xdr:colOff>
      <xdr:row>9</xdr:row>
      <xdr:rowOff>381000</xdr:rowOff>
    </xdr:from>
    <xdr:to>
      <xdr:col>6</xdr:col>
      <xdr:colOff>1996650</xdr:colOff>
      <xdr:row>10</xdr:row>
      <xdr:rowOff>539325</xdr:rowOff>
    </xdr:to>
    <xdr:sp macro="" textlink="$L$25">
      <xdr:nvSpPr>
        <xdr:cNvPr id="47" name="CTR-1">
          <a:extLst>
            <a:ext uri="{FF2B5EF4-FFF2-40B4-BE49-F238E27FC236}">
              <a16:creationId xmlns:a16="http://schemas.microsoft.com/office/drawing/2014/main" xmlns="" id="{00000000-0008-0000-0600-00002F000000}"/>
            </a:ext>
          </a:extLst>
        </xdr:cNvPr>
        <xdr:cNvSpPr>
          <a:spLocks noChangeAspect="1"/>
        </xdr:cNvSpPr>
      </xdr:nvSpPr>
      <xdr:spPr>
        <a:xfrm>
          <a:off x="11658600" y="7124700"/>
          <a:ext cx="1348950" cy="1377525"/>
        </a:xfrm>
        <a:prstGeom prst="ellipse">
          <a:avLst/>
        </a:prstGeom>
        <a:gradFill flip="none" rotWithShape="1">
          <a:gsLst>
            <a:gs pos="0">
              <a:srgbClr val="FF0000">
                <a:shade val="30000"/>
                <a:satMod val="115000"/>
              </a:srgbClr>
            </a:gs>
            <a:gs pos="50000">
              <a:srgbClr val="FF0000">
                <a:shade val="67500"/>
                <a:satMod val="115000"/>
              </a:srgbClr>
            </a:gs>
            <a:gs pos="100000">
              <a:srgbClr val="FF0000">
                <a:shade val="100000"/>
                <a:satMod val="115000"/>
              </a:srgbClr>
            </a:gs>
          </a:gsLst>
          <a:lin ang="16200000" scaled="1"/>
          <a:tileRect/>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FE05603C-DC60-40F6-A620-9D20478B0E1C}" type="TxLink">
            <a:rPr kumimoji="0" lang="en-US" sz="1800" b="1" i="0" u="none" strike="noStrike" kern="0" cap="none" spc="0" normalizeH="0" baseline="0" noProof="0">
              <a:ln>
                <a:noFill/>
              </a:ln>
              <a:solidFill>
                <a:srgbClr val="000000"/>
              </a:solidFill>
              <a:effectLst/>
              <a:uLnTx/>
              <a:uFillTx/>
              <a:latin typeface="Times New Roman"/>
              <a:ea typeface="+mn-ea"/>
              <a:cs typeface="Times New Roman"/>
            </a:rPr>
            <a:pPr marL="0" marR="0" lvl="0" indent="0" algn="ctr" defTabSz="914400" eaLnBrk="1" fontAlgn="auto" latinLnBrk="0" hangingPunct="1">
              <a:lnSpc>
                <a:spcPct val="100000"/>
              </a:lnSpc>
              <a:spcBef>
                <a:spcPts val="0"/>
              </a:spcBef>
              <a:spcAft>
                <a:spcPts val="0"/>
              </a:spcAft>
              <a:buClrTx/>
              <a:buSzTx/>
              <a:buFontTx/>
              <a:buNone/>
              <a:tabLst/>
              <a:defRPr/>
            </a:pPr>
            <a:t>CRR</a:t>
          </a:fld>
          <a:endParaRPr kumimoji="0" lang="ru-RU" sz="2400" b="1" i="0" u="none" strike="noStrike" kern="0" cap="none" spc="0" normalizeH="0" baseline="0" noProof="0">
            <a:ln>
              <a:noFill/>
            </a:ln>
            <a:solidFill>
              <a:srgbClr val="000000"/>
            </a:solidFill>
            <a:effectLst/>
            <a:uLnTx/>
            <a:uFillTx/>
            <a:latin typeface="Calibri" panose="020F0502020204030204" pitchFamily="34" charset="0"/>
            <a:ea typeface="+mn-ea"/>
            <a:cs typeface="Calibri" panose="020F0502020204030204" pitchFamily="34" charset="0"/>
          </a:endParaRPr>
        </a:p>
      </xdr:txBody>
    </xdr:sp>
    <xdr:clientData/>
  </xdr:twoCellAnchor>
  <xdr:twoCellAnchor>
    <xdr:from>
      <xdr:col>6</xdr:col>
      <xdr:colOff>3981450</xdr:colOff>
      <xdr:row>11</xdr:row>
      <xdr:rowOff>539750</xdr:rowOff>
    </xdr:from>
    <xdr:to>
      <xdr:col>7</xdr:col>
      <xdr:colOff>2635250</xdr:colOff>
      <xdr:row>14</xdr:row>
      <xdr:rowOff>45062</xdr:rowOff>
    </xdr:to>
    <xdr:sp macro="" textlink="$L$23">
      <xdr:nvSpPr>
        <xdr:cNvPr id="48" name="CTR-1">
          <a:extLst>
            <a:ext uri="{FF2B5EF4-FFF2-40B4-BE49-F238E27FC236}">
              <a16:creationId xmlns:a16="http://schemas.microsoft.com/office/drawing/2014/main" xmlns="" id="{00000000-0008-0000-0600-000030000000}"/>
            </a:ext>
          </a:extLst>
        </xdr:cNvPr>
        <xdr:cNvSpPr>
          <a:spLocks noChangeAspect="1"/>
        </xdr:cNvSpPr>
      </xdr:nvSpPr>
      <xdr:spPr>
        <a:xfrm>
          <a:off x="14966950" y="9112250"/>
          <a:ext cx="2686050" cy="2807312"/>
        </a:xfrm>
        <a:prstGeom prst="ellipse">
          <a:avLst/>
        </a:prstGeom>
        <a:gradFill flip="none" rotWithShape="1">
          <a:gsLst>
            <a:gs pos="0">
              <a:srgbClr val="FF0000">
                <a:shade val="30000"/>
                <a:satMod val="115000"/>
              </a:srgbClr>
            </a:gs>
            <a:gs pos="50000">
              <a:srgbClr val="FF0000">
                <a:shade val="67500"/>
                <a:satMod val="115000"/>
              </a:srgbClr>
            </a:gs>
            <a:gs pos="100000">
              <a:srgbClr val="FF0000">
                <a:shade val="100000"/>
                <a:satMod val="115000"/>
              </a:srgbClr>
            </a:gs>
          </a:gsLst>
          <a:lin ang="16200000" scaled="1"/>
          <a:tileRect/>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5595780D-C6E4-489E-8855-5342CB95701F}" type="TxLink">
            <a:rPr kumimoji="0" lang="en-US" sz="4000" b="1" i="0" u="none" strike="noStrike" kern="0" cap="none" spc="0" normalizeH="0" baseline="0" noProof="0">
              <a:ln>
                <a:noFill/>
              </a:ln>
              <a:solidFill>
                <a:srgbClr val="000000"/>
              </a:solidFill>
              <a:effectLst/>
              <a:uLnTx/>
              <a:uFillTx/>
              <a:latin typeface="Calibri" panose="020F0502020204030204" pitchFamily="34" charset="0"/>
              <a:ea typeface="+mn-ea"/>
              <a:cs typeface="Calibri" panose="020F0502020204030204" pitchFamily="34" charset="0"/>
            </a:rPr>
            <a:pPr marL="0" marR="0" lvl="0" indent="0" algn="ctr" defTabSz="914400" eaLnBrk="1" fontAlgn="auto" latinLnBrk="0" hangingPunct="1">
              <a:lnSpc>
                <a:spcPct val="100000"/>
              </a:lnSpc>
              <a:spcBef>
                <a:spcPts val="0"/>
              </a:spcBef>
              <a:spcAft>
                <a:spcPts val="0"/>
              </a:spcAft>
              <a:buClrTx/>
              <a:buSzTx/>
              <a:buFontTx/>
              <a:buNone/>
              <a:tabLst/>
              <a:defRPr/>
            </a:pPr>
            <a:t>HTR</a:t>
          </a:fld>
          <a:endParaRPr kumimoji="0" lang="ru-RU" sz="4000" b="1" i="0" u="none" strike="noStrike" kern="0" cap="none" spc="0" normalizeH="0" baseline="0" noProof="0">
            <a:ln>
              <a:noFill/>
            </a:ln>
            <a:solidFill>
              <a:srgbClr val="000000"/>
            </a:solidFill>
            <a:effectLst/>
            <a:uLnTx/>
            <a:uFillTx/>
            <a:latin typeface="Calibri" panose="020F0502020204030204" pitchFamily="34" charset="0"/>
            <a:ea typeface="+mn-ea"/>
            <a:cs typeface="Calibri" panose="020F0502020204030204" pitchFamily="34"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3047999</xdr:colOff>
      <xdr:row>5</xdr:row>
      <xdr:rowOff>23812</xdr:rowOff>
    </xdr:from>
    <xdr:to>
      <xdr:col>4</xdr:col>
      <xdr:colOff>476249</xdr:colOff>
      <xdr:row>6</xdr:row>
      <xdr:rowOff>23812</xdr:rowOff>
    </xdr:to>
    <xdr:sp macro="" textlink="">
      <xdr:nvSpPr>
        <xdr:cNvPr id="2" name="Овал 14">
          <a:extLst>
            <a:ext uri="{FF2B5EF4-FFF2-40B4-BE49-F238E27FC236}">
              <a16:creationId xmlns:a16="http://schemas.microsoft.com/office/drawing/2014/main" xmlns="" id="{00000000-0008-0000-0700-000002000000}"/>
            </a:ext>
          </a:extLst>
        </xdr:cNvPr>
        <xdr:cNvSpPr/>
      </xdr:nvSpPr>
      <xdr:spPr>
        <a:xfrm>
          <a:off x="4467224" y="4881562"/>
          <a:ext cx="552450" cy="600075"/>
        </a:xfrm>
        <a:prstGeom prst="ellipse">
          <a:avLst/>
        </a:prstGeom>
        <a:solidFill>
          <a:srgbClr val="FFC000"/>
        </a:solidFill>
        <a:ln>
          <a:solidFill>
            <a:srgbClr val="FFC000"/>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endParaRPr lang="ru-RU" sz="1050" b="1">
            <a:solidFill>
              <a:schemeClr val="tx1"/>
            </a:solidFill>
          </a:endParaRPr>
        </a:p>
      </xdr:txBody>
    </xdr:sp>
    <xdr:clientData/>
  </xdr:twoCellAnchor>
  <xdr:twoCellAnchor>
    <xdr:from>
      <xdr:col>5</xdr:col>
      <xdr:colOff>2928937</xdr:colOff>
      <xdr:row>5</xdr:row>
      <xdr:rowOff>23811</xdr:rowOff>
    </xdr:from>
    <xdr:to>
      <xdr:col>6</xdr:col>
      <xdr:colOff>277962</xdr:colOff>
      <xdr:row>6</xdr:row>
      <xdr:rowOff>-1</xdr:rowOff>
    </xdr:to>
    <xdr:sp macro="" textlink="">
      <xdr:nvSpPr>
        <xdr:cNvPr id="3" name="Овал 15">
          <a:extLst>
            <a:ext uri="{FF2B5EF4-FFF2-40B4-BE49-F238E27FC236}">
              <a16:creationId xmlns:a16="http://schemas.microsoft.com/office/drawing/2014/main" xmlns="" id="{00000000-0008-0000-0700-000003000000}"/>
            </a:ext>
          </a:extLst>
        </xdr:cNvPr>
        <xdr:cNvSpPr/>
      </xdr:nvSpPr>
      <xdr:spPr>
        <a:xfrm>
          <a:off x="10596562" y="4881561"/>
          <a:ext cx="473225" cy="576263"/>
        </a:xfrm>
        <a:prstGeom prst="ellipse">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algn="ctr"/>
          <a:endParaRPr lang="ru-RU" sz="1050" b="1">
            <a:solidFill>
              <a:schemeClr val="tx1"/>
            </a:solidFill>
          </a:endParaRPr>
        </a:p>
      </xdr:txBody>
    </xdr:sp>
    <xdr:clientData/>
  </xdr:twoCellAnchor>
  <xdr:twoCellAnchor>
    <xdr:from>
      <xdr:col>5</xdr:col>
      <xdr:colOff>261937</xdr:colOff>
      <xdr:row>5</xdr:row>
      <xdr:rowOff>14721</xdr:rowOff>
    </xdr:from>
    <xdr:to>
      <xdr:col>5</xdr:col>
      <xdr:colOff>798373</xdr:colOff>
      <xdr:row>6</xdr:row>
      <xdr:rowOff>25545</xdr:rowOff>
    </xdr:to>
    <xdr:sp macro="" textlink="">
      <xdr:nvSpPr>
        <xdr:cNvPr id="4" name="Овал 17">
          <a:extLst>
            <a:ext uri="{FF2B5EF4-FFF2-40B4-BE49-F238E27FC236}">
              <a16:creationId xmlns:a16="http://schemas.microsoft.com/office/drawing/2014/main" xmlns="" id="{00000000-0008-0000-0700-000004000000}"/>
            </a:ext>
          </a:extLst>
        </xdr:cNvPr>
        <xdr:cNvSpPr/>
      </xdr:nvSpPr>
      <xdr:spPr>
        <a:xfrm>
          <a:off x="7929562" y="4872471"/>
          <a:ext cx="536436" cy="610899"/>
        </a:xfrm>
        <a:prstGeom prst="ellipse">
          <a:avLst/>
        </a:prstGeom>
        <a:solidFill>
          <a:srgbClr val="FFFF00"/>
        </a:solidFill>
        <a:ln>
          <a:solidFill>
            <a:schemeClr val="accent4">
              <a:lumMod val="60000"/>
              <a:lumOff val="40000"/>
            </a:schemeClr>
          </a:solidFill>
        </a:ln>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algn="ctr"/>
          <a:endParaRPr lang="ru-RU" sz="1050" b="1">
            <a:solidFill>
              <a:schemeClr val="tx1"/>
            </a:solidFill>
          </a:endParaRPr>
        </a:p>
      </xdr:txBody>
    </xdr:sp>
    <xdr:clientData/>
  </xdr:twoCellAnchor>
  <xdr:twoCellAnchor>
    <xdr:from>
      <xdr:col>3</xdr:col>
      <xdr:colOff>238124</xdr:colOff>
      <xdr:row>5</xdr:row>
      <xdr:rowOff>23813</xdr:rowOff>
    </xdr:from>
    <xdr:to>
      <xdr:col>3</xdr:col>
      <xdr:colOff>764168</xdr:colOff>
      <xdr:row>6</xdr:row>
      <xdr:rowOff>23813</xdr:rowOff>
    </xdr:to>
    <xdr:sp macro="" textlink="">
      <xdr:nvSpPr>
        <xdr:cNvPr id="5" name="Овал 42">
          <a:extLst>
            <a:ext uri="{FF2B5EF4-FFF2-40B4-BE49-F238E27FC236}">
              <a16:creationId xmlns:a16="http://schemas.microsoft.com/office/drawing/2014/main" xmlns="" id="{00000000-0008-0000-0700-000005000000}"/>
            </a:ext>
          </a:extLst>
        </xdr:cNvPr>
        <xdr:cNvSpPr/>
      </xdr:nvSpPr>
      <xdr:spPr>
        <a:xfrm>
          <a:off x="1657349" y="4881563"/>
          <a:ext cx="526044" cy="600075"/>
        </a:xfrm>
        <a:prstGeom prst="ellipse">
          <a:avLst/>
        </a:prstGeom>
        <a:solidFill>
          <a:srgbClr val="FF0000"/>
        </a:solidFill>
        <a:ln>
          <a:solidFill>
            <a:srgbClr val="FF0000"/>
          </a:solidFill>
        </a:ln>
      </xdr:spPr>
      <xdr:style>
        <a:lnRef idx="1">
          <a:schemeClr val="accent3"/>
        </a:lnRef>
        <a:fillRef idx="3">
          <a:schemeClr val="accent3"/>
        </a:fillRef>
        <a:effectRef idx="2">
          <a:schemeClr val="accent3"/>
        </a:effectRef>
        <a:fontRef idx="minor">
          <a:schemeClr val="lt1"/>
        </a:fontRef>
      </xdr:style>
      <xdr:txBody>
        <a:bodyPr vertOverflow="clip" horzOverflow="clip" rtlCol="0" anchor="ctr"/>
        <a:lstStyle/>
        <a:p>
          <a:pPr marL="0" indent="0" algn="ctr"/>
          <a:endParaRPr lang="ru-RU" sz="1050" b="1">
            <a:solidFill>
              <a:schemeClr val="tx1"/>
            </a:solidFill>
            <a:latin typeface="+mn-lt"/>
            <a:ea typeface="+mn-ea"/>
            <a:cs typeface="+mn-cs"/>
          </a:endParaRPr>
        </a:p>
      </xdr:txBody>
    </xdr:sp>
    <xdr:clientData/>
  </xdr:twoCellAnchor>
  <xdr:twoCellAnchor>
    <xdr:from>
      <xdr:col>3</xdr:col>
      <xdr:colOff>47625</xdr:colOff>
      <xdr:row>23</xdr:row>
      <xdr:rowOff>166687</xdr:rowOff>
    </xdr:from>
    <xdr:to>
      <xdr:col>3</xdr:col>
      <xdr:colOff>1008825</xdr:colOff>
      <xdr:row>24</xdr:row>
      <xdr:rowOff>175387</xdr:rowOff>
    </xdr:to>
    <xdr:sp macro="" textlink="">
      <xdr:nvSpPr>
        <xdr:cNvPr id="6" name="Овал 5">
          <a:extLst>
            <a:ext uri="{FF2B5EF4-FFF2-40B4-BE49-F238E27FC236}">
              <a16:creationId xmlns:a16="http://schemas.microsoft.com/office/drawing/2014/main" xmlns="" id="{00000000-0008-0000-0700-000006000000}"/>
            </a:ext>
          </a:extLst>
        </xdr:cNvPr>
        <xdr:cNvSpPr>
          <a:spLocks noChangeAspect="1"/>
        </xdr:cNvSpPr>
      </xdr:nvSpPr>
      <xdr:spPr>
        <a:xfrm>
          <a:off x="1452563" y="20574000"/>
          <a:ext cx="961200" cy="937387"/>
        </a:xfrm>
        <a:prstGeom prst="ellipse">
          <a:avLst/>
        </a:prstGeom>
        <a:gradFill rotWithShape="1">
          <a:gsLst>
            <a:gs pos="0">
              <a:srgbClr val="9BBB59">
                <a:shade val="51000"/>
                <a:satMod val="130000"/>
              </a:srgbClr>
            </a:gs>
            <a:gs pos="80000">
              <a:srgbClr val="9BBB59">
                <a:shade val="93000"/>
                <a:satMod val="130000"/>
              </a:srgbClr>
            </a:gs>
            <a:gs pos="100000">
              <a:srgbClr val="9BBB59">
                <a:shade val="94000"/>
                <a:satMod val="135000"/>
              </a:srgbClr>
            </a:gs>
          </a:gsLst>
          <a:lin ang="16200000" scaled="0"/>
        </a:gradFill>
        <a:ln w="9525" cap="flat" cmpd="sng" algn="ctr">
          <a:solidFill>
            <a:srgbClr val="9BBB59">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ysClr val="windowText" lastClr="000000"/>
              </a:solidFill>
              <a:effectLst/>
              <a:uLnTx/>
              <a:uFillTx/>
              <a:latin typeface="Calibri" panose="020F0502020204030204"/>
              <a:ea typeface="+mn-ea"/>
              <a:cs typeface="+mn-cs"/>
            </a:rPr>
            <a:t>CTR-2</a:t>
          </a:r>
          <a:endPar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5</xdr:col>
      <xdr:colOff>1640897</xdr:colOff>
      <xdr:row>21</xdr:row>
      <xdr:rowOff>2168</xdr:rowOff>
    </xdr:from>
    <xdr:to>
      <xdr:col>5</xdr:col>
      <xdr:colOff>2602097</xdr:colOff>
      <xdr:row>22</xdr:row>
      <xdr:rowOff>10868</xdr:rowOff>
    </xdr:to>
    <xdr:sp macro="" textlink="">
      <xdr:nvSpPr>
        <xdr:cNvPr id="7" name="Овал 6">
          <a:extLst>
            <a:ext uri="{FF2B5EF4-FFF2-40B4-BE49-F238E27FC236}">
              <a16:creationId xmlns:a16="http://schemas.microsoft.com/office/drawing/2014/main" xmlns="" id="{00000000-0008-0000-0700-000007000000}"/>
            </a:ext>
          </a:extLst>
        </xdr:cNvPr>
        <xdr:cNvSpPr>
          <a:spLocks noChangeAspect="1"/>
        </xdr:cNvSpPr>
      </xdr:nvSpPr>
      <xdr:spPr>
        <a:xfrm>
          <a:off x="9308522" y="18137768"/>
          <a:ext cx="961200" cy="961200"/>
        </a:xfrm>
        <a:prstGeom prst="ellipse">
          <a:avLst/>
        </a:prstGeom>
        <a:gradFill flip="none" rotWithShape="1">
          <a:gsLst>
            <a:gs pos="0">
              <a:srgbClr val="FFFF00">
                <a:shade val="30000"/>
                <a:satMod val="115000"/>
              </a:srgbClr>
            </a:gs>
            <a:gs pos="50000">
              <a:srgbClr val="FFFF00">
                <a:shade val="67500"/>
                <a:satMod val="115000"/>
              </a:srgbClr>
            </a:gs>
            <a:gs pos="100000">
              <a:srgbClr val="FFFF00">
                <a:shade val="100000"/>
                <a:satMod val="115000"/>
              </a:srgbClr>
            </a:gs>
          </a:gsLst>
          <a:lin ang="16200000" scaled="1"/>
          <a:tileRect/>
        </a:gradFill>
      </xdr:spPr>
      <xdr:style>
        <a:lnRef idx="1">
          <a:schemeClr val="accent3"/>
        </a:lnRef>
        <a:fillRef idx="3">
          <a:schemeClr val="accent3"/>
        </a:fillRef>
        <a:effectRef idx="2">
          <a:schemeClr val="accent3"/>
        </a:effectRef>
        <a:fontRef idx="minor">
          <a:schemeClr val="lt1"/>
        </a:fontRef>
      </xdr:style>
      <xdr:txBody>
        <a:bodyPr vertOverflow="clip" horzOverflow="clip" rtlCol="0" anchor="ctr"/>
        <a:lstStyle/>
        <a:p>
          <a:pPr algn="ctr"/>
          <a:r>
            <a:rPr lang="en-US" sz="1600" b="1">
              <a:solidFill>
                <a:schemeClr val="tx1"/>
              </a:solidFill>
            </a:rPr>
            <a:t>LR-1</a:t>
          </a:r>
          <a:endParaRPr lang="ru-RU" sz="1050" b="1">
            <a:solidFill>
              <a:schemeClr val="tx1"/>
            </a:solidFill>
          </a:endParaRPr>
        </a:p>
      </xdr:txBody>
    </xdr:sp>
    <xdr:clientData/>
  </xdr:twoCellAnchor>
  <xdr:twoCellAnchor>
    <xdr:from>
      <xdr:col>7</xdr:col>
      <xdr:colOff>1280100</xdr:colOff>
      <xdr:row>24</xdr:row>
      <xdr:rowOff>453161</xdr:rowOff>
    </xdr:from>
    <xdr:to>
      <xdr:col>7</xdr:col>
      <xdr:colOff>2241300</xdr:colOff>
      <xdr:row>25</xdr:row>
      <xdr:rowOff>499961</xdr:rowOff>
    </xdr:to>
    <xdr:sp macro="" textlink="">
      <xdr:nvSpPr>
        <xdr:cNvPr id="8" name="Овал 7">
          <a:extLst>
            <a:ext uri="{FF2B5EF4-FFF2-40B4-BE49-F238E27FC236}">
              <a16:creationId xmlns:a16="http://schemas.microsoft.com/office/drawing/2014/main" xmlns="" id="{00000000-0008-0000-0700-000008000000}"/>
            </a:ext>
          </a:extLst>
        </xdr:cNvPr>
        <xdr:cNvSpPr>
          <a:spLocks noChangeAspect="1"/>
        </xdr:cNvSpPr>
      </xdr:nvSpPr>
      <xdr:spPr>
        <a:xfrm>
          <a:off x="15196125" y="21808211"/>
          <a:ext cx="961200" cy="942150"/>
        </a:xfrm>
        <a:prstGeom prst="ellipse">
          <a:avLst/>
        </a:prstGeom>
        <a:gradFill flip="none" rotWithShape="1">
          <a:gsLst>
            <a:gs pos="0">
              <a:srgbClr val="FFFF00">
                <a:shade val="30000"/>
                <a:satMod val="115000"/>
              </a:srgbClr>
            </a:gs>
            <a:gs pos="50000">
              <a:srgbClr val="FFFF00">
                <a:shade val="67500"/>
                <a:satMod val="115000"/>
              </a:srgbClr>
            </a:gs>
            <a:gs pos="100000">
              <a:srgbClr val="FFFF00">
                <a:shade val="100000"/>
                <a:satMod val="115000"/>
              </a:srgbClr>
            </a:gs>
          </a:gsLst>
          <a:lin ang="16200000" scaled="1"/>
          <a:tileRect/>
        </a:gradFill>
      </xdr:spPr>
      <xdr:style>
        <a:lnRef idx="1">
          <a:schemeClr val="accent3"/>
        </a:lnRef>
        <a:fillRef idx="3">
          <a:schemeClr val="accent3"/>
        </a:fillRef>
        <a:effectRef idx="2">
          <a:schemeClr val="accent3"/>
        </a:effectRef>
        <a:fontRef idx="minor">
          <a:schemeClr val="lt1"/>
        </a:fontRef>
      </xdr:style>
      <xdr:txBody>
        <a:bodyPr vertOverflow="clip" horzOverflow="clip" rtlCol="0" anchor="ctr"/>
        <a:lstStyle/>
        <a:p>
          <a:pPr algn="ctr"/>
          <a:r>
            <a:rPr lang="en-US" sz="1600" b="1">
              <a:solidFill>
                <a:schemeClr val="tx1"/>
              </a:solidFill>
            </a:rPr>
            <a:t>OR-</a:t>
          </a:r>
          <a:r>
            <a:rPr lang="ru-RU" sz="1600" b="1">
              <a:solidFill>
                <a:schemeClr val="tx1"/>
              </a:solidFill>
            </a:rPr>
            <a:t>5</a:t>
          </a:r>
          <a:endParaRPr lang="ru-RU" sz="1050" b="1">
            <a:solidFill>
              <a:schemeClr val="tx1"/>
            </a:solidFill>
          </a:endParaRPr>
        </a:p>
      </xdr:txBody>
    </xdr:sp>
    <xdr:clientData/>
  </xdr:twoCellAnchor>
  <xdr:twoCellAnchor>
    <xdr:from>
      <xdr:col>5</xdr:col>
      <xdr:colOff>2182523</xdr:colOff>
      <xdr:row>24</xdr:row>
      <xdr:rowOff>154132</xdr:rowOff>
    </xdr:from>
    <xdr:to>
      <xdr:col>6</xdr:col>
      <xdr:colOff>19523</xdr:colOff>
      <xdr:row>25</xdr:row>
      <xdr:rowOff>200932</xdr:rowOff>
    </xdr:to>
    <xdr:sp macro="" textlink="">
      <xdr:nvSpPr>
        <xdr:cNvPr id="9" name="Овал 8">
          <a:extLst>
            <a:ext uri="{FF2B5EF4-FFF2-40B4-BE49-F238E27FC236}">
              <a16:creationId xmlns:a16="http://schemas.microsoft.com/office/drawing/2014/main" xmlns="" id="{00000000-0008-0000-0700-000009000000}"/>
            </a:ext>
          </a:extLst>
        </xdr:cNvPr>
        <xdr:cNvSpPr>
          <a:spLocks noChangeAspect="1"/>
        </xdr:cNvSpPr>
      </xdr:nvSpPr>
      <xdr:spPr>
        <a:xfrm>
          <a:off x="9850148" y="21509182"/>
          <a:ext cx="961200" cy="942150"/>
        </a:xfrm>
        <a:prstGeom prst="ellipse">
          <a:avLst/>
        </a:prstGeom>
        <a:gradFill flip="none" rotWithShape="1">
          <a:gsLst>
            <a:gs pos="0">
              <a:srgbClr val="FFFF00">
                <a:shade val="30000"/>
                <a:satMod val="115000"/>
              </a:srgbClr>
            </a:gs>
            <a:gs pos="50000">
              <a:srgbClr val="FFFF00">
                <a:shade val="67500"/>
                <a:satMod val="115000"/>
              </a:srgbClr>
            </a:gs>
            <a:gs pos="100000">
              <a:srgbClr val="FFFF00">
                <a:shade val="100000"/>
                <a:satMod val="115000"/>
              </a:srgbClr>
            </a:gs>
          </a:gsLst>
          <a:lin ang="16200000" scaled="1"/>
          <a:tileRect/>
        </a:gradFill>
      </xdr:spPr>
      <xdr:style>
        <a:lnRef idx="1">
          <a:schemeClr val="accent3"/>
        </a:lnRef>
        <a:fillRef idx="3">
          <a:schemeClr val="accent3"/>
        </a:fillRef>
        <a:effectRef idx="2">
          <a:schemeClr val="accent3"/>
        </a:effectRef>
        <a:fontRef idx="minor">
          <a:schemeClr val="lt1"/>
        </a:fontRef>
      </xdr:style>
      <xdr:txBody>
        <a:bodyPr vertOverflow="clip" horzOverflow="clip" rtlCol="0" anchor="ctr"/>
        <a:lstStyle/>
        <a:p>
          <a:pPr algn="ctr"/>
          <a:r>
            <a:rPr lang="en-US" sz="1600" b="1">
              <a:solidFill>
                <a:schemeClr val="tx1"/>
              </a:solidFill>
            </a:rPr>
            <a:t>RP-2</a:t>
          </a:r>
          <a:endParaRPr lang="ru-RU" sz="1050" b="1">
            <a:solidFill>
              <a:schemeClr val="tx1"/>
            </a:solidFill>
          </a:endParaRPr>
        </a:p>
      </xdr:txBody>
    </xdr:sp>
    <xdr:clientData/>
  </xdr:twoCellAnchor>
  <xdr:twoCellAnchor>
    <xdr:from>
      <xdr:col>4</xdr:col>
      <xdr:colOff>3080528</xdr:colOff>
      <xdr:row>22</xdr:row>
      <xdr:rowOff>1218769</xdr:rowOff>
    </xdr:from>
    <xdr:to>
      <xdr:col>5</xdr:col>
      <xdr:colOff>910504</xdr:colOff>
      <xdr:row>23</xdr:row>
      <xdr:rowOff>872405</xdr:rowOff>
    </xdr:to>
    <xdr:sp macro="" textlink="">
      <xdr:nvSpPr>
        <xdr:cNvPr id="10" name="Овал 9">
          <a:extLst>
            <a:ext uri="{FF2B5EF4-FFF2-40B4-BE49-F238E27FC236}">
              <a16:creationId xmlns:a16="http://schemas.microsoft.com/office/drawing/2014/main" xmlns="" id="{00000000-0008-0000-0700-00000A000000}"/>
            </a:ext>
          </a:extLst>
        </xdr:cNvPr>
        <xdr:cNvSpPr>
          <a:spLocks noChangeAspect="1"/>
        </xdr:cNvSpPr>
      </xdr:nvSpPr>
      <xdr:spPr>
        <a:xfrm>
          <a:off x="7623953" y="20306869"/>
          <a:ext cx="954176" cy="987136"/>
        </a:xfrm>
        <a:prstGeom prst="ellipse">
          <a:avLst/>
        </a:prstGeom>
        <a:gradFill flip="none" rotWithShape="1">
          <a:gsLst>
            <a:gs pos="0">
              <a:srgbClr val="FFFF00">
                <a:shade val="30000"/>
                <a:satMod val="115000"/>
              </a:srgbClr>
            </a:gs>
            <a:gs pos="50000">
              <a:srgbClr val="FFFF00">
                <a:shade val="67500"/>
                <a:satMod val="115000"/>
              </a:srgbClr>
            </a:gs>
            <a:gs pos="100000">
              <a:srgbClr val="FFFF00">
                <a:shade val="100000"/>
                <a:satMod val="115000"/>
              </a:srgbClr>
            </a:gs>
          </a:gsLst>
          <a:lin ang="16200000" scaled="1"/>
          <a:tileRect/>
        </a:gradFill>
      </xdr:spPr>
      <xdr:style>
        <a:lnRef idx="1">
          <a:schemeClr val="accent3"/>
        </a:lnRef>
        <a:fillRef idx="3">
          <a:schemeClr val="accent3"/>
        </a:fillRef>
        <a:effectRef idx="2">
          <a:schemeClr val="accent3"/>
        </a:effectRef>
        <a:fontRef idx="minor">
          <a:schemeClr val="lt1"/>
        </a:fontRef>
      </xdr:style>
      <xdr:txBody>
        <a:bodyPr vertOverflow="clip" horzOverflow="clip" rtlCol="0" anchor="ctr"/>
        <a:lstStyle/>
        <a:p>
          <a:pPr algn="ctr"/>
          <a:r>
            <a:rPr lang="en-US" sz="1600" b="1">
              <a:solidFill>
                <a:schemeClr val="tx1"/>
              </a:solidFill>
            </a:rPr>
            <a:t>HTR-1</a:t>
          </a:r>
          <a:endParaRPr lang="ru-RU" sz="1050" b="1">
            <a:solidFill>
              <a:schemeClr val="tx1"/>
            </a:solidFill>
          </a:endParaRPr>
        </a:p>
      </xdr:txBody>
    </xdr:sp>
    <xdr:clientData/>
  </xdr:twoCellAnchor>
  <xdr:twoCellAnchor>
    <xdr:from>
      <xdr:col>5</xdr:col>
      <xdr:colOff>971815</xdr:colOff>
      <xdr:row>22</xdr:row>
      <xdr:rowOff>1165946</xdr:rowOff>
    </xdr:from>
    <xdr:to>
      <xdr:col>5</xdr:col>
      <xdr:colOff>1899204</xdr:colOff>
      <xdr:row>23</xdr:row>
      <xdr:rowOff>746847</xdr:rowOff>
    </xdr:to>
    <xdr:sp macro="" textlink="">
      <xdr:nvSpPr>
        <xdr:cNvPr id="11" name="Овал 10">
          <a:extLst>
            <a:ext uri="{FF2B5EF4-FFF2-40B4-BE49-F238E27FC236}">
              <a16:creationId xmlns:a16="http://schemas.microsoft.com/office/drawing/2014/main" xmlns="" id="{00000000-0008-0000-0700-00000B000000}"/>
            </a:ext>
          </a:extLst>
        </xdr:cNvPr>
        <xdr:cNvSpPr>
          <a:spLocks noChangeAspect="1"/>
        </xdr:cNvSpPr>
      </xdr:nvSpPr>
      <xdr:spPr>
        <a:xfrm>
          <a:off x="8639440" y="20254046"/>
          <a:ext cx="927389" cy="914401"/>
        </a:xfrm>
        <a:prstGeom prst="ellipse">
          <a:avLst/>
        </a:prstGeom>
        <a:gradFill flip="none" rotWithShape="1">
          <a:gsLst>
            <a:gs pos="0">
              <a:srgbClr val="FFFF00">
                <a:shade val="30000"/>
                <a:satMod val="115000"/>
              </a:srgbClr>
            </a:gs>
            <a:gs pos="50000">
              <a:srgbClr val="FFFF00">
                <a:shade val="67500"/>
                <a:satMod val="115000"/>
              </a:srgbClr>
            </a:gs>
            <a:gs pos="100000">
              <a:srgbClr val="FFFF00">
                <a:shade val="100000"/>
                <a:satMod val="115000"/>
              </a:srgbClr>
            </a:gs>
          </a:gsLst>
          <a:lin ang="16200000" scaled="1"/>
          <a:tileRect/>
        </a:gradFill>
      </xdr:spPr>
      <xdr:style>
        <a:lnRef idx="1">
          <a:schemeClr val="accent3"/>
        </a:lnRef>
        <a:fillRef idx="3">
          <a:schemeClr val="accent3"/>
        </a:fillRef>
        <a:effectRef idx="2">
          <a:schemeClr val="accent3"/>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600" b="1" noProof="0">
              <a:solidFill>
                <a:schemeClr val="tx1"/>
              </a:solidFill>
              <a:latin typeface="+mn-lt"/>
              <a:ea typeface="+mn-ea"/>
              <a:cs typeface="+mn-cs"/>
            </a:rPr>
            <a:t>TR</a:t>
          </a:r>
          <a:r>
            <a:rPr lang="ru-RU" sz="1600" b="1" noProof="0">
              <a:solidFill>
                <a:schemeClr val="tx1"/>
              </a:solidFill>
              <a:latin typeface="+mn-lt"/>
              <a:ea typeface="+mn-ea"/>
              <a:cs typeface="+mn-cs"/>
            </a:rPr>
            <a:t>-</a:t>
          </a:r>
          <a:r>
            <a:rPr lang="en-US" sz="1600" b="1" noProof="0">
              <a:solidFill>
                <a:schemeClr val="tx1"/>
              </a:solidFill>
              <a:latin typeface="+mn-lt"/>
              <a:ea typeface="+mn-ea"/>
              <a:cs typeface="+mn-cs"/>
            </a:rPr>
            <a:t>1</a:t>
          </a:r>
          <a:endParaRPr lang="ru-RU" sz="1600" b="1" noProof="0">
            <a:solidFill>
              <a:schemeClr val="tx1"/>
            </a:solidFill>
            <a:latin typeface="+mn-lt"/>
            <a:ea typeface="+mn-ea"/>
            <a:cs typeface="+mn-cs"/>
          </a:endParaRPr>
        </a:p>
      </xdr:txBody>
    </xdr:sp>
    <xdr:clientData/>
  </xdr:twoCellAnchor>
  <xdr:twoCellAnchor>
    <xdr:from>
      <xdr:col>5</xdr:col>
      <xdr:colOff>2184255</xdr:colOff>
      <xdr:row>24</xdr:row>
      <xdr:rowOff>829108</xdr:rowOff>
    </xdr:from>
    <xdr:to>
      <xdr:col>6</xdr:col>
      <xdr:colOff>54818</xdr:colOff>
      <xdr:row>25</xdr:row>
      <xdr:rowOff>879597</xdr:rowOff>
    </xdr:to>
    <xdr:sp macro="" textlink="">
      <xdr:nvSpPr>
        <xdr:cNvPr id="12" name="Овал 11">
          <a:extLst>
            <a:ext uri="{FF2B5EF4-FFF2-40B4-BE49-F238E27FC236}">
              <a16:creationId xmlns:a16="http://schemas.microsoft.com/office/drawing/2014/main" xmlns="" id="{00000000-0008-0000-0700-00000C000000}"/>
            </a:ext>
          </a:extLst>
        </xdr:cNvPr>
        <xdr:cNvSpPr>
          <a:spLocks noChangeAspect="1"/>
        </xdr:cNvSpPr>
      </xdr:nvSpPr>
      <xdr:spPr>
        <a:xfrm>
          <a:off x="9851880" y="22184158"/>
          <a:ext cx="994763" cy="945839"/>
        </a:xfrm>
        <a:prstGeom prst="ellipse">
          <a:avLst/>
        </a:prstGeom>
        <a:gradFill flip="none" rotWithShape="1">
          <a:gsLst>
            <a:gs pos="0">
              <a:srgbClr val="FFFF00">
                <a:shade val="30000"/>
                <a:satMod val="115000"/>
              </a:srgbClr>
            </a:gs>
            <a:gs pos="50000">
              <a:srgbClr val="FFFF00">
                <a:shade val="67500"/>
                <a:satMod val="115000"/>
              </a:srgbClr>
            </a:gs>
            <a:gs pos="100000">
              <a:srgbClr val="FFFF00">
                <a:shade val="100000"/>
                <a:satMod val="115000"/>
              </a:srgbClr>
            </a:gs>
          </a:gsLst>
          <a:lin ang="16200000" scaled="1"/>
          <a:tileRect/>
        </a:gradFill>
      </xdr:spPr>
      <xdr:style>
        <a:lnRef idx="1">
          <a:schemeClr val="accent3"/>
        </a:lnRef>
        <a:fillRef idx="3">
          <a:schemeClr val="accent3"/>
        </a:fillRef>
        <a:effectRef idx="2">
          <a:schemeClr val="accent3"/>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600" b="1" noProof="0">
              <a:solidFill>
                <a:schemeClr val="tx1"/>
              </a:solidFill>
              <a:latin typeface="+mn-lt"/>
              <a:ea typeface="+mn-ea"/>
              <a:cs typeface="+mn-cs"/>
            </a:rPr>
            <a:t>TR</a:t>
          </a:r>
          <a:r>
            <a:rPr lang="ru-RU" sz="1600" b="1" noProof="0">
              <a:solidFill>
                <a:schemeClr val="tx1"/>
              </a:solidFill>
              <a:latin typeface="+mn-lt"/>
              <a:ea typeface="+mn-ea"/>
              <a:cs typeface="+mn-cs"/>
            </a:rPr>
            <a:t>-</a:t>
          </a:r>
          <a:r>
            <a:rPr lang="en-US" sz="1600" b="1" noProof="0">
              <a:solidFill>
                <a:schemeClr val="tx1"/>
              </a:solidFill>
              <a:latin typeface="+mn-lt"/>
              <a:ea typeface="+mn-ea"/>
              <a:cs typeface="+mn-cs"/>
            </a:rPr>
            <a:t>2</a:t>
          </a:r>
          <a:endParaRPr lang="ru-RU" sz="1600" b="1" noProof="0">
            <a:solidFill>
              <a:schemeClr val="tx1"/>
            </a:solidFill>
            <a:latin typeface="+mn-lt"/>
            <a:ea typeface="+mn-ea"/>
            <a:cs typeface="+mn-cs"/>
          </a:endParaRPr>
        </a:p>
      </xdr:txBody>
    </xdr:sp>
    <xdr:clientData/>
  </xdr:twoCellAnchor>
  <xdr:twoCellAnchor>
    <xdr:from>
      <xdr:col>5</xdr:col>
      <xdr:colOff>319087</xdr:colOff>
      <xdr:row>23</xdr:row>
      <xdr:rowOff>676276</xdr:rowOff>
    </xdr:from>
    <xdr:to>
      <xdr:col>5</xdr:col>
      <xdr:colOff>1309087</xdr:colOff>
      <xdr:row>24</xdr:row>
      <xdr:rowOff>702950</xdr:rowOff>
    </xdr:to>
    <xdr:sp macro="" textlink="">
      <xdr:nvSpPr>
        <xdr:cNvPr id="13" name="Овал 12">
          <a:extLst>
            <a:ext uri="{FF2B5EF4-FFF2-40B4-BE49-F238E27FC236}">
              <a16:creationId xmlns:a16="http://schemas.microsoft.com/office/drawing/2014/main" xmlns="" id="{00000000-0008-0000-0700-00000D000000}"/>
            </a:ext>
          </a:extLst>
        </xdr:cNvPr>
        <xdr:cNvSpPr>
          <a:spLocks noChangeAspect="1"/>
        </xdr:cNvSpPr>
      </xdr:nvSpPr>
      <xdr:spPr>
        <a:xfrm>
          <a:off x="7986712" y="21097876"/>
          <a:ext cx="990000" cy="960124"/>
        </a:xfrm>
        <a:prstGeom prst="ellipse">
          <a:avLst/>
        </a:prstGeom>
        <a:gradFill flip="none" rotWithShape="1">
          <a:gsLst>
            <a:gs pos="0">
              <a:srgbClr val="FFFF00">
                <a:shade val="30000"/>
                <a:satMod val="115000"/>
              </a:srgbClr>
            </a:gs>
            <a:gs pos="50000">
              <a:srgbClr val="FFFF00">
                <a:shade val="67500"/>
                <a:satMod val="115000"/>
              </a:srgbClr>
            </a:gs>
            <a:gs pos="100000">
              <a:srgbClr val="FFFF00">
                <a:shade val="100000"/>
                <a:satMod val="115000"/>
              </a:srgbClr>
            </a:gs>
          </a:gsLst>
          <a:lin ang="16200000" scaled="1"/>
          <a:tileRect/>
        </a:gradFill>
      </xdr:spPr>
      <xdr:style>
        <a:lnRef idx="1">
          <a:schemeClr val="accent3"/>
        </a:lnRef>
        <a:fillRef idx="3">
          <a:schemeClr val="accent3"/>
        </a:fillRef>
        <a:effectRef idx="2">
          <a:schemeClr val="accent3"/>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600" b="1" noProof="0">
              <a:solidFill>
                <a:schemeClr val="tx1"/>
              </a:solidFill>
              <a:latin typeface="+mn-lt"/>
              <a:ea typeface="+mn-ea"/>
              <a:cs typeface="+mn-cs"/>
            </a:rPr>
            <a:t>TR</a:t>
          </a:r>
          <a:r>
            <a:rPr lang="ru-RU" sz="1600" b="1" noProof="0">
              <a:solidFill>
                <a:schemeClr val="tx1"/>
              </a:solidFill>
              <a:latin typeface="+mn-lt"/>
              <a:ea typeface="+mn-ea"/>
              <a:cs typeface="+mn-cs"/>
            </a:rPr>
            <a:t>-</a:t>
          </a:r>
          <a:r>
            <a:rPr lang="en-US" sz="1600" b="1" noProof="0">
              <a:solidFill>
                <a:schemeClr val="tx1"/>
              </a:solidFill>
              <a:latin typeface="+mn-lt"/>
              <a:ea typeface="+mn-ea"/>
              <a:cs typeface="+mn-cs"/>
            </a:rPr>
            <a:t>3</a:t>
          </a:r>
          <a:endParaRPr lang="ru-RU" sz="1600" b="1" noProof="0">
            <a:solidFill>
              <a:schemeClr val="tx1"/>
            </a:solidFill>
            <a:latin typeface="+mn-lt"/>
            <a:ea typeface="+mn-ea"/>
            <a:cs typeface="+mn-cs"/>
          </a:endParaRPr>
        </a:p>
      </xdr:txBody>
    </xdr:sp>
    <xdr:clientData/>
  </xdr:twoCellAnchor>
  <xdr:twoCellAnchor>
    <xdr:from>
      <xdr:col>7</xdr:col>
      <xdr:colOff>2171968</xdr:colOff>
      <xdr:row>6</xdr:row>
      <xdr:rowOff>175527</xdr:rowOff>
    </xdr:from>
    <xdr:to>
      <xdr:col>7</xdr:col>
      <xdr:colOff>3124468</xdr:colOff>
      <xdr:row>8</xdr:row>
      <xdr:rowOff>32722</xdr:rowOff>
    </xdr:to>
    <xdr:sp macro="" textlink="$L$10">
      <xdr:nvSpPr>
        <xdr:cNvPr id="14" name="CTR-1">
          <a:extLst>
            <a:ext uri="{FF2B5EF4-FFF2-40B4-BE49-F238E27FC236}">
              <a16:creationId xmlns:a16="http://schemas.microsoft.com/office/drawing/2014/main" xmlns="" id="{00000000-0008-0000-0700-00000E000000}"/>
            </a:ext>
          </a:extLst>
        </xdr:cNvPr>
        <xdr:cNvSpPr>
          <a:spLocks noChangeAspect="1"/>
        </xdr:cNvSpPr>
      </xdr:nvSpPr>
      <xdr:spPr>
        <a:xfrm>
          <a:off x="16087993" y="5633352"/>
          <a:ext cx="952500" cy="904945"/>
        </a:xfrm>
        <a:prstGeom prst="ellipse">
          <a:avLst/>
        </a:prstGeom>
        <a:gradFill flip="none" rotWithShape="1">
          <a:gsLst>
            <a:gs pos="0">
              <a:srgbClr val="FF0000">
                <a:shade val="30000"/>
                <a:satMod val="115000"/>
              </a:srgbClr>
            </a:gs>
            <a:gs pos="50000">
              <a:srgbClr val="FF0000">
                <a:shade val="67500"/>
                <a:satMod val="115000"/>
              </a:srgbClr>
            </a:gs>
            <a:gs pos="100000">
              <a:srgbClr val="FF0000">
                <a:shade val="100000"/>
                <a:satMod val="115000"/>
              </a:srgbClr>
            </a:gs>
          </a:gsLst>
          <a:lin ang="16200000" scaled="1"/>
          <a:tileRect/>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8497FC6A-3906-4BF8-A026-EF2A410C5C8E}" type="TxLink">
            <a:rPr kumimoji="0" lang="en-US" sz="1600" b="1" i="0" u="none" strike="noStrike" kern="0" cap="none" spc="0" normalizeH="0" baseline="0" noProof="0">
              <a:ln>
                <a:noFill/>
              </a:ln>
              <a:solidFill>
                <a:srgbClr val="000000"/>
              </a:solidFill>
              <a:effectLst/>
              <a:uLnTx/>
              <a:uFillTx/>
              <a:latin typeface="Calibri" panose="020F0502020204030204" pitchFamily="34" charset="0"/>
              <a:ea typeface="+mn-ea"/>
              <a:cs typeface="Calibri" panose="020F0502020204030204" pitchFamily="34" charset="0"/>
            </a:rPr>
            <a:pPr marL="0" marR="0" lvl="0" indent="0" algn="ctr" defTabSz="914400" eaLnBrk="1" fontAlgn="auto" latinLnBrk="0" hangingPunct="1">
              <a:lnSpc>
                <a:spcPct val="100000"/>
              </a:lnSpc>
              <a:spcBef>
                <a:spcPts val="0"/>
              </a:spcBef>
              <a:spcAft>
                <a:spcPts val="0"/>
              </a:spcAft>
              <a:buClrTx/>
              <a:buSzTx/>
              <a:buFontTx/>
              <a:buNone/>
              <a:tabLst/>
              <a:defRPr/>
            </a:pPr>
            <a:t>CTR-1</a:t>
          </a:fld>
          <a:endParaRPr kumimoji="0" lang="ru-RU" sz="1200" b="1" i="0" u="none" strike="noStrike" kern="0" cap="none" spc="0" normalizeH="0" baseline="0" noProof="0">
            <a:ln>
              <a:noFill/>
            </a:ln>
            <a:solidFill>
              <a:sysClr val="windowText" lastClr="000000"/>
            </a:solidFill>
            <a:effectLst/>
            <a:uLnTx/>
            <a:uFillTx/>
            <a:latin typeface="Calibri" panose="020F0502020204030204" pitchFamily="34" charset="0"/>
            <a:ea typeface="+mn-ea"/>
            <a:cs typeface="Calibri" panose="020F0502020204030204" pitchFamily="34" charset="0"/>
          </a:endParaRPr>
        </a:p>
      </xdr:txBody>
    </xdr:sp>
    <xdr:clientData/>
  </xdr:twoCellAnchor>
  <xdr:twoCellAnchor>
    <xdr:from>
      <xdr:col>5</xdr:col>
      <xdr:colOff>1596638</xdr:colOff>
      <xdr:row>6</xdr:row>
      <xdr:rowOff>65419</xdr:rowOff>
    </xdr:from>
    <xdr:to>
      <xdr:col>5</xdr:col>
      <xdr:colOff>2552604</xdr:colOff>
      <xdr:row>7</xdr:row>
      <xdr:rowOff>796415</xdr:rowOff>
    </xdr:to>
    <xdr:sp macro="" textlink="">
      <xdr:nvSpPr>
        <xdr:cNvPr id="15" name="Овал 14">
          <a:extLst>
            <a:ext uri="{FF2B5EF4-FFF2-40B4-BE49-F238E27FC236}">
              <a16:creationId xmlns:a16="http://schemas.microsoft.com/office/drawing/2014/main" xmlns="" id="{00000000-0008-0000-0700-00000F000000}"/>
            </a:ext>
          </a:extLst>
        </xdr:cNvPr>
        <xdr:cNvSpPr>
          <a:spLocks noChangeAspect="1"/>
        </xdr:cNvSpPr>
      </xdr:nvSpPr>
      <xdr:spPr>
        <a:xfrm>
          <a:off x="9264263" y="5523244"/>
          <a:ext cx="955966" cy="940546"/>
        </a:xfrm>
        <a:prstGeom prst="ellipse">
          <a:avLst/>
        </a:prstGeom>
        <a:gradFill rotWithShape="1">
          <a:gsLst>
            <a:gs pos="0">
              <a:srgbClr val="F79646">
                <a:shade val="51000"/>
                <a:satMod val="130000"/>
              </a:srgbClr>
            </a:gs>
            <a:gs pos="80000">
              <a:srgbClr val="F79646">
                <a:shade val="93000"/>
                <a:satMod val="130000"/>
              </a:srgbClr>
            </a:gs>
            <a:gs pos="100000">
              <a:srgbClr val="F79646">
                <a:shade val="94000"/>
                <a:satMod val="135000"/>
              </a:srgbClr>
            </a:gs>
          </a:gsLst>
          <a:lin ang="16200000" scaled="0"/>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ysClr val="windowText" lastClr="000000"/>
              </a:solidFill>
              <a:effectLst/>
              <a:uLnTx/>
              <a:uFillTx/>
              <a:latin typeface="Calibri" panose="020F0502020204030204"/>
              <a:ea typeface="+mn-ea"/>
              <a:cs typeface="+mn-cs"/>
            </a:rPr>
            <a:t>FX-1</a:t>
          </a:r>
          <a:endPar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5</xdr:col>
      <xdr:colOff>1146898</xdr:colOff>
      <xdr:row>24</xdr:row>
      <xdr:rowOff>664585</xdr:rowOff>
    </xdr:from>
    <xdr:to>
      <xdr:col>5</xdr:col>
      <xdr:colOff>2108098</xdr:colOff>
      <xdr:row>25</xdr:row>
      <xdr:rowOff>711385</xdr:rowOff>
    </xdr:to>
    <xdr:sp macro="" textlink="">
      <xdr:nvSpPr>
        <xdr:cNvPr id="16" name="Овал 15">
          <a:extLst>
            <a:ext uri="{FF2B5EF4-FFF2-40B4-BE49-F238E27FC236}">
              <a16:creationId xmlns:a16="http://schemas.microsoft.com/office/drawing/2014/main" xmlns="" id="{00000000-0008-0000-0700-000010000000}"/>
            </a:ext>
          </a:extLst>
        </xdr:cNvPr>
        <xdr:cNvSpPr>
          <a:spLocks noChangeAspect="1"/>
        </xdr:cNvSpPr>
      </xdr:nvSpPr>
      <xdr:spPr>
        <a:xfrm>
          <a:off x="8814523" y="22019635"/>
          <a:ext cx="961200" cy="942150"/>
        </a:xfrm>
        <a:prstGeom prst="ellipse">
          <a:avLst/>
        </a:prstGeom>
        <a:gradFill flip="none" rotWithShape="1">
          <a:gsLst>
            <a:gs pos="0">
              <a:srgbClr val="FFFF00">
                <a:shade val="30000"/>
                <a:satMod val="115000"/>
              </a:srgbClr>
            </a:gs>
            <a:gs pos="50000">
              <a:srgbClr val="FFFF00">
                <a:shade val="67500"/>
                <a:satMod val="115000"/>
              </a:srgbClr>
            </a:gs>
            <a:gs pos="100000">
              <a:srgbClr val="FFFF00">
                <a:shade val="100000"/>
                <a:satMod val="115000"/>
              </a:srgbClr>
            </a:gs>
          </a:gsLst>
          <a:lin ang="16200000" scaled="1"/>
          <a:tileRect/>
        </a:gradFill>
      </xdr:spPr>
      <xdr:style>
        <a:lnRef idx="1">
          <a:schemeClr val="accent3"/>
        </a:lnRef>
        <a:fillRef idx="3">
          <a:schemeClr val="accent3"/>
        </a:fillRef>
        <a:effectRef idx="2">
          <a:schemeClr val="accent3"/>
        </a:effectRef>
        <a:fontRef idx="minor">
          <a:schemeClr val="lt1"/>
        </a:fontRef>
      </xdr:style>
      <xdr:txBody>
        <a:bodyPr vertOverflow="clip" horzOverflow="clip" rtlCol="0" anchor="ctr"/>
        <a:lstStyle/>
        <a:p>
          <a:pPr algn="ctr"/>
          <a:r>
            <a:rPr lang="en-US" sz="1600" b="1">
              <a:solidFill>
                <a:schemeClr val="tx1"/>
              </a:solidFill>
            </a:rPr>
            <a:t>HTR-</a:t>
          </a:r>
          <a:r>
            <a:rPr lang="ru-RU" sz="1600" b="1">
              <a:solidFill>
                <a:schemeClr val="tx1"/>
              </a:solidFill>
            </a:rPr>
            <a:t>2</a:t>
          </a:r>
          <a:endParaRPr lang="ru-RU" sz="1050" b="1">
            <a:solidFill>
              <a:schemeClr val="tx1"/>
            </a:solidFill>
          </a:endParaRPr>
        </a:p>
      </xdr:txBody>
    </xdr:sp>
    <xdr:clientData/>
  </xdr:twoCellAnchor>
  <xdr:twoCellAnchor>
    <xdr:from>
      <xdr:col>4</xdr:col>
      <xdr:colOff>1593273</xdr:colOff>
      <xdr:row>7</xdr:row>
      <xdr:rowOff>190500</xdr:rowOff>
    </xdr:from>
    <xdr:to>
      <xdr:col>4</xdr:col>
      <xdr:colOff>2583273</xdr:colOff>
      <xdr:row>8</xdr:row>
      <xdr:rowOff>312425</xdr:rowOff>
    </xdr:to>
    <xdr:sp macro="" textlink="">
      <xdr:nvSpPr>
        <xdr:cNvPr id="17" name="Овал 16">
          <a:extLst>
            <a:ext uri="{FF2B5EF4-FFF2-40B4-BE49-F238E27FC236}">
              <a16:creationId xmlns:a16="http://schemas.microsoft.com/office/drawing/2014/main" xmlns="" id="{00000000-0008-0000-0700-000011000000}"/>
            </a:ext>
          </a:extLst>
        </xdr:cNvPr>
        <xdr:cNvSpPr>
          <a:spLocks noChangeAspect="1"/>
        </xdr:cNvSpPr>
      </xdr:nvSpPr>
      <xdr:spPr>
        <a:xfrm>
          <a:off x="6136698" y="5857875"/>
          <a:ext cx="990000" cy="960125"/>
        </a:xfrm>
        <a:prstGeom prst="ellipse">
          <a:avLst/>
        </a:prstGeom>
        <a:gradFill rotWithShape="1">
          <a:gsLst>
            <a:gs pos="0">
              <a:srgbClr val="F79646">
                <a:shade val="51000"/>
                <a:satMod val="130000"/>
              </a:srgbClr>
            </a:gs>
            <a:gs pos="80000">
              <a:srgbClr val="F79646">
                <a:shade val="93000"/>
                <a:satMod val="130000"/>
              </a:srgbClr>
            </a:gs>
            <a:gs pos="100000">
              <a:srgbClr val="F79646">
                <a:shade val="94000"/>
                <a:satMod val="135000"/>
              </a:srgbClr>
            </a:gs>
          </a:gsLst>
          <a:lin ang="16200000" scaled="0"/>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rPr>
            <a:t>С</a:t>
          </a:r>
          <a:r>
            <a:rPr kumimoji="0" lang="en-US" sz="1600" b="1" i="0" u="none" strike="noStrike" kern="0" cap="none" spc="0" normalizeH="0" baseline="0" noProof="0">
              <a:ln>
                <a:noFill/>
              </a:ln>
              <a:solidFill>
                <a:sysClr val="windowText" lastClr="000000"/>
              </a:solidFill>
              <a:effectLst/>
              <a:uLnTx/>
              <a:uFillTx/>
              <a:latin typeface="Calibri" panose="020F0502020204030204"/>
              <a:ea typeface="+mn-ea"/>
              <a:cs typeface="+mn-cs"/>
            </a:rPr>
            <a:t>R</a:t>
          </a:r>
          <a:r>
            <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rPr>
            <a:t>-1</a:t>
          </a:r>
        </a:p>
      </xdr:txBody>
    </xdr:sp>
    <xdr:clientData/>
  </xdr:twoCellAnchor>
  <xdr:twoCellAnchor>
    <xdr:from>
      <xdr:col>5</xdr:col>
      <xdr:colOff>646875</xdr:colOff>
      <xdr:row>10</xdr:row>
      <xdr:rowOff>267689</xdr:rowOff>
    </xdr:from>
    <xdr:to>
      <xdr:col>5</xdr:col>
      <xdr:colOff>1645238</xdr:colOff>
      <xdr:row>11</xdr:row>
      <xdr:rowOff>365362</xdr:rowOff>
    </xdr:to>
    <xdr:sp macro="" textlink="">
      <xdr:nvSpPr>
        <xdr:cNvPr id="18" name="Овал 17">
          <a:extLst>
            <a:ext uri="{FF2B5EF4-FFF2-40B4-BE49-F238E27FC236}">
              <a16:creationId xmlns:a16="http://schemas.microsoft.com/office/drawing/2014/main" xmlns="" id="{00000000-0008-0000-0700-000012000000}"/>
            </a:ext>
          </a:extLst>
        </xdr:cNvPr>
        <xdr:cNvSpPr>
          <a:spLocks noChangeAspect="1"/>
        </xdr:cNvSpPr>
      </xdr:nvSpPr>
      <xdr:spPr>
        <a:xfrm>
          <a:off x="8295739" y="8378371"/>
          <a:ext cx="998363" cy="934718"/>
        </a:xfrm>
        <a:prstGeom prst="ellipse">
          <a:avLst/>
        </a:prstGeom>
        <a:gradFill rotWithShape="1">
          <a:gsLst>
            <a:gs pos="0">
              <a:srgbClr val="F79646">
                <a:shade val="51000"/>
                <a:satMod val="130000"/>
              </a:srgbClr>
            </a:gs>
            <a:gs pos="80000">
              <a:srgbClr val="F79646">
                <a:shade val="93000"/>
                <a:satMod val="130000"/>
              </a:srgbClr>
            </a:gs>
            <a:gs pos="100000">
              <a:srgbClr val="F79646">
                <a:shade val="94000"/>
                <a:satMod val="135000"/>
              </a:srgbClr>
            </a:gs>
          </a:gsLst>
          <a:lin ang="16200000" scaled="0"/>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rPr>
            <a:t>С</a:t>
          </a:r>
          <a:r>
            <a:rPr kumimoji="0" lang="en-US" sz="1600" b="1" i="0" u="none" strike="noStrike" kern="0" cap="none" spc="0" normalizeH="0" baseline="0" noProof="0">
              <a:ln>
                <a:noFill/>
              </a:ln>
              <a:solidFill>
                <a:sysClr val="windowText" lastClr="000000"/>
              </a:solidFill>
              <a:effectLst/>
              <a:uLnTx/>
              <a:uFillTx/>
              <a:latin typeface="Calibri" panose="020F0502020204030204"/>
              <a:ea typeface="+mn-ea"/>
              <a:cs typeface="+mn-cs"/>
            </a:rPr>
            <a:t>R</a:t>
          </a:r>
          <a:r>
            <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rPr>
            <a:t>-2</a:t>
          </a:r>
        </a:p>
      </xdr:txBody>
    </xdr:sp>
    <xdr:clientData/>
  </xdr:twoCellAnchor>
  <xdr:twoCellAnchor>
    <xdr:from>
      <xdr:col>6</xdr:col>
      <xdr:colOff>1922302</xdr:colOff>
      <xdr:row>24</xdr:row>
      <xdr:rowOff>519546</xdr:rowOff>
    </xdr:from>
    <xdr:to>
      <xdr:col>6</xdr:col>
      <xdr:colOff>2883502</xdr:colOff>
      <xdr:row>25</xdr:row>
      <xdr:rowOff>566346</xdr:rowOff>
    </xdr:to>
    <xdr:sp macro="" textlink="">
      <xdr:nvSpPr>
        <xdr:cNvPr id="19" name="Овал 18">
          <a:extLst>
            <a:ext uri="{FF2B5EF4-FFF2-40B4-BE49-F238E27FC236}">
              <a16:creationId xmlns:a16="http://schemas.microsoft.com/office/drawing/2014/main" xmlns="" id="{00000000-0008-0000-0700-000013000000}"/>
            </a:ext>
          </a:extLst>
        </xdr:cNvPr>
        <xdr:cNvSpPr>
          <a:spLocks noChangeAspect="1"/>
        </xdr:cNvSpPr>
      </xdr:nvSpPr>
      <xdr:spPr>
        <a:xfrm>
          <a:off x="12714127" y="21874596"/>
          <a:ext cx="961200" cy="942150"/>
        </a:xfrm>
        <a:prstGeom prst="ellipse">
          <a:avLst/>
        </a:prstGeom>
        <a:gradFill flip="none" rotWithShape="1">
          <a:gsLst>
            <a:gs pos="0">
              <a:srgbClr val="FFFF00">
                <a:shade val="30000"/>
                <a:satMod val="115000"/>
              </a:srgbClr>
            </a:gs>
            <a:gs pos="50000">
              <a:srgbClr val="FFFF00">
                <a:shade val="67500"/>
                <a:satMod val="115000"/>
              </a:srgbClr>
            </a:gs>
            <a:gs pos="100000">
              <a:srgbClr val="FFFF00">
                <a:shade val="100000"/>
                <a:satMod val="115000"/>
              </a:srgbClr>
            </a:gs>
          </a:gsLst>
          <a:lin ang="16200000" scaled="1"/>
          <a:tileRect/>
        </a:gradFill>
      </xdr:spPr>
      <xdr:style>
        <a:lnRef idx="1">
          <a:schemeClr val="accent3"/>
        </a:lnRef>
        <a:fillRef idx="3">
          <a:schemeClr val="accent3"/>
        </a:fillRef>
        <a:effectRef idx="2">
          <a:schemeClr val="accent3"/>
        </a:effectRef>
        <a:fontRef idx="minor">
          <a:schemeClr val="lt1"/>
        </a:fontRef>
      </xdr:style>
      <xdr:txBody>
        <a:bodyPr vertOverflow="clip" horzOverflow="clip" rtlCol="0" anchor="ctr"/>
        <a:lstStyle/>
        <a:p>
          <a:pPr algn="ctr"/>
          <a:r>
            <a:rPr lang="en-US" sz="1600" b="1">
              <a:solidFill>
                <a:schemeClr val="tx1"/>
              </a:solidFill>
            </a:rPr>
            <a:t>ICR-1</a:t>
          </a:r>
          <a:endParaRPr lang="ru-RU" sz="1050" b="1">
            <a:solidFill>
              <a:schemeClr val="tx1"/>
            </a:solidFill>
          </a:endParaRPr>
        </a:p>
      </xdr:txBody>
    </xdr:sp>
    <xdr:clientData/>
  </xdr:twoCellAnchor>
  <xdr:twoCellAnchor>
    <xdr:from>
      <xdr:col>4</xdr:col>
      <xdr:colOff>1764289</xdr:colOff>
      <xdr:row>13</xdr:row>
      <xdr:rowOff>699222</xdr:rowOff>
    </xdr:from>
    <xdr:to>
      <xdr:col>4</xdr:col>
      <xdr:colOff>2744764</xdr:colOff>
      <xdr:row>15</xdr:row>
      <xdr:rowOff>121227</xdr:rowOff>
    </xdr:to>
    <xdr:sp macro="" textlink="">
      <xdr:nvSpPr>
        <xdr:cNvPr id="21" name="Овал 20">
          <a:extLst>
            <a:ext uri="{FF2B5EF4-FFF2-40B4-BE49-F238E27FC236}">
              <a16:creationId xmlns:a16="http://schemas.microsoft.com/office/drawing/2014/main" xmlns="" id="{00000000-0008-0000-0700-000015000000}"/>
            </a:ext>
          </a:extLst>
        </xdr:cNvPr>
        <xdr:cNvSpPr>
          <a:spLocks noChangeAspect="1"/>
        </xdr:cNvSpPr>
      </xdr:nvSpPr>
      <xdr:spPr>
        <a:xfrm>
          <a:off x="6307714" y="11357697"/>
          <a:ext cx="980475" cy="1003155"/>
        </a:xfrm>
        <a:prstGeom prst="ellipse">
          <a:avLst/>
        </a:prstGeom>
        <a:gradFill rotWithShape="1">
          <a:gsLst>
            <a:gs pos="0">
              <a:srgbClr val="F79646">
                <a:shade val="51000"/>
                <a:satMod val="130000"/>
              </a:srgbClr>
            </a:gs>
            <a:gs pos="80000">
              <a:srgbClr val="F79646">
                <a:shade val="93000"/>
                <a:satMod val="130000"/>
              </a:srgbClr>
            </a:gs>
            <a:gs pos="100000">
              <a:srgbClr val="F79646">
                <a:shade val="94000"/>
                <a:satMod val="135000"/>
              </a:srgbClr>
            </a:gs>
          </a:gsLst>
          <a:lin ang="16200000" scaled="0"/>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ysClr val="windowText" lastClr="000000"/>
              </a:solidFill>
              <a:effectLst/>
              <a:uLnTx/>
              <a:uFillTx/>
              <a:latin typeface="Calibri" panose="020F0502020204030204"/>
              <a:ea typeface="+mn-ea"/>
              <a:cs typeface="+mn-cs"/>
            </a:rPr>
            <a:t>ICR</a:t>
          </a:r>
          <a:r>
            <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rPr>
            <a:t>-</a:t>
          </a:r>
          <a:r>
            <a:rPr kumimoji="0" lang="en-US" sz="1600" b="1" i="0" u="none" strike="noStrike" kern="0" cap="none" spc="0" normalizeH="0" baseline="0" noProof="0">
              <a:ln>
                <a:noFill/>
              </a:ln>
              <a:solidFill>
                <a:sysClr val="windowText" lastClr="000000"/>
              </a:solidFill>
              <a:effectLst/>
              <a:uLnTx/>
              <a:uFillTx/>
              <a:latin typeface="Calibri" panose="020F0502020204030204"/>
              <a:ea typeface="+mn-ea"/>
              <a:cs typeface="+mn-cs"/>
            </a:rPr>
            <a:t>2</a:t>
          </a:r>
          <a:endPar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7</xdr:col>
      <xdr:colOff>163079</xdr:colOff>
      <xdr:row>6</xdr:row>
      <xdr:rowOff>134688</xdr:rowOff>
    </xdr:from>
    <xdr:to>
      <xdr:col>7</xdr:col>
      <xdr:colOff>1136870</xdr:colOff>
      <xdr:row>8</xdr:row>
      <xdr:rowOff>88755</xdr:rowOff>
    </xdr:to>
    <xdr:sp macro="" textlink="">
      <xdr:nvSpPr>
        <xdr:cNvPr id="22" name="Овал 21">
          <a:extLst>
            <a:ext uri="{FF2B5EF4-FFF2-40B4-BE49-F238E27FC236}">
              <a16:creationId xmlns:a16="http://schemas.microsoft.com/office/drawing/2014/main" xmlns="" id="{00000000-0008-0000-0700-000016000000}"/>
            </a:ext>
          </a:extLst>
        </xdr:cNvPr>
        <xdr:cNvSpPr>
          <a:spLocks noChangeAspect="1"/>
        </xdr:cNvSpPr>
      </xdr:nvSpPr>
      <xdr:spPr>
        <a:xfrm>
          <a:off x="14079104" y="5592513"/>
          <a:ext cx="973791" cy="1001817"/>
        </a:xfrm>
        <a:prstGeom prst="ellipse">
          <a:avLst/>
        </a:prstGeom>
        <a:gradFill flip="none" rotWithShape="1">
          <a:gsLst>
            <a:gs pos="0">
              <a:srgbClr val="FF0000">
                <a:shade val="30000"/>
                <a:satMod val="115000"/>
              </a:srgbClr>
            </a:gs>
            <a:gs pos="50000">
              <a:srgbClr val="FF0000">
                <a:shade val="67500"/>
                <a:satMod val="115000"/>
              </a:srgbClr>
            </a:gs>
            <a:gs pos="100000">
              <a:srgbClr val="FF0000">
                <a:shade val="100000"/>
                <a:satMod val="115000"/>
              </a:srgbClr>
            </a:gs>
          </a:gsLst>
          <a:lin ang="16200000" scaled="1"/>
          <a:tileRect/>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ysClr val="windowText" lastClr="000000"/>
              </a:solidFill>
              <a:effectLst/>
              <a:uLnTx/>
              <a:uFillTx/>
              <a:latin typeface="Calibri" panose="020F0502020204030204"/>
              <a:ea typeface="+mn-ea"/>
              <a:cs typeface="+mn-cs"/>
            </a:rPr>
            <a:t>RTR-2</a:t>
          </a:r>
          <a:endPar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editAs="oneCell">
    <xdr:from>
      <xdr:col>19</xdr:col>
      <xdr:colOff>6134100</xdr:colOff>
      <xdr:row>2</xdr:row>
      <xdr:rowOff>76200</xdr:rowOff>
    </xdr:from>
    <xdr:to>
      <xdr:col>19</xdr:col>
      <xdr:colOff>11777762</xdr:colOff>
      <xdr:row>5</xdr:row>
      <xdr:rowOff>207963</xdr:rowOff>
    </xdr:to>
    <xdr:pic>
      <xdr:nvPicPr>
        <xdr:cNvPr id="23" name="Picture 2" descr="https://railways.kz/static/media/LogotipKTZH2.f99c52d2.png">
          <a:extLst>
            <a:ext uri="{FF2B5EF4-FFF2-40B4-BE49-F238E27FC236}">
              <a16:creationId xmlns:a16="http://schemas.microsoft.com/office/drawing/2014/main" xmlns="" id="{00000000-0008-0000-0700-00001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9766875" y="3781425"/>
          <a:ext cx="5643662" cy="1284288"/>
        </a:xfrm>
        <a:prstGeom prst="rect">
          <a:avLst/>
        </a:prstGeom>
        <a:solidFill>
          <a:sysClr val="window" lastClr="FFFFFF"/>
        </a:solidFill>
      </xdr:spPr>
    </xdr:pic>
    <xdr:clientData/>
  </xdr:twoCellAnchor>
  <xdr:twoCellAnchor>
    <xdr:from>
      <xdr:col>7</xdr:col>
      <xdr:colOff>-1</xdr:colOff>
      <xdr:row>23</xdr:row>
      <xdr:rowOff>-1</xdr:rowOff>
    </xdr:from>
    <xdr:to>
      <xdr:col>7</xdr:col>
      <xdr:colOff>961199</xdr:colOff>
      <xdr:row>24</xdr:row>
      <xdr:rowOff>8699</xdr:rowOff>
    </xdr:to>
    <xdr:sp macro="" textlink="">
      <xdr:nvSpPr>
        <xdr:cNvPr id="24" name="Овал 23">
          <a:extLst>
            <a:ext uri="{FF2B5EF4-FFF2-40B4-BE49-F238E27FC236}">
              <a16:creationId xmlns:a16="http://schemas.microsoft.com/office/drawing/2014/main" xmlns="" id="{00000000-0008-0000-0700-000018000000}"/>
            </a:ext>
          </a:extLst>
        </xdr:cNvPr>
        <xdr:cNvSpPr>
          <a:spLocks noChangeAspect="1"/>
        </xdr:cNvSpPr>
      </xdr:nvSpPr>
      <xdr:spPr>
        <a:xfrm>
          <a:off x="13916024" y="20421599"/>
          <a:ext cx="961200" cy="942150"/>
        </a:xfrm>
        <a:prstGeom prst="ellipse">
          <a:avLst/>
        </a:prstGeom>
        <a:gradFill flip="none" rotWithShape="1">
          <a:gsLst>
            <a:gs pos="0">
              <a:srgbClr val="FFFF00">
                <a:shade val="30000"/>
                <a:satMod val="115000"/>
              </a:srgbClr>
            </a:gs>
            <a:gs pos="50000">
              <a:srgbClr val="FFFF00">
                <a:shade val="67500"/>
                <a:satMod val="115000"/>
              </a:srgbClr>
            </a:gs>
            <a:gs pos="100000">
              <a:srgbClr val="FFFF00">
                <a:shade val="100000"/>
                <a:satMod val="115000"/>
              </a:srgbClr>
            </a:gs>
          </a:gsLst>
          <a:lin ang="16200000" scaled="1"/>
          <a:tileRect/>
        </a:gradFill>
      </xdr:spPr>
      <xdr:style>
        <a:lnRef idx="1">
          <a:schemeClr val="accent3"/>
        </a:lnRef>
        <a:fillRef idx="3">
          <a:schemeClr val="accent3"/>
        </a:fillRef>
        <a:effectRef idx="2">
          <a:schemeClr val="accent3"/>
        </a:effectRef>
        <a:fontRef idx="minor">
          <a:schemeClr val="lt1"/>
        </a:fontRef>
      </xdr:style>
      <xdr:txBody>
        <a:bodyPr vertOverflow="clip" horzOverflow="clip" rtlCol="0" anchor="ctr"/>
        <a:lstStyle/>
        <a:p>
          <a:pPr algn="ctr"/>
          <a:r>
            <a:rPr lang="en-US" sz="1600" b="1">
              <a:solidFill>
                <a:schemeClr val="tx1"/>
              </a:solidFill>
            </a:rPr>
            <a:t>HR-1</a:t>
          </a:r>
          <a:endParaRPr lang="ru-RU" sz="1050" b="1">
            <a:solidFill>
              <a:schemeClr val="tx1"/>
            </a:solidFill>
          </a:endParaRPr>
        </a:p>
      </xdr:txBody>
    </xdr:sp>
    <xdr:clientData/>
  </xdr:twoCellAnchor>
  <xdr:twoCellAnchor>
    <xdr:from>
      <xdr:col>7</xdr:col>
      <xdr:colOff>2140325</xdr:colOff>
      <xdr:row>8</xdr:row>
      <xdr:rowOff>70035</xdr:rowOff>
    </xdr:from>
    <xdr:to>
      <xdr:col>8</xdr:col>
      <xdr:colOff>925</xdr:colOff>
      <xdr:row>9</xdr:row>
      <xdr:rowOff>189098</xdr:rowOff>
    </xdr:to>
    <xdr:sp macro="" textlink="">
      <xdr:nvSpPr>
        <xdr:cNvPr id="25" name="Овал 24">
          <a:extLst>
            <a:ext uri="{FF2B5EF4-FFF2-40B4-BE49-F238E27FC236}">
              <a16:creationId xmlns:a16="http://schemas.microsoft.com/office/drawing/2014/main" xmlns="" id="{00000000-0008-0000-0700-000019000000}"/>
            </a:ext>
          </a:extLst>
        </xdr:cNvPr>
        <xdr:cNvSpPr>
          <a:spLocks noChangeAspect="1"/>
        </xdr:cNvSpPr>
      </xdr:nvSpPr>
      <xdr:spPr>
        <a:xfrm>
          <a:off x="16023013" y="6570848"/>
          <a:ext cx="980037" cy="952500"/>
        </a:xfrm>
        <a:prstGeom prst="ellipse">
          <a:avLst/>
        </a:prstGeom>
        <a:gradFill flip="none" rotWithShape="1">
          <a:gsLst>
            <a:gs pos="0">
              <a:srgbClr val="FF0000">
                <a:shade val="30000"/>
                <a:satMod val="115000"/>
              </a:srgbClr>
            </a:gs>
            <a:gs pos="50000">
              <a:srgbClr val="FF0000">
                <a:shade val="67500"/>
                <a:satMod val="115000"/>
              </a:srgbClr>
            </a:gs>
            <a:gs pos="100000">
              <a:srgbClr val="FF0000">
                <a:shade val="100000"/>
                <a:satMod val="115000"/>
              </a:srgbClr>
            </a:gs>
          </a:gsLst>
          <a:lin ang="16200000" scaled="1"/>
          <a:tileRect/>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ysClr val="windowText" lastClr="000000"/>
              </a:solidFill>
              <a:effectLst/>
              <a:uLnTx/>
              <a:uFillTx/>
              <a:latin typeface="Calibri" panose="020F0502020204030204"/>
              <a:ea typeface="+mn-ea"/>
              <a:cs typeface="+mn-cs"/>
            </a:rPr>
            <a:t>HTR-3</a:t>
          </a:r>
          <a:endPar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mc:AlternateContent xmlns:mc="http://schemas.openxmlformats.org/markup-compatibility/2006">
    <mc:Choice xmlns:a14="http://schemas.microsoft.com/office/drawing/2010/main" Requires="a14">
      <xdr:twoCellAnchor>
        <xdr:from>
          <xdr:col>18</xdr:col>
          <xdr:colOff>297180</xdr:colOff>
          <xdr:row>1</xdr:row>
          <xdr:rowOff>45720</xdr:rowOff>
        </xdr:from>
        <xdr:to>
          <xdr:col>19</xdr:col>
          <xdr:colOff>3421380</xdr:colOff>
          <xdr:row>4</xdr:row>
          <xdr:rowOff>647700</xdr:rowOff>
        </xdr:to>
        <xdr:sp macro="" textlink="">
          <xdr:nvSpPr>
            <xdr:cNvPr id="81921" name="Button 1" hidden="1">
              <a:extLst>
                <a:ext uri="{63B3BB69-23CF-44E3-9099-C40C66FF867C}">
                  <a14:compatExt spid="_x0000_s81921"/>
                </a:ext>
              </a:extLst>
            </xdr:cNvPr>
            <xdr:cNvSpPr/>
          </xdr:nvSpPr>
          <xdr:spPr>
            <a:xfrm>
              <a:off x="0" y="0"/>
              <a:ext cx="0" cy="0"/>
            </a:xfrm>
            <a:prstGeom prst="rect">
              <a:avLst/>
            </a:prstGeom>
          </xdr:spPr>
          <xdr:txBody>
            <a:bodyPr vertOverflow="clip" wrap="square" lIns="45720" tIns="45720" rIns="45720" bIns="45720" anchor="ctr" upright="1"/>
            <a:lstStyle/>
            <a:p>
              <a:pPr algn="ctr" rtl="0">
                <a:defRPr sz="1000"/>
              </a:pPr>
              <a:r>
                <a:rPr lang="ru-RU" sz="1800" b="0" i="0" u="none" strike="noStrike" baseline="0">
                  <a:solidFill>
                    <a:srgbClr val="000000"/>
                  </a:solidFill>
                  <a:latin typeface="Calibri"/>
                  <a:cs typeface="Calibri"/>
                </a:rPr>
                <a:t>ОБНОВИТЬ КАРТУ РИСКОВ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xdr:colOff>
          <xdr:row>3</xdr:row>
          <xdr:rowOff>617220</xdr:rowOff>
        </xdr:from>
        <xdr:to>
          <xdr:col>11</xdr:col>
          <xdr:colOff>1531620</xdr:colOff>
          <xdr:row>7</xdr:row>
          <xdr:rowOff>0</xdr:rowOff>
        </xdr:to>
        <xdr:sp macro="" textlink="">
          <xdr:nvSpPr>
            <xdr:cNvPr id="81922" name="Scroll Bar 2" hidden="1">
              <a:extLst>
                <a:ext uri="{63B3BB69-23CF-44E3-9099-C40C66FF867C}">
                  <a14:compatExt spid="_x0000_s81922"/>
                </a:ext>
              </a:extLst>
            </xdr:cNvPr>
            <xdr:cNvSpPr/>
          </xdr:nvSpPr>
          <xdr:spPr>
            <a:xfrm>
              <a:off x="0" y="0"/>
              <a:ext cx="0" cy="0"/>
            </a:xfrm>
            <a:prstGeom prst="rect">
              <a:avLst/>
            </a:prstGeom>
          </xdr:spPr>
        </xdr:sp>
        <xdr:clientData/>
      </xdr:twoCellAnchor>
    </mc:Choice>
    <mc:Fallback/>
  </mc:AlternateContent>
  <xdr:twoCellAnchor>
    <xdr:from>
      <xdr:col>7</xdr:col>
      <xdr:colOff>188191</xdr:colOff>
      <xdr:row>24</xdr:row>
      <xdr:rowOff>155080</xdr:rowOff>
    </xdr:from>
    <xdr:to>
      <xdr:col>7</xdr:col>
      <xdr:colOff>1149391</xdr:colOff>
      <xdr:row>25</xdr:row>
      <xdr:rowOff>211405</xdr:rowOff>
    </xdr:to>
    <xdr:sp macro="" textlink="">
      <xdr:nvSpPr>
        <xdr:cNvPr id="28" name="Овал 27">
          <a:extLst>
            <a:ext uri="{FF2B5EF4-FFF2-40B4-BE49-F238E27FC236}">
              <a16:creationId xmlns:a16="http://schemas.microsoft.com/office/drawing/2014/main" xmlns="" id="{00000000-0008-0000-0700-00001C000000}"/>
            </a:ext>
          </a:extLst>
        </xdr:cNvPr>
        <xdr:cNvSpPr>
          <a:spLocks noChangeAspect="1"/>
        </xdr:cNvSpPr>
      </xdr:nvSpPr>
      <xdr:spPr>
        <a:xfrm>
          <a:off x="14104216" y="21510130"/>
          <a:ext cx="961200" cy="951675"/>
        </a:xfrm>
        <a:prstGeom prst="ellipse">
          <a:avLst/>
        </a:prstGeom>
        <a:gradFill flip="none" rotWithShape="1">
          <a:gsLst>
            <a:gs pos="0">
              <a:srgbClr val="FFFF00">
                <a:shade val="30000"/>
                <a:satMod val="115000"/>
              </a:srgbClr>
            </a:gs>
            <a:gs pos="50000">
              <a:srgbClr val="FFFF00">
                <a:shade val="67500"/>
                <a:satMod val="115000"/>
              </a:srgbClr>
            </a:gs>
            <a:gs pos="100000">
              <a:srgbClr val="FFFF00">
                <a:shade val="100000"/>
                <a:satMod val="115000"/>
              </a:srgbClr>
            </a:gs>
          </a:gsLst>
          <a:lin ang="16200000" scaled="1"/>
          <a:tileRect/>
        </a:gradFill>
      </xdr:spPr>
      <xdr:style>
        <a:lnRef idx="1">
          <a:schemeClr val="accent3"/>
        </a:lnRef>
        <a:fillRef idx="3">
          <a:schemeClr val="accent3"/>
        </a:fillRef>
        <a:effectRef idx="2">
          <a:schemeClr val="accent3"/>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600" b="1" noProof="0">
              <a:solidFill>
                <a:schemeClr val="tx1"/>
              </a:solidFill>
              <a:latin typeface="+mn-lt"/>
              <a:ea typeface="+mn-ea"/>
              <a:cs typeface="+mn-cs"/>
            </a:rPr>
            <a:t>RTR-</a:t>
          </a:r>
          <a:r>
            <a:rPr lang="ru-RU" sz="1600" b="1" noProof="0">
              <a:solidFill>
                <a:schemeClr val="tx1"/>
              </a:solidFill>
              <a:latin typeface="+mn-lt"/>
              <a:ea typeface="+mn-ea"/>
              <a:cs typeface="+mn-cs"/>
            </a:rPr>
            <a:t>3</a:t>
          </a:r>
        </a:p>
      </xdr:txBody>
    </xdr:sp>
    <xdr:clientData/>
  </xdr:twoCellAnchor>
  <xdr:twoCellAnchor>
    <xdr:from>
      <xdr:col>6</xdr:col>
      <xdr:colOff>1003012</xdr:colOff>
      <xdr:row>10</xdr:row>
      <xdr:rowOff>802409</xdr:rowOff>
    </xdr:from>
    <xdr:to>
      <xdr:col>6</xdr:col>
      <xdr:colOff>1993012</xdr:colOff>
      <xdr:row>12</xdr:row>
      <xdr:rowOff>90898</xdr:rowOff>
    </xdr:to>
    <xdr:sp macro="" textlink="">
      <xdr:nvSpPr>
        <xdr:cNvPr id="29" name="Овал 28">
          <a:extLst>
            <a:ext uri="{FF2B5EF4-FFF2-40B4-BE49-F238E27FC236}">
              <a16:creationId xmlns:a16="http://schemas.microsoft.com/office/drawing/2014/main" xmlns="" id="{00000000-0008-0000-0700-00001D000000}"/>
            </a:ext>
          </a:extLst>
        </xdr:cNvPr>
        <xdr:cNvSpPr>
          <a:spLocks noChangeAspect="1"/>
        </xdr:cNvSpPr>
      </xdr:nvSpPr>
      <xdr:spPr>
        <a:xfrm>
          <a:off x="11769148" y="8913091"/>
          <a:ext cx="990000" cy="991443"/>
        </a:xfrm>
        <a:prstGeom prst="ellipse">
          <a:avLst/>
        </a:prstGeom>
        <a:gradFill rotWithShape="1">
          <a:gsLst>
            <a:gs pos="0">
              <a:srgbClr val="F79646">
                <a:shade val="51000"/>
                <a:satMod val="130000"/>
              </a:srgbClr>
            </a:gs>
            <a:gs pos="80000">
              <a:srgbClr val="F79646">
                <a:shade val="93000"/>
                <a:satMod val="130000"/>
              </a:srgbClr>
            </a:gs>
            <a:gs pos="100000">
              <a:srgbClr val="F79646">
                <a:shade val="94000"/>
                <a:satMod val="135000"/>
              </a:srgbClr>
            </a:gs>
          </a:gsLst>
          <a:lin ang="16200000" scaled="0"/>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ysClr val="windowText" lastClr="000000"/>
              </a:solidFill>
              <a:effectLst/>
              <a:uLnTx/>
              <a:uFillTx/>
              <a:latin typeface="Calibri" panose="020F0502020204030204"/>
              <a:ea typeface="+mn-ea"/>
              <a:cs typeface="+mn-cs"/>
            </a:rPr>
            <a:t>ER-1</a:t>
          </a:r>
          <a:endPar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5</xdr:col>
      <xdr:colOff>2117548</xdr:colOff>
      <xdr:row>10</xdr:row>
      <xdr:rowOff>105019</xdr:rowOff>
    </xdr:from>
    <xdr:to>
      <xdr:col>5</xdr:col>
      <xdr:colOff>3070046</xdr:colOff>
      <xdr:row>11</xdr:row>
      <xdr:rowOff>217363</xdr:rowOff>
    </xdr:to>
    <xdr:sp macro="" textlink="">
      <xdr:nvSpPr>
        <xdr:cNvPr id="30" name="Овал 29">
          <a:extLst>
            <a:ext uri="{FF2B5EF4-FFF2-40B4-BE49-F238E27FC236}">
              <a16:creationId xmlns:a16="http://schemas.microsoft.com/office/drawing/2014/main" xmlns="" id="{00000000-0008-0000-0700-00001E000000}"/>
            </a:ext>
          </a:extLst>
        </xdr:cNvPr>
        <xdr:cNvSpPr>
          <a:spLocks noChangeAspect="1"/>
        </xdr:cNvSpPr>
      </xdr:nvSpPr>
      <xdr:spPr>
        <a:xfrm>
          <a:off x="9766412" y="8215701"/>
          <a:ext cx="952498" cy="949389"/>
        </a:xfrm>
        <a:prstGeom prst="ellipse">
          <a:avLst/>
        </a:prstGeom>
        <a:gradFill rotWithShape="1">
          <a:gsLst>
            <a:gs pos="0">
              <a:srgbClr val="F79646">
                <a:shade val="51000"/>
                <a:satMod val="130000"/>
              </a:srgbClr>
            </a:gs>
            <a:gs pos="80000">
              <a:srgbClr val="F79646">
                <a:shade val="93000"/>
                <a:satMod val="130000"/>
              </a:srgbClr>
            </a:gs>
            <a:gs pos="100000">
              <a:srgbClr val="F79646">
                <a:shade val="94000"/>
                <a:satMod val="135000"/>
              </a:srgbClr>
            </a:gs>
          </a:gsLst>
          <a:lin ang="16200000" scaled="0"/>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ysClr val="windowText" lastClr="000000"/>
              </a:solidFill>
              <a:effectLst/>
              <a:uLnTx/>
              <a:uFillTx/>
              <a:latin typeface="Calibri" panose="020F0502020204030204"/>
              <a:ea typeface="+mn-ea"/>
              <a:cs typeface="+mn-cs"/>
            </a:rPr>
            <a:t>ER-2</a:t>
          </a:r>
          <a:endPar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6</xdr:col>
      <xdr:colOff>381000</xdr:colOff>
      <xdr:row>16</xdr:row>
      <xdr:rowOff>452437</xdr:rowOff>
    </xdr:from>
    <xdr:to>
      <xdr:col>6</xdr:col>
      <xdr:colOff>1264227</xdr:colOff>
      <xdr:row>17</xdr:row>
      <xdr:rowOff>448108</xdr:rowOff>
    </xdr:to>
    <xdr:sp macro="" textlink="">
      <xdr:nvSpPr>
        <xdr:cNvPr id="31" name="Овал 30">
          <a:extLst>
            <a:ext uri="{FF2B5EF4-FFF2-40B4-BE49-F238E27FC236}">
              <a16:creationId xmlns:a16="http://schemas.microsoft.com/office/drawing/2014/main" xmlns="" id="{00000000-0008-0000-0700-00001F000000}"/>
            </a:ext>
          </a:extLst>
        </xdr:cNvPr>
        <xdr:cNvSpPr>
          <a:spLocks noChangeAspect="1"/>
        </xdr:cNvSpPr>
      </xdr:nvSpPr>
      <xdr:spPr>
        <a:xfrm>
          <a:off x="11144250" y="13596937"/>
          <a:ext cx="883227" cy="900546"/>
        </a:xfrm>
        <a:prstGeom prst="ellipse">
          <a:avLst/>
        </a:prstGeom>
        <a:gradFill rotWithShape="1">
          <a:gsLst>
            <a:gs pos="0">
              <a:srgbClr val="F79646">
                <a:shade val="51000"/>
                <a:satMod val="130000"/>
              </a:srgbClr>
            </a:gs>
            <a:gs pos="80000">
              <a:srgbClr val="F79646">
                <a:shade val="93000"/>
                <a:satMod val="130000"/>
              </a:srgbClr>
            </a:gs>
            <a:gs pos="100000">
              <a:srgbClr val="F79646">
                <a:shade val="94000"/>
                <a:satMod val="135000"/>
              </a:srgbClr>
            </a:gs>
          </a:gsLst>
          <a:lin ang="16200000" scaled="0"/>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ysClr val="windowText" lastClr="000000"/>
              </a:solidFill>
              <a:effectLst/>
              <a:uLnTx/>
              <a:uFillTx/>
              <a:latin typeface="Calibri" panose="020F0502020204030204"/>
              <a:ea typeface="+mn-ea"/>
              <a:cs typeface="+mn-cs"/>
            </a:rPr>
            <a:t>RTR</a:t>
          </a:r>
          <a:r>
            <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rPr>
            <a:t>-</a:t>
          </a:r>
          <a:r>
            <a:rPr kumimoji="0" lang="en-US" sz="1600" b="1" i="0" u="none" strike="noStrike" kern="0" cap="none" spc="0" normalizeH="0" baseline="0" noProof="0">
              <a:ln>
                <a:noFill/>
              </a:ln>
              <a:solidFill>
                <a:sysClr val="windowText" lastClr="000000"/>
              </a:solidFill>
              <a:effectLst/>
              <a:uLnTx/>
              <a:uFillTx/>
              <a:latin typeface="Calibri" panose="020F0502020204030204"/>
              <a:ea typeface="+mn-ea"/>
              <a:cs typeface="+mn-cs"/>
            </a:rPr>
            <a:t>4</a:t>
          </a:r>
          <a:endPar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7</xdr:col>
      <xdr:colOff>1004454</xdr:colOff>
      <xdr:row>20</xdr:row>
      <xdr:rowOff>0</xdr:rowOff>
    </xdr:from>
    <xdr:to>
      <xdr:col>7</xdr:col>
      <xdr:colOff>1943277</xdr:colOff>
      <xdr:row>21</xdr:row>
      <xdr:rowOff>196827</xdr:rowOff>
    </xdr:to>
    <xdr:sp macro="" textlink="">
      <xdr:nvSpPr>
        <xdr:cNvPr id="32" name="Овал 31">
          <a:extLst>
            <a:ext uri="{FF2B5EF4-FFF2-40B4-BE49-F238E27FC236}">
              <a16:creationId xmlns:a16="http://schemas.microsoft.com/office/drawing/2014/main" xmlns="" id="{00000000-0008-0000-0700-000020000000}"/>
            </a:ext>
          </a:extLst>
        </xdr:cNvPr>
        <xdr:cNvSpPr>
          <a:spLocks noChangeAspect="1"/>
        </xdr:cNvSpPr>
      </xdr:nvSpPr>
      <xdr:spPr>
        <a:xfrm>
          <a:off x="14920479" y="17373600"/>
          <a:ext cx="938823" cy="958827"/>
        </a:xfrm>
        <a:prstGeom prst="ellipse">
          <a:avLst/>
        </a:prstGeom>
        <a:gradFill rotWithShape="1">
          <a:gsLst>
            <a:gs pos="0">
              <a:srgbClr val="F79646">
                <a:shade val="51000"/>
                <a:satMod val="130000"/>
              </a:srgbClr>
            </a:gs>
            <a:gs pos="80000">
              <a:srgbClr val="F79646">
                <a:shade val="93000"/>
                <a:satMod val="130000"/>
              </a:srgbClr>
            </a:gs>
            <a:gs pos="100000">
              <a:srgbClr val="F79646">
                <a:shade val="94000"/>
                <a:satMod val="135000"/>
              </a:srgbClr>
            </a:gs>
          </a:gsLst>
          <a:lin ang="16200000" scaled="0"/>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ysClr val="windowText" lastClr="000000"/>
              </a:solidFill>
              <a:effectLst/>
              <a:uLnTx/>
              <a:uFillTx/>
              <a:latin typeface="Calibri" panose="020F0502020204030204"/>
              <a:ea typeface="+mn-ea"/>
              <a:cs typeface="+mn-cs"/>
            </a:rPr>
            <a:t>OR</a:t>
          </a:r>
          <a:r>
            <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rPr>
            <a:t>-</a:t>
          </a:r>
          <a:r>
            <a:rPr kumimoji="0" lang="en-US" sz="1600" b="1" i="0" u="none" strike="noStrike" kern="0" cap="none" spc="0" normalizeH="0" baseline="0" noProof="0">
              <a:ln>
                <a:noFill/>
              </a:ln>
              <a:solidFill>
                <a:sysClr val="windowText" lastClr="000000"/>
              </a:solidFill>
              <a:effectLst/>
              <a:uLnTx/>
              <a:uFillTx/>
              <a:latin typeface="Calibri" panose="020F0502020204030204"/>
              <a:ea typeface="+mn-ea"/>
              <a:cs typeface="+mn-cs"/>
            </a:rPr>
            <a:t>7</a:t>
          </a:r>
          <a:endPar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6</xdr:col>
      <xdr:colOff>1386321</xdr:colOff>
      <xdr:row>19</xdr:row>
      <xdr:rowOff>723900</xdr:rowOff>
    </xdr:from>
    <xdr:to>
      <xdr:col>6</xdr:col>
      <xdr:colOff>2269548</xdr:colOff>
      <xdr:row>20</xdr:row>
      <xdr:rowOff>397020</xdr:rowOff>
    </xdr:to>
    <xdr:sp macro="" textlink="">
      <xdr:nvSpPr>
        <xdr:cNvPr id="33" name="Овал 32">
          <a:extLst>
            <a:ext uri="{FF2B5EF4-FFF2-40B4-BE49-F238E27FC236}">
              <a16:creationId xmlns:a16="http://schemas.microsoft.com/office/drawing/2014/main" xmlns="" id="{00000000-0008-0000-0700-000021000000}"/>
            </a:ext>
          </a:extLst>
        </xdr:cNvPr>
        <xdr:cNvSpPr>
          <a:spLocks noChangeAspect="1"/>
        </xdr:cNvSpPr>
      </xdr:nvSpPr>
      <xdr:spPr>
        <a:xfrm>
          <a:off x="12178146" y="16887825"/>
          <a:ext cx="883227" cy="882795"/>
        </a:xfrm>
        <a:prstGeom prst="ellipse">
          <a:avLst/>
        </a:prstGeom>
        <a:gradFill flip="none" rotWithShape="1">
          <a:gsLst>
            <a:gs pos="0">
              <a:srgbClr val="FFFF00">
                <a:shade val="30000"/>
                <a:satMod val="115000"/>
              </a:srgbClr>
            </a:gs>
            <a:gs pos="50000">
              <a:srgbClr val="FFFF00">
                <a:shade val="67500"/>
                <a:satMod val="115000"/>
              </a:srgbClr>
            </a:gs>
            <a:gs pos="100000">
              <a:srgbClr val="FFFF00">
                <a:shade val="100000"/>
                <a:satMod val="115000"/>
              </a:srgbClr>
            </a:gs>
          </a:gsLst>
          <a:lin ang="16200000" scaled="1"/>
          <a:tileRect/>
        </a:gradFill>
      </xdr:spPr>
      <xdr:style>
        <a:lnRef idx="1">
          <a:schemeClr val="accent3"/>
        </a:lnRef>
        <a:fillRef idx="3">
          <a:schemeClr val="accent3"/>
        </a:fillRef>
        <a:effectRef idx="2">
          <a:schemeClr val="accent3"/>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600" b="1" noProof="0">
              <a:solidFill>
                <a:schemeClr val="tx1"/>
              </a:solidFill>
              <a:latin typeface="+mn-lt"/>
              <a:ea typeface="+mn-ea"/>
              <a:cs typeface="+mn-cs"/>
            </a:rPr>
            <a:t>IR</a:t>
          </a:r>
          <a:r>
            <a:rPr lang="ru-RU" sz="1600" b="1" noProof="0">
              <a:solidFill>
                <a:schemeClr val="tx1"/>
              </a:solidFill>
              <a:latin typeface="+mn-lt"/>
              <a:ea typeface="+mn-ea"/>
              <a:cs typeface="+mn-cs"/>
            </a:rPr>
            <a:t>-3</a:t>
          </a:r>
        </a:p>
      </xdr:txBody>
    </xdr:sp>
    <xdr:clientData/>
  </xdr:twoCellAnchor>
  <xdr:twoCellAnchor>
    <xdr:from>
      <xdr:col>6</xdr:col>
      <xdr:colOff>333375</xdr:colOff>
      <xdr:row>9</xdr:row>
      <xdr:rowOff>736023</xdr:rowOff>
    </xdr:from>
    <xdr:to>
      <xdr:col>6</xdr:col>
      <xdr:colOff>1323375</xdr:colOff>
      <xdr:row>11</xdr:row>
      <xdr:rowOff>61314</xdr:rowOff>
    </xdr:to>
    <xdr:sp macro="" textlink="">
      <xdr:nvSpPr>
        <xdr:cNvPr id="34" name="Овал 33">
          <a:extLst>
            <a:ext uri="{FF2B5EF4-FFF2-40B4-BE49-F238E27FC236}">
              <a16:creationId xmlns:a16="http://schemas.microsoft.com/office/drawing/2014/main" xmlns="" id="{00000000-0008-0000-0700-000022000000}"/>
            </a:ext>
          </a:extLst>
        </xdr:cNvPr>
        <xdr:cNvSpPr>
          <a:spLocks noChangeAspect="1"/>
        </xdr:cNvSpPr>
      </xdr:nvSpPr>
      <xdr:spPr>
        <a:xfrm>
          <a:off x="11125200" y="8079798"/>
          <a:ext cx="990000" cy="954066"/>
        </a:xfrm>
        <a:prstGeom prst="ellipse">
          <a:avLst/>
        </a:prstGeom>
        <a:gradFill flip="none" rotWithShape="1">
          <a:gsLst>
            <a:gs pos="0">
              <a:srgbClr val="FF0000">
                <a:shade val="30000"/>
                <a:satMod val="115000"/>
              </a:srgbClr>
            </a:gs>
            <a:gs pos="50000">
              <a:srgbClr val="FF0000">
                <a:shade val="67500"/>
                <a:satMod val="115000"/>
              </a:srgbClr>
            </a:gs>
            <a:gs pos="100000">
              <a:srgbClr val="FF0000">
                <a:shade val="100000"/>
                <a:satMod val="115000"/>
              </a:srgbClr>
            </a:gs>
          </a:gsLst>
          <a:lin ang="16200000" scaled="1"/>
          <a:tileRect/>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ysClr val="windowText" lastClr="000000"/>
              </a:solidFill>
              <a:effectLst/>
              <a:uLnTx/>
              <a:uFillTx/>
              <a:latin typeface="Calibri" panose="020F0502020204030204"/>
              <a:ea typeface="+mn-ea"/>
              <a:cs typeface="+mn-cs"/>
            </a:rPr>
            <a:t>CCR-1</a:t>
          </a:r>
          <a:endPar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5</xdr:col>
      <xdr:colOff>1212272</xdr:colOff>
      <xdr:row>9</xdr:row>
      <xdr:rowOff>623454</xdr:rowOff>
    </xdr:from>
    <xdr:to>
      <xdr:col>5</xdr:col>
      <xdr:colOff>2173472</xdr:colOff>
      <xdr:row>10</xdr:row>
      <xdr:rowOff>784554</xdr:rowOff>
    </xdr:to>
    <xdr:sp macro="" textlink="">
      <xdr:nvSpPr>
        <xdr:cNvPr id="35" name="Овал 34">
          <a:extLst>
            <a:ext uri="{FF2B5EF4-FFF2-40B4-BE49-F238E27FC236}">
              <a16:creationId xmlns:a16="http://schemas.microsoft.com/office/drawing/2014/main" xmlns="" id="{00000000-0008-0000-0700-000023000000}"/>
            </a:ext>
          </a:extLst>
        </xdr:cNvPr>
        <xdr:cNvSpPr>
          <a:spLocks noChangeAspect="1"/>
        </xdr:cNvSpPr>
      </xdr:nvSpPr>
      <xdr:spPr>
        <a:xfrm>
          <a:off x="8879897" y="7967229"/>
          <a:ext cx="961200" cy="951675"/>
        </a:xfrm>
        <a:prstGeom prst="ellipse">
          <a:avLst/>
        </a:prstGeom>
        <a:gradFill rotWithShape="1">
          <a:gsLst>
            <a:gs pos="0">
              <a:srgbClr val="F79646">
                <a:shade val="51000"/>
                <a:satMod val="130000"/>
              </a:srgbClr>
            </a:gs>
            <a:gs pos="80000">
              <a:srgbClr val="F79646">
                <a:shade val="93000"/>
                <a:satMod val="130000"/>
              </a:srgbClr>
            </a:gs>
            <a:gs pos="100000">
              <a:srgbClr val="F79646">
                <a:shade val="94000"/>
                <a:satMod val="135000"/>
              </a:srgbClr>
            </a:gs>
          </a:gsLst>
          <a:lin ang="16200000" scaled="0"/>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ysClr val="windowText" lastClr="000000"/>
              </a:solidFill>
              <a:effectLst/>
              <a:uLnTx/>
              <a:uFillTx/>
              <a:latin typeface="Calibri" panose="020F0502020204030204"/>
              <a:ea typeface="+mn-ea"/>
              <a:cs typeface="+mn-cs"/>
            </a:rPr>
            <a:t>CCR</a:t>
          </a:r>
          <a:r>
            <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rPr>
            <a:t>-</a:t>
          </a:r>
          <a:r>
            <a:rPr kumimoji="0" lang="en-US" sz="1600" b="1" i="0" u="none" strike="noStrike" kern="0" cap="none" spc="0" normalizeH="0" baseline="0" noProof="0">
              <a:ln>
                <a:noFill/>
              </a:ln>
              <a:solidFill>
                <a:sysClr val="windowText" lastClr="000000"/>
              </a:solidFill>
              <a:effectLst/>
              <a:uLnTx/>
              <a:uFillTx/>
              <a:latin typeface="Calibri" panose="020F0502020204030204"/>
              <a:ea typeface="+mn-ea"/>
              <a:cs typeface="+mn-cs"/>
            </a:rPr>
            <a:t>8</a:t>
          </a:r>
          <a:endPar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7</xdr:col>
      <xdr:colOff>1206500</xdr:colOff>
      <xdr:row>6</xdr:row>
      <xdr:rowOff>158750</xdr:rowOff>
    </xdr:from>
    <xdr:to>
      <xdr:col>7</xdr:col>
      <xdr:colOff>2180291</xdr:colOff>
      <xdr:row>8</xdr:row>
      <xdr:rowOff>120755</xdr:rowOff>
    </xdr:to>
    <xdr:sp macro="" textlink="">
      <xdr:nvSpPr>
        <xdr:cNvPr id="36" name="Овал 35">
          <a:extLst>
            <a:ext uri="{FF2B5EF4-FFF2-40B4-BE49-F238E27FC236}">
              <a16:creationId xmlns:a16="http://schemas.microsoft.com/office/drawing/2014/main" xmlns="" id="{00000000-0008-0000-0700-000024000000}"/>
            </a:ext>
          </a:extLst>
        </xdr:cNvPr>
        <xdr:cNvSpPr>
          <a:spLocks noChangeAspect="1"/>
        </xdr:cNvSpPr>
      </xdr:nvSpPr>
      <xdr:spPr>
        <a:xfrm>
          <a:off x="15122525" y="5616575"/>
          <a:ext cx="973791" cy="1009755"/>
        </a:xfrm>
        <a:prstGeom prst="ellipse">
          <a:avLst/>
        </a:prstGeom>
        <a:gradFill flip="none" rotWithShape="1">
          <a:gsLst>
            <a:gs pos="0">
              <a:srgbClr val="FF0000">
                <a:shade val="30000"/>
                <a:satMod val="115000"/>
              </a:srgbClr>
            </a:gs>
            <a:gs pos="50000">
              <a:srgbClr val="FF0000">
                <a:shade val="67500"/>
                <a:satMod val="115000"/>
              </a:srgbClr>
            </a:gs>
            <a:gs pos="100000">
              <a:srgbClr val="FF0000">
                <a:shade val="100000"/>
                <a:satMod val="115000"/>
              </a:srgbClr>
            </a:gs>
          </a:gsLst>
          <a:lin ang="16200000" scaled="1"/>
          <a:tileRect/>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ysClr val="windowText" lastClr="000000"/>
              </a:solidFill>
              <a:effectLst/>
              <a:uLnTx/>
              <a:uFillTx/>
              <a:latin typeface="Calibri" panose="020F0502020204030204"/>
              <a:ea typeface="+mn-ea"/>
              <a:cs typeface="+mn-cs"/>
            </a:rPr>
            <a:t>CTR-7</a:t>
          </a:r>
          <a:endPar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7</xdr:col>
      <xdr:colOff>207961</xdr:colOff>
      <xdr:row>7</xdr:row>
      <xdr:rowOff>819148</xdr:rowOff>
    </xdr:from>
    <xdr:to>
      <xdr:col>7</xdr:col>
      <xdr:colOff>1173815</xdr:colOff>
      <xdr:row>9</xdr:row>
      <xdr:rowOff>154092</xdr:rowOff>
    </xdr:to>
    <xdr:sp macro="" textlink="">
      <xdr:nvSpPr>
        <xdr:cNvPr id="37" name="Овал 36">
          <a:extLst>
            <a:ext uri="{FF2B5EF4-FFF2-40B4-BE49-F238E27FC236}">
              <a16:creationId xmlns:a16="http://schemas.microsoft.com/office/drawing/2014/main" xmlns="" id="{00000000-0008-0000-0700-000025000000}"/>
            </a:ext>
          </a:extLst>
        </xdr:cNvPr>
        <xdr:cNvSpPr>
          <a:spLocks noChangeAspect="1"/>
        </xdr:cNvSpPr>
      </xdr:nvSpPr>
      <xdr:spPr>
        <a:xfrm>
          <a:off x="14123986" y="6486523"/>
          <a:ext cx="965854" cy="1011344"/>
        </a:xfrm>
        <a:prstGeom prst="ellipse">
          <a:avLst/>
        </a:prstGeom>
        <a:gradFill flip="none" rotWithShape="1">
          <a:gsLst>
            <a:gs pos="0">
              <a:srgbClr val="FF0000">
                <a:shade val="30000"/>
                <a:satMod val="115000"/>
              </a:srgbClr>
            </a:gs>
            <a:gs pos="50000">
              <a:srgbClr val="FF0000">
                <a:shade val="67500"/>
                <a:satMod val="115000"/>
              </a:srgbClr>
            </a:gs>
            <a:gs pos="100000">
              <a:srgbClr val="FF0000">
                <a:shade val="100000"/>
                <a:satMod val="115000"/>
              </a:srgbClr>
            </a:gs>
          </a:gsLst>
          <a:lin ang="16200000" scaled="1"/>
          <a:tileRect/>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ysClr val="windowText" lastClr="000000"/>
              </a:solidFill>
              <a:effectLst/>
              <a:uLnTx/>
              <a:uFillTx/>
              <a:latin typeface="Calibri" panose="020F0502020204030204"/>
              <a:ea typeface="+mn-ea"/>
              <a:cs typeface="+mn-cs"/>
            </a:rPr>
            <a:t>RTR-</a:t>
          </a:r>
          <a:r>
            <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rPr>
            <a:t>1</a:t>
          </a:r>
        </a:p>
      </xdr:txBody>
    </xdr:sp>
    <xdr:clientData/>
  </xdr:twoCellAnchor>
  <xdr:twoCellAnchor>
    <xdr:from>
      <xdr:col>7</xdr:col>
      <xdr:colOff>723899</xdr:colOff>
      <xdr:row>17</xdr:row>
      <xdr:rowOff>785811</xdr:rowOff>
    </xdr:from>
    <xdr:to>
      <xdr:col>7</xdr:col>
      <xdr:colOff>1685099</xdr:colOff>
      <xdr:row>18</xdr:row>
      <xdr:rowOff>818324</xdr:rowOff>
    </xdr:to>
    <xdr:sp macro="" textlink="">
      <xdr:nvSpPr>
        <xdr:cNvPr id="38" name="Овал 37">
          <a:extLst>
            <a:ext uri="{FF2B5EF4-FFF2-40B4-BE49-F238E27FC236}">
              <a16:creationId xmlns:a16="http://schemas.microsoft.com/office/drawing/2014/main" xmlns="" id="{00000000-0008-0000-0700-000026000000}"/>
            </a:ext>
          </a:extLst>
        </xdr:cNvPr>
        <xdr:cNvSpPr>
          <a:spLocks noChangeAspect="1"/>
        </xdr:cNvSpPr>
      </xdr:nvSpPr>
      <xdr:spPr>
        <a:xfrm>
          <a:off x="14639924" y="14835186"/>
          <a:ext cx="961200" cy="946913"/>
        </a:xfrm>
        <a:prstGeom prst="ellipse">
          <a:avLst/>
        </a:prstGeom>
        <a:gradFill rotWithShape="1">
          <a:gsLst>
            <a:gs pos="0">
              <a:srgbClr val="F79646">
                <a:shade val="51000"/>
                <a:satMod val="130000"/>
              </a:srgbClr>
            </a:gs>
            <a:gs pos="80000">
              <a:srgbClr val="F79646">
                <a:shade val="93000"/>
                <a:satMod val="130000"/>
              </a:srgbClr>
            </a:gs>
            <a:gs pos="100000">
              <a:srgbClr val="F79646">
                <a:shade val="94000"/>
                <a:satMod val="135000"/>
              </a:srgbClr>
            </a:gs>
          </a:gsLst>
          <a:lin ang="16200000" scaled="0"/>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a:ln>
                <a:noFill/>
              </a:ln>
              <a:solidFill>
                <a:sysClr val="windowText" lastClr="000000"/>
              </a:solidFill>
              <a:effectLst/>
              <a:uLnTx/>
              <a:uFillTx/>
              <a:latin typeface="Calibri" panose="020F0502020204030204"/>
              <a:ea typeface="+mn-ea"/>
              <a:cs typeface="+mn-cs"/>
            </a:rPr>
            <a:t>IR-</a:t>
          </a:r>
          <a:r>
            <a:rPr kumimoji="0" lang="ru-RU" sz="1600" b="1" i="0" u="none" strike="noStrike" kern="0" cap="none" spc="0" normalizeH="0" baseline="0">
              <a:ln>
                <a:noFill/>
              </a:ln>
              <a:solidFill>
                <a:sysClr val="windowText" lastClr="000000"/>
              </a:solidFill>
              <a:effectLst/>
              <a:uLnTx/>
              <a:uFillTx/>
              <a:latin typeface="Calibri" panose="020F0502020204030204"/>
              <a:ea typeface="+mn-ea"/>
              <a:cs typeface="+mn-cs"/>
            </a:rPr>
            <a:t>4</a:t>
          </a:r>
        </a:p>
      </xdr:txBody>
    </xdr:sp>
    <xdr:clientData/>
  </xdr:twoCellAnchor>
  <xdr:twoCellAnchor>
    <xdr:from>
      <xdr:col>6</xdr:col>
      <xdr:colOff>1466849</xdr:colOff>
      <xdr:row>23</xdr:row>
      <xdr:rowOff>95249</xdr:rowOff>
    </xdr:from>
    <xdr:to>
      <xdr:col>6</xdr:col>
      <xdr:colOff>2428049</xdr:colOff>
      <xdr:row>24</xdr:row>
      <xdr:rowOff>103949</xdr:rowOff>
    </xdr:to>
    <xdr:sp macro="" textlink="">
      <xdr:nvSpPr>
        <xdr:cNvPr id="39" name="Овал 38">
          <a:extLst>
            <a:ext uri="{FF2B5EF4-FFF2-40B4-BE49-F238E27FC236}">
              <a16:creationId xmlns:a16="http://schemas.microsoft.com/office/drawing/2014/main" xmlns="" id="{00000000-0008-0000-0700-000027000000}"/>
            </a:ext>
          </a:extLst>
        </xdr:cNvPr>
        <xdr:cNvSpPr>
          <a:spLocks noChangeAspect="1"/>
        </xdr:cNvSpPr>
      </xdr:nvSpPr>
      <xdr:spPr>
        <a:xfrm>
          <a:off x="12258674" y="20516849"/>
          <a:ext cx="961200" cy="942150"/>
        </a:xfrm>
        <a:prstGeom prst="ellipse">
          <a:avLst/>
        </a:prstGeom>
        <a:gradFill flip="none" rotWithShape="1">
          <a:gsLst>
            <a:gs pos="0">
              <a:srgbClr val="FFFF00">
                <a:shade val="30000"/>
                <a:satMod val="115000"/>
              </a:srgbClr>
            </a:gs>
            <a:gs pos="50000">
              <a:srgbClr val="FFFF00">
                <a:shade val="67500"/>
                <a:satMod val="115000"/>
              </a:srgbClr>
            </a:gs>
            <a:gs pos="100000">
              <a:srgbClr val="FFFF00">
                <a:shade val="100000"/>
                <a:satMod val="115000"/>
              </a:srgbClr>
            </a:gs>
          </a:gsLst>
          <a:lin ang="16200000" scaled="1"/>
          <a:tileRect/>
        </a:gradFill>
      </xdr:spPr>
      <xdr:style>
        <a:lnRef idx="1">
          <a:schemeClr val="accent3"/>
        </a:lnRef>
        <a:fillRef idx="3">
          <a:schemeClr val="accent3"/>
        </a:fillRef>
        <a:effectRef idx="2">
          <a:schemeClr val="accent3"/>
        </a:effectRef>
        <a:fontRef idx="minor">
          <a:schemeClr val="lt1"/>
        </a:fontRef>
      </xdr:style>
      <xdr:txBody>
        <a:bodyPr vertOverflow="clip" horzOverflow="clip" rtlCol="0" anchor="ctr"/>
        <a:lstStyle/>
        <a:p>
          <a:pPr algn="ctr"/>
          <a:r>
            <a:rPr lang="en-US" sz="1600" b="1">
              <a:solidFill>
                <a:schemeClr val="tx1"/>
              </a:solidFill>
            </a:rPr>
            <a:t>IR-</a:t>
          </a:r>
          <a:r>
            <a:rPr lang="ru-RU" sz="1600" b="1">
              <a:solidFill>
                <a:schemeClr val="tx1"/>
              </a:solidFill>
            </a:rPr>
            <a:t>5</a:t>
          </a:r>
          <a:endParaRPr lang="ru-RU" sz="1050" b="1">
            <a:solidFill>
              <a:schemeClr val="tx1"/>
            </a:solidFill>
          </a:endParaRPr>
        </a:p>
      </xdr:txBody>
    </xdr:sp>
    <xdr:clientData/>
  </xdr:twoCellAnchor>
  <xdr:twoCellAnchor>
    <xdr:from>
      <xdr:col>5</xdr:col>
      <xdr:colOff>2171699</xdr:colOff>
      <xdr:row>23</xdr:row>
      <xdr:rowOff>38099</xdr:rowOff>
    </xdr:from>
    <xdr:to>
      <xdr:col>6</xdr:col>
      <xdr:colOff>19653</xdr:colOff>
      <xdr:row>24</xdr:row>
      <xdr:rowOff>46799</xdr:rowOff>
    </xdr:to>
    <xdr:sp macro="" textlink="">
      <xdr:nvSpPr>
        <xdr:cNvPr id="40" name="Овал 39">
          <a:extLst>
            <a:ext uri="{FF2B5EF4-FFF2-40B4-BE49-F238E27FC236}">
              <a16:creationId xmlns:a16="http://schemas.microsoft.com/office/drawing/2014/main" xmlns="" id="{00000000-0008-0000-0700-000028000000}"/>
            </a:ext>
          </a:extLst>
        </xdr:cNvPr>
        <xdr:cNvSpPr>
          <a:spLocks noChangeAspect="1"/>
        </xdr:cNvSpPr>
      </xdr:nvSpPr>
      <xdr:spPr>
        <a:xfrm>
          <a:off x="9839324" y="20459699"/>
          <a:ext cx="972154" cy="942150"/>
        </a:xfrm>
        <a:prstGeom prst="ellipse">
          <a:avLst/>
        </a:prstGeom>
        <a:gradFill flip="none" rotWithShape="1">
          <a:gsLst>
            <a:gs pos="0">
              <a:srgbClr val="FFFF00">
                <a:shade val="30000"/>
                <a:satMod val="115000"/>
              </a:srgbClr>
            </a:gs>
            <a:gs pos="50000">
              <a:srgbClr val="FFFF00">
                <a:shade val="67500"/>
                <a:satMod val="115000"/>
              </a:srgbClr>
            </a:gs>
            <a:gs pos="100000">
              <a:srgbClr val="FFFF00">
                <a:shade val="100000"/>
                <a:satMod val="115000"/>
              </a:srgbClr>
            </a:gs>
          </a:gsLst>
          <a:lin ang="16200000" scaled="1"/>
          <a:tileRect/>
        </a:gradFill>
      </xdr:spPr>
      <xdr:style>
        <a:lnRef idx="1">
          <a:schemeClr val="accent3"/>
        </a:lnRef>
        <a:fillRef idx="3">
          <a:schemeClr val="accent3"/>
        </a:fillRef>
        <a:effectRef idx="2">
          <a:schemeClr val="accent3"/>
        </a:effectRef>
        <a:fontRef idx="minor">
          <a:schemeClr val="lt1"/>
        </a:fontRef>
      </xdr:style>
      <xdr:txBody>
        <a:bodyPr vertOverflow="clip" horzOverflow="clip" rtlCol="0" anchor="ctr"/>
        <a:lstStyle/>
        <a:p>
          <a:pPr algn="ctr"/>
          <a:r>
            <a:rPr lang="en-US" sz="1600" b="1">
              <a:solidFill>
                <a:schemeClr val="tx1"/>
              </a:solidFill>
            </a:rPr>
            <a:t>IR-</a:t>
          </a:r>
          <a:r>
            <a:rPr lang="ru-RU" sz="1600" b="1">
              <a:solidFill>
                <a:schemeClr val="tx1"/>
              </a:solidFill>
            </a:rPr>
            <a:t>6</a:t>
          </a:r>
          <a:endParaRPr lang="ru-RU" sz="1050" b="1">
            <a:solidFill>
              <a:schemeClr val="tx1"/>
            </a:solidFill>
          </a:endParaRPr>
        </a:p>
      </xdr:txBody>
    </xdr:sp>
    <xdr:clientData/>
  </xdr:twoCellAnchor>
  <xdr:twoCellAnchor>
    <xdr:from>
      <xdr:col>7</xdr:col>
      <xdr:colOff>1227384</xdr:colOff>
      <xdr:row>9</xdr:row>
      <xdr:rowOff>234603</xdr:rowOff>
    </xdr:from>
    <xdr:to>
      <xdr:col>7</xdr:col>
      <xdr:colOff>2251710</xdr:colOff>
      <xdr:row>10</xdr:row>
      <xdr:rowOff>452437</xdr:rowOff>
    </xdr:to>
    <xdr:sp macro="" textlink="">
      <xdr:nvSpPr>
        <xdr:cNvPr id="41" name="Овал 40">
          <a:extLst>
            <a:ext uri="{FF2B5EF4-FFF2-40B4-BE49-F238E27FC236}">
              <a16:creationId xmlns:a16="http://schemas.microsoft.com/office/drawing/2014/main" xmlns="" id="{00000000-0008-0000-0700-000029000000}"/>
            </a:ext>
          </a:extLst>
        </xdr:cNvPr>
        <xdr:cNvSpPr>
          <a:spLocks noChangeAspect="1"/>
        </xdr:cNvSpPr>
      </xdr:nvSpPr>
      <xdr:spPr>
        <a:xfrm>
          <a:off x="15143409" y="7578378"/>
          <a:ext cx="1024326" cy="1008409"/>
        </a:xfrm>
        <a:prstGeom prst="ellipse">
          <a:avLst/>
        </a:prstGeom>
        <a:gradFill flip="none" rotWithShape="1">
          <a:gsLst>
            <a:gs pos="0">
              <a:srgbClr val="FF0000">
                <a:shade val="30000"/>
                <a:satMod val="115000"/>
              </a:srgbClr>
            </a:gs>
            <a:gs pos="50000">
              <a:srgbClr val="FF0000">
                <a:shade val="67500"/>
                <a:satMod val="115000"/>
              </a:srgbClr>
            </a:gs>
            <a:gs pos="100000">
              <a:srgbClr val="FF0000">
                <a:shade val="100000"/>
                <a:satMod val="115000"/>
              </a:srgbClr>
            </a:gs>
          </a:gsLst>
          <a:lin ang="16200000" scaled="1"/>
          <a:tileRect/>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ysClr val="windowText" lastClr="000000"/>
              </a:solidFill>
              <a:effectLst/>
              <a:uLnTx/>
              <a:uFillTx/>
              <a:latin typeface="Calibri" panose="020F0502020204030204"/>
              <a:ea typeface="+mn-ea"/>
              <a:cs typeface="+mn-cs"/>
            </a:rPr>
            <a:t>HR-3</a:t>
          </a:r>
          <a:endPar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5</xdr:col>
      <xdr:colOff>2715091</xdr:colOff>
      <xdr:row>6</xdr:row>
      <xdr:rowOff>66302</xdr:rowOff>
    </xdr:from>
    <xdr:to>
      <xdr:col>6</xdr:col>
      <xdr:colOff>569445</xdr:colOff>
      <xdr:row>8</xdr:row>
      <xdr:rowOff>12431</xdr:rowOff>
    </xdr:to>
    <xdr:sp macro="" textlink="">
      <xdr:nvSpPr>
        <xdr:cNvPr id="42" name="Овал 41">
          <a:extLst>
            <a:ext uri="{FF2B5EF4-FFF2-40B4-BE49-F238E27FC236}">
              <a16:creationId xmlns:a16="http://schemas.microsoft.com/office/drawing/2014/main" xmlns="" id="{00000000-0008-0000-0700-00002A000000}"/>
            </a:ext>
          </a:extLst>
        </xdr:cNvPr>
        <xdr:cNvSpPr>
          <a:spLocks noChangeAspect="1"/>
        </xdr:cNvSpPr>
      </xdr:nvSpPr>
      <xdr:spPr>
        <a:xfrm>
          <a:off x="10382716" y="5524127"/>
          <a:ext cx="978554" cy="993879"/>
        </a:xfrm>
        <a:prstGeom prst="ellipse">
          <a:avLst/>
        </a:prstGeom>
        <a:gradFill flip="none" rotWithShape="1">
          <a:gsLst>
            <a:gs pos="0">
              <a:srgbClr val="FF0000">
                <a:shade val="30000"/>
                <a:satMod val="115000"/>
              </a:srgbClr>
            </a:gs>
            <a:gs pos="50000">
              <a:srgbClr val="FF0000">
                <a:shade val="67500"/>
                <a:satMod val="115000"/>
              </a:srgbClr>
            </a:gs>
            <a:gs pos="100000">
              <a:srgbClr val="FF0000">
                <a:shade val="100000"/>
                <a:satMod val="115000"/>
              </a:srgbClr>
            </a:gs>
          </a:gsLst>
          <a:lin ang="16200000" scaled="1"/>
          <a:tileRect/>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ysClr val="windowText" lastClr="000000"/>
              </a:solidFill>
              <a:effectLst/>
              <a:uLnTx/>
              <a:uFillTx/>
              <a:latin typeface="Calibri" panose="020F0502020204030204"/>
              <a:ea typeface="+mn-ea"/>
              <a:cs typeface="+mn-cs"/>
            </a:rPr>
            <a:t>PIR-1</a:t>
          </a:r>
          <a:endPar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6</xdr:col>
      <xdr:colOff>404813</xdr:colOff>
      <xdr:row>6</xdr:row>
      <xdr:rowOff>119063</xdr:rowOff>
    </xdr:from>
    <xdr:to>
      <xdr:col>6</xdr:col>
      <xdr:colOff>1394813</xdr:colOff>
      <xdr:row>8</xdr:row>
      <xdr:rowOff>63477</xdr:rowOff>
    </xdr:to>
    <xdr:sp macro="" textlink="">
      <xdr:nvSpPr>
        <xdr:cNvPr id="43" name="Овал 42">
          <a:extLst>
            <a:ext uri="{FF2B5EF4-FFF2-40B4-BE49-F238E27FC236}">
              <a16:creationId xmlns:a16="http://schemas.microsoft.com/office/drawing/2014/main" xmlns="" id="{00000000-0008-0000-0700-00002B000000}"/>
            </a:ext>
          </a:extLst>
        </xdr:cNvPr>
        <xdr:cNvSpPr>
          <a:spLocks noChangeAspect="1"/>
        </xdr:cNvSpPr>
      </xdr:nvSpPr>
      <xdr:spPr>
        <a:xfrm>
          <a:off x="11196638" y="5576888"/>
          <a:ext cx="990000" cy="992164"/>
        </a:xfrm>
        <a:prstGeom prst="ellipse">
          <a:avLst/>
        </a:prstGeom>
        <a:gradFill flip="none" rotWithShape="1">
          <a:gsLst>
            <a:gs pos="0">
              <a:srgbClr val="FF0000">
                <a:shade val="30000"/>
                <a:satMod val="115000"/>
              </a:srgbClr>
            </a:gs>
            <a:gs pos="50000">
              <a:srgbClr val="FF0000">
                <a:shade val="67500"/>
                <a:satMod val="115000"/>
              </a:srgbClr>
            </a:gs>
            <a:gs pos="100000">
              <a:srgbClr val="FF0000">
                <a:shade val="100000"/>
                <a:satMod val="115000"/>
              </a:srgbClr>
            </a:gs>
          </a:gsLst>
          <a:lin ang="16200000" scaled="1"/>
          <a:tileRect/>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ysClr val="windowText" lastClr="000000"/>
              </a:solidFill>
              <a:effectLst/>
              <a:uLnTx/>
              <a:uFillTx/>
              <a:latin typeface="Calibri" panose="020F0502020204030204"/>
              <a:ea typeface="+mn-ea"/>
              <a:cs typeface="+mn-cs"/>
            </a:rPr>
            <a:t>IR-1</a:t>
          </a:r>
          <a:endPar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4</xdr:col>
      <xdr:colOff>2837962</xdr:colOff>
      <xdr:row>7</xdr:row>
      <xdr:rowOff>111736</xdr:rowOff>
    </xdr:from>
    <xdr:to>
      <xdr:col>5</xdr:col>
      <xdr:colOff>667774</xdr:colOff>
      <xdr:row>8</xdr:row>
      <xdr:rowOff>236427</xdr:rowOff>
    </xdr:to>
    <xdr:sp macro="" textlink="">
      <xdr:nvSpPr>
        <xdr:cNvPr id="44" name="Овал 43">
          <a:extLst>
            <a:ext uri="{FF2B5EF4-FFF2-40B4-BE49-F238E27FC236}">
              <a16:creationId xmlns:a16="http://schemas.microsoft.com/office/drawing/2014/main" xmlns="" id="{00000000-0008-0000-0700-00002C000000}"/>
            </a:ext>
          </a:extLst>
        </xdr:cNvPr>
        <xdr:cNvSpPr>
          <a:spLocks noChangeAspect="1"/>
        </xdr:cNvSpPr>
      </xdr:nvSpPr>
      <xdr:spPr>
        <a:xfrm>
          <a:off x="7381387" y="5779111"/>
          <a:ext cx="954012" cy="962891"/>
        </a:xfrm>
        <a:prstGeom prst="ellipse">
          <a:avLst/>
        </a:prstGeom>
        <a:gradFill rotWithShape="1">
          <a:gsLst>
            <a:gs pos="0">
              <a:srgbClr val="F79646">
                <a:shade val="51000"/>
                <a:satMod val="130000"/>
              </a:srgbClr>
            </a:gs>
            <a:gs pos="80000">
              <a:srgbClr val="F79646">
                <a:shade val="93000"/>
                <a:satMod val="130000"/>
              </a:srgbClr>
            </a:gs>
            <a:gs pos="100000">
              <a:srgbClr val="F79646">
                <a:shade val="94000"/>
                <a:satMod val="135000"/>
              </a:srgbClr>
            </a:gs>
          </a:gsLst>
          <a:lin ang="16200000" scaled="0"/>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ysClr val="windowText" lastClr="000000"/>
              </a:solidFill>
              <a:effectLst/>
              <a:uLnTx/>
              <a:uFillTx/>
              <a:latin typeface="Calibri" panose="020F0502020204030204"/>
              <a:ea typeface="+mn-ea"/>
              <a:cs typeface="+mn-cs"/>
            </a:rPr>
            <a:t>FX-</a:t>
          </a:r>
          <a:r>
            <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rPr>
            <a:t>2</a:t>
          </a:r>
        </a:p>
      </xdr:txBody>
    </xdr:sp>
    <xdr:clientData/>
  </xdr:twoCellAnchor>
  <xdr:twoCellAnchor>
    <xdr:from>
      <xdr:col>7</xdr:col>
      <xdr:colOff>1031875</xdr:colOff>
      <xdr:row>8</xdr:row>
      <xdr:rowOff>174626</xdr:rowOff>
    </xdr:from>
    <xdr:to>
      <xdr:col>7</xdr:col>
      <xdr:colOff>1968500</xdr:colOff>
      <xdr:row>9</xdr:row>
      <xdr:rowOff>296530</xdr:rowOff>
    </xdr:to>
    <xdr:sp macro="" textlink="">
      <xdr:nvSpPr>
        <xdr:cNvPr id="45" name="Овал 44">
          <a:extLst>
            <a:ext uri="{FF2B5EF4-FFF2-40B4-BE49-F238E27FC236}">
              <a16:creationId xmlns:a16="http://schemas.microsoft.com/office/drawing/2014/main" xmlns="" id="{00000000-0008-0000-0700-00002D000000}"/>
            </a:ext>
          </a:extLst>
        </xdr:cNvPr>
        <xdr:cNvSpPr>
          <a:spLocks noChangeAspect="1"/>
        </xdr:cNvSpPr>
      </xdr:nvSpPr>
      <xdr:spPr>
        <a:xfrm>
          <a:off x="14947900" y="6680201"/>
          <a:ext cx="936625" cy="960104"/>
        </a:xfrm>
        <a:prstGeom prst="ellipse">
          <a:avLst/>
        </a:prstGeom>
        <a:gradFill flip="none" rotWithShape="1">
          <a:gsLst>
            <a:gs pos="0">
              <a:srgbClr val="FF0000">
                <a:shade val="30000"/>
                <a:satMod val="115000"/>
              </a:srgbClr>
            </a:gs>
            <a:gs pos="50000">
              <a:srgbClr val="FF0000">
                <a:shade val="67500"/>
                <a:satMod val="115000"/>
              </a:srgbClr>
            </a:gs>
            <a:gs pos="100000">
              <a:srgbClr val="FF0000">
                <a:shade val="100000"/>
                <a:satMod val="115000"/>
              </a:srgbClr>
            </a:gs>
          </a:gsLst>
          <a:lin ang="16200000" scaled="1"/>
          <a:tileRect/>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ysClr val="windowText" lastClr="000000"/>
              </a:solidFill>
              <a:effectLst/>
              <a:uLnTx/>
              <a:uFillTx/>
              <a:latin typeface="Calibri" panose="020F0502020204030204"/>
              <a:ea typeface="+mn-ea"/>
              <a:cs typeface="+mn-cs"/>
            </a:rPr>
            <a:t>CTR-</a:t>
          </a:r>
          <a:r>
            <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rPr>
            <a:t>5</a:t>
          </a:r>
        </a:p>
      </xdr:txBody>
    </xdr:sp>
    <xdr:clientData/>
  </xdr:twoCellAnchor>
  <xdr:twoCellAnchor>
    <xdr:from>
      <xdr:col>5</xdr:col>
      <xdr:colOff>3001962</xdr:colOff>
      <xdr:row>7</xdr:row>
      <xdr:rowOff>787401</xdr:rowOff>
    </xdr:from>
    <xdr:to>
      <xdr:col>6</xdr:col>
      <xdr:colOff>872524</xdr:colOff>
      <xdr:row>9</xdr:row>
      <xdr:rowOff>104753</xdr:rowOff>
    </xdr:to>
    <xdr:sp macro="" textlink="">
      <xdr:nvSpPr>
        <xdr:cNvPr id="46" name="Овал 45">
          <a:extLst>
            <a:ext uri="{FF2B5EF4-FFF2-40B4-BE49-F238E27FC236}">
              <a16:creationId xmlns:a16="http://schemas.microsoft.com/office/drawing/2014/main" xmlns="" id="{00000000-0008-0000-0700-00002E000000}"/>
            </a:ext>
          </a:extLst>
        </xdr:cNvPr>
        <xdr:cNvSpPr>
          <a:spLocks noChangeAspect="1"/>
        </xdr:cNvSpPr>
      </xdr:nvSpPr>
      <xdr:spPr>
        <a:xfrm>
          <a:off x="10669587" y="6454776"/>
          <a:ext cx="994762" cy="993752"/>
        </a:xfrm>
        <a:prstGeom prst="ellipse">
          <a:avLst/>
        </a:prstGeom>
        <a:gradFill flip="none" rotWithShape="1">
          <a:gsLst>
            <a:gs pos="0">
              <a:srgbClr val="FF0000">
                <a:shade val="30000"/>
                <a:satMod val="115000"/>
              </a:srgbClr>
            </a:gs>
            <a:gs pos="50000">
              <a:srgbClr val="FF0000">
                <a:shade val="67500"/>
                <a:satMod val="115000"/>
              </a:srgbClr>
            </a:gs>
            <a:gs pos="100000">
              <a:srgbClr val="FF0000">
                <a:shade val="100000"/>
                <a:satMod val="115000"/>
              </a:srgbClr>
            </a:gs>
          </a:gsLst>
          <a:lin ang="16200000" scaled="1"/>
          <a:tileRect/>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ysClr val="windowText" lastClr="000000"/>
              </a:solidFill>
              <a:effectLst/>
              <a:uLnTx/>
              <a:uFillTx/>
              <a:latin typeface="Calibri" panose="020F0502020204030204"/>
              <a:ea typeface="+mn-ea"/>
              <a:cs typeface="+mn-cs"/>
            </a:rPr>
            <a:t>OR-3</a:t>
          </a:r>
          <a:endPar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6</xdr:col>
      <xdr:colOff>1047750</xdr:colOff>
      <xdr:row>13</xdr:row>
      <xdr:rowOff>47625</xdr:rowOff>
    </xdr:from>
    <xdr:to>
      <xdr:col>6</xdr:col>
      <xdr:colOff>1930977</xdr:colOff>
      <xdr:row>14</xdr:row>
      <xdr:rowOff>186171</xdr:rowOff>
    </xdr:to>
    <xdr:sp macro="" textlink="">
      <xdr:nvSpPr>
        <xdr:cNvPr id="48" name="Овал 47">
          <a:extLst>
            <a:ext uri="{FF2B5EF4-FFF2-40B4-BE49-F238E27FC236}">
              <a16:creationId xmlns:a16="http://schemas.microsoft.com/office/drawing/2014/main" xmlns="" id="{00000000-0008-0000-0700-000030000000}"/>
            </a:ext>
          </a:extLst>
        </xdr:cNvPr>
        <xdr:cNvSpPr>
          <a:spLocks noChangeAspect="1"/>
        </xdr:cNvSpPr>
      </xdr:nvSpPr>
      <xdr:spPr>
        <a:xfrm>
          <a:off x="11839575" y="10706100"/>
          <a:ext cx="883227" cy="919596"/>
        </a:xfrm>
        <a:prstGeom prst="ellipse">
          <a:avLst/>
        </a:prstGeom>
        <a:gradFill rotWithShape="1">
          <a:gsLst>
            <a:gs pos="0">
              <a:srgbClr val="F79646">
                <a:shade val="51000"/>
                <a:satMod val="130000"/>
              </a:srgbClr>
            </a:gs>
            <a:gs pos="80000">
              <a:srgbClr val="F79646">
                <a:shade val="93000"/>
                <a:satMod val="130000"/>
              </a:srgbClr>
            </a:gs>
            <a:gs pos="100000">
              <a:srgbClr val="F79646">
                <a:shade val="94000"/>
                <a:satMod val="135000"/>
              </a:srgbClr>
            </a:gs>
          </a:gsLst>
          <a:lin ang="16200000" scaled="0"/>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ysClr val="windowText" lastClr="000000"/>
              </a:solidFill>
              <a:effectLst/>
              <a:uLnTx/>
              <a:uFillTx/>
              <a:latin typeface="Calibri" panose="020F0502020204030204"/>
              <a:ea typeface="+mn-ea"/>
              <a:cs typeface="+mn-cs"/>
            </a:rPr>
            <a:t>OR-6</a:t>
          </a:r>
          <a:endPar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4</xdr:col>
      <xdr:colOff>1000125</xdr:colOff>
      <xdr:row>8</xdr:row>
      <xdr:rowOff>642938</xdr:rowOff>
    </xdr:from>
    <xdr:to>
      <xdr:col>4</xdr:col>
      <xdr:colOff>1990125</xdr:colOff>
      <xdr:row>9</xdr:row>
      <xdr:rowOff>764862</xdr:rowOff>
    </xdr:to>
    <xdr:sp macro="" textlink="">
      <xdr:nvSpPr>
        <xdr:cNvPr id="49" name="Овал 48">
          <a:extLst>
            <a:ext uri="{FF2B5EF4-FFF2-40B4-BE49-F238E27FC236}">
              <a16:creationId xmlns:a16="http://schemas.microsoft.com/office/drawing/2014/main" xmlns="" id="{00000000-0008-0000-0700-000031000000}"/>
            </a:ext>
          </a:extLst>
        </xdr:cNvPr>
        <xdr:cNvSpPr>
          <a:spLocks noChangeAspect="1"/>
        </xdr:cNvSpPr>
      </xdr:nvSpPr>
      <xdr:spPr>
        <a:xfrm>
          <a:off x="5543550" y="7148513"/>
          <a:ext cx="990000" cy="960124"/>
        </a:xfrm>
        <a:prstGeom prst="ellipse">
          <a:avLst/>
        </a:prstGeom>
        <a:gradFill rotWithShape="1">
          <a:gsLst>
            <a:gs pos="0">
              <a:srgbClr val="F79646">
                <a:shade val="51000"/>
                <a:satMod val="130000"/>
              </a:srgbClr>
            </a:gs>
            <a:gs pos="80000">
              <a:srgbClr val="F79646">
                <a:shade val="93000"/>
                <a:satMod val="130000"/>
              </a:srgbClr>
            </a:gs>
            <a:gs pos="100000">
              <a:srgbClr val="F79646">
                <a:shade val="94000"/>
                <a:satMod val="135000"/>
              </a:srgbClr>
            </a:gs>
          </a:gsLst>
          <a:lin ang="16200000" scaled="0"/>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rPr>
            <a:t>С</a:t>
          </a:r>
          <a:r>
            <a:rPr kumimoji="0" lang="en-US" sz="1600" b="1" i="0" u="none" strike="noStrike" kern="0" cap="none" spc="0" normalizeH="0" baseline="0" noProof="0">
              <a:ln>
                <a:noFill/>
              </a:ln>
              <a:solidFill>
                <a:sysClr val="windowText" lastClr="000000"/>
              </a:solidFill>
              <a:effectLst/>
              <a:uLnTx/>
              <a:uFillTx/>
              <a:latin typeface="Calibri" panose="020F0502020204030204"/>
              <a:ea typeface="+mn-ea"/>
              <a:cs typeface="+mn-cs"/>
            </a:rPr>
            <a:t>CR</a:t>
          </a:r>
          <a:r>
            <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rPr>
            <a:t>-</a:t>
          </a:r>
          <a:r>
            <a:rPr kumimoji="0" lang="en-US" sz="1600" b="1" i="0" u="none" strike="noStrike" kern="0" cap="none" spc="0" normalizeH="0" baseline="0" noProof="0">
              <a:ln>
                <a:noFill/>
              </a:ln>
              <a:solidFill>
                <a:sysClr val="windowText" lastClr="000000"/>
              </a:solidFill>
              <a:effectLst/>
              <a:uLnTx/>
              <a:uFillTx/>
              <a:latin typeface="Calibri" panose="020F0502020204030204"/>
              <a:ea typeface="+mn-ea"/>
              <a:cs typeface="+mn-cs"/>
            </a:rPr>
            <a:t>5</a:t>
          </a:r>
          <a:endPar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6</xdr:col>
      <xdr:colOff>2486527</xdr:colOff>
      <xdr:row>9</xdr:row>
      <xdr:rowOff>15876</xdr:rowOff>
    </xdr:from>
    <xdr:to>
      <xdr:col>7</xdr:col>
      <xdr:colOff>251812</xdr:colOff>
      <xdr:row>10</xdr:row>
      <xdr:rowOff>167802</xdr:rowOff>
    </xdr:to>
    <xdr:sp macro="" textlink="">
      <xdr:nvSpPr>
        <xdr:cNvPr id="50" name="Овал 49">
          <a:extLst>
            <a:ext uri="{FF2B5EF4-FFF2-40B4-BE49-F238E27FC236}">
              <a16:creationId xmlns:a16="http://schemas.microsoft.com/office/drawing/2014/main" xmlns="" id="{00000000-0008-0000-0700-000032000000}"/>
            </a:ext>
          </a:extLst>
        </xdr:cNvPr>
        <xdr:cNvSpPr>
          <a:spLocks noChangeAspect="1"/>
        </xdr:cNvSpPr>
      </xdr:nvSpPr>
      <xdr:spPr>
        <a:xfrm>
          <a:off x="13278352" y="7359651"/>
          <a:ext cx="889485" cy="942501"/>
        </a:xfrm>
        <a:prstGeom prst="ellipse">
          <a:avLst/>
        </a:prstGeom>
        <a:gradFill flip="none" rotWithShape="1">
          <a:gsLst>
            <a:gs pos="0">
              <a:srgbClr val="FF0000">
                <a:shade val="30000"/>
                <a:satMod val="115000"/>
              </a:srgbClr>
            </a:gs>
            <a:gs pos="50000">
              <a:srgbClr val="FF0000">
                <a:shade val="67500"/>
                <a:satMod val="115000"/>
              </a:srgbClr>
            </a:gs>
            <a:gs pos="100000">
              <a:srgbClr val="FF0000">
                <a:shade val="100000"/>
                <a:satMod val="115000"/>
              </a:srgbClr>
            </a:gs>
          </a:gsLst>
          <a:lin ang="16200000" scaled="1"/>
          <a:tileRect/>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ysClr val="windowText" lastClr="000000"/>
              </a:solidFill>
              <a:effectLst/>
              <a:uLnTx/>
              <a:uFillTx/>
              <a:latin typeface="Calibri" panose="020F0502020204030204"/>
              <a:ea typeface="+mn-ea"/>
              <a:cs typeface="+mn-cs"/>
            </a:rPr>
            <a:t>CCR-</a:t>
          </a:r>
          <a:r>
            <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rPr>
            <a:t>9</a:t>
          </a:r>
        </a:p>
      </xdr:txBody>
    </xdr:sp>
    <xdr:clientData/>
  </xdr:twoCellAnchor>
  <xdr:twoCellAnchor>
    <xdr:from>
      <xdr:col>6</xdr:col>
      <xdr:colOff>2151063</xdr:colOff>
      <xdr:row>15</xdr:row>
      <xdr:rowOff>857250</xdr:rowOff>
    </xdr:from>
    <xdr:to>
      <xdr:col>6</xdr:col>
      <xdr:colOff>3112263</xdr:colOff>
      <xdr:row>17</xdr:row>
      <xdr:rowOff>2350</xdr:rowOff>
    </xdr:to>
    <xdr:sp macro="" textlink="">
      <xdr:nvSpPr>
        <xdr:cNvPr id="51" name="Овал 50">
          <a:extLst>
            <a:ext uri="{FF2B5EF4-FFF2-40B4-BE49-F238E27FC236}">
              <a16:creationId xmlns:a16="http://schemas.microsoft.com/office/drawing/2014/main" xmlns="" id="{00000000-0008-0000-0700-000033000000}"/>
            </a:ext>
          </a:extLst>
        </xdr:cNvPr>
        <xdr:cNvSpPr>
          <a:spLocks noChangeAspect="1"/>
        </xdr:cNvSpPr>
      </xdr:nvSpPr>
      <xdr:spPr>
        <a:xfrm>
          <a:off x="12942888" y="13096875"/>
          <a:ext cx="961200" cy="954850"/>
        </a:xfrm>
        <a:prstGeom prst="ellipse">
          <a:avLst/>
        </a:prstGeom>
        <a:gradFill rotWithShape="1">
          <a:gsLst>
            <a:gs pos="0">
              <a:srgbClr val="F79646">
                <a:shade val="51000"/>
                <a:satMod val="130000"/>
              </a:srgbClr>
            </a:gs>
            <a:gs pos="80000">
              <a:srgbClr val="F79646">
                <a:shade val="93000"/>
                <a:satMod val="130000"/>
              </a:srgbClr>
            </a:gs>
            <a:gs pos="100000">
              <a:srgbClr val="F79646">
                <a:shade val="94000"/>
                <a:satMod val="135000"/>
              </a:srgbClr>
            </a:gs>
          </a:gsLst>
          <a:lin ang="16200000" scaled="0"/>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ysClr val="windowText" lastClr="000000"/>
              </a:solidFill>
              <a:effectLst/>
              <a:uLnTx/>
              <a:uFillTx/>
              <a:latin typeface="Calibri" panose="020F0502020204030204"/>
              <a:ea typeface="+mn-ea"/>
              <a:cs typeface="+mn-cs"/>
            </a:rPr>
            <a:t>CTR</a:t>
          </a:r>
          <a:r>
            <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rPr>
            <a:t>-</a:t>
          </a:r>
          <a:r>
            <a:rPr kumimoji="0" lang="en-US" sz="1600" b="1" i="0" u="none" strike="noStrike" kern="0" cap="none" spc="0" normalizeH="0" baseline="0" noProof="0">
              <a:ln>
                <a:noFill/>
              </a:ln>
              <a:solidFill>
                <a:sysClr val="windowText" lastClr="000000"/>
              </a:solidFill>
              <a:effectLst/>
              <a:uLnTx/>
              <a:uFillTx/>
              <a:latin typeface="Calibri" panose="020F0502020204030204"/>
              <a:ea typeface="+mn-ea"/>
              <a:cs typeface="+mn-cs"/>
            </a:rPr>
            <a:t>6</a:t>
          </a:r>
          <a:endPar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6</xdr:col>
      <xdr:colOff>1090490</xdr:colOff>
      <xdr:row>7</xdr:row>
      <xdr:rowOff>764443</xdr:rowOff>
    </xdr:from>
    <xdr:to>
      <xdr:col>6</xdr:col>
      <xdr:colOff>2051690</xdr:colOff>
      <xdr:row>9</xdr:row>
      <xdr:rowOff>14196</xdr:rowOff>
    </xdr:to>
    <xdr:sp macro="" textlink="">
      <xdr:nvSpPr>
        <xdr:cNvPr id="52" name="Овал 51">
          <a:extLst>
            <a:ext uri="{FF2B5EF4-FFF2-40B4-BE49-F238E27FC236}">
              <a16:creationId xmlns:a16="http://schemas.microsoft.com/office/drawing/2014/main" xmlns="" id="{00000000-0008-0000-0700-000034000000}"/>
            </a:ext>
          </a:extLst>
        </xdr:cNvPr>
        <xdr:cNvSpPr>
          <a:spLocks noChangeAspect="1"/>
        </xdr:cNvSpPr>
      </xdr:nvSpPr>
      <xdr:spPr>
        <a:xfrm>
          <a:off x="11882315" y="6431818"/>
          <a:ext cx="961200" cy="926153"/>
        </a:xfrm>
        <a:prstGeom prst="ellipse">
          <a:avLst/>
        </a:prstGeom>
        <a:gradFill flip="none" rotWithShape="1">
          <a:gsLst>
            <a:gs pos="0">
              <a:srgbClr val="FF0000">
                <a:shade val="30000"/>
                <a:satMod val="115000"/>
              </a:srgbClr>
            </a:gs>
            <a:gs pos="50000">
              <a:srgbClr val="FF0000">
                <a:shade val="67500"/>
                <a:satMod val="115000"/>
              </a:srgbClr>
            </a:gs>
            <a:gs pos="100000">
              <a:srgbClr val="FF0000">
                <a:shade val="100000"/>
                <a:satMod val="115000"/>
              </a:srgbClr>
            </a:gs>
          </a:gsLst>
          <a:lin ang="16200000" scaled="1"/>
          <a:tileRect/>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a:ln>
                <a:noFill/>
              </a:ln>
              <a:solidFill>
                <a:sysClr val="windowText" lastClr="000000"/>
              </a:solidFill>
              <a:effectLst/>
              <a:uLnTx/>
              <a:uFillTx/>
              <a:latin typeface="Calibri" panose="020F0502020204030204"/>
              <a:ea typeface="+mn-ea"/>
              <a:cs typeface="+mn-cs"/>
            </a:rPr>
            <a:t>PTR-2</a:t>
          </a:r>
          <a:endParaRPr kumimoji="0" lang="ru-RU" sz="1600" b="1" i="0" u="none" strike="noStrike" kern="0" cap="none" spc="0" normalizeH="0" baseline="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7</xdr:col>
      <xdr:colOff>1317626</xdr:colOff>
      <xdr:row>11</xdr:row>
      <xdr:rowOff>595312</xdr:rowOff>
    </xdr:from>
    <xdr:to>
      <xdr:col>7</xdr:col>
      <xdr:colOff>2315563</xdr:colOff>
      <xdr:row>12</xdr:row>
      <xdr:rowOff>722288</xdr:rowOff>
    </xdr:to>
    <xdr:sp macro="" textlink="">
      <xdr:nvSpPr>
        <xdr:cNvPr id="53" name="Овал 52">
          <a:extLst>
            <a:ext uri="{FF2B5EF4-FFF2-40B4-BE49-F238E27FC236}">
              <a16:creationId xmlns:a16="http://schemas.microsoft.com/office/drawing/2014/main" xmlns="" id="{00000000-0008-0000-0700-000035000000}"/>
            </a:ext>
          </a:extLst>
        </xdr:cNvPr>
        <xdr:cNvSpPr>
          <a:spLocks noChangeAspect="1"/>
        </xdr:cNvSpPr>
      </xdr:nvSpPr>
      <xdr:spPr>
        <a:xfrm>
          <a:off x="15233651" y="9567862"/>
          <a:ext cx="997937" cy="1003276"/>
        </a:xfrm>
        <a:prstGeom prst="ellipse">
          <a:avLst/>
        </a:prstGeom>
        <a:gradFill flip="none" rotWithShape="1">
          <a:gsLst>
            <a:gs pos="0">
              <a:srgbClr val="FF0000">
                <a:shade val="30000"/>
                <a:satMod val="115000"/>
              </a:srgbClr>
            </a:gs>
            <a:gs pos="50000">
              <a:srgbClr val="FF0000">
                <a:shade val="67500"/>
                <a:satMod val="115000"/>
              </a:srgbClr>
            </a:gs>
            <a:gs pos="100000">
              <a:srgbClr val="FF0000">
                <a:shade val="100000"/>
                <a:satMod val="115000"/>
              </a:srgbClr>
            </a:gs>
          </a:gsLst>
          <a:lin ang="16200000" scaled="1"/>
          <a:tileRect/>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ysClr val="windowText" lastClr="000000"/>
              </a:solidFill>
              <a:effectLst/>
              <a:uLnTx/>
              <a:uFillTx/>
              <a:latin typeface="Calibri" panose="020F0502020204030204"/>
              <a:ea typeface="+mn-ea"/>
              <a:cs typeface="+mn-cs"/>
            </a:rPr>
            <a:t>OR-10</a:t>
          </a:r>
          <a:endPar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6</xdr:col>
      <xdr:colOff>240289</xdr:colOff>
      <xdr:row>11</xdr:row>
      <xdr:rowOff>610901</xdr:rowOff>
    </xdr:from>
    <xdr:to>
      <xdr:col>6</xdr:col>
      <xdr:colOff>1240816</xdr:colOff>
      <xdr:row>12</xdr:row>
      <xdr:rowOff>739321</xdr:rowOff>
    </xdr:to>
    <xdr:sp macro="" textlink="">
      <xdr:nvSpPr>
        <xdr:cNvPr id="54" name="Овал 53">
          <a:extLst>
            <a:ext uri="{FF2B5EF4-FFF2-40B4-BE49-F238E27FC236}">
              <a16:creationId xmlns:a16="http://schemas.microsoft.com/office/drawing/2014/main" xmlns="" id="{00000000-0008-0000-0700-000036000000}"/>
            </a:ext>
          </a:extLst>
        </xdr:cNvPr>
        <xdr:cNvSpPr>
          <a:spLocks noChangeAspect="1"/>
        </xdr:cNvSpPr>
      </xdr:nvSpPr>
      <xdr:spPr>
        <a:xfrm>
          <a:off x="11032114" y="9583451"/>
          <a:ext cx="1000527" cy="1004720"/>
        </a:xfrm>
        <a:prstGeom prst="ellipse">
          <a:avLst/>
        </a:prstGeom>
        <a:gradFill rotWithShape="1">
          <a:gsLst>
            <a:gs pos="0">
              <a:srgbClr val="F79646">
                <a:shade val="51000"/>
                <a:satMod val="130000"/>
              </a:srgbClr>
            </a:gs>
            <a:gs pos="80000">
              <a:srgbClr val="F79646">
                <a:shade val="93000"/>
                <a:satMod val="130000"/>
              </a:srgbClr>
            </a:gs>
            <a:gs pos="100000">
              <a:srgbClr val="F79646">
                <a:shade val="94000"/>
                <a:satMod val="135000"/>
              </a:srgbClr>
            </a:gs>
          </a:gsLst>
          <a:lin ang="16200000" scaled="0"/>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ysClr val="windowText" lastClr="000000"/>
              </a:solidFill>
              <a:effectLst/>
              <a:uLnTx/>
              <a:uFillTx/>
              <a:latin typeface="Calibri" panose="020F0502020204030204"/>
              <a:ea typeface="+mn-ea"/>
              <a:cs typeface="+mn-cs"/>
            </a:rPr>
            <a:t>CCR</a:t>
          </a:r>
          <a:r>
            <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rPr>
            <a:t>-</a:t>
          </a:r>
          <a:r>
            <a:rPr kumimoji="0" lang="en-US" sz="1600" b="1" i="0" u="none" strike="noStrike" kern="0" cap="none" spc="0" normalizeH="0" baseline="0" noProof="0">
              <a:ln>
                <a:noFill/>
              </a:ln>
              <a:solidFill>
                <a:sysClr val="windowText" lastClr="000000"/>
              </a:solidFill>
              <a:effectLst/>
              <a:uLnTx/>
              <a:uFillTx/>
              <a:latin typeface="Calibri" panose="020F0502020204030204"/>
              <a:ea typeface="+mn-ea"/>
              <a:cs typeface="+mn-cs"/>
            </a:rPr>
            <a:t>2</a:t>
          </a:r>
          <a:endPar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4</xdr:col>
      <xdr:colOff>3000376</xdr:colOff>
      <xdr:row>8</xdr:row>
      <xdr:rowOff>333376</xdr:rowOff>
    </xdr:from>
    <xdr:to>
      <xdr:col>5</xdr:col>
      <xdr:colOff>870938</xdr:colOff>
      <xdr:row>9</xdr:row>
      <xdr:rowOff>455300</xdr:rowOff>
    </xdr:to>
    <xdr:sp macro="" textlink="">
      <xdr:nvSpPr>
        <xdr:cNvPr id="55" name="Овал 54">
          <a:extLst>
            <a:ext uri="{FF2B5EF4-FFF2-40B4-BE49-F238E27FC236}">
              <a16:creationId xmlns:a16="http://schemas.microsoft.com/office/drawing/2014/main" xmlns="" id="{00000000-0008-0000-0700-000037000000}"/>
            </a:ext>
          </a:extLst>
        </xdr:cNvPr>
        <xdr:cNvSpPr>
          <a:spLocks noChangeAspect="1"/>
        </xdr:cNvSpPr>
      </xdr:nvSpPr>
      <xdr:spPr>
        <a:xfrm>
          <a:off x="7543801" y="6838951"/>
          <a:ext cx="994762" cy="960124"/>
        </a:xfrm>
        <a:prstGeom prst="ellipse">
          <a:avLst/>
        </a:prstGeom>
        <a:gradFill rotWithShape="1">
          <a:gsLst>
            <a:gs pos="0">
              <a:srgbClr val="F79646">
                <a:shade val="51000"/>
                <a:satMod val="130000"/>
              </a:srgbClr>
            </a:gs>
            <a:gs pos="80000">
              <a:srgbClr val="F79646">
                <a:shade val="93000"/>
                <a:satMod val="130000"/>
              </a:srgbClr>
            </a:gs>
            <a:gs pos="100000">
              <a:srgbClr val="F79646">
                <a:shade val="94000"/>
                <a:satMod val="135000"/>
              </a:srgbClr>
            </a:gs>
          </a:gsLst>
          <a:lin ang="16200000" scaled="0"/>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rPr>
            <a:t>С</a:t>
          </a:r>
          <a:r>
            <a:rPr kumimoji="0" lang="en-US" sz="1600" b="1" i="0" u="none" strike="noStrike" kern="0" cap="none" spc="0" normalizeH="0" baseline="0" noProof="0">
              <a:ln>
                <a:noFill/>
              </a:ln>
              <a:solidFill>
                <a:sysClr val="windowText" lastClr="000000"/>
              </a:solidFill>
              <a:effectLst/>
              <a:uLnTx/>
              <a:uFillTx/>
              <a:latin typeface="Calibri" panose="020F0502020204030204"/>
              <a:ea typeface="+mn-ea"/>
              <a:cs typeface="+mn-cs"/>
            </a:rPr>
            <a:t>CR</a:t>
          </a:r>
          <a:r>
            <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rPr>
            <a:t>-</a:t>
          </a:r>
          <a:r>
            <a:rPr kumimoji="0" lang="en-US" sz="1600" b="1" i="0" u="none" strike="noStrike" kern="0" cap="none" spc="0" normalizeH="0" baseline="0" noProof="0">
              <a:ln>
                <a:noFill/>
              </a:ln>
              <a:solidFill>
                <a:sysClr val="windowText" lastClr="000000"/>
              </a:solidFill>
              <a:effectLst/>
              <a:uLnTx/>
              <a:uFillTx/>
              <a:latin typeface="Calibri" panose="020F0502020204030204"/>
              <a:ea typeface="+mn-ea"/>
              <a:cs typeface="+mn-cs"/>
            </a:rPr>
            <a:t>3</a:t>
          </a:r>
          <a:endPar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5</xdr:col>
      <xdr:colOff>966787</xdr:colOff>
      <xdr:row>8</xdr:row>
      <xdr:rowOff>385762</xdr:rowOff>
    </xdr:from>
    <xdr:to>
      <xdr:col>5</xdr:col>
      <xdr:colOff>1927987</xdr:colOff>
      <xdr:row>9</xdr:row>
      <xdr:rowOff>508762</xdr:rowOff>
    </xdr:to>
    <xdr:sp macro="" textlink="">
      <xdr:nvSpPr>
        <xdr:cNvPr id="56" name="Овал 55">
          <a:extLst>
            <a:ext uri="{FF2B5EF4-FFF2-40B4-BE49-F238E27FC236}">
              <a16:creationId xmlns:a16="http://schemas.microsoft.com/office/drawing/2014/main" xmlns="" id="{00000000-0008-0000-0700-000038000000}"/>
            </a:ext>
          </a:extLst>
        </xdr:cNvPr>
        <xdr:cNvSpPr>
          <a:spLocks noChangeAspect="1"/>
        </xdr:cNvSpPr>
      </xdr:nvSpPr>
      <xdr:spPr>
        <a:xfrm>
          <a:off x="8634412" y="6891337"/>
          <a:ext cx="961200" cy="961200"/>
        </a:xfrm>
        <a:prstGeom prst="ellipse">
          <a:avLst/>
        </a:prstGeom>
        <a:gradFill rotWithShape="1">
          <a:gsLst>
            <a:gs pos="0">
              <a:srgbClr val="F79646">
                <a:shade val="51000"/>
                <a:satMod val="130000"/>
              </a:srgbClr>
            </a:gs>
            <a:gs pos="80000">
              <a:srgbClr val="F79646">
                <a:shade val="93000"/>
                <a:satMod val="130000"/>
              </a:srgbClr>
            </a:gs>
            <a:gs pos="100000">
              <a:srgbClr val="F79646">
                <a:shade val="94000"/>
                <a:satMod val="135000"/>
              </a:srgbClr>
            </a:gs>
          </a:gsLst>
          <a:lin ang="16200000" scaled="0"/>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ysClr val="windowText" lastClr="000000"/>
              </a:solidFill>
              <a:effectLst/>
              <a:uLnTx/>
              <a:uFillTx/>
              <a:latin typeface="Calibri" panose="020F0502020204030204"/>
              <a:ea typeface="+mn-ea"/>
              <a:cs typeface="+mn-cs"/>
            </a:rPr>
            <a:t>CCR</a:t>
          </a:r>
          <a:r>
            <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rPr>
            <a:t>-4</a:t>
          </a:r>
        </a:p>
      </xdr:txBody>
    </xdr:sp>
    <xdr:clientData/>
  </xdr:twoCellAnchor>
  <xdr:twoCellAnchor>
    <xdr:from>
      <xdr:col>7</xdr:col>
      <xdr:colOff>90715</xdr:colOff>
      <xdr:row>9</xdr:row>
      <xdr:rowOff>201839</xdr:rowOff>
    </xdr:from>
    <xdr:to>
      <xdr:col>7</xdr:col>
      <xdr:colOff>1053406</xdr:colOff>
      <xdr:row>10</xdr:row>
      <xdr:rowOff>428624</xdr:rowOff>
    </xdr:to>
    <xdr:sp macro="" textlink="">
      <xdr:nvSpPr>
        <xdr:cNvPr id="57" name="Овал 56">
          <a:extLst>
            <a:ext uri="{FF2B5EF4-FFF2-40B4-BE49-F238E27FC236}">
              <a16:creationId xmlns:a16="http://schemas.microsoft.com/office/drawing/2014/main" xmlns="" id="{00000000-0008-0000-0700-000039000000}"/>
            </a:ext>
          </a:extLst>
        </xdr:cNvPr>
        <xdr:cNvSpPr>
          <a:spLocks noChangeAspect="1"/>
        </xdr:cNvSpPr>
      </xdr:nvSpPr>
      <xdr:spPr>
        <a:xfrm>
          <a:off x="14006740" y="7545614"/>
          <a:ext cx="962691" cy="1017360"/>
        </a:xfrm>
        <a:prstGeom prst="ellipse">
          <a:avLst/>
        </a:prstGeom>
        <a:gradFill flip="none" rotWithShape="1">
          <a:gsLst>
            <a:gs pos="0">
              <a:srgbClr val="FF0000">
                <a:shade val="30000"/>
                <a:satMod val="115000"/>
              </a:srgbClr>
            </a:gs>
            <a:gs pos="50000">
              <a:srgbClr val="FF0000">
                <a:shade val="67500"/>
                <a:satMod val="115000"/>
              </a:srgbClr>
            </a:gs>
            <a:gs pos="100000">
              <a:srgbClr val="FF0000">
                <a:shade val="100000"/>
                <a:satMod val="115000"/>
              </a:srgbClr>
            </a:gs>
          </a:gsLst>
          <a:lin ang="16200000" scaled="1"/>
          <a:tileRect/>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ysClr val="windowText" lastClr="000000"/>
              </a:solidFill>
              <a:effectLst/>
              <a:uLnTx/>
              <a:uFillTx/>
              <a:latin typeface="Calibri" panose="020F0502020204030204"/>
              <a:ea typeface="+mn-ea"/>
              <a:cs typeface="+mn-cs"/>
            </a:rPr>
            <a:t>STR-</a:t>
          </a:r>
          <a:r>
            <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rPr>
            <a:t>2</a:t>
          </a:r>
        </a:p>
      </xdr:txBody>
    </xdr:sp>
    <xdr:clientData/>
  </xdr:twoCellAnchor>
  <xdr:twoCellAnchor>
    <xdr:from>
      <xdr:col>4</xdr:col>
      <xdr:colOff>1108363</xdr:colOff>
      <xdr:row>23</xdr:row>
      <xdr:rowOff>187613</xdr:rowOff>
    </xdr:from>
    <xdr:to>
      <xdr:col>4</xdr:col>
      <xdr:colOff>2069563</xdr:colOff>
      <xdr:row>24</xdr:row>
      <xdr:rowOff>208003</xdr:rowOff>
    </xdr:to>
    <xdr:sp macro="" textlink="">
      <xdr:nvSpPr>
        <xdr:cNvPr id="58" name="Овал 57">
          <a:extLst>
            <a:ext uri="{FF2B5EF4-FFF2-40B4-BE49-F238E27FC236}">
              <a16:creationId xmlns:a16="http://schemas.microsoft.com/office/drawing/2014/main" xmlns="" id="{00000000-0008-0000-0700-00003A000000}"/>
            </a:ext>
          </a:extLst>
        </xdr:cNvPr>
        <xdr:cNvSpPr>
          <a:spLocks noChangeAspect="1"/>
        </xdr:cNvSpPr>
      </xdr:nvSpPr>
      <xdr:spPr>
        <a:xfrm>
          <a:off x="5632738" y="20594926"/>
          <a:ext cx="961200" cy="949077"/>
        </a:xfrm>
        <a:prstGeom prst="ellipse">
          <a:avLst/>
        </a:prstGeom>
        <a:gradFill rotWithShape="1">
          <a:gsLst>
            <a:gs pos="0">
              <a:srgbClr val="9BBB59">
                <a:shade val="51000"/>
                <a:satMod val="130000"/>
              </a:srgbClr>
            </a:gs>
            <a:gs pos="80000">
              <a:srgbClr val="9BBB59">
                <a:shade val="93000"/>
                <a:satMod val="130000"/>
              </a:srgbClr>
            </a:gs>
            <a:gs pos="100000">
              <a:srgbClr val="9BBB59">
                <a:shade val="94000"/>
                <a:satMod val="135000"/>
              </a:srgbClr>
            </a:gs>
          </a:gsLst>
          <a:lin ang="16200000" scaled="0"/>
        </a:gradFill>
        <a:ln w="9525" cap="flat" cmpd="sng" algn="ctr">
          <a:solidFill>
            <a:srgbClr val="9BBB59">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ysClr val="windowText" lastClr="000000"/>
              </a:solidFill>
              <a:effectLst/>
              <a:uLnTx/>
              <a:uFillTx/>
              <a:latin typeface="Calibri" panose="020F0502020204030204"/>
              <a:ea typeface="+mn-ea"/>
              <a:cs typeface="+mn-cs"/>
            </a:rPr>
            <a:t>CTR</a:t>
          </a:r>
          <a:r>
            <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rPr>
            <a:t>-9</a:t>
          </a:r>
        </a:p>
      </xdr:txBody>
    </xdr:sp>
    <xdr:clientData/>
  </xdr:twoCellAnchor>
  <xdr:twoCellAnchor>
    <xdr:from>
      <xdr:col>5</xdr:col>
      <xdr:colOff>2246312</xdr:colOff>
      <xdr:row>12</xdr:row>
      <xdr:rowOff>341313</xdr:rowOff>
    </xdr:from>
    <xdr:to>
      <xdr:col>6</xdr:col>
      <xdr:colOff>88075</xdr:colOff>
      <xdr:row>13</xdr:row>
      <xdr:rowOff>459550</xdr:rowOff>
    </xdr:to>
    <xdr:sp macro="" textlink="">
      <xdr:nvSpPr>
        <xdr:cNvPr id="60" name="Овал 59">
          <a:extLst>
            <a:ext uri="{FF2B5EF4-FFF2-40B4-BE49-F238E27FC236}">
              <a16:creationId xmlns:a16="http://schemas.microsoft.com/office/drawing/2014/main" xmlns="" id="{00000000-0008-0000-0700-00003C000000}"/>
            </a:ext>
          </a:extLst>
        </xdr:cNvPr>
        <xdr:cNvSpPr>
          <a:spLocks noChangeAspect="1"/>
        </xdr:cNvSpPr>
      </xdr:nvSpPr>
      <xdr:spPr>
        <a:xfrm>
          <a:off x="9890125" y="10175876"/>
          <a:ext cx="961200" cy="927862"/>
        </a:xfrm>
        <a:prstGeom prst="ellipse">
          <a:avLst/>
        </a:prstGeom>
        <a:gradFill rotWithShape="1">
          <a:gsLst>
            <a:gs pos="0">
              <a:srgbClr val="F79646">
                <a:shade val="51000"/>
                <a:satMod val="130000"/>
              </a:srgbClr>
            </a:gs>
            <a:gs pos="80000">
              <a:srgbClr val="F79646">
                <a:shade val="93000"/>
                <a:satMod val="130000"/>
              </a:srgbClr>
            </a:gs>
            <a:gs pos="100000">
              <a:srgbClr val="F79646">
                <a:shade val="94000"/>
                <a:satMod val="135000"/>
              </a:srgbClr>
            </a:gs>
          </a:gsLst>
          <a:lin ang="16200000" scaled="0"/>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a:ln>
                <a:noFill/>
              </a:ln>
              <a:solidFill>
                <a:sysClr val="windowText" lastClr="000000"/>
              </a:solidFill>
              <a:effectLst/>
              <a:uLnTx/>
              <a:uFillTx/>
              <a:latin typeface="Calibri" panose="020F0502020204030204"/>
              <a:ea typeface="+mn-ea"/>
              <a:cs typeface="+mn-cs"/>
            </a:rPr>
            <a:t>CTR-</a:t>
          </a:r>
          <a:r>
            <a:rPr kumimoji="0" lang="ru-RU" sz="1600" b="1" i="0" u="none" strike="noStrike" kern="0" cap="none" spc="0" normalizeH="0" baseline="0">
              <a:ln>
                <a:noFill/>
              </a:ln>
              <a:solidFill>
                <a:sysClr val="windowText" lastClr="000000"/>
              </a:solidFill>
              <a:effectLst/>
              <a:uLnTx/>
              <a:uFillTx/>
              <a:latin typeface="Calibri" panose="020F0502020204030204"/>
              <a:ea typeface="+mn-ea"/>
              <a:cs typeface="+mn-cs"/>
            </a:rPr>
            <a:t>8</a:t>
          </a:r>
        </a:p>
      </xdr:txBody>
    </xdr:sp>
    <xdr:clientData/>
  </xdr:twoCellAnchor>
  <xdr:twoCellAnchor>
    <xdr:from>
      <xdr:col>6</xdr:col>
      <xdr:colOff>2159000</xdr:colOff>
      <xdr:row>6</xdr:row>
      <xdr:rowOff>174625</xdr:rowOff>
    </xdr:from>
    <xdr:to>
      <xdr:col>6</xdr:col>
      <xdr:colOff>3120200</xdr:colOff>
      <xdr:row>8</xdr:row>
      <xdr:rowOff>48387</xdr:rowOff>
    </xdr:to>
    <xdr:sp macro="" textlink="">
      <xdr:nvSpPr>
        <xdr:cNvPr id="61" name="Овал 60">
          <a:extLst>
            <a:ext uri="{FF2B5EF4-FFF2-40B4-BE49-F238E27FC236}">
              <a16:creationId xmlns:a16="http://schemas.microsoft.com/office/drawing/2014/main" xmlns="" id="{00000000-0008-0000-0700-00003D000000}"/>
            </a:ext>
          </a:extLst>
        </xdr:cNvPr>
        <xdr:cNvSpPr>
          <a:spLocks noChangeAspect="1"/>
        </xdr:cNvSpPr>
      </xdr:nvSpPr>
      <xdr:spPr>
        <a:xfrm>
          <a:off x="12950825" y="5632450"/>
          <a:ext cx="961200" cy="921512"/>
        </a:xfrm>
        <a:prstGeom prst="ellipse">
          <a:avLst/>
        </a:prstGeom>
        <a:gradFill flip="none" rotWithShape="1">
          <a:gsLst>
            <a:gs pos="0">
              <a:srgbClr val="FF0000">
                <a:shade val="30000"/>
                <a:satMod val="115000"/>
              </a:srgbClr>
            </a:gs>
            <a:gs pos="50000">
              <a:srgbClr val="FF0000">
                <a:shade val="67500"/>
                <a:satMod val="115000"/>
              </a:srgbClr>
            </a:gs>
            <a:gs pos="100000">
              <a:srgbClr val="FF0000">
                <a:shade val="100000"/>
                <a:satMod val="115000"/>
              </a:srgbClr>
            </a:gs>
          </a:gsLst>
          <a:lin ang="16200000" scaled="1"/>
          <a:tileRect/>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a:ln>
                <a:noFill/>
              </a:ln>
              <a:solidFill>
                <a:sysClr val="windowText" lastClr="000000"/>
              </a:solidFill>
              <a:effectLst/>
              <a:uLnTx/>
              <a:uFillTx/>
              <a:latin typeface="Calibri" panose="020F0502020204030204"/>
              <a:ea typeface="+mn-ea"/>
              <a:cs typeface="+mn-cs"/>
            </a:rPr>
            <a:t>PTR-1</a:t>
          </a:r>
          <a:endParaRPr kumimoji="0" lang="ru-RU" sz="1600" b="1" i="0" u="none" strike="noStrike" kern="0" cap="none" spc="0" normalizeH="0" baseline="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6</xdr:col>
      <xdr:colOff>1247774</xdr:colOff>
      <xdr:row>9</xdr:row>
      <xdr:rowOff>187325</xdr:rowOff>
    </xdr:from>
    <xdr:to>
      <xdr:col>6</xdr:col>
      <xdr:colOff>2208974</xdr:colOff>
      <xdr:row>10</xdr:row>
      <xdr:rowOff>372237</xdr:rowOff>
    </xdr:to>
    <xdr:sp macro="" textlink="">
      <xdr:nvSpPr>
        <xdr:cNvPr id="62" name="Овал 61">
          <a:extLst>
            <a:ext uri="{FF2B5EF4-FFF2-40B4-BE49-F238E27FC236}">
              <a16:creationId xmlns:a16="http://schemas.microsoft.com/office/drawing/2014/main" xmlns="" id="{00000000-0008-0000-0700-00003E000000}"/>
            </a:ext>
          </a:extLst>
        </xdr:cNvPr>
        <xdr:cNvSpPr>
          <a:spLocks noChangeAspect="1"/>
        </xdr:cNvSpPr>
      </xdr:nvSpPr>
      <xdr:spPr>
        <a:xfrm>
          <a:off x="12011024" y="7521575"/>
          <a:ext cx="961200" cy="970725"/>
        </a:xfrm>
        <a:prstGeom prst="ellipse">
          <a:avLst/>
        </a:prstGeom>
        <a:gradFill flip="none" rotWithShape="1">
          <a:gsLst>
            <a:gs pos="0">
              <a:srgbClr val="FF0000">
                <a:shade val="30000"/>
                <a:satMod val="115000"/>
              </a:srgbClr>
            </a:gs>
            <a:gs pos="50000">
              <a:srgbClr val="FF0000">
                <a:shade val="67500"/>
                <a:satMod val="115000"/>
              </a:srgbClr>
            </a:gs>
            <a:gs pos="100000">
              <a:srgbClr val="FF0000">
                <a:shade val="100000"/>
                <a:satMod val="115000"/>
              </a:srgbClr>
            </a:gs>
          </a:gsLst>
          <a:lin ang="16200000" scaled="1"/>
          <a:tileRect/>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ysClr val="windowText" lastClr="000000"/>
              </a:solidFill>
              <a:effectLst/>
              <a:uLnTx/>
              <a:uFillTx/>
              <a:latin typeface="Calibri" panose="020F0502020204030204"/>
              <a:ea typeface="+mn-ea"/>
              <a:cs typeface="+mn-cs"/>
            </a:rPr>
            <a:t>STR-1</a:t>
          </a:r>
          <a:endPar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7</xdr:col>
      <xdr:colOff>2174875</xdr:colOff>
      <xdr:row>24</xdr:row>
      <xdr:rowOff>841375</xdr:rowOff>
    </xdr:from>
    <xdr:to>
      <xdr:col>8</xdr:col>
      <xdr:colOff>8700</xdr:colOff>
      <xdr:row>25</xdr:row>
      <xdr:rowOff>888175</xdr:rowOff>
    </xdr:to>
    <xdr:sp macro="" textlink="">
      <xdr:nvSpPr>
        <xdr:cNvPr id="63" name="Овал 62">
          <a:extLst>
            <a:ext uri="{FF2B5EF4-FFF2-40B4-BE49-F238E27FC236}">
              <a16:creationId xmlns:a16="http://schemas.microsoft.com/office/drawing/2014/main" xmlns="" id="{00000000-0008-0000-0700-00003F000000}"/>
            </a:ext>
          </a:extLst>
        </xdr:cNvPr>
        <xdr:cNvSpPr>
          <a:spLocks noChangeAspect="1"/>
        </xdr:cNvSpPr>
      </xdr:nvSpPr>
      <xdr:spPr>
        <a:xfrm>
          <a:off x="16090900" y="22196425"/>
          <a:ext cx="958025" cy="942150"/>
        </a:xfrm>
        <a:prstGeom prst="ellipse">
          <a:avLst/>
        </a:prstGeom>
        <a:gradFill flip="none" rotWithShape="1">
          <a:gsLst>
            <a:gs pos="0">
              <a:srgbClr val="FFFF00">
                <a:shade val="30000"/>
                <a:satMod val="115000"/>
              </a:srgbClr>
            </a:gs>
            <a:gs pos="50000">
              <a:srgbClr val="FFFF00">
                <a:shade val="67500"/>
                <a:satMod val="115000"/>
              </a:srgbClr>
            </a:gs>
            <a:gs pos="100000">
              <a:srgbClr val="FFFF00">
                <a:shade val="100000"/>
                <a:satMod val="115000"/>
              </a:srgbClr>
            </a:gs>
          </a:gsLst>
          <a:lin ang="16200000" scaled="1"/>
          <a:tileRect/>
        </a:gradFill>
      </xdr:spPr>
      <xdr:style>
        <a:lnRef idx="1">
          <a:schemeClr val="accent3"/>
        </a:lnRef>
        <a:fillRef idx="3">
          <a:schemeClr val="accent3"/>
        </a:fillRef>
        <a:effectRef idx="2">
          <a:schemeClr val="accent3"/>
        </a:effectRef>
        <a:fontRef idx="minor">
          <a:schemeClr val="lt1"/>
        </a:fontRef>
      </xdr:style>
      <xdr:txBody>
        <a:bodyPr vertOverflow="clip" horzOverflow="clip" rtlCol="0" anchor="ctr"/>
        <a:lstStyle/>
        <a:p>
          <a:pPr algn="ctr"/>
          <a:r>
            <a:rPr lang="en-US" sz="1600" b="1">
              <a:solidFill>
                <a:schemeClr val="tx1"/>
              </a:solidFill>
            </a:rPr>
            <a:t>OR-6</a:t>
          </a:r>
          <a:endParaRPr lang="ru-RU" sz="1050" b="1">
            <a:solidFill>
              <a:schemeClr val="tx1"/>
            </a:solidFill>
          </a:endParaRPr>
        </a:p>
      </xdr:txBody>
    </xdr:sp>
    <xdr:clientData/>
  </xdr:twoCellAnchor>
  <xdr:twoCellAnchor>
    <xdr:from>
      <xdr:col>5</xdr:col>
      <xdr:colOff>15875</xdr:colOff>
      <xdr:row>24</xdr:row>
      <xdr:rowOff>460375</xdr:rowOff>
    </xdr:from>
    <xdr:to>
      <xdr:col>5</xdr:col>
      <xdr:colOff>977075</xdr:colOff>
      <xdr:row>25</xdr:row>
      <xdr:rowOff>507175</xdr:rowOff>
    </xdr:to>
    <xdr:sp macro="" textlink="">
      <xdr:nvSpPr>
        <xdr:cNvPr id="64" name="Овал 63">
          <a:extLst>
            <a:ext uri="{FF2B5EF4-FFF2-40B4-BE49-F238E27FC236}">
              <a16:creationId xmlns:a16="http://schemas.microsoft.com/office/drawing/2014/main" xmlns="" id="{00000000-0008-0000-0700-000040000000}"/>
            </a:ext>
          </a:extLst>
        </xdr:cNvPr>
        <xdr:cNvSpPr>
          <a:spLocks noChangeAspect="1"/>
        </xdr:cNvSpPr>
      </xdr:nvSpPr>
      <xdr:spPr>
        <a:xfrm>
          <a:off x="7683500" y="21815425"/>
          <a:ext cx="961200" cy="942150"/>
        </a:xfrm>
        <a:prstGeom prst="ellipse">
          <a:avLst/>
        </a:prstGeom>
        <a:gradFill flip="none" rotWithShape="1">
          <a:gsLst>
            <a:gs pos="0">
              <a:srgbClr val="FFFF00">
                <a:shade val="30000"/>
                <a:satMod val="115000"/>
              </a:srgbClr>
            </a:gs>
            <a:gs pos="50000">
              <a:srgbClr val="FFFF00">
                <a:shade val="67500"/>
                <a:satMod val="115000"/>
              </a:srgbClr>
            </a:gs>
            <a:gs pos="100000">
              <a:srgbClr val="FFFF00">
                <a:shade val="100000"/>
                <a:satMod val="115000"/>
              </a:srgbClr>
            </a:gs>
          </a:gsLst>
          <a:lin ang="16200000" scaled="1"/>
          <a:tileRect/>
        </a:gradFill>
      </xdr:spPr>
      <xdr:style>
        <a:lnRef idx="1">
          <a:schemeClr val="accent3"/>
        </a:lnRef>
        <a:fillRef idx="3">
          <a:schemeClr val="accent3"/>
        </a:fillRef>
        <a:effectRef idx="2">
          <a:schemeClr val="accent3"/>
        </a:effectRef>
        <a:fontRef idx="minor">
          <a:schemeClr val="lt1"/>
        </a:fontRef>
      </xdr:style>
      <xdr:txBody>
        <a:bodyPr vertOverflow="clip" horzOverflow="clip" rtlCol="0" anchor="ctr"/>
        <a:lstStyle/>
        <a:p>
          <a:pPr algn="ctr"/>
          <a:r>
            <a:rPr lang="en-US" sz="1600" b="1">
              <a:solidFill>
                <a:schemeClr val="tx1"/>
              </a:solidFill>
            </a:rPr>
            <a:t>OR-8</a:t>
          </a:r>
          <a:endParaRPr lang="ru-RU" sz="1050" b="1">
            <a:solidFill>
              <a:schemeClr val="tx1"/>
            </a:solidFill>
          </a:endParaRPr>
        </a:p>
      </xdr:txBody>
    </xdr:sp>
    <xdr:clientData/>
  </xdr:twoCellAnchor>
  <xdr:twoCellAnchor>
    <xdr:from>
      <xdr:col>7</xdr:col>
      <xdr:colOff>1198563</xdr:colOff>
      <xdr:row>13</xdr:row>
      <xdr:rowOff>111125</xdr:rowOff>
    </xdr:from>
    <xdr:to>
      <xdr:col>7</xdr:col>
      <xdr:colOff>2125952</xdr:colOff>
      <xdr:row>14</xdr:row>
      <xdr:rowOff>261217</xdr:rowOff>
    </xdr:to>
    <xdr:sp macro="" textlink="">
      <xdr:nvSpPr>
        <xdr:cNvPr id="65" name="Овал 64">
          <a:extLst>
            <a:ext uri="{FF2B5EF4-FFF2-40B4-BE49-F238E27FC236}">
              <a16:creationId xmlns:a16="http://schemas.microsoft.com/office/drawing/2014/main" xmlns="" id="{00000000-0008-0000-0700-000041000000}"/>
            </a:ext>
          </a:extLst>
        </xdr:cNvPr>
        <xdr:cNvSpPr>
          <a:spLocks noChangeAspect="1"/>
        </xdr:cNvSpPr>
      </xdr:nvSpPr>
      <xdr:spPr>
        <a:xfrm>
          <a:off x="15081972" y="10732943"/>
          <a:ext cx="927389" cy="929410"/>
        </a:xfrm>
        <a:prstGeom prst="ellipse">
          <a:avLst/>
        </a:prstGeom>
        <a:gradFill flip="none" rotWithShape="1">
          <a:gsLst>
            <a:gs pos="0">
              <a:srgbClr val="FF0000">
                <a:shade val="30000"/>
                <a:satMod val="115000"/>
              </a:srgbClr>
            </a:gs>
            <a:gs pos="50000">
              <a:srgbClr val="FF0000">
                <a:shade val="67500"/>
                <a:satMod val="115000"/>
              </a:srgbClr>
            </a:gs>
            <a:gs pos="100000">
              <a:srgbClr val="FF0000">
                <a:shade val="100000"/>
                <a:satMod val="115000"/>
              </a:srgbClr>
            </a:gs>
          </a:gsLst>
          <a:lin ang="16200000" scaled="1"/>
          <a:tileRect/>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ysClr val="windowText" lastClr="000000"/>
              </a:solidFill>
              <a:effectLst/>
              <a:uLnTx/>
              <a:uFillTx/>
              <a:latin typeface="Calibri" panose="020F0502020204030204"/>
              <a:ea typeface="+mn-ea"/>
              <a:cs typeface="+mn-cs"/>
            </a:rPr>
            <a:t>RP</a:t>
          </a:r>
          <a:r>
            <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rPr>
            <a:t>-</a:t>
          </a:r>
          <a:r>
            <a:rPr kumimoji="0" lang="en-US" sz="1600" b="1" i="0" u="none" strike="noStrike" kern="0" cap="none" spc="0" normalizeH="0" baseline="0" noProof="0">
              <a:ln>
                <a:noFill/>
              </a:ln>
              <a:solidFill>
                <a:sysClr val="windowText" lastClr="000000"/>
              </a:solidFill>
              <a:effectLst/>
              <a:uLnTx/>
              <a:uFillTx/>
              <a:latin typeface="Calibri" panose="020F0502020204030204"/>
              <a:ea typeface="+mn-ea"/>
              <a:cs typeface="+mn-cs"/>
            </a:rPr>
            <a:t>1</a:t>
          </a:r>
          <a:endPar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5</xdr:col>
      <xdr:colOff>1817688</xdr:colOff>
      <xdr:row>7</xdr:row>
      <xdr:rowOff>635000</xdr:rowOff>
    </xdr:from>
    <xdr:to>
      <xdr:col>5</xdr:col>
      <xdr:colOff>2700915</xdr:colOff>
      <xdr:row>8</xdr:row>
      <xdr:rowOff>710046</xdr:rowOff>
    </xdr:to>
    <xdr:sp macro="" textlink="">
      <xdr:nvSpPr>
        <xdr:cNvPr id="66" name="Овал 65">
          <a:extLst>
            <a:ext uri="{FF2B5EF4-FFF2-40B4-BE49-F238E27FC236}">
              <a16:creationId xmlns:a16="http://schemas.microsoft.com/office/drawing/2014/main" xmlns="" id="{00000000-0008-0000-0700-000042000000}"/>
            </a:ext>
          </a:extLst>
        </xdr:cNvPr>
        <xdr:cNvSpPr>
          <a:spLocks noChangeAspect="1"/>
        </xdr:cNvSpPr>
      </xdr:nvSpPr>
      <xdr:spPr>
        <a:xfrm>
          <a:off x="9485313" y="6302375"/>
          <a:ext cx="883227" cy="913246"/>
        </a:xfrm>
        <a:prstGeom prst="ellipse">
          <a:avLst/>
        </a:prstGeom>
        <a:gradFill rotWithShape="1">
          <a:gsLst>
            <a:gs pos="0">
              <a:srgbClr val="F79646">
                <a:shade val="51000"/>
                <a:satMod val="130000"/>
              </a:srgbClr>
            </a:gs>
            <a:gs pos="80000">
              <a:srgbClr val="F79646">
                <a:shade val="93000"/>
                <a:satMod val="130000"/>
              </a:srgbClr>
            </a:gs>
            <a:gs pos="100000">
              <a:srgbClr val="F79646">
                <a:shade val="94000"/>
                <a:satMod val="135000"/>
              </a:srgbClr>
            </a:gs>
          </a:gsLst>
          <a:lin ang="16200000" scaled="0"/>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ysClr val="windowText" lastClr="000000"/>
              </a:solidFill>
              <a:effectLst/>
              <a:uLnTx/>
              <a:uFillTx/>
              <a:latin typeface="Calibri" panose="020F0502020204030204"/>
              <a:ea typeface="+mn-ea"/>
              <a:cs typeface="+mn-cs"/>
            </a:rPr>
            <a:t>CCR</a:t>
          </a:r>
          <a:r>
            <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rPr>
            <a:t>-1</a:t>
          </a:r>
          <a:r>
            <a:rPr kumimoji="0" lang="en-US" sz="1600" b="1" i="0" u="none" strike="noStrike" kern="0" cap="none" spc="0" normalizeH="0" baseline="0" noProof="0">
              <a:ln>
                <a:noFill/>
              </a:ln>
              <a:solidFill>
                <a:sysClr val="windowText" lastClr="000000"/>
              </a:solidFill>
              <a:effectLst/>
              <a:uLnTx/>
              <a:uFillTx/>
              <a:latin typeface="Calibri" panose="020F0502020204030204"/>
              <a:ea typeface="+mn-ea"/>
              <a:cs typeface="+mn-cs"/>
            </a:rPr>
            <a:t>0</a:t>
          </a:r>
          <a:endPar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5</xdr:col>
      <xdr:colOff>785812</xdr:colOff>
      <xdr:row>7</xdr:row>
      <xdr:rowOff>47625</xdr:rowOff>
    </xdr:from>
    <xdr:to>
      <xdr:col>5</xdr:col>
      <xdr:colOff>1775812</xdr:colOff>
      <xdr:row>8</xdr:row>
      <xdr:rowOff>169548</xdr:rowOff>
    </xdr:to>
    <xdr:sp macro="" textlink="">
      <xdr:nvSpPr>
        <xdr:cNvPr id="67" name="Овал 66">
          <a:extLst>
            <a:ext uri="{FF2B5EF4-FFF2-40B4-BE49-F238E27FC236}">
              <a16:creationId xmlns:a16="http://schemas.microsoft.com/office/drawing/2014/main" xmlns="" id="{00000000-0008-0000-0700-000043000000}"/>
            </a:ext>
          </a:extLst>
        </xdr:cNvPr>
        <xdr:cNvSpPr>
          <a:spLocks noChangeAspect="1"/>
        </xdr:cNvSpPr>
      </xdr:nvSpPr>
      <xdr:spPr>
        <a:xfrm>
          <a:off x="8453437" y="5715000"/>
          <a:ext cx="990000" cy="960123"/>
        </a:xfrm>
        <a:prstGeom prst="ellipse">
          <a:avLst/>
        </a:prstGeom>
        <a:gradFill rotWithShape="1">
          <a:gsLst>
            <a:gs pos="0">
              <a:srgbClr val="F79646">
                <a:shade val="51000"/>
                <a:satMod val="130000"/>
              </a:srgbClr>
            </a:gs>
            <a:gs pos="80000">
              <a:srgbClr val="F79646">
                <a:shade val="93000"/>
                <a:satMod val="130000"/>
              </a:srgbClr>
            </a:gs>
            <a:gs pos="100000">
              <a:srgbClr val="F79646">
                <a:shade val="94000"/>
                <a:satMod val="135000"/>
              </a:srgbClr>
            </a:gs>
          </a:gsLst>
          <a:lin ang="16200000" scaled="0"/>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rPr>
            <a:t>С</a:t>
          </a:r>
          <a:r>
            <a:rPr kumimoji="0" lang="en-US" sz="1600" b="1" i="0" u="none" strike="noStrike" kern="0" cap="none" spc="0" normalizeH="0" baseline="0" noProof="0">
              <a:ln>
                <a:noFill/>
              </a:ln>
              <a:solidFill>
                <a:sysClr val="windowText" lastClr="000000"/>
              </a:solidFill>
              <a:effectLst/>
              <a:uLnTx/>
              <a:uFillTx/>
              <a:latin typeface="Calibri" panose="020F0502020204030204"/>
              <a:ea typeface="+mn-ea"/>
              <a:cs typeface="+mn-cs"/>
            </a:rPr>
            <a:t>LR</a:t>
          </a:r>
          <a:r>
            <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rPr>
            <a:t>-1</a:t>
          </a:r>
        </a:p>
      </xdr:txBody>
    </xdr:sp>
    <xdr:clientData/>
  </xdr:twoCellAnchor>
  <xdr:twoCellAnchor>
    <xdr:from>
      <xdr:col>5</xdr:col>
      <xdr:colOff>1181100</xdr:colOff>
      <xdr:row>13</xdr:row>
      <xdr:rowOff>266700</xdr:rowOff>
    </xdr:from>
    <xdr:to>
      <xdr:col>5</xdr:col>
      <xdr:colOff>2142300</xdr:colOff>
      <xdr:row>14</xdr:row>
      <xdr:rowOff>432563</xdr:rowOff>
    </xdr:to>
    <xdr:sp macro="" textlink="">
      <xdr:nvSpPr>
        <xdr:cNvPr id="68" name="Овал 67">
          <a:extLst>
            <a:ext uri="{FF2B5EF4-FFF2-40B4-BE49-F238E27FC236}">
              <a16:creationId xmlns:a16="http://schemas.microsoft.com/office/drawing/2014/main" xmlns="" id="{00000000-0008-0000-0700-000044000000}"/>
            </a:ext>
          </a:extLst>
        </xdr:cNvPr>
        <xdr:cNvSpPr>
          <a:spLocks noChangeAspect="1"/>
        </xdr:cNvSpPr>
      </xdr:nvSpPr>
      <xdr:spPr>
        <a:xfrm>
          <a:off x="8848725" y="10925175"/>
          <a:ext cx="961200" cy="946913"/>
        </a:xfrm>
        <a:prstGeom prst="ellipse">
          <a:avLst/>
        </a:prstGeom>
        <a:gradFill rotWithShape="1">
          <a:gsLst>
            <a:gs pos="0">
              <a:srgbClr val="F79646">
                <a:shade val="51000"/>
                <a:satMod val="130000"/>
              </a:srgbClr>
            </a:gs>
            <a:gs pos="80000">
              <a:srgbClr val="F79646">
                <a:shade val="93000"/>
                <a:satMod val="130000"/>
              </a:srgbClr>
            </a:gs>
            <a:gs pos="100000">
              <a:srgbClr val="F79646">
                <a:shade val="94000"/>
                <a:satMod val="135000"/>
              </a:srgbClr>
            </a:gs>
          </a:gsLst>
          <a:lin ang="16200000" scaled="0"/>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a:ln>
                <a:noFill/>
              </a:ln>
              <a:solidFill>
                <a:sysClr val="windowText" lastClr="000000"/>
              </a:solidFill>
              <a:effectLst/>
              <a:uLnTx/>
              <a:uFillTx/>
              <a:latin typeface="Calibri" panose="020F0502020204030204"/>
              <a:ea typeface="+mn-ea"/>
              <a:cs typeface="+mn-cs"/>
            </a:rPr>
            <a:t>IR-</a:t>
          </a:r>
          <a:r>
            <a:rPr kumimoji="0" lang="ru-RU" sz="1600" b="1" i="0" u="none" strike="noStrike" kern="0" cap="none" spc="0" normalizeH="0" baseline="0">
              <a:ln>
                <a:noFill/>
              </a:ln>
              <a:solidFill>
                <a:sysClr val="windowText" lastClr="000000"/>
              </a:solidFill>
              <a:effectLst/>
              <a:uLnTx/>
              <a:uFillTx/>
              <a:latin typeface="Calibri" panose="020F0502020204030204"/>
              <a:ea typeface="+mn-ea"/>
              <a:cs typeface="+mn-cs"/>
            </a:rPr>
            <a:t>2</a:t>
          </a:r>
        </a:p>
      </xdr:txBody>
    </xdr:sp>
    <xdr:clientData/>
  </xdr:twoCellAnchor>
  <xdr:twoCellAnchor>
    <xdr:from>
      <xdr:col>6</xdr:col>
      <xdr:colOff>242455</xdr:colOff>
      <xdr:row>13</xdr:row>
      <xdr:rowOff>519546</xdr:rowOff>
    </xdr:from>
    <xdr:to>
      <xdr:col>6</xdr:col>
      <xdr:colOff>1242982</xdr:colOff>
      <xdr:row>14</xdr:row>
      <xdr:rowOff>751875</xdr:rowOff>
    </xdr:to>
    <xdr:sp macro="" textlink="">
      <xdr:nvSpPr>
        <xdr:cNvPr id="69" name="Овал 68">
          <a:extLst>
            <a:ext uri="{FF2B5EF4-FFF2-40B4-BE49-F238E27FC236}">
              <a16:creationId xmlns:a16="http://schemas.microsoft.com/office/drawing/2014/main" xmlns="" id="{00000000-0008-0000-0700-000045000000}"/>
            </a:ext>
          </a:extLst>
        </xdr:cNvPr>
        <xdr:cNvSpPr>
          <a:spLocks noChangeAspect="1"/>
        </xdr:cNvSpPr>
      </xdr:nvSpPr>
      <xdr:spPr>
        <a:xfrm>
          <a:off x="11034280" y="11178021"/>
          <a:ext cx="1000527" cy="1013379"/>
        </a:xfrm>
        <a:prstGeom prst="ellipse">
          <a:avLst/>
        </a:prstGeom>
        <a:gradFill rotWithShape="1">
          <a:gsLst>
            <a:gs pos="0">
              <a:srgbClr val="F79646">
                <a:shade val="51000"/>
                <a:satMod val="130000"/>
              </a:srgbClr>
            </a:gs>
            <a:gs pos="80000">
              <a:srgbClr val="F79646">
                <a:shade val="93000"/>
                <a:satMod val="130000"/>
              </a:srgbClr>
            </a:gs>
            <a:gs pos="100000">
              <a:srgbClr val="F79646">
                <a:shade val="94000"/>
                <a:satMod val="135000"/>
              </a:srgbClr>
            </a:gs>
          </a:gsLst>
          <a:lin ang="16200000" scaled="0"/>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ysClr val="windowText" lastClr="000000"/>
              </a:solidFill>
              <a:effectLst/>
              <a:uLnTx/>
              <a:uFillTx/>
              <a:latin typeface="Calibri" panose="020F0502020204030204"/>
              <a:ea typeface="+mn-ea"/>
              <a:cs typeface="+mn-cs"/>
            </a:rPr>
            <a:t>CCR</a:t>
          </a:r>
          <a:r>
            <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rPr>
            <a:t>-11</a:t>
          </a:r>
        </a:p>
      </xdr:txBody>
    </xdr:sp>
    <xdr:clientData/>
  </xdr:twoCellAnchor>
  <xdr:twoCellAnchor>
    <xdr:from>
      <xdr:col>5</xdr:col>
      <xdr:colOff>0</xdr:colOff>
      <xdr:row>9</xdr:row>
      <xdr:rowOff>544286</xdr:rowOff>
    </xdr:from>
    <xdr:to>
      <xdr:col>5</xdr:col>
      <xdr:colOff>990000</xdr:colOff>
      <xdr:row>10</xdr:row>
      <xdr:rowOff>720640</xdr:rowOff>
    </xdr:to>
    <xdr:sp macro="" textlink="">
      <xdr:nvSpPr>
        <xdr:cNvPr id="70" name="Овал 69">
          <a:extLst>
            <a:ext uri="{FF2B5EF4-FFF2-40B4-BE49-F238E27FC236}">
              <a16:creationId xmlns:a16="http://schemas.microsoft.com/office/drawing/2014/main" xmlns="" id="{00000000-0008-0000-0700-000046000000}"/>
            </a:ext>
          </a:extLst>
        </xdr:cNvPr>
        <xdr:cNvSpPr>
          <a:spLocks noChangeAspect="1"/>
        </xdr:cNvSpPr>
      </xdr:nvSpPr>
      <xdr:spPr>
        <a:xfrm>
          <a:off x="7667625" y="7888061"/>
          <a:ext cx="990000" cy="966929"/>
        </a:xfrm>
        <a:prstGeom prst="ellipse">
          <a:avLst/>
        </a:prstGeom>
        <a:gradFill rotWithShape="1">
          <a:gsLst>
            <a:gs pos="0">
              <a:srgbClr val="F79646">
                <a:shade val="51000"/>
                <a:satMod val="130000"/>
              </a:srgbClr>
            </a:gs>
            <a:gs pos="80000">
              <a:srgbClr val="F79646">
                <a:shade val="93000"/>
                <a:satMod val="130000"/>
              </a:srgbClr>
            </a:gs>
            <a:gs pos="100000">
              <a:srgbClr val="F79646">
                <a:shade val="94000"/>
                <a:satMod val="135000"/>
              </a:srgbClr>
            </a:gs>
          </a:gsLst>
          <a:lin ang="16200000" scaled="0"/>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rPr>
            <a:t>С</a:t>
          </a:r>
          <a:r>
            <a:rPr kumimoji="0" lang="en-US" sz="1600" b="1" i="0" u="none" strike="noStrike" kern="0" cap="none" spc="0" normalizeH="0" baseline="0" noProof="0">
              <a:ln>
                <a:noFill/>
              </a:ln>
              <a:solidFill>
                <a:sysClr val="windowText" lastClr="000000"/>
              </a:solidFill>
              <a:effectLst/>
              <a:uLnTx/>
              <a:uFillTx/>
              <a:latin typeface="Calibri" panose="020F0502020204030204"/>
              <a:ea typeface="+mn-ea"/>
              <a:cs typeface="+mn-cs"/>
            </a:rPr>
            <a:t>R</a:t>
          </a:r>
          <a:r>
            <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rPr>
            <a:t>-3</a:t>
          </a:r>
        </a:p>
      </xdr:txBody>
    </xdr:sp>
    <xdr:clientData/>
  </xdr:twoCellAnchor>
  <xdr:twoCellAnchor>
    <xdr:from>
      <xdr:col>6</xdr:col>
      <xdr:colOff>2165684</xdr:colOff>
      <xdr:row>19</xdr:row>
      <xdr:rowOff>60158</xdr:rowOff>
    </xdr:from>
    <xdr:to>
      <xdr:col>6</xdr:col>
      <xdr:colOff>3048911</xdr:colOff>
      <xdr:row>19</xdr:row>
      <xdr:rowOff>977415</xdr:rowOff>
    </xdr:to>
    <xdr:sp macro="" textlink="">
      <xdr:nvSpPr>
        <xdr:cNvPr id="71" name="Овал 70">
          <a:extLst>
            <a:ext uri="{FF2B5EF4-FFF2-40B4-BE49-F238E27FC236}">
              <a16:creationId xmlns:a16="http://schemas.microsoft.com/office/drawing/2014/main" xmlns="" id="{00000000-0008-0000-0700-000047000000}"/>
            </a:ext>
          </a:extLst>
        </xdr:cNvPr>
        <xdr:cNvSpPr>
          <a:spLocks noChangeAspect="1"/>
        </xdr:cNvSpPr>
      </xdr:nvSpPr>
      <xdr:spPr>
        <a:xfrm>
          <a:off x="12957509" y="16224083"/>
          <a:ext cx="883227" cy="917257"/>
        </a:xfrm>
        <a:prstGeom prst="ellipse">
          <a:avLst/>
        </a:prstGeom>
        <a:gradFill flip="none" rotWithShape="1">
          <a:gsLst>
            <a:gs pos="0">
              <a:srgbClr val="FFFF00">
                <a:shade val="30000"/>
                <a:satMod val="115000"/>
              </a:srgbClr>
            </a:gs>
            <a:gs pos="50000">
              <a:srgbClr val="FFFF00">
                <a:shade val="67500"/>
                <a:satMod val="115000"/>
              </a:srgbClr>
            </a:gs>
            <a:gs pos="100000">
              <a:srgbClr val="FFFF00">
                <a:shade val="100000"/>
                <a:satMod val="115000"/>
              </a:srgbClr>
            </a:gs>
          </a:gsLst>
          <a:lin ang="16200000" scaled="1"/>
          <a:tileRect/>
        </a:gradFill>
      </xdr:spPr>
      <xdr:style>
        <a:lnRef idx="1">
          <a:schemeClr val="accent3"/>
        </a:lnRef>
        <a:fillRef idx="3">
          <a:schemeClr val="accent3"/>
        </a:fillRef>
        <a:effectRef idx="2">
          <a:schemeClr val="accent3"/>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600" b="1" noProof="0">
              <a:solidFill>
                <a:schemeClr val="tx1"/>
              </a:solidFill>
              <a:latin typeface="+mn-lt"/>
              <a:ea typeface="+mn-ea"/>
              <a:cs typeface="+mn-cs"/>
            </a:rPr>
            <a:t>CCR</a:t>
          </a:r>
          <a:r>
            <a:rPr lang="ru-RU" sz="1600" b="1" noProof="0">
              <a:solidFill>
                <a:schemeClr val="tx1"/>
              </a:solidFill>
              <a:latin typeface="+mn-lt"/>
              <a:ea typeface="+mn-ea"/>
              <a:cs typeface="+mn-cs"/>
            </a:rPr>
            <a:t>-1</a:t>
          </a:r>
          <a:r>
            <a:rPr lang="en-US" sz="1600" b="1" noProof="0">
              <a:solidFill>
                <a:schemeClr val="tx1"/>
              </a:solidFill>
              <a:latin typeface="+mn-lt"/>
              <a:ea typeface="+mn-ea"/>
              <a:cs typeface="+mn-cs"/>
            </a:rPr>
            <a:t>0</a:t>
          </a:r>
          <a:endParaRPr lang="ru-RU" sz="1600" b="1" noProof="0">
            <a:solidFill>
              <a:schemeClr val="tx1"/>
            </a:solidFill>
            <a:latin typeface="+mn-lt"/>
            <a:ea typeface="+mn-ea"/>
            <a:cs typeface="+mn-cs"/>
          </a:endParaRPr>
        </a:p>
      </xdr:txBody>
    </xdr:sp>
    <xdr:clientData/>
  </xdr:twoCellAnchor>
  <xdr:twoCellAnchor>
    <xdr:from>
      <xdr:col>6</xdr:col>
      <xdr:colOff>2049318</xdr:colOff>
      <xdr:row>11</xdr:row>
      <xdr:rowOff>0</xdr:rowOff>
    </xdr:from>
    <xdr:to>
      <xdr:col>6</xdr:col>
      <xdr:colOff>3039318</xdr:colOff>
      <xdr:row>12</xdr:row>
      <xdr:rowOff>125534</xdr:rowOff>
    </xdr:to>
    <xdr:sp macro="" textlink="">
      <xdr:nvSpPr>
        <xdr:cNvPr id="83" name="Овал 82">
          <a:extLst>
            <a:ext uri="{FF2B5EF4-FFF2-40B4-BE49-F238E27FC236}">
              <a16:creationId xmlns:a16="http://schemas.microsoft.com/office/drawing/2014/main" xmlns="" id="{00000000-0008-0000-0700-000053000000}"/>
            </a:ext>
          </a:extLst>
        </xdr:cNvPr>
        <xdr:cNvSpPr>
          <a:spLocks noChangeAspect="1"/>
        </xdr:cNvSpPr>
      </xdr:nvSpPr>
      <xdr:spPr>
        <a:xfrm>
          <a:off x="12815454" y="8947727"/>
          <a:ext cx="990000" cy="991443"/>
        </a:xfrm>
        <a:prstGeom prst="ellipse">
          <a:avLst/>
        </a:prstGeom>
        <a:gradFill rotWithShape="1">
          <a:gsLst>
            <a:gs pos="0">
              <a:srgbClr val="F79646">
                <a:shade val="51000"/>
                <a:satMod val="130000"/>
              </a:srgbClr>
            </a:gs>
            <a:gs pos="80000">
              <a:srgbClr val="F79646">
                <a:shade val="93000"/>
                <a:satMod val="130000"/>
              </a:srgbClr>
            </a:gs>
            <a:gs pos="100000">
              <a:srgbClr val="F79646">
                <a:shade val="94000"/>
                <a:satMod val="135000"/>
              </a:srgbClr>
            </a:gs>
          </a:gsLst>
          <a:lin ang="16200000" scaled="0"/>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ysClr val="windowText" lastClr="000000"/>
              </a:solidFill>
              <a:effectLst/>
              <a:uLnTx/>
              <a:uFillTx/>
              <a:latin typeface="Calibri" panose="020F0502020204030204"/>
              <a:ea typeface="+mn-ea"/>
              <a:cs typeface="+mn-cs"/>
            </a:rPr>
            <a:t>ER-3</a:t>
          </a:r>
          <a:endPar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4</xdr:col>
      <xdr:colOff>690562</xdr:colOff>
      <xdr:row>13</xdr:row>
      <xdr:rowOff>457200</xdr:rowOff>
    </xdr:from>
    <xdr:to>
      <xdr:col>4</xdr:col>
      <xdr:colOff>1695456</xdr:colOff>
      <xdr:row>14</xdr:row>
      <xdr:rowOff>649423</xdr:rowOff>
    </xdr:to>
    <xdr:sp macro="" textlink="">
      <xdr:nvSpPr>
        <xdr:cNvPr id="87" name="Овал 24">
          <a:extLst>
            <a:ext uri="{FF2B5EF4-FFF2-40B4-BE49-F238E27FC236}">
              <a16:creationId xmlns:a16="http://schemas.microsoft.com/office/drawing/2014/main" xmlns="" id="{00000000-0008-0000-0700-000057000000}"/>
            </a:ext>
          </a:extLst>
        </xdr:cNvPr>
        <xdr:cNvSpPr>
          <a:spLocks noChangeAspect="1"/>
        </xdr:cNvSpPr>
      </xdr:nvSpPr>
      <xdr:spPr>
        <a:xfrm>
          <a:off x="5214937" y="11101388"/>
          <a:ext cx="1004894" cy="978035"/>
        </a:xfrm>
        <a:prstGeom prst="ellipse">
          <a:avLst/>
        </a:prstGeom>
        <a:noFill/>
        <a:ln>
          <a:solidFill>
            <a:schemeClr val="bg1">
              <a:lumMod val="50000"/>
            </a:schemeClr>
          </a:solidFill>
        </a:ln>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marL="0" indent="0" algn="ctr"/>
          <a:r>
            <a:rPr lang="en-US" sz="1600" b="1">
              <a:solidFill>
                <a:schemeClr val="tx1"/>
              </a:solidFill>
              <a:latin typeface="+mn-lt"/>
              <a:ea typeface="+mn-ea"/>
              <a:cs typeface="+mn-cs"/>
            </a:rPr>
            <a:t>STR-1</a:t>
          </a:r>
          <a:endParaRPr lang="ru-RU" sz="1600" b="1">
            <a:solidFill>
              <a:schemeClr val="tx1"/>
            </a:solidFill>
            <a:latin typeface="+mn-lt"/>
            <a:ea typeface="+mn-ea"/>
            <a:cs typeface="+mn-cs"/>
          </a:endParaRPr>
        </a:p>
      </xdr:txBody>
    </xdr:sp>
    <xdr:clientData/>
  </xdr:twoCellAnchor>
  <xdr:twoCellAnchor>
    <xdr:from>
      <xdr:col>4</xdr:col>
      <xdr:colOff>1548293</xdr:colOff>
      <xdr:row>9</xdr:row>
      <xdr:rowOff>672688</xdr:rowOff>
    </xdr:from>
    <xdr:to>
      <xdr:col>6</xdr:col>
      <xdr:colOff>1247774</xdr:colOff>
      <xdr:row>13</xdr:row>
      <xdr:rowOff>600430</xdr:rowOff>
    </xdr:to>
    <xdr:cxnSp macro="">
      <xdr:nvCxnSpPr>
        <xdr:cNvPr id="88" name="Прямая со стрелкой 87">
          <a:extLst>
            <a:ext uri="{FF2B5EF4-FFF2-40B4-BE49-F238E27FC236}">
              <a16:creationId xmlns:a16="http://schemas.microsoft.com/office/drawing/2014/main" xmlns="" id="{00000000-0008-0000-0700-000058000000}"/>
            </a:ext>
          </a:extLst>
        </xdr:cNvPr>
        <xdr:cNvCxnSpPr>
          <a:stCxn id="87" idx="7"/>
          <a:endCxn id="62" idx="2"/>
        </xdr:cNvCxnSpPr>
      </xdr:nvCxnSpPr>
      <xdr:spPr>
        <a:xfrm flipV="1">
          <a:off x="6072668" y="8006938"/>
          <a:ext cx="5938356" cy="3237680"/>
        </a:xfrm>
        <a:prstGeom prst="straightConnector1">
          <a:avLst/>
        </a:prstGeom>
        <a:ln>
          <a:prstDash val="dash"/>
          <a:tailEnd type="triangle"/>
        </a:ln>
      </xdr:spPr>
      <xdr:style>
        <a:lnRef idx="2">
          <a:schemeClr val="dk1"/>
        </a:lnRef>
        <a:fillRef idx="0">
          <a:schemeClr val="dk1"/>
        </a:fillRef>
        <a:effectRef idx="1">
          <a:schemeClr val="dk1"/>
        </a:effectRef>
        <a:fontRef idx="minor">
          <a:schemeClr val="tx1"/>
        </a:fontRef>
      </xdr:style>
    </xdr:cxnSp>
    <xdr:clientData/>
  </xdr:twoCellAnchor>
  <xdr:twoCellAnchor>
    <xdr:from>
      <xdr:col>3</xdr:col>
      <xdr:colOff>285750</xdr:colOff>
      <xdr:row>24</xdr:row>
      <xdr:rowOff>476251</xdr:rowOff>
    </xdr:from>
    <xdr:to>
      <xdr:col>3</xdr:col>
      <xdr:colOff>1290644</xdr:colOff>
      <xdr:row>25</xdr:row>
      <xdr:rowOff>549411</xdr:rowOff>
    </xdr:to>
    <xdr:sp macro="" textlink="">
      <xdr:nvSpPr>
        <xdr:cNvPr id="82" name="Овал 24">
          <a:extLst>
            <a:ext uri="{FF2B5EF4-FFF2-40B4-BE49-F238E27FC236}">
              <a16:creationId xmlns:a16="http://schemas.microsoft.com/office/drawing/2014/main" xmlns="" id="{00000000-0008-0000-0700-000052000000}"/>
            </a:ext>
          </a:extLst>
        </xdr:cNvPr>
        <xdr:cNvSpPr>
          <a:spLocks noChangeAspect="1"/>
        </xdr:cNvSpPr>
      </xdr:nvSpPr>
      <xdr:spPr>
        <a:xfrm>
          <a:off x="1690688" y="21812251"/>
          <a:ext cx="1004894" cy="978035"/>
        </a:xfrm>
        <a:prstGeom prst="ellipse">
          <a:avLst/>
        </a:prstGeom>
        <a:noFill/>
        <a:ln>
          <a:solidFill>
            <a:schemeClr val="bg1">
              <a:lumMod val="50000"/>
            </a:schemeClr>
          </a:solidFill>
        </a:ln>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marL="0" indent="0" algn="ctr"/>
          <a:r>
            <a:rPr lang="en-US" sz="1600" b="1">
              <a:solidFill>
                <a:schemeClr val="tx1"/>
              </a:solidFill>
              <a:latin typeface="+mn-lt"/>
              <a:ea typeface="+mn-ea"/>
              <a:cs typeface="+mn-cs"/>
            </a:rPr>
            <a:t>CTR-4</a:t>
          </a:r>
          <a:endParaRPr lang="ru-RU" sz="1600" b="1">
            <a:solidFill>
              <a:schemeClr val="tx1"/>
            </a:solidFill>
            <a:latin typeface="+mn-lt"/>
            <a:ea typeface="+mn-ea"/>
            <a:cs typeface="+mn-cs"/>
          </a:endParaRPr>
        </a:p>
      </xdr:txBody>
    </xdr:sp>
    <xdr:clientData/>
  </xdr:twoCellAnchor>
  <xdr:twoCellAnchor>
    <xdr:from>
      <xdr:col>3</xdr:col>
      <xdr:colOff>1190625</xdr:colOff>
      <xdr:row>10</xdr:row>
      <xdr:rowOff>166687</xdr:rowOff>
    </xdr:from>
    <xdr:to>
      <xdr:col>6</xdr:col>
      <xdr:colOff>119062</xdr:colOff>
      <xdr:row>24</xdr:row>
      <xdr:rowOff>628158</xdr:rowOff>
    </xdr:to>
    <xdr:cxnSp macro="">
      <xdr:nvCxnSpPr>
        <xdr:cNvPr id="85" name="Прямая со стрелкой 84">
          <a:extLst>
            <a:ext uri="{FF2B5EF4-FFF2-40B4-BE49-F238E27FC236}">
              <a16:creationId xmlns:a16="http://schemas.microsoft.com/office/drawing/2014/main" xmlns="" id="{00000000-0008-0000-0700-000055000000}"/>
            </a:ext>
          </a:extLst>
        </xdr:cNvPr>
        <xdr:cNvCxnSpPr/>
      </xdr:nvCxnSpPr>
      <xdr:spPr>
        <a:xfrm flipV="1">
          <a:off x="2595563" y="8286750"/>
          <a:ext cx="8286749" cy="13677408"/>
        </a:xfrm>
        <a:prstGeom prst="straightConnector1">
          <a:avLst/>
        </a:prstGeom>
        <a:ln>
          <a:prstDash val="dash"/>
          <a:tailEnd type="triangle"/>
        </a:ln>
      </xdr:spPr>
      <xdr:style>
        <a:lnRef idx="2">
          <a:schemeClr val="dk1"/>
        </a:lnRef>
        <a:fillRef idx="0">
          <a:schemeClr val="dk1"/>
        </a:fillRef>
        <a:effectRef idx="1">
          <a:schemeClr val="dk1"/>
        </a:effectRef>
        <a:fontRef idx="minor">
          <a:schemeClr val="tx1"/>
        </a:fontRef>
      </xdr:style>
    </xdr:cxnSp>
    <xdr:clientData/>
  </xdr:twoCellAnchor>
  <xdr:twoCellAnchor>
    <xdr:from>
      <xdr:col>5</xdr:col>
      <xdr:colOff>3064884</xdr:colOff>
      <xdr:row>8</xdr:row>
      <xdr:rowOff>825209</xdr:rowOff>
    </xdr:from>
    <xdr:to>
      <xdr:col>6</xdr:col>
      <xdr:colOff>906647</xdr:colOff>
      <xdr:row>10</xdr:row>
      <xdr:rowOff>157634</xdr:rowOff>
    </xdr:to>
    <xdr:sp macro="" textlink="">
      <xdr:nvSpPr>
        <xdr:cNvPr id="20" name="Овал 19">
          <a:extLst>
            <a:ext uri="{FF2B5EF4-FFF2-40B4-BE49-F238E27FC236}">
              <a16:creationId xmlns:a16="http://schemas.microsoft.com/office/drawing/2014/main" xmlns="" id="{00000000-0008-0000-0700-000014000000}"/>
            </a:ext>
          </a:extLst>
        </xdr:cNvPr>
        <xdr:cNvSpPr>
          <a:spLocks noChangeAspect="1"/>
        </xdr:cNvSpPr>
      </xdr:nvSpPr>
      <xdr:spPr>
        <a:xfrm>
          <a:off x="10708697" y="7326022"/>
          <a:ext cx="961200" cy="951675"/>
        </a:xfrm>
        <a:prstGeom prst="ellipse">
          <a:avLst/>
        </a:prstGeom>
        <a:gradFill flip="none" rotWithShape="1">
          <a:gsLst>
            <a:gs pos="0">
              <a:srgbClr val="FF0000">
                <a:shade val="30000"/>
                <a:satMod val="115000"/>
              </a:srgbClr>
            </a:gs>
            <a:gs pos="50000">
              <a:srgbClr val="FF0000">
                <a:shade val="67500"/>
                <a:satMod val="115000"/>
              </a:srgbClr>
            </a:gs>
            <a:gs pos="100000">
              <a:srgbClr val="FF0000">
                <a:shade val="100000"/>
                <a:satMod val="115000"/>
              </a:srgbClr>
            </a:gs>
          </a:gsLst>
          <a:lin ang="16200000" scaled="1"/>
          <a:tileRect/>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ysClr val="windowText" lastClr="000000"/>
              </a:solidFill>
              <a:effectLst/>
              <a:uLnTx/>
              <a:uFillTx/>
              <a:latin typeface="Calibri" panose="020F0502020204030204"/>
              <a:ea typeface="+mn-ea"/>
              <a:cs typeface="+mn-cs"/>
            </a:rPr>
            <a:t>CTR-4</a:t>
          </a:r>
          <a:endPar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6</xdr:col>
      <xdr:colOff>2047876</xdr:colOff>
      <xdr:row>12</xdr:row>
      <xdr:rowOff>285750</xdr:rowOff>
    </xdr:from>
    <xdr:to>
      <xdr:col>6</xdr:col>
      <xdr:colOff>3052770</xdr:colOff>
      <xdr:row>13</xdr:row>
      <xdr:rowOff>487498</xdr:rowOff>
    </xdr:to>
    <xdr:sp macro="" textlink="">
      <xdr:nvSpPr>
        <xdr:cNvPr id="89" name="Овал 24">
          <a:extLst>
            <a:ext uri="{FF2B5EF4-FFF2-40B4-BE49-F238E27FC236}">
              <a16:creationId xmlns:a16="http://schemas.microsoft.com/office/drawing/2014/main" xmlns="" id="{00000000-0008-0000-0700-000059000000}"/>
            </a:ext>
          </a:extLst>
        </xdr:cNvPr>
        <xdr:cNvSpPr>
          <a:spLocks noChangeAspect="1"/>
        </xdr:cNvSpPr>
      </xdr:nvSpPr>
      <xdr:spPr>
        <a:xfrm>
          <a:off x="12811126" y="10120313"/>
          <a:ext cx="1004894" cy="1011373"/>
        </a:xfrm>
        <a:prstGeom prst="ellipse">
          <a:avLst/>
        </a:prstGeom>
        <a:noFill/>
        <a:ln>
          <a:solidFill>
            <a:schemeClr val="bg1">
              <a:lumMod val="50000"/>
            </a:schemeClr>
          </a:solidFill>
        </a:ln>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marL="0" indent="0" algn="ctr"/>
          <a:r>
            <a:rPr lang="en-US" sz="1600" b="1">
              <a:solidFill>
                <a:schemeClr val="tx1"/>
              </a:solidFill>
              <a:latin typeface="+mn-lt"/>
              <a:ea typeface="+mn-ea"/>
              <a:cs typeface="+mn-cs"/>
            </a:rPr>
            <a:t>CTR-9</a:t>
          </a:r>
          <a:endParaRPr lang="ru-RU" sz="1600" b="1">
            <a:solidFill>
              <a:schemeClr val="tx1"/>
            </a:solidFill>
            <a:latin typeface="+mn-lt"/>
            <a:ea typeface="+mn-ea"/>
            <a:cs typeface="+mn-cs"/>
          </a:endParaRPr>
        </a:p>
      </xdr:txBody>
    </xdr:sp>
    <xdr:clientData/>
  </xdr:twoCellAnchor>
  <xdr:twoCellAnchor>
    <xdr:from>
      <xdr:col>4</xdr:col>
      <xdr:colOff>1881187</xdr:colOff>
      <xdr:row>13</xdr:row>
      <xdr:rowOff>404812</xdr:rowOff>
    </xdr:from>
    <xdr:to>
      <xdr:col>6</xdr:col>
      <xdr:colOff>2216697</xdr:colOff>
      <xdr:row>23</xdr:row>
      <xdr:rowOff>190499</xdr:rowOff>
    </xdr:to>
    <xdr:cxnSp macro="">
      <xdr:nvCxnSpPr>
        <xdr:cNvPr id="90" name="Прямая со стрелкой 89">
          <a:extLst>
            <a:ext uri="{FF2B5EF4-FFF2-40B4-BE49-F238E27FC236}">
              <a16:creationId xmlns:a16="http://schemas.microsoft.com/office/drawing/2014/main" xmlns="" id="{00000000-0008-0000-0700-00005A000000}"/>
            </a:ext>
          </a:extLst>
        </xdr:cNvPr>
        <xdr:cNvCxnSpPr/>
      </xdr:nvCxnSpPr>
      <xdr:spPr>
        <a:xfrm flipH="1">
          <a:off x="6405562" y="11049000"/>
          <a:ext cx="6574385" cy="9548812"/>
        </a:xfrm>
        <a:prstGeom prst="straightConnector1">
          <a:avLst/>
        </a:prstGeom>
        <a:ln>
          <a:prstDash val="dash"/>
          <a:tailEnd type="triangle"/>
        </a:ln>
      </xdr:spPr>
      <xdr:style>
        <a:lnRef idx="2">
          <a:schemeClr val="dk1"/>
        </a:lnRef>
        <a:fillRef idx="0">
          <a:schemeClr val="dk1"/>
        </a:fillRef>
        <a:effectRef idx="1">
          <a:schemeClr val="dk1"/>
        </a:effectRef>
        <a:fontRef idx="minor">
          <a:schemeClr val="tx1"/>
        </a:fontRef>
      </xdr:style>
    </xdr:cxnSp>
    <xdr:clientData/>
  </xdr:twoCellAnchor>
  <xdr:twoCellAnchor>
    <xdr:from>
      <xdr:col>5</xdr:col>
      <xdr:colOff>1238249</xdr:colOff>
      <xdr:row>23</xdr:row>
      <xdr:rowOff>571500</xdr:rowOff>
    </xdr:from>
    <xdr:to>
      <xdr:col>5</xdr:col>
      <xdr:colOff>2243143</xdr:colOff>
      <xdr:row>24</xdr:row>
      <xdr:rowOff>654186</xdr:rowOff>
    </xdr:to>
    <xdr:sp macro="" textlink="">
      <xdr:nvSpPr>
        <xdr:cNvPr id="91" name="Овал 24">
          <a:extLst>
            <a:ext uri="{FF2B5EF4-FFF2-40B4-BE49-F238E27FC236}">
              <a16:creationId xmlns:a16="http://schemas.microsoft.com/office/drawing/2014/main" xmlns="" id="{00000000-0008-0000-0700-00005B000000}"/>
            </a:ext>
          </a:extLst>
        </xdr:cNvPr>
        <xdr:cNvSpPr>
          <a:spLocks noChangeAspect="1"/>
        </xdr:cNvSpPr>
      </xdr:nvSpPr>
      <xdr:spPr>
        <a:xfrm>
          <a:off x="8882062" y="20978813"/>
          <a:ext cx="1004894" cy="1011373"/>
        </a:xfrm>
        <a:prstGeom prst="ellipse">
          <a:avLst/>
        </a:prstGeom>
        <a:noFill/>
        <a:ln>
          <a:solidFill>
            <a:schemeClr val="bg1">
              <a:lumMod val="50000"/>
            </a:schemeClr>
          </a:solidFill>
        </a:ln>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marL="0" indent="0" algn="ctr"/>
          <a:r>
            <a:rPr lang="en-US" sz="1600" b="1">
              <a:solidFill>
                <a:schemeClr val="tx1"/>
              </a:solidFill>
              <a:latin typeface="+mn-lt"/>
              <a:ea typeface="+mn-ea"/>
              <a:cs typeface="+mn-cs"/>
            </a:rPr>
            <a:t>CTR-8</a:t>
          </a:r>
          <a:endParaRPr lang="ru-RU" sz="1600" b="1">
            <a:solidFill>
              <a:schemeClr val="tx1"/>
            </a:solidFill>
            <a:latin typeface="+mn-lt"/>
            <a:ea typeface="+mn-ea"/>
            <a:cs typeface="+mn-cs"/>
          </a:endParaRPr>
        </a:p>
      </xdr:txBody>
    </xdr:sp>
    <xdr:clientData/>
  </xdr:twoCellAnchor>
  <xdr:twoCellAnchor>
    <xdr:from>
      <xdr:col>5</xdr:col>
      <xdr:colOff>1890712</xdr:colOff>
      <xdr:row>13</xdr:row>
      <xdr:rowOff>459550</xdr:rowOff>
    </xdr:from>
    <xdr:to>
      <xdr:col>5</xdr:col>
      <xdr:colOff>2726912</xdr:colOff>
      <xdr:row>23</xdr:row>
      <xdr:rowOff>571500</xdr:rowOff>
    </xdr:to>
    <xdr:cxnSp macro="">
      <xdr:nvCxnSpPr>
        <xdr:cNvPr id="92" name="Прямая со стрелкой 91">
          <a:extLst>
            <a:ext uri="{FF2B5EF4-FFF2-40B4-BE49-F238E27FC236}">
              <a16:creationId xmlns:a16="http://schemas.microsoft.com/office/drawing/2014/main" xmlns="" id="{00000000-0008-0000-0700-00005C000000}"/>
            </a:ext>
          </a:extLst>
        </xdr:cNvPr>
        <xdr:cNvCxnSpPr>
          <a:endCxn id="60" idx="4"/>
        </xdr:cNvCxnSpPr>
      </xdr:nvCxnSpPr>
      <xdr:spPr>
        <a:xfrm flipV="1">
          <a:off x="9534525" y="11103738"/>
          <a:ext cx="836200" cy="9875075"/>
        </a:xfrm>
        <a:prstGeom prst="straightConnector1">
          <a:avLst/>
        </a:prstGeom>
        <a:ln>
          <a:prstDash val="dash"/>
          <a:tailEnd type="triangle"/>
        </a:ln>
      </xdr:spPr>
      <xdr:style>
        <a:lnRef idx="2">
          <a:schemeClr val="dk1"/>
        </a:lnRef>
        <a:fillRef idx="0">
          <a:schemeClr val="dk1"/>
        </a:fillRef>
        <a:effectRef idx="1">
          <a:schemeClr val="dk1"/>
        </a:effectRef>
        <a:fontRef idx="minor">
          <a:schemeClr val="tx1"/>
        </a:fontRef>
      </xdr:style>
    </xdr:cxnSp>
    <xdr:clientData/>
  </xdr:twoCellAnchor>
  <xdr:twoCellAnchor>
    <xdr:from>
      <xdr:col>7</xdr:col>
      <xdr:colOff>2119313</xdr:colOff>
      <xdr:row>16</xdr:row>
      <xdr:rowOff>47625</xdr:rowOff>
    </xdr:from>
    <xdr:to>
      <xdr:col>7</xdr:col>
      <xdr:colOff>3079750</xdr:colOff>
      <xdr:row>17</xdr:row>
      <xdr:rowOff>136630</xdr:rowOff>
    </xdr:to>
    <xdr:sp macro="" textlink="">
      <xdr:nvSpPr>
        <xdr:cNvPr id="94" name="Овал 93">
          <a:extLst>
            <a:ext uri="{FF2B5EF4-FFF2-40B4-BE49-F238E27FC236}">
              <a16:creationId xmlns:a16="http://schemas.microsoft.com/office/drawing/2014/main" xmlns="" id="{00000000-0008-0000-0700-00005E000000}"/>
            </a:ext>
          </a:extLst>
        </xdr:cNvPr>
        <xdr:cNvSpPr>
          <a:spLocks noChangeAspect="1"/>
        </xdr:cNvSpPr>
      </xdr:nvSpPr>
      <xdr:spPr>
        <a:xfrm>
          <a:off x="16002001" y="13192125"/>
          <a:ext cx="960437" cy="993880"/>
        </a:xfrm>
        <a:prstGeom prst="ellipse">
          <a:avLst/>
        </a:prstGeom>
        <a:gradFill rotWithShape="1">
          <a:gsLst>
            <a:gs pos="0">
              <a:srgbClr val="F79646">
                <a:shade val="51000"/>
                <a:satMod val="130000"/>
              </a:srgbClr>
            </a:gs>
            <a:gs pos="80000">
              <a:srgbClr val="F79646">
                <a:shade val="93000"/>
                <a:satMod val="130000"/>
              </a:srgbClr>
            </a:gs>
            <a:gs pos="100000">
              <a:srgbClr val="F79646">
                <a:shade val="94000"/>
                <a:satMod val="135000"/>
              </a:srgbClr>
            </a:gs>
          </a:gsLst>
          <a:lin ang="16200000" scaled="0"/>
        </a:gradFill>
        <a:ln w="9525" cap="flat" cmpd="sng" algn="ctr">
          <a:solidFill>
            <a:srgbClr val="F79646">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ysClr val="windowText" lastClr="000000"/>
              </a:solidFill>
              <a:effectLst/>
              <a:uLnTx/>
              <a:uFillTx/>
              <a:latin typeface="Calibri" panose="020F0502020204030204"/>
              <a:ea typeface="+mn-ea"/>
              <a:cs typeface="+mn-cs"/>
            </a:rPr>
            <a:t>CTR-</a:t>
          </a:r>
          <a:r>
            <a:rPr kumimoji="0" lang="ru-RU" sz="1600" b="1" i="0" u="none" strike="noStrike" kern="0" cap="none" spc="0" normalizeH="0" baseline="0" noProof="0">
              <a:ln>
                <a:noFill/>
              </a:ln>
              <a:solidFill>
                <a:sysClr val="windowText" lastClr="000000"/>
              </a:solidFill>
              <a:effectLst/>
              <a:uLnTx/>
              <a:uFillTx/>
              <a:latin typeface="Calibri" panose="020F0502020204030204"/>
              <a:ea typeface="+mn-ea"/>
              <a:cs typeface="+mn-cs"/>
            </a:rPr>
            <a:t>3</a:t>
          </a:r>
        </a:p>
      </xdr:txBody>
    </xdr:sp>
    <xdr:clientData/>
  </xdr:twoCellAnchor>
  <xdr:twoCellAnchor>
    <xdr:from>
      <xdr:col>7</xdr:col>
      <xdr:colOff>2214561</xdr:colOff>
      <xdr:row>9</xdr:row>
      <xdr:rowOff>238125</xdr:rowOff>
    </xdr:from>
    <xdr:to>
      <xdr:col>8</xdr:col>
      <xdr:colOff>46691</xdr:colOff>
      <xdr:row>10</xdr:row>
      <xdr:rowOff>404811</xdr:rowOff>
    </xdr:to>
    <xdr:sp macro="" textlink="">
      <xdr:nvSpPr>
        <xdr:cNvPr id="95" name="Овал 24">
          <a:extLst>
            <a:ext uri="{FF2B5EF4-FFF2-40B4-BE49-F238E27FC236}">
              <a16:creationId xmlns:a16="http://schemas.microsoft.com/office/drawing/2014/main" xmlns="" id="{00000000-0008-0000-0700-00005F000000}"/>
            </a:ext>
          </a:extLst>
        </xdr:cNvPr>
        <xdr:cNvSpPr>
          <a:spLocks noChangeAspect="1"/>
        </xdr:cNvSpPr>
      </xdr:nvSpPr>
      <xdr:spPr>
        <a:xfrm>
          <a:off x="16097249" y="7572375"/>
          <a:ext cx="951567" cy="952499"/>
        </a:xfrm>
        <a:prstGeom prst="ellipse">
          <a:avLst/>
        </a:prstGeom>
        <a:noFill/>
        <a:ln>
          <a:solidFill>
            <a:schemeClr val="bg1">
              <a:lumMod val="50000"/>
            </a:schemeClr>
          </a:solidFill>
        </a:ln>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marL="0" indent="0" algn="ctr"/>
          <a:r>
            <a:rPr lang="en-US" sz="1600" b="1">
              <a:solidFill>
                <a:schemeClr val="tx1"/>
              </a:solidFill>
              <a:latin typeface="+mn-lt"/>
              <a:ea typeface="+mn-ea"/>
              <a:cs typeface="+mn-cs"/>
            </a:rPr>
            <a:t>CTR-3</a:t>
          </a:r>
          <a:endParaRPr lang="ru-RU" sz="1600" b="1">
            <a:solidFill>
              <a:schemeClr val="tx1"/>
            </a:solidFill>
            <a:latin typeface="+mn-lt"/>
            <a:ea typeface="+mn-ea"/>
            <a:cs typeface="+mn-cs"/>
          </a:endParaRPr>
        </a:p>
      </xdr:txBody>
    </xdr:sp>
    <xdr:clientData/>
  </xdr:twoCellAnchor>
  <xdr:twoCellAnchor>
    <xdr:from>
      <xdr:col>7</xdr:col>
      <xdr:colOff>2599532</xdr:colOff>
      <xdr:row>10</xdr:row>
      <xdr:rowOff>428625</xdr:rowOff>
    </xdr:from>
    <xdr:to>
      <xdr:col>7</xdr:col>
      <xdr:colOff>2645322</xdr:colOff>
      <xdr:row>16</xdr:row>
      <xdr:rowOff>47625</xdr:rowOff>
    </xdr:to>
    <xdr:cxnSp macro="">
      <xdr:nvCxnSpPr>
        <xdr:cNvPr id="96" name="Прямая со стрелкой 95">
          <a:extLst>
            <a:ext uri="{FF2B5EF4-FFF2-40B4-BE49-F238E27FC236}">
              <a16:creationId xmlns:a16="http://schemas.microsoft.com/office/drawing/2014/main" xmlns="" id="{00000000-0008-0000-0700-000060000000}"/>
            </a:ext>
          </a:extLst>
        </xdr:cNvPr>
        <xdr:cNvCxnSpPr>
          <a:endCxn id="94" idx="0"/>
        </xdr:cNvCxnSpPr>
      </xdr:nvCxnSpPr>
      <xdr:spPr>
        <a:xfrm flipH="1">
          <a:off x="16482220" y="8548688"/>
          <a:ext cx="45790" cy="4643437"/>
        </a:xfrm>
        <a:prstGeom prst="straightConnector1">
          <a:avLst/>
        </a:prstGeom>
        <a:ln>
          <a:prstDash val="dash"/>
          <a:tailEnd type="triangle"/>
        </a:ln>
      </xdr:spPr>
      <xdr:style>
        <a:lnRef idx="2">
          <a:schemeClr val="dk1"/>
        </a:lnRef>
        <a:fillRef idx="0">
          <a:schemeClr val="dk1"/>
        </a:fillRef>
        <a:effectRef idx="1">
          <a:schemeClr val="dk1"/>
        </a:effectRef>
        <a:fontRef idx="minor">
          <a:schemeClr val="tx1"/>
        </a:fontRef>
      </xdr:style>
    </xdr:cxn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523068</xdr:colOff>
      <xdr:row>168</xdr:row>
      <xdr:rowOff>73293</xdr:rowOff>
    </xdr:from>
    <xdr:to>
      <xdr:col>5</xdr:col>
      <xdr:colOff>742628</xdr:colOff>
      <xdr:row>186</xdr:row>
      <xdr:rowOff>145297</xdr:rowOff>
    </xdr:to>
    <xdr:graphicFrame macro="">
      <xdr:nvGraphicFramePr>
        <xdr:cNvPr id="4" name="Диаграмма 3">
          <a:extLst>
            <a:ext uri="{FF2B5EF4-FFF2-40B4-BE49-F238E27FC236}">
              <a16:creationId xmlns:a16="http://schemas.microsoft.com/office/drawing/2014/main" xmlns=""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839491</xdr:colOff>
      <xdr:row>168</xdr:row>
      <xdr:rowOff>64576</xdr:rowOff>
    </xdr:from>
    <xdr:to>
      <xdr:col>10</xdr:col>
      <xdr:colOff>687738</xdr:colOff>
      <xdr:row>186</xdr:row>
      <xdr:rowOff>136580</xdr:rowOff>
    </xdr:to>
    <xdr:graphicFrame macro="">
      <xdr:nvGraphicFramePr>
        <xdr:cNvPr id="5" name="Диаграмма 4">
          <a:extLst>
            <a:ext uri="{FF2B5EF4-FFF2-40B4-BE49-F238E27FC236}">
              <a16:creationId xmlns:a16="http://schemas.microsoft.com/office/drawing/2014/main" xmlns=""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500466</xdr:colOff>
      <xdr:row>186</xdr:row>
      <xdr:rowOff>177585</xdr:rowOff>
    </xdr:from>
    <xdr:to>
      <xdr:col>5</xdr:col>
      <xdr:colOff>720026</xdr:colOff>
      <xdr:row>205</xdr:row>
      <xdr:rowOff>55859</xdr:rowOff>
    </xdr:to>
    <xdr:graphicFrame macro="">
      <xdr:nvGraphicFramePr>
        <xdr:cNvPr id="6" name="Диаграмма 5">
          <a:extLst>
            <a:ext uri="{FF2B5EF4-FFF2-40B4-BE49-F238E27FC236}">
              <a16:creationId xmlns:a16="http://schemas.microsoft.com/office/drawing/2014/main" xmlns=""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887923</xdr:colOff>
      <xdr:row>187</xdr:row>
      <xdr:rowOff>0</xdr:rowOff>
    </xdr:from>
    <xdr:to>
      <xdr:col>10</xdr:col>
      <xdr:colOff>736170</xdr:colOff>
      <xdr:row>205</xdr:row>
      <xdr:rowOff>72003</xdr:rowOff>
    </xdr:to>
    <xdr:graphicFrame macro="">
      <xdr:nvGraphicFramePr>
        <xdr:cNvPr id="7" name="Диаграмма 6">
          <a:extLst>
            <a:ext uri="{FF2B5EF4-FFF2-40B4-BE49-F238E27FC236}">
              <a16:creationId xmlns:a16="http://schemas.microsoft.com/office/drawing/2014/main" xmlns=""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661147</xdr:colOff>
      <xdr:row>0</xdr:row>
      <xdr:rowOff>45942</xdr:rowOff>
    </xdr:from>
    <xdr:to>
      <xdr:col>43</xdr:col>
      <xdr:colOff>40821</xdr:colOff>
      <xdr:row>13</xdr:row>
      <xdr:rowOff>54429</xdr:rowOff>
    </xdr:to>
    <mc:AlternateContent xmlns:mc="http://schemas.openxmlformats.org/markup-compatibility/2006">
      <mc:Choice xmlns:cx1="http://schemas.microsoft.com/office/drawing/2015/9/8/chartex" xmlns="" Requires="cx1">
        <xdr:graphicFrame macro="">
          <xdr:nvGraphicFramePr>
            <xdr:cNvPr id="8" name="Диаграмма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
            </a:graphicData>
          </a:graphic>
        </xdr:graphicFrame>
      </mc:Choice>
      <mc:Fallback>
        <xdr:sp macro="" textlink="">
          <xdr:nvSpPr>
            <xdr:cNvPr id="2" name="Прямоугольник 1"/>
            <xdr:cNvSpPr>
              <a:spLocks noTextEdit="1"/>
            </xdr:cNvSpPr>
          </xdr:nvSpPr>
          <xdr:spPr>
            <a:xfrm>
              <a:off x="36217972" y="45942"/>
              <a:ext cx="6980624" cy="1316133"/>
            </a:xfrm>
            <a:prstGeom prst="rect">
              <a:avLst/>
            </a:prstGeom>
            <a:solidFill>
              <a:prstClr val="white"/>
            </a:solidFill>
            <a:ln w="1">
              <a:solidFill>
                <a:prstClr val="green"/>
              </a:solidFill>
            </a:ln>
          </xdr:spPr>
          <xdr:txBody>
            <a:bodyPr vertOverflow="clip" horzOverflow="clip"/>
            <a:lstStyle/>
            <a:p>
              <a:r>
                <a:rPr lang="ru-RU" sz="1100"/>
                <a:t>Эта диаграмма недоступна в вашей версии Excel.
Изменение этой фигуры или сохранение книги в другом формате приведет к остаточному повреждению диаграммы.</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xdr:from>
      <xdr:col>3</xdr:col>
      <xdr:colOff>42333</xdr:colOff>
      <xdr:row>16</xdr:row>
      <xdr:rowOff>21167</xdr:rowOff>
    </xdr:from>
    <xdr:to>
      <xdr:col>14</xdr:col>
      <xdr:colOff>497417</xdr:colOff>
      <xdr:row>22</xdr:row>
      <xdr:rowOff>381000</xdr:rowOff>
    </xdr:to>
    <xdr:graphicFrame macro="">
      <xdr:nvGraphicFramePr>
        <xdr:cNvPr id="2" name="Диаграмма 1">
          <a:extLst>
            <a:ext uri="{FF2B5EF4-FFF2-40B4-BE49-F238E27FC236}">
              <a16:creationId xmlns:a16="http://schemas.microsoft.com/office/drawing/2014/main" xmlns=""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461533</xdr:colOff>
      <xdr:row>23</xdr:row>
      <xdr:rowOff>90339</xdr:rowOff>
    </xdr:from>
    <xdr:to>
      <xdr:col>12</xdr:col>
      <xdr:colOff>940272</xdr:colOff>
      <xdr:row>27</xdr:row>
      <xdr:rowOff>370880</xdr:rowOff>
    </xdr:to>
    <xdr:graphicFrame macro="">
      <xdr:nvGraphicFramePr>
        <xdr:cNvPr id="3" name="Диаграмма 2">
          <a:extLst>
            <a:ext uri="{FF2B5EF4-FFF2-40B4-BE49-F238E27FC236}">
              <a16:creationId xmlns:a16="http://schemas.microsoft.com/office/drawing/2014/main" xmlns=""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42863</xdr:colOff>
      <xdr:row>20</xdr:row>
      <xdr:rowOff>217714</xdr:rowOff>
    </xdr:from>
    <xdr:to>
      <xdr:col>6</xdr:col>
      <xdr:colOff>556470</xdr:colOff>
      <xdr:row>20</xdr:row>
      <xdr:rowOff>398650</xdr:rowOff>
    </xdr:to>
    <xdr:sp macro="" textlink="$J$8">
      <xdr:nvSpPr>
        <xdr:cNvPr id="4" name="Скругленный прямоугольник 38">
          <a:extLst>
            <a:ext uri="{FF2B5EF4-FFF2-40B4-BE49-F238E27FC236}">
              <a16:creationId xmlns:a16="http://schemas.microsoft.com/office/drawing/2014/main" xmlns="" id="{00000000-0008-0000-0900-000004000000}"/>
            </a:ext>
          </a:extLst>
        </xdr:cNvPr>
        <xdr:cNvSpPr/>
      </xdr:nvSpPr>
      <xdr:spPr>
        <a:xfrm>
          <a:off x="8669792" y="6136821"/>
          <a:ext cx="513607" cy="180936"/>
        </a:xfrm>
        <a:prstGeom prst="roundRect">
          <a:avLst/>
        </a:prstGeom>
        <a:ln>
          <a:solidFill>
            <a:schemeClr val="bg1">
              <a:lumMod val="50000"/>
            </a:schemeClr>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algn="ctr"/>
          <a:fld id="{AF39B536-7068-4F60-95FB-D3231402F716}" type="TxLink">
            <a:rPr lang="en-US" sz="1000" b="0" i="1" u="none" strike="noStrike">
              <a:solidFill>
                <a:sysClr val="windowText" lastClr="000000"/>
              </a:solidFill>
              <a:latin typeface="Calibri"/>
              <a:cs typeface="Calibri"/>
            </a:rPr>
            <a:pPr algn="ctr"/>
            <a:t>106%</a:t>
          </a:fld>
          <a:endParaRPr lang="ru-RU" sz="1050" b="1" i="1">
            <a:solidFill>
              <a:sysClr val="windowText" lastClr="000000"/>
            </a:solidFill>
          </a:endParaRPr>
        </a:p>
      </xdr:txBody>
    </xdr:sp>
    <xdr:clientData/>
  </xdr:twoCellAnchor>
  <xdr:twoCellAnchor>
    <xdr:from>
      <xdr:col>8</xdr:col>
      <xdr:colOff>503917</xdr:colOff>
      <xdr:row>20</xdr:row>
      <xdr:rowOff>326572</xdr:rowOff>
    </xdr:from>
    <xdr:to>
      <xdr:col>9</xdr:col>
      <xdr:colOff>282422</xdr:colOff>
      <xdr:row>21</xdr:row>
      <xdr:rowOff>39921</xdr:rowOff>
    </xdr:to>
    <xdr:sp macro="" textlink="$J$9">
      <xdr:nvSpPr>
        <xdr:cNvPr id="5" name="Скругленный прямоугольник 41">
          <a:extLst>
            <a:ext uri="{FF2B5EF4-FFF2-40B4-BE49-F238E27FC236}">
              <a16:creationId xmlns:a16="http://schemas.microsoft.com/office/drawing/2014/main" xmlns="" id="{00000000-0008-0000-0900-000005000000}"/>
            </a:ext>
          </a:extLst>
        </xdr:cNvPr>
        <xdr:cNvSpPr/>
      </xdr:nvSpPr>
      <xdr:spPr>
        <a:xfrm>
          <a:off x="10913381" y="6245679"/>
          <a:ext cx="554112" cy="162385"/>
        </a:xfrm>
        <a:prstGeom prst="roundRect">
          <a:avLst/>
        </a:prstGeom>
        <a:ln>
          <a:solidFill>
            <a:schemeClr val="bg1">
              <a:lumMod val="50000"/>
            </a:schemeClr>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algn="ctr"/>
          <a:fld id="{14BD14B9-08E0-4FE4-AEF7-E820C1F7FB0F}" type="TxLink">
            <a:rPr lang="en-US" sz="1000" b="0" i="1" u="none" strike="noStrike">
              <a:solidFill>
                <a:sysClr val="windowText" lastClr="000000"/>
              </a:solidFill>
              <a:latin typeface="Calibri"/>
              <a:cs typeface="Calibri"/>
            </a:rPr>
            <a:pPr algn="ctr"/>
            <a:t>107%</a:t>
          </a:fld>
          <a:endParaRPr lang="ru-RU" sz="1050" b="1" i="1">
            <a:solidFill>
              <a:sysClr val="windowText" lastClr="000000"/>
            </a:solidFill>
          </a:endParaRPr>
        </a:p>
      </xdr:txBody>
    </xdr:sp>
    <xdr:clientData/>
  </xdr:twoCellAnchor>
  <xdr:twoCellAnchor>
    <xdr:from>
      <xdr:col>12</xdr:col>
      <xdr:colOff>103943</xdr:colOff>
      <xdr:row>19</xdr:row>
      <xdr:rowOff>190500</xdr:rowOff>
    </xdr:from>
    <xdr:to>
      <xdr:col>12</xdr:col>
      <xdr:colOff>612553</xdr:colOff>
      <xdr:row>19</xdr:row>
      <xdr:rowOff>357389</xdr:rowOff>
    </xdr:to>
    <xdr:sp macro="" textlink="$J$10">
      <xdr:nvSpPr>
        <xdr:cNvPr id="6" name="Скругленный прямоугольник 47">
          <a:extLst>
            <a:ext uri="{FF2B5EF4-FFF2-40B4-BE49-F238E27FC236}">
              <a16:creationId xmlns:a16="http://schemas.microsoft.com/office/drawing/2014/main" xmlns="" id="{00000000-0008-0000-0900-000006000000}"/>
            </a:ext>
          </a:extLst>
        </xdr:cNvPr>
        <xdr:cNvSpPr/>
      </xdr:nvSpPr>
      <xdr:spPr>
        <a:xfrm>
          <a:off x="13125979" y="5660571"/>
          <a:ext cx="508610" cy="166889"/>
        </a:xfrm>
        <a:prstGeom prst="roundRect">
          <a:avLst/>
        </a:prstGeom>
        <a:ln>
          <a:solidFill>
            <a:schemeClr val="bg1">
              <a:lumMod val="50000"/>
            </a:schemeClr>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algn="ctr"/>
          <a:fld id="{9C8961F8-43F4-4EB1-9B51-8EB0EECAEB46}" type="TxLink">
            <a:rPr lang="en-US" sz="1000" b="0" i="1" u="none" strike="noStrike">
              <a:solidFill>
                <a:sysClr val="windowText" lastClr="000000"/>
              </a:solidFill>
              <a:latin typeface="Calibri"/>
              <a:cs typeface="Calibri"/>
            </a:rPr>
            <a:pPr algn="ctr"/>
            <a:t>102%</a:t>
          </a:fld>
          <a:endParaRPr lang="en-US" sz="1050" i="1">
            <a:solidFill>
              <a:sysClr val="windowText" lastClr="000000"/>
            </a:solidFill>
          </a:endParaRPr>
        </a:p>
      </xdr:txBody>
    </xdr:sp>
    <xdr:clientData/>
  </xdr:twoCellAnchor>
  <xdr:twoCellAnchor editAs="oneCell">
    <xdr:from>
      <xdr:col>3</xdr:col>
      <xdr:colOff>1791421</xdr:colOff>
      <xdr:row>20</xdr:row>
      <xdr:rowOff>81643</xdr:rowOff>
    </xdr:from>
    <xdr:to>
      <xdr:col>3</xdr:col>
      <xdr:colOff>2299608</xdr:colOff>
      <xdr:row>20</xdr:row>
      <xdr:rowOff>272143</xdr:rowOff>
    </xdr:to>
    <xdr:sp macro="" textlink="$J$7">
      <xdr:nvSpPr>
        <xdr:cNvPr id="7" name="Скругленный прямоугольник 25">
          <a:extLst>
            <a:ext uri="{FF2B5EF4-FFF2-40B4-BE49-F238E27FC236}">
              <a16:creationId xmlns:a16="http://schemas.microsoft.com/office/drawing/2014/main" xmlns="" id="{00000000-0008-0000-0900-000007000000}"/>
            </a:ext>
          </a:extLst>
        </xdr:cNvPr>
        <xdr:cNvSpPr/>
      </xdr:nvSpPr>
      <xdr:spPr>
        <a:xfrm>
          <a:off x="6404242" y="6000750"/>
          <a:ext cx="508187" cy="190500"/>
        </a:xfrm>
        <a:prstGeom prst="roundRect">
          <a:avLst/>
        </a:prstGeom>
        <a:ln>
          <a:solidFill>
            <a:schemeClr val="bg1">
              <a:lumMod val="50000"/>
            </a:schemeClr>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algn="ctr"/>
          <a:fld id="{EDFA9620-1C3B-4E2B-8430-471D7A98168F}" type="TxLink">
            <a:rPr lang="en-US" sz="1000" b="0" i="1" u="none" strike="noStrike">
              <a:solidFill>
                <a:sysClr val="windowText" lastClr="000000"/>
              </a:solidFill>
              <a:latin typeface="Calibri"/>
              <a:cs typeface="Calibri"/>
            </a:rPr>
            <a:pPr algn="ctr"/>
            <a:t>90%</a:t>
          </a:fld>
          <a:endParaRPr lang="ru-RU" sz="1050" b="1" i="1">
            <a:solidFill>
              <a:sysClr val="windowText" lastClr="000000"/>
            </a:solidFill>
          </a:endParaRPr>
        </a:p>
      </xdr:txBody>
    </xdr:sp>
    <xdr:clientData/>
  </xdr:twoCellAnchor>
  <xdr:twoCellAnchor>
    <xdr:from>
      <xdr:col>11</xdr:col>
      <xdr:colOff>258955</xdr:colOff>
      <xdr:row>25</xdr:row>
      <xdr:rowOff>405651</xdr:rowOff>
    </xdr:from>
    <xdr:to>
      <xdr:col>12</xdr:col>
      <xdr:colOff>172847</xdr:colOff>
      <xdr:row>26</xdr:row>
      <xdr:rowOff>126583</xdr:rowOff>
    </xdr:to>
    <xdr:sp macro="" textlink="'data dash'!J4">
      <xdr:nvSpPr>
        <xdr:cNvPr id="8" name="Скругленный прямоугольник 49">
          <a:extLst>
            <a:ext uri="{FF2B5EF4-FFF2-40B4-BE49-F238E27FC236}">
              <a16:creationId xmlns:a16="http://schemas.microsoft.com/office/drawing/2014/main" xmlns="" id="{00000000-0008-0000-0900-000008000000}"/>
            </a:ext>
          </a:extLst>
        </xdr:cNvPr>
        <xdr:cNvSpPr/>
      </xdr:nvSpPr>
      <xdr:spPr>
        <a:xfrm>
          <a:off x="12652038" y="8057401"/>
          <a:ext cx="527726" cy="165432"/>
        </a:xfrm>
        <a:prstGeom prst="roundRect">
          <a:avLst/>
        </a:prstGeom>
      </xdr:spPr>
      <xdr:style>
        <a:lnRef idx="2">
          <a:schemeClr val="accent5"/>
        </a:lnRef>
        <a:fillRef idx="1">
          <a:schemeClr val="lt1"/>
        </a:fillRef>
        <a:effectRef idx="0">
          <a:schemeClr val="accent5"/>
        </a:effectRef>
        <a:fontRef idx="minor">
          <a:schemeClr val="dk1"/>
        </a:fontRef>
      </xdr:style>
      <xdr:txBody>
        <a:bodyPr wrap="square" rtlCol="0"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fld id="{B32DF122-6135-4017-94EE-589A9E1D8959}" type="TxLink">
            <a:rPr lang="en-US" sz="1050" b="0" i="1" u="none" strike="noStrike">
              <a:solidFill>
                <a:srgbClr val="000000"/>
              </a:solidFill>
              <a:latin typeface="Calibri"/>
              <a:cs typeface="Calibri"/>
            </a:rPr>
            <a:pPr algn="ctr"/>
            <a:t>108%</a:t>
          </a:fld>
          <a:endParaRPr lang="ru-RU" sz="1050" b="1" i="1"/>
        </a:p>
      </xdr:txBody>
    </xdr:sp>
    <xdr:clientData/>
  </xdr:twoCellAnchor>
  <xdr:twoCellAnchor>
    <xdr:from>
      <xdr:col>3</xdr:col>
      <xdr:colOff>44081</xdr:colOff>
      <xdr:row>23</xdr:row>
      <xdr:rowOff>84276</xdr:rowOff>
    </xdr:from>
    <xdr:to>
      <xdr:col>4</xdr:col>
      <xdr:colOff>596283</xdr:colOff>
      <xdr:row>27</xdr:row>
      <xdr:rowOff>372380</xdr:rowOff>
    </xdr:to>
    <xdr:graphicFrame macro="">
      <xdr:nvGraphicFramePr>
        <xdr:cNvPr id="9" name="Диаграмма 8">
          <a:extLst>
            <a:ext uri="{FF2B5EF4-FFF2-40B4-BE49-F238E27FC236}">
              <a16:creationId xmlns:a16="http://schemas.microsoft.com/office/drawing/2014/main" xmlns=""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622216</xdr:colOff>
      <xdr:row>23</xdr:row>
      <xdr:rowOff>83196</xdr:rowOff>
    </xdr:from>
    <xdr:to>
      <xdr:col>8</xdr:col>
      <xdr:colOff>437441</xdr:colOff>
      <xdr:row>27</xdr:row>
      <xdr:rowOff>367799</xdr:rowOff>
    </xdr:to>
    <xdr:graphicFrame macro="">
      <xdr:nvGraphicFramePr>
        <xdr:cNvPr id="10" name="Диаграмма 9">
          <a:extLst>
            <a:ext uri="{FF2B5EF4-FFF2-40B4-BE49-F238E27FC236}">
              <a16:creationId xmlns:a16="http://schemas.microsoft.com/office/drawing/2014/main" xmlns=""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1861939</xdr:colOff>
      <xdr:row>26</xdr:row>
      <xdr:rowOff>93903</xdr:rowOff>
    </xdr:from>
    <xdr:to>
      <xdr:col>3</xdr:col>
      <xdr:colOff>2444092</xdr:colOff>
      <xdr:row>26</xdr:row>
      <xdr:rowOff>260800</xdr:rowOff>
    </xdr:to>
    <xdr:sp macro="" textlink="'data dash'!J3">
      <xdr:nvSpPr>
        <xdr:cNvPr id="11" name="Скругленный прямоугольник 31">
          <a:extLst>
            <a:ext uri="{FF2B5EF4-FFF2-40B4-BE49-F238E27FC236}">
              <a16:creationId xmlns:a16="http://schemas.microsoft.com/office/drawing/2014/main" xmlns="" id="{00000000-0008-0000-0900-00000B000000}"/>
            </a:ext>
          </a:extLst>
        </xdr:cNvPr>
        <xdr:cNvSpPr/>
      </xdr:nvSpPr>
      <xdr:spPr>
        <a:xfrm>
          <a:off x="6476272" y="8803986"/>
          <a:ext cx="582153" cy="166897"/>
        </a:xfrm>
        <a:prstGeom prst="roundRect">
          <a:avLst/>
        </a:prstGeom>
      </xdr:spPr>
      <xdr:style>
        <a:lnRef idx="2">
          <a:schemeClr val="accent5"/>
        </a:lnRef>
        <a:fillRef idx="1">
          <a:schemeClr val="lt1"/>
        </a:fillRef>
        <a:effectRef idx="0">
          <a:schemeClr val="accent5"/>
        </a:effectRef>
        <a:fontRef idx="minor">
          <a:schemeClr val="dk1"/>
        </a:fontRef>
      </xdr:style>
      <xdr:txBody>
        <a:bodyPr wrap="square" rtlCol="0"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fld id="{C7D9EA51-4E24-499E-A58E-E4D2CBAF0F22}" type="TxLink">
            <a:rPr lang="en-US" sz="1050" b="0" i="1" u="none" strike="noStrike">
              <a:solidFill>
                <a:srgbClr val="000000"/>
              </a:solidFill>
              <a:latin typeface="Calibri"/>
              <a:cs typeface="Calibri"/>
            </a:rPr>
            <a:pPr algn="ctr"/>
            <a:t>100%</a:t>
          </a:fld>
          <a:endParaRPr lang="ru-RU" sz="1050" b="1" i="1"/>
        </a:p>
      </xdr:txBody>
    </xdr:sp>
    <xdr:clientData/>
  </xdr:twoCellAnchor>
  <xdr:twoCellAnchor>
    <xdr:from>
      <xdr:col>7</xdr:col>
      <xdr:colOff>91145</xdr:colOff>
      <xdr:row>25</xdr:row>
      <xdr:rowOff>377194</xdr:rowOff>
    </xdr:from>
    <xdr:to>
      <xdr:col>7</xdr:col>
      <xdr:colOff>600950</xdr:colOff>
      <xdr:row>26</xdr:row>
      <xdr:rowOff>93792</xdr:rowOff>
    </xdr:to>
    <xdr:sp macro="" textlink="'data dash'!J5">
      <xdr:nvSpPr>
        <xdr:cNvPr id="12" name="Скругленный прямоугольник 48">
          <a:extLst>
            <a:ext uri="{FF2B5EF4-FFF2-40B4-BE49-F238E27FC236}">
              <a16:creationId xmlns:a16="http://schemas.microsoft.com/office/drawing/2014/main" xmlns="" id="{00000000-0008-0000-0900-00000C000000}"/>
            </a:ext>
          </a:extLst>
        </xdr:cNvPr>
        <xdr:cNvSpPr/>
      </xdr:nvSpPr>
      <xdr:spPr>
        <a:xfrm>
          <a:off x="9563228" y="8028944"/>
          <a:ext cx="509805" cy="161098"/>
        </a:xfrm>
        <a:prstGeom prst="roundRect">
          <a:avLst/>
        </a:prstGeom>
      </xdr:spPr>
      <xdr:style>
        <a:lnRef idx="2">
          <a:schemeClr val="accent5"/>
        </a:lnRef>
        <a:fillRef idx="1">
          <a:schemeClr val="lt1"/>
        </a:fillRef>
        <a:effectRef idx="0">
          <a:schemeClr val="accent5"/>
        </a:effectRef>
        <a:fontRef idx="minor">
          <a:schemeClr val="dk1"/>
        </a:fontRef>
      </xdr:style>
      <xdr:txBody>
        <a:bodyPr wrap="square" rtlCol="0"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fld id="{ED3B27C3-0147-4064-A013-E8AD8066E2C1}" type="TxLink">
            <a:rPr lang="en-US" sz="1050" b="0" i="1" u="none" strike="noStrike">
              <a:solidFill>
                <a:srgbClr val="000000"/>
              </a:solidFill>
              <a:latin typeface="Calibri"/>
              <a:cs typeface="Calibri"/>
            </a:rPr>
            <a:pPr algn="ctr"/>
            <a:t>97%</a:t>
          </a:fld>
          <a:endParaRPr lang="ru-RU" sz="1050" b="1" i="1"/>
        </a:p>
      </xdr:txBody>
    </xdr:sp>
    <xdr:clientData/>
  </xdr:twoCellAnchor>
  <mc:AlternateContent xmlns:mc="http://schemas.openxmlformats.org/markup-compatibility/2006">
    <mc:Choice xmlns:a14="http://schemas.microsoft.com/office/drawing/2010/main" Requires="a14">
      <xdr:twoCellAnchor editAs="oneCell">
        <xdr:from>
          <xdr:col>2</xdr:col>
          <xdr:colOff>1219200</xdr:colOff>
          <xdr:row>0</xdr:row>
          <xdr:rowOff>76200</xdr:rowOff>
        </xdr:from>
        <xdr:to>
          <xdr:col>2</xdr:col>
          <xdr:colOff>1630680</xdr:colOff>
          <xdr:row>0</xdr:row>
          <xdr:rowOff>487680</xdr:rowOff>
        </xdr:to>
        <xdr:sp macro="" textlink="">
          <xdr:nvSpPr>
            <xdr:cNvPr id="20484" name="Check Box 4" hidden="1">
              <a:extLst>
                <a:ext uri="{63B3BB69-23CF-44E3-9099-C40C66FF867C}">
                  <a14:compatExt spid="_x0000_s20484"/>
                </a:ext>
              </a:extLst>
            </xdr:cNvPr>
            <xdr:cNvSpPr/>
          </xdr:nvSpPr>
          <xdr:spPr>
            <a:xfrm>
              <a:off x="0" y="0"/>
              <a:ext cx="0" cy="0"/>
            </a:xfrm>
            <a:prstGeom prst="rect">
              <a:avLst/>
            </a:prstGeom>
          </xdr:spPr>
        </xdr:sp>
        <xdr:clientData/>
      </xdr:twoCellAnchor>
    </mc:Choice>
    <mc:Fallback/>
  </mc:AlternateContent>
  <xdr:twoCellAnchor>
    <xdr:from>
      <xdr:col>3</xdr:col>
      <xdr:colOff>37357</xdr:colOff>
      <xdr:row>28</xdr:row>
      <xdr:rowOff>69768</xdr:rowOff>
    </xdr:from>
    <xdr:to>
      <xdr:col>15</xdr:col>
      <xdr:colOff>775608</xdr:colOff>
      <xdr:row>34</xdr:row>
      <xdr:rowOff>421822</xdr:rowOff>
    </xdr:to>
    <mc:AlternateContent xmlns:mc="http://schemas.openxmlformats.org/markup-compatibility/2006">
      <mc:Choice xmlns:cx1="http://schemas.microsoft.com/office/drawing/2015/9/8/chartex" xmlns="" Requires="cx1">
        <xdr:graphicFrame macro="">
          <xdr:nvGraphicFramePr>
            <xdr:cNvPr id="13" name="Диаграмма 12">
              <a:extLst>
                <a:ext uri="{FF2B5EF4-FFF2-40B4-BE49-F238E27FC236}">
                  <a16:creationId xmlns:a16="http://schemas.microsoft.com/office/drawing/2014/main" id="{00000000-0008-0000-0900-00000D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
            </a:graphicData>
          </a:graphic>
        </xdr:graphicFrame>
      </mc:Choice>
      <mc:Fallback>
        <xdr:sp macro="" textlink="">
          <xdr:nvSpPr>
            <xdr:cNvPr id="13" name="Прямоугольник 12"/>
            <xdr:cNvSpPr>
              <a:spLocks noTextEdit="1"/>
            </xdr:cNvSpPr>
          </xdr:nvSpPr>
          <xdr:spPr>
            <a:xfrm>
              <a:off x="5257057" y="9975768"/>
              <a:ext cx="11882501" cy="3038104"/>
            </a:xfrm>
            <a:prstGeom prst="rect">
              <a:avLst/>
            </a:prstGeom>
            <a:solidFill>
              <a:prstClr val="white"/>
            </a:solidFill>
            <a:ln w="1">
              <a:solidFill>
                <a:prstClr val="green"/>
              </a:solidFill>
            </a:ln>
          </xdr:spPr>
          <xdr:txBody>
            <a:bodyPr vertOverflow="clip" horzOverflow="clip"/>
            <a:lstStyle/>
            <a:p>
              <a:r>
                <a:rPr lang="ru-RU" sz="1100"/>
                <a:t>Эта диаграмма недоступна в вашей версии Excel.
Изменение этой фигуры или сохранение книги в другом формате приведет к остаточному повреждению диаграммы.</a:t>
              </a:r>
            </a:p>
          </xdr:txBody>
        </xdr:sp>
      </mc:Fallback>
    </mc:AlternateContent>
    <xdr:clientData/>
  </xdr:twoCellAnchor>
  <xdr:twoCellAnchor>
    <xdr:from>
      <xdr:col>3</xdr:col>
      <xdr:colOff>42430</xdr:colOff>
      <xdr:row>35</xdr:row>
      <xdr:rowOff>27464</xdr:rowOff>
    </xdr:from>
    <xdr:to>
      <xdr:col>15</xdr:col>
      <xdr:colOff>775606</xdr:colOff>
      <xdr:row>42</xdr:row>
      <xdr:rowOff>0</xdr:rowOff>
    </xdr:to>
    <mc:AlternateContent xmlns:mc="http://schemas.openxmlformats.org/markup-compatibility/2006">
      <mc:Choice xmlns:cx1="http://schemas.microsoft.com/office/drawing/2015/9/8/chartex" xmlns="" Requires="cx1">
        <xdr:graphicFrame macro="">
          <xdr:nvGraphicFramePr>
            <xdr:cNvPr id="14" name="Диаграмма 13">
              <a:extLst>
                <a:ext uri="{FF2B5EF4-FFF2-40B4-BE49-F238E27FC236}">
                  <a16:creationId xmlns:a16="http://schemas.microsoft.com/office/drawing/2014/main" id="{00000000-0008-0000-0900-00000E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
            </a:graphicData>
          </a:graphic>
        </xdr:graphicFrame>
      </mc:Choice>
      <mc:Fallback>
        <xdr:sp macro="" textlink="">
          <xdr:nvSpPr>
            <xdr:cNvPr id="14" name="Прямоугольник 13"/>
            <xdr:cNvSpPr>
              <a:spLocks noTextEdit="1"/>
            </xdr:cNvSpPr>
          </xdr:nvSpPr>
          <xdr:spPr>
            <a:xfrm>
              <a:off x="5262130" y="13067189"/>
              <a:ext cx="11877426" cy="3106261"/>
            </a:xfrm>
            <a:prstGeom prst="rect">
              <a:avLst/>
            </a:prstGeom>
            <a:solidFill>
              <a:prstClr val="white"/>
            </a:solidFill>
            <a:ln w="1">
              <a:solidFill>
                <a:prstClr val="green"/>
              </a:solidFill>
            </a:ln>
          </xdr:spPr>
          <xdr:txBody>
            <a:bodyPr vertOverflow="clip" horzOverflow="clip"/>
            <a:lstStyle/>
            <a:p>
              <a:r>
                <a:rPr lang="ru-RU" sz="1100"/>
                <a:t>Эта диаграмма недоступна в вашей версии Excel.
Изменение этой фигуры или сохранение книги в другом формате приведет к остаточному повреждению диаграммы.</a:t>
              </a:r>
            </a:p>
          </xdr:txBody>
        </xdr:sp>
      </mc:Fallback>
    </mc:AlternateContent>
    <xdr:clientData/>
  </xdr:twoCellAnchor>
  <xdr:twoCellAnchor>
    <xdr:from>
      <xdr:col>3</xdr:col>
      <xdr:colOff>51955</xdr:colOff>
      <xdr:row>42</xdr:row>
      <xdr:rowOff>51955</xdr:rowOff>
    </xdr:from>
    <xdr:to>
      <xdr:col>15</xdr:col>
      <xdr:colOff>809626</xdr:colOff>
      <xdr:row>50</xdr:row>
      <xdr:rowOff>398318</xdr:rowOff>
    </xdr:to>
    <xdr:graphicFrame macro="">
      <xdr:nvGraphicFramePr>
        <xdr:cNvPr id="15" name="Диаграмма 14">
          <a:extLst>
            <a:ext uri="{FF2B5EF4-FFF2-40B4-BE49-F238E27FC236}">
              <a16:creationId xmlns:a16="http://schemas.microsoft.com/office/drawing/2014/main" xmlns=""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75769</xdr:colOff>
      <xdr:row>51</xdr:row>
      <xdr:rowOff>69271</xdr:rowOff>
    </xdr:from>
    <xdr:to>
      <xdr:col>15</xdr:col>
      <xdr:colOff>779319</xdr:colOff>
      <xdr:row>59</xdr:row>
      <xdr:rowOff>432954</xdr:rowOff>
    </xdr:to>
    <xdr:graphicFrame macro="">
      <xdr:nvGraphicFramePr>
        <xdr:cNvPr id="16" name="Диаграмма 15">
          <a:extLst>
            <a:ext uri="{FF2B5EF4-FFF2-40B4-BE49-F238E27FC236}">
              <a16:creationId xmlns:a16="http://schemas.microsoft.com/office/drawing/2014/main" xmlns=""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51954</xdr:colOff>
      <xdr:row>60</xdr:row>
      <xdr:rowOff>29688</xdr:rowOff>
    </xdr:from>
    <xdr:to>
      <xdr:col>15</xdr:col>
      <xdr:colOff>779318</xdr:colOff>
      <xdr:row>68</xdr:row>
      <xdr:rowOff>415637</xdr:rowOff>
    </xdr:to>
    <xdr:graphicFrame macro="">
      <xdr:nvGraphicFramePr>
        <xdr:cNvPr id="17" name="Диаграмма 16">
          <a:extLst>
            <a:ext uri="{FF2B5EF4-FFF2-40B4-BE49-F238E27FC236}">
              <a16:creationId xmlns:a16="http://schemas.microsoft.com/office/drawing/2014/main" xmlns=""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51954</xdr:colOff>
      <xdr:row>69</xdr:row>
      <xdr:rowOff>29689</xdr:rowOff>
    </xdr:from>
    <xdr:to>
      <xdr:col>15</xdr:col>
      <xdr:colOff>796636</xdr:colOff>
      <xdr:row>77</xdr:row>
      <xdr:rowOff>380999</xdr:rowOff>
    </xdr:to>
    <xdr:graphicFrame macro="">
      <xdr:nvGraphicFramePr>
        <xdr:cNvPr id="18" name="Диаграмма 17">
          <a:extLst>
            <a:ext uri="{FF2B5EF4-FFF2-40B4-BE49-F238E27FC236}">
              <a16:creationId xmlns:a16="http://schemas.microsoft.com/office/drawing/2014/main" xmlns=""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526348</xdr:colOff>
      <xdr:row>47</xdr:row>
      <xdr:rowOff>184314</xdr:rowOff>
    </xdr:from>
    <xdr:to>
      <xdr:col>9</xdr:col>
      <xdr:colOff>581526</xdr:colOff>
      <xdr:row>47</xdr:row>
      <xdr:rowOff>425854</xdr:rowOff>
    </xdr:to>
    <xdr:sp macro="" textlink="'РЕЕСТР РИСКОВ_2023'!AC41">
      <xdr:nvSpPr>
        <xdr:cNvPr id="19" name="Скругленный прямоугольник 2">
          <a:extLst>
            <a:ext uri="{FF2B5EF4-FFF2-40B4-BE49-F238E27FC236}">
              <a16:creationId xmlns:a16="http://schemas.microsoft.com/office/drawing/2014/main" xmlns="" id="{00000000-0008-0000-0900-000013000000}"/>
            </a:ext>
          </a:extLst>
        </xdr:cNvPr>
        <xdr:cNvSpPr/>
      </xdr:nvSpPr>
      <xdr:spPr>
        <a:xfrm>
          <a:off x="10917257" y="18333769"/>
          <a:ext cx="834496" cy="241540"/>
        </a:xfrm>
        <a:prstGeom prst="roundRect">
          <a:avLst/>
        </a:prstGeom>
        <a:gradFill flip="none" rotWithShape="1">
          <a:gsLst>
            <a:gs pos="0">
              <a:srgbClr val="FE948C">
                <a:shade val="30000"/>
                <a:satMod val="115000"/>
              </a:srgbClr>
            </a:gs>
            <a:gs pos="50000">
              <a:srgbClr val="FE948C">
                <a:shade val="67500"/>
                <a:satMod val="115000"/>
              </a:srgbClr>
            </a:gs>
            <a:gs pos="100000">
              <a:srgbClr val="FE948C">
                <a:shade val="100000"/>
                <a:satMod val="115000"/>
              </a:srgbClr>
            </a:gs>
          </a:gsLst>
          <a:lin ang="16200000" scaled="1"/>
          <a:tileRect/>
        </a:gradFill>
        <a:ln>
          <a:solidFill>
            <a:srgbClr val="C00000"/>
          </a:solidFill>
        </a:ln>
        <a:effectLst>
          <a:outerShdw blurRad="50800" dist="50800" dir="5400000" algn="ctr" rotWithShape="0">
            <a:srgbClr val="000000">
              <a:alpha val="31000"/>
            </a:srgbClr>
          </a:outerShdw>
        </a:effectLst>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fld id="{D1BBB976-F7DE-4D21-AA8D-0839342F9B12}" type="TxLink">
            <a:rPr lang="en-US" sz="1200" b="1" i="0" u="none" strike="noStrike">
              <a:solidFill>
                <a:sysClr val="windowText" lastClr="000000"/>
              </a:solidFill>
              <a:latin typeface="Times New Roman"/>
              <a:cs typeface="Times New Roman"/>
            </a:rPr>
            <a:pPr algn="ctr"/>
            <a:t>99,08%</a:t>
          </a:fld>
          <a:endParaRPr lang="ru-RU" sz="1050">
            <a:solidFill>
              <a:sysClr val="windowText" lastClr="000000"/>
            </a:solidFill>
          </a:endParaRPr>
        </a:p>
      </xdr:txBody>
    </xdr:sp>
    <xdr:clientData/>
  </xdr:twoCellAnchor>
  <xdr:twoCellAnchor>
    <xdr:from>
      <xdr:col>8</xdr:col>
      <xdr:colOff>265338</xdr:colOff>
      <xdr:row>45</xdr:row>
      <xdr:rowOff>17317</xdr:rowOff>
    </xdr:from>
    <xdr:to>
      <xdr:col>8</xdr:col>
      <xdr:colOff>508022</xdr:colOff>
      <xdr:row>49</xdr:row>
      <xdr:rowOff>258997</xdr:rowOff>
    </xdr:to>
    <xdr:sp macro="" textlink="">
      <xdr:nvSpPr>
        <xdr:cNvPr id="20" name="Правая фигурная скобка 19">
          <a:extLst>
            <a:ext uri="{FF2B5EF4-FFF2-40B4-BE49-F238E27FC236}">
              <a16:creationId xmlns:a16="http://schemas.microsoft.com/office/drawing/2014/main" xmlns="" id="{00000000-0008-0000-0900-000014000000}"/>
            </a:ext>
          </a:extLst>
        </xdr:cNvPr>
        <xdr:cNvSpPr/>
      </xdr:nvSpPr>
      <xdr:spPr>
        <a:xfrm>
          <a:off x="10656247" y="17266226"/>
          <a:ext cx="242684" cy="2042771"/>
        </a:xfrm>
        <a:prstGeom prst="rightBrace">
          <a:avLst/>
        </a:prstGeom>
        <a:ln>
          <a:solidFill>
            <a:schemeClr val="tx1">
              <a:lumMod val="65000"/>
              <a:lumOff val="35000"/>
            </a:schemeClr>
          </a:solidFill>
        </a:ln>
        <a:effectLst>
          <a:outerShdw blurRad="50800" dist="50800" dir="5400000" algn="ctr" rotWithShape="0">
            <a:srgbClr val="000000">
              <a:alpha val="63000"/>
            </a:srgbClr>
          </a:outerShdw>
        </a:effectLst>
      </xdr:spPr>
      <xdr:style>
        <a:lnRef idx="3">
          <a:schemeClr val="accent2"/>
        </a:lnRef>
        <a:fillRef idx="0">
          <a:schemeClr val="accent2"/>
        </a:fillRef>
        <a:effectRef idx="2">
          <a:schemeClr val="accent2"/>
        </a:effectRef>
        <a:fontRef idx="minor">
          <a:schemeClr val="tx1"/>
        </a:fontRef>
      </xdr:style>
      <xdr:txBody>
        <a:bodyPr vertOverflow="clip" horzOverflow="clip" rtlCol="0" anchor="t"/>
        <a:lstStyle/>
        <a:p>
          <a:pPr algn="l"/>
          <a:endParaRPr lang="ru-RU" sz="1100"/>
        </a:p>
      </xdr:txBody>
    </xdr:sp>
    <xdr:clientData/>
  </xdr:twoCellAnchor>
  <xdr:twoCellAnchor>
    <xdr:from>
      <xdr:col>8</xdr:col>
      <xdr:colOff>538843</xdr:colOff>
      <xdr:row>57</xdr:row>
      <xdr:rowOff>7422</xdr:rowOff>
    </xdr:from>
    <xdr:to>
      <xdr:col>10</xdr:col>
      <xdr:colOff>6252</xdr:colOff>
      <xdr:row>57</xdr:row>
      <xdr:rowOff>252887</xdr:rowOff>
    </xdr:to>
    <xdr:sp macro="" textlink="'РЕЕСТР РИСКОВ_2023'!AC60">
      <xdr:nvSpPr>
        <xdr:cNvPr id="21" name="Скругленный прямоугольник 58">
          <a:extLst>
            <a:ext uri="{FF2B5EF4-FFF2-40B4-BE49-F238E27FC236}">
              <a16:creationId xmlns:a16="http://schemas.microsoft.com/office/drawing/2014/main" xmlns="" id="{00000000-0008-0000-0900-000015000000}"/>
            </a:ext>
          </a:extLst>
        </xdr:cNvPr>
        <xdr:cNvSpPr/>
      </xdr:nvSpPr>
      <xdr:spPr>
        <a:xfrm>
          <a:off x="10929752" y="22659604"/>
          <a:ext cx="852864" cy="245465"/>
        </a:xfrm>
        <a:prstGeom prst="roundRect">
          <a:avLst/>
        </a:prstGeom>
        <a:gradFill flip="none" rotWithShape="1">
          <a:gsLst>
            <a:gs pos="0">
              <a:srgbClr val="FE948C">
                <a:shade val="30000"/>
                <a:satMod val="115000"/>
              </a:srgbClr>
            </a:gs>
            <a:gs pos="50000">
              <a:srgbClr val="FE948C">
                <a:shade val="67500"/>
                <a:satMod val="115000"/>
              </a:srgbClr>
            </a:gs>
            <a:gs pos="100000">
              <a:srgbClr val="FE948C">
                <a:shade val="100000"/>
                <a:satMod val="115000"/>
              </a:srgbClr>
            </a:gs>
          </a:gsLst>
          <a:lin ang="16200000" scaled="1"/>
          <a:tileRect/>
        </a:gradFill>
        <a:ln>
          <a:solidFill>
            <a:srgbClr val="C00000"/>
          </a:solidFill>
        </a:ln>
        <a:effectLst>
          <a:outerShdw blurRad="50800" dist="50800" dir="5400000" algn="ctr" rotWithShape="0">
            <a:srgbClr val="000000">
              <a:alpha val="31000"/>
            </a:srgbClr>
          </a:outerShdw>
        </a:effectLst>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fld id="{1F36F5AC-2B68-4DB4-9A76-A134E06EC582}" type="TxLink">
            <a:rPr lang="en-US" sz="1200" b="1" i="0" u="none" strike="noStrike">
              <a:solidFill>
                <a:sysClr val="windowText" lastClr="000000"/>
              </a:solidFill>
              <a:latin typeface="Times New Roman"/>
              <a:cs typeface="Times New Roman"/>
            </a:rPr>
            <a:pPr algn="ctr"/>
            <a:t>20%</a:t>
          </a:fld>
          <a:endParaRPr lang="ru-RU" sz="900">
            <a:solidFill>
              <a:sysClr val="windowText" lastClr="000000"/>
            </a:solidFill>
          </a:endParaRPr>
        </a:p>
      </xdr:txBody>
    </xdr:sp>
    <xdr:clientData/>
  </xdr:twoCellAnchor>
  <xdr:twoCellAnchor>
    <xdr:from>
      <xdr:col>8</xdr:col>
      <xdr:colOff>556161</xdr:colOff>
      <xdr:row>54</xdr:row>
      <xdr:rowOff>340180</xdr:rowOff>
    </xdr:from>
    <xdr:to>
      <xdr:col>10</xdr:col>
      <xdr:colOff>23570</xdr:colOff>
      <xdr:row>56</xdr:row>
      <xdr:rowOff>282323</xdr:rowOff>
    </xdr:to>
    <xdr:sp macro="" textlink="">
      <xdr:nvSpPr>
        <xdr:cNvPr id="22" name="Скругленный прямоугольник 59">
          <a:extLst>
            <a:ext uri="{FF2B5EF4-FFF2-40B4-BE49-F238E27FC236}">
              <a16:creationId xmlns:a16="http://schemas.microsoft.com/office/drawing/2014/main" xmlns="" id="{00000000-0008-0000-0900-000016000000}"/>
            </a:ext>
          </a:extLst>
        </xdr:cNvPr>
        <xdr:cNvSpPr/>
      </xdr:nvSpPr>
      <xdr:spPr>
        <a:xfrm>
          <a:off x="10947070" y="22091816"/>
          <a:ext cx="852864" cy="392416"/>
        </a:xfrm>
        <a:prstGeom prst="roundRect">
          <a:avLst/>
        </a:prstGeom>
        <a:ln>
          <a:solidFill>
            <a:srgbClr val="C00000"/>
          </a:solidFill>
        </a:ln>
        <a:effectLst>
          <a:outerShdw blurRad="50800" dist="50800" dir="5400000" algn="ctr" rotWithShape="0">
            <a:srgbClr val="000000">
              <a:alpha val="79000"/>
            </a:srgbClr>
          </a:outerShdw>
        </a:effectLst>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sz="1000" b="1">
              <a:solidFill>
                <a:sysClr val="windowText" lastClr="000000"/>
              </a:solidFill>
              <a:latin typeface="+mn-lt"/>
            </a:rPr>
            <a:t>PROBABILITY %</a:t>
          </a:r>
          <a:endParaRPr lang="ru-RU" sz="1000" b="1">
            <a:solidFill>
              <a:sysClr val="windowText" lastClr="000000"/>
            </a:solidFill>
            <a:latin typeface="+mn-lt"/>
          </a:endParaRPr>
        </a:p>
      </xdr:txBody>
    </xdr:sp>
    <xdr:clientData/>
  </xdr:twoCellAnchor>
  <xdr:twoCellAnchor>
    <xdr:from>
      <xdr:col>8</xdr:col>
      <xdr:colOff>337211</xdr:colOff>
      <xdr:row>53</xdr:row>
      <xdr:rowOff>238742</xdr:rowOff>
    </xdr:from>
    <xdr:to>
      <xdr:col>8</xdr:col>
      <xdr:colOff>583976</xdr:colOff>
      <xdr:row>59</xdr:row>
      <xdr:rowOff>35837</xdr:rowOff>
    </xdr:to>
    <xdr:sp macro="" textlink="">
      <xdr:nvSpPr>
        <xdr:cNvPr id="23" name="Правая фигурная скобка 22">
          <a:extLst>
            <a:ext uri="{FF2B5EF4-FFF2-40B4-BE49-F238E27FC236}">
              <a16:creationId xmlns:a16="http://schemas.microsoft.com/office/drawing/2014/main" xmlns="" id="{00000000-0008-0000-0900-000017000000}"/>
            </a:ext>
          </a:extLst>
        </xdr:cNvPr>
        <xdr:cNvSpPr/>
      </xdr:nvSpPr>
      <xdr:spPr>
        <a:xfrm>
          <a:off x="10728120" y="21540106"/>
          <a:ext cx="246765" cy="2048458"/>
        </a:xfrm>
        <a:prstGeom prst="rightBrace">
          <a:avLst/>
        </a:prstGeom>
        <a:ln>
          <a:solidFill>
            <a:schemeClr val="tx1">
              <a:lumMod val="65000"/>
              <a:lumOff val="35000"/>
            </a:schemeClr>
          </a:solidFill>
        </a:ln>
        <a:effectLst>
          <a:outerShdw blurRad="50800" dist="50800" dir="5400000" algn="ctr" rotWithShape="0">
            <a:srgbClr val="000000">
              <a:alpha val="63000"/>
            </a:srgbClr>
          </a:outerShdw>
        </a:effectLst>
      </xdr:spPr>
      <xdr:style>
        <a:lnRef idx="3">
          <a:schemeClr val="accent2"/>
        </a:lnRef>
        <a:fillRef idx="0">
          <a:schemeClr val="accent2"/>
        </a:fillRef>
        <a:effectRef idx="2">
          <a:schemeClr val="accent2"/>
        </a:effectRef>
        <a:fontRef idx="minor">
          <a:schemeClr val="tx1"/>
        </a:fontRef>
      </xdr:style>
      <xdr:txBody>
        <a:bodyPr vertOverflow="clip" horzOverflow="clip" rtlCol="0" anchor="t"/>
        <a:lstStyle/>
        <a:p>
          <a:pPr algn="l"/>
          <a:endParaRPr lang="ru-RU" sz="1100"/>
        </a:p>
      </xdr:txBody>
    </xdr:sp>
    <xdr:clientData/>
  </xdr:twoCellAnchor>
  <xdr:twoCellAnchor>
    <xdr:from>
      <xdr:col>1</xdr:col>
      <xdr:colOff>972467</xdr:colOff>
      <xdr:row>80</xdr:row>
      <xdr:rowOff>186423</xdr:rowOff>
    </xdr:from>
    <xdr:to>
      <xdr:col>1</xdr:col>
      <xdr:colOff>1137498</xdr:colOff>
      <xdr:row>80</xdr:row>
      <xdr:rowOff>433919</xdr:rowOff>
    </xdr:to>
    <xdr:sp macro="" textlink="">
      <xdr:nvSpPr>
        <xdr:cNvPr id="24" name="Стрелка вверх 22">
          <a:extLst>
            <a:ext uri="{FF2B5EF4-FFF2-40B4-BE49-F238E27FC236}">
              <a16:creationId xmlns:a16="http://schemas.microsoft.com/office/drawing/2014/main" xmlns="" id="{00000000-0008-0000-0900-000018000000}"/>
            </a:ext>
          </a:extLst>
        </xdr:cNvPr>
        <xdr:cNvSpPr/>
      </xdr:nvSpPr>
      <xdr:spPr>
        <a:xfrm rot="10800000">
          <a:off x="1578603" y="33194878"/>
          <a:ext cx="165031" cy="247496"/>
        </a:xfrm>
        <a:prstGeom prst="upArrow">
          <a:avLst/>
        </a:prstGeom>
        <a:solidFill>
          <a:schemeClr val="accent5">
            <a:lumMod val="50000"/>
          </a:schemeClr>
        </a:solidFill>
        <a:ln w="1270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wrap="square" anchor="ctr"/>
        <a:lstStyle>
          <a:defPPr>
            <a:defRPr lang="ru-RU"/>
          </a:defPPr>
          <a:lvl1pPr algn="l" rtl="0" fontAlgn="base">
            <a:spcBef>
              <a:spcPct val="0"/>
            </a:spcBef>
            <a:spcAft>
              <a:spcPct val="0"/>
            </a:spcAft>
            <a:defRPr kern="1200">
              <a:solidFill>
                <a:schemeClr val="lt1"/>
              </a:solidFill>
              <a:latin typeface="+mn-lt"/>
              <a:ea typeface="+mn-ea"/>
              <a:cs typeface="+mn-cs"/>
            </a:defRPr>
          </a:lvl1pPr>
          <a:lvl2pPr marL="457200" algn="l" rtl="0" fontAlgn="base">
            <a:spcBef>
              <a:spcPct val="0"/>
            </a:spcBef>
            <a:spcAft>
              <a:spcPct val="0"/>
            </a:spcAft>
            <a:defRPr kern="1200">
              <a:solidFill>
                <a:schemeClr val="lt1"/>
              </a:solidFill>
              <a:latin typeface="+mn-lt"/>
              <a:ea typeface="+mn-ea"/>
              <a:cs typeface="+mn-cs"/>
            </a:defRPr>
          </a:lvl2pPr>
          <a:lvl3pPr marL="914400" algn="l" rtl="0" fontAlgn="base">
            <a:spcBef>
              <a:spcPct val="0"/>
            </a:spcBef>
            <a:spcAft>
              <a:spcPct val="0"/>
            </a:spcAft>
            <a:defRPr kern="1200">
              <a:solidFill>
                <a:schemeClr val="lt1"/>
              </a:solidFill>
              <a:latin typeface="+mn-lt"/>
              <a:ea typeface="+mn-ea"/>
              <a:cs typeface="+mn-cs"/>
            </a:defRPr>
          </a:lvl3pPr>
          <a:lvl4pPr marL="1371600" algn="l" rtl="0" fontAlgn="base">
            <a:spcBef>
              <a:spcPct val="0"/>
            </a:spcBef>
            <a:spcAft>
              <a:spcPct val="0"/>
            </a:spcAft>
            <a:defRPr kern="1200">
              <a:solidFill>
                <a:schemeClr val="lt1"/>
              </a:solidFill>
              <a:latin typeface="+mn-lt"/>
              <a:ea typeface="+mn-ea"/>
              <a:cs typeface="+mn-cs"/>
            </a:defRPr>
          </a:lvl4pPr>
          <a:lvl5pPr marL="1828800" algn="l" rtl="0" fontAlgn="base">
            <a:spcBef>
              <a:spcPct val="0"/>
            </a:spcBef>
            <a:spcAft>
              <a:spcPct val="0"/>
            </a:spcAft>
            <a:defRPr kern="1200">
              <a:solidFill>
                <a:schemeClr val="lt1"/>
              </a:solidFill>
              <a:latin typeface="+mn-lt"/>
              <a:ea typeface="+mn-ea"/>
              <a:cs typeface="+mn-cs"/>
            </a:defRPr>
          </a:lvl5pPr>
          <a:lvl6pPr marL="2286000" algn="l" defTabSz="914400" rtl="0" eaLnBrk="1" latinLnBrk="0" hangingPunct="1">
            <a:defRPr kern="1200">
              <a:solidFill>
                <a:schemeClr val="lt1"/>
              </a:solidFill>
              <a:latin typeface="+mn-lt"/>
              <a:ea typeface="+mn-ea"/>
              <a:cs typeface="+mn-cs"/>
            </a:defRPr>
          </a:lvl6pPr>
          <a:lvl7pPr marL="2743200" algn="l" defTabSz="914400" rtl="0" eaLnBrk="1" latinLnBrk="0" hangingPunct="1">
            <a:defRPr kern="1200">
              <a:solidFill>
                <a:schemeClr val="lt1"/>
              </a:solidFill>
              <a:latin typeface="+mn-lt"/>
              <a:ea typeface="+mn-ea"/>
              <a:cs typeface="+mn-cs"/>
            </a:defRPr>
          </a:lvl7pPr>
          <a:lvl8pPr marL="3200400" algn="l" defTabSz="914400" rtl="0" eaLnBrk="1" latinLnBrk="0" hangingPunct="1">
            <a:defRPr kern="1200">
              <a:solidFill>
                <a:schemeClr val="lt1"/>
              </a:solidFill>
              <a:latin typeface="+mn-lt"/>
              <a:ea typeface="+mn-ea"/>
              <a:cs typeface="+mn-cs"/>
            </a:defRPr>
          </a:lvl8pPr>
          <a:lvl9pPr marL="3657600" algn="l" defTabSz="914400" rtl="0" eaLnBrk="1" latinLnBrk="0" hangingPunct="1">
            <a:defRPr kern="1200">
              <a:solidFill>
                <a:schemeClr val="lt1"/>
              </a:solidFill>
              <a:latin typeface="+mn-lt"/>
              <a:ea typeface="+mn-ea"/>
              <a:cs typeface="+mn-cs"/>
            </a:defRPr>
          </a:lvl9pPr>
        </a:lstStyle>
        <a:p>
          <a:pPr algn="ctr" eaLnBrk="1" hangingPunct="1">
            <a:defRPr/>
          </a:pPr>
          <a:endParaRPr lang="ru-RU" sz="1000"/>
        </a:p>
      </xdr:txBody>
    </xdr:sp>
    <xdr:clientData/>
  </xdr:twoCellAnchor>
  <xdr:twoCellAnchor>
    <xdr:from>
      <xdr:col>1</xdr:col>
      <xdr:colOff>969818</xdr:colOff>
      <xdr:row>83</xdr:row>
      <xdr:rowOff>114300</xdr:rowOff>
    </xdr:from>
    <xdr:to>
      <xdr:col>1</xdr:col>
      <xdr:colOff>1160318</xdr:colOff>
      <xdr:row>83</xdr:row>
      <xdr:rowOff>363682</xdr:rowOff>
    </xdr:to>
    <xdr:sp macro="" textlink="">
      <xdr:nvSpPr>
        <xdr:cNvPr id="25" name="Стрелка вверх 22">
          <a:extLst>
            <a:ext uri="{FF2B5EF4-FFF2-40B4-BE49-F238E27FC236}">
              <a16:creationId xmlns:a16="http://schemas.microsoft.com/office/drawing/2014/main" xmlns="" id="{00000000-0008-0000-0900-000019000000}"/>
            </a:ext>
          </a:extLst>
        </xdr:cNvPr>
        <xdr:cNvSpPr/>
      </xdr:nvSpPr>
      <xdr:spPr>
        <a:xfrm rot="10800000">
          <a:off x="1575954" y="34993118"/>
          <a:ext cx="190500" cy="249382"/>
        </a:xfrm>
        <a:prstGeom prst="upArrow">
          <a:avLst/>
        </a:prstGeom>
        <a:solidFill>
          <a:schemeClr val="accent5">
            <a:lumMod val="50000"/>
          </a:schemeClr>
        </a:solidFill>
        <a:ln w="1270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wrap="square" anchor="ctr"/>
        <a:lstStyle>
          <a:defPPr>
            <a:defRPr lang="ru-RU"/>
          </a:defPPr>
          <a:lvl1pPr algn="l" rtl="0" fontAlgn="base">
            <a:spcBef>
              <a:spcPct val="0"/>
            </a:spcBef>
            <a:spcAft>
              <a:spcPct val="0"/>
            </a:spcAft>
            <a:defRPr kern="1200">
              <a:solidFill>
                <a:schemeClr val="lt1"/>
              </a:solidFill>
              <a:latin typeface="+mn-lt"/>
              <a:ea typeface="+mn-ea"/>
              <a:cs typeface="+mn-cs"/>
            </a:defRPr>
          </a:lvl1pPr>
          <a:lvl2pPr marL="457200" algn="l" rtl="0" fontAlgn="base">
            <a:spcBef>
              <a:spcPct val="0"/>
            </a:spcBef>
            <a:spcAft>
              <a:spcPct val="0"/>
            </a:spcAft>
            <a:defRPr kern="1200">
              <a:solidFill>
                <a:schemeClr val="lt1"/>
              </a:solidFill>
              <a:latin typeface="+mn-lt"/>
              <a:ea typeface="+mn-ea"/>
              <a:cs typeface="+mn-cs"/>
            </a:defRPr>
          </a:lvl2pPr>
          <a:lvl3pPr marL="914400" algn="l" rtl="0" fontAlgn="base">
            <a:spcBef>
              <a:spcPct val="0"/>
            </a:spcBef>
            <a:spcAft>
              <a:spcPct val="0"/>
            </a:spcAft>
            <a:defRPr kern="1200">
              <a:solidFill>
                <a:schemeClr val="lt1"/>
              </a:solidFill>
              <a:latin typeface="+mn-lt"/>
              <a:ea typeface="+mn-ea"/>
              <a:cs typeface="+mn-cs"/>
            </a:defRPr>
          </a:lvl3pPr>
          <a:lvl4pPr marL="1371600" algn="l" rtl="0" fontAlgn="base">
            <a:spcBef>
              <a:spcPct val="0"/>
            </a:spcBef>
            <a:spcAft>
              <a:spcPct val="0"/>
            </a:spcAft>
            <a:defRPr kern="1200">
              <a:solidFill>
                <a:schemeClr val="lt1"/>
              </a:solidFill>
              <a:latin typeface="+mn-lt"/>
              <a:ea typeface="+mn-ea"/>
              <a:cs typeface="+mn-cs"/>
            </a:defRPr>
          </a:lvl4pPr>
          <a:lvl5pPr marL="1828800" algn="l" rtl="0" fontAlgn="base">
            <a:spcBef>
              <a:spcPct val="0"/>
            </a:spcBef>
            <a:spcAft>
              <a:spcPct val="0"/>
            </a:spcAft>
            <a:defRPr kern="1200">
              <a:solidFill>
                <a:schemeClr val="lt1"/>
              </a:solidFill>
              <a:latin typeface="+mn-lt"/>
              <a:ea typeface="+mn-ea"/>
              <a:cs typeface="+mn-cs"/>
            </a:defRPr>
          </a:lvl5pPr>
          <a:lvl6pPr marL="2286000" algn="l" defTabSz="914400" rtl="0" eaLnBrk="1" latinLnBrk="0" hangingPunct="1">
            <a:defRPr kern="1200">
              <a:solidFill>
                <a:schemeClr val="lt1"/>
              </a:solidFill>
              <a:latin typeface="+mn-lt"/>
              <a:ea typeface="+mn-ea"/>
              <a:cs typeface="+mn-cs"/>
            </a:defRPr>
          </a:lvl6pPr>
          <a:lvl7pPr marL="2743200" algn="l" defTabSz="914400" rtl="0" eaLnBrk="1" latinLnBrk="0" hangingPunct="1">
            <a:defRPr kern="1200">
              <a:solidFill>
                <a:schemeClr val="lt1"/>
              </a:solidFill>
              <a:latin typeface="+mn-lt"/>
              <a:ea typeface="+mn-ea"/>
              <a:cs typeface="+mn-cs"/>
            </a:defRPr>
          </a:lvl7pPr>
          <a:lvl8pPr marL="3200400" algn="l" defTabSz="914400" rtl="0" eaLnBrk="1" latinLnBrk="0" hangingPunct="1">
            <a:defRPr kern="1200">
              <a:solidFill>
                <a:schemeClr val="lt1"/>
              </a:solidFill>
              <a:latin typeface="+mn-lt"/>
              <a:ea typeface="+mn-ea"/>
              <a:cs typeface="+mn-cs"/>
            </a:defRPr>
          </a:lvl8pPr>
          <a:lvl9pPr marL="3657600" algn="l" defTabSz="914400" rtl="0" eaLnBrk="1" latinLnBrk="0" hangingPunct="1">
            <a:defRPr kern="1200">
              <a:solidFill>
                <a:schemeClr val="lt1"/>
              </a:solidFill>
              <a:latin typeface="+mn-lt"/>
              <a:ea typeface="+mn-ea"/>
              <a:cs typeface="+mn-cs"/>
            </a:defRPr>
          </a:lvl9pPr>
        </a:lstStyle>
        <a:p>
          <a:pPr algn="ctr" eaLnBrk="1" hangingPunct="1">
            <a:defRPr/>
          </a:pPr>
          <a:endParaRPr lang="ru-RU" sz="1000"/>
        </a:p>
      </xdr:txBody>
    </xdr:sp>
    <xdr:clientData/>
  </xdr:twoCellAnchor>
  <xdr:twoCellAnchor>
    <xdr:from>
      <xdr:col>1</xdr:col>
      <xdr:colOff>926740</xdr:colOff>
      <xdr:row>85</xdr:row>
      <xdr:rowOff>628327</xdr:rowOff>
    </xdr:from>
    <xdr:to>
      <xdr:col>1</xdr:col>
      <xdr:colOff>1318947</xdr:colOff>
      <xdr:row>85</xdr:row>
      <xdr:rowOff>953298</xdr:rowOff>
    </xdr:to>
    <xdr:sp macro="" textlink="">
      <xdr:nvSpPr>
        <xdr:cNvPr id="27" name="4-конечная звезда 17">
          <a:extLst>
            <a:ext uri="{FF2B5EF4-FFF2-40B4-BE49-F238E27FC236}">
              <a16:creationId xmlns:a16="http://schemas.microsoft.com/office/drawing/2014/main" xmlns="" id="{00000000-0008-0000-0900-00001B000000}"/>
            </a:ext>
          </a:extLst>
        </xdr:cNvPr>
        <xdr:cNvSpPr/>
      </xdr:nvSpPr>
      <xdr:spPr>
        <a:xfrm>
          <a:off x="1532876" y="36546236"/>
          <a:ext cx="392207" cy="324971"/>
        </a:xfrm>
        <a:prstGeom prst="star4">
          <a:avLst/>
        </a:prstGeom>
        <a:solidFill>
          <a:schemeClr val="accent5">
            <a:lumMod val="50000"/>
          </a:schemeClr>
        </a:solid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anchor="ctr"/>
        <a:lstStyle>
          <a:defPPr>
            <a:defRPr lang="ru-RU"/>
          </a:defPPr>
          <a:lvl1pPr algn="l" rtl="0" fontAlgn="base">
            <a:spcBef>
              <a:spcPct val="0"/>
            </a:spcBef>
            <a:spcAft>
              <a:spcPct val="0"/>
            </a:spcAft>
            <a:defRPr kern="1200">
              <a:solidFill>
                <a:schemeClr val="lt1"/>
              </a:solidFill>
              <a:latin typeface="+mn-lt"/>
              <a:ea typeface="+mn-ea"/>
              <a:cs typeface="+mn-cs"/>
            </a:defRPr>
          </a:lvl1pPr>
          <a:lvl2pPr marL="457200" algn="l" rtl="0" fontAlgn="base">
            <a:spcBef>
              <a:spcPct val="0"/>
            </a:spcBef>
            <a:spcAft>
              <a:spcPct val="0"/>
            </a:spcAft>
            <a:defRPr kern="1200">
              <a:solidFill>
                <a:schemeClr val="lt1"/>
              </a:solidFill>
              <a:latin typeface="+mn-lt"/>
              <a:ea typeface="+mn-ea"/>
              <a:cs typeface="+mn-cs"/>
            </a:defRPr>
          </a:lvl2pPr>
          <a:lvl3pPr marL="914400" algn="l" rtl="0" fontAlgn="base">
            <a:spcBef>
              <a:spcPct val="0"/>
            </a:spcBef>
            <a:spcAft>
              <a:spcPct val="0"/>
            </a:spcAft>
            <a:defRPr kern="1200">
              <a:solidFill>
                <a:schemeClr val="lt1"/>
              </a:solidFill>
              <a:latin typeface="+mn-lt"/>
              <a:ea typeface="+mn-ea"/>
              <a:cs typeface="+mn-cs"/>
            </a:defRPr>
          </a:lvl3pPr>
          <a:lvl4pPr marL="1371600" algn="l" rtl="0" fontAlgn="base">
            <a:spcBef>
              <a:spcPct val="0"/>
            </a:spcBef>
            <a:spcAft>
              <a:spcPct val="0"/>
            </a:spcAft>
            <a:defRPr kern="1200">
              <a:solidFill>
                <a:schemeClr val="lt1"/>
              </a:solidFill>
              <a:latin typeface="+mn-lt"/>
              <a:ea typeface="+mn-ea"/>
              <a:cs typeface="+mn-cs"/>
            </a:defRPr>
          </a:lvl4pPr>
          <a:lvl5pPr marL="1828800" algn="l" rtl="0" fontAlgn="base">
            <a:spcBef>
              <a:spcPct val="0"/>
            </a:spcBef>
            <a:spcAft>
              <a:spcPct val="0"/>
            </a:spcAft>
            <a:defRPr kern="1200">
              <a:solidFill>
                <a:schemeClr val="lt1"/>
              </a:solidFill>
              <a:latin typeface="+mn-lt"/>
              <a:ea typeface="+mn-ea"/>
              <a:cs typeface="+mn-cs"/>
            </a:defRPr>
          </a:lvl5pPr>
          <a:lvl6pPr marL="2286000" algn="l" defTabSz="914400" rtl="0" eaLnBrk="1" latinLnBrk="0" hangingPunct="1">
            <a:defRPr kern="1200">
              <a:solidFill>
                <a:schemeClr val="lt1"/>
              </a:solidFill>
              <a:latin typeface="+mn-lt"/>
              <a:ea typeface="+mn-ea"/>
              <a:cs typeface="+mn-cs"/>
            </a:defRPr>
          </a:lvl6pPr>
          <a:lvl7pPr marL="2743200" algn="l" defTabSz="914400" rtl="0" eaLnBrk="1" latinLnBrk="0" hangingPunct="1">
            <a:defRPr kern="1200">
              <a:solidFill>
                <a:schemeClr val="lt1"/>
              </a:solidFill>
              <a:latin typeface="+mn-lt"/>
              <a:ea typeface="+mn-ea"/>
              <a:cs typeface="+mn-cs"/>
            </a:defRPr>
          </a:lvl7pPr>
          <a:lvl8pPr marL="3200400" algn="l" defTabSz="914400" rtl="0" eaLnBrk="1" latinLnBrk="0" hangingPunct="1">
            <a:defRPr kern="1200">
              <a:solidFill>
                <a:schemeClr val="lt1"/>
              </a:solidFill>
              <a:latin typeface="+mn-lt"/>
              <a:ea typeface="+mn-ea"/>
              <a:cs typeface="+mn-cs"/>
            </a:defRPr>
          </a:lvl8pPr>
          <a:lvl9pPr marL="3657600" algn="l" defTabSz="914400" rtl="0" eaLnBrk="1" latinLnBrk="0" hangingPunct="1">
            <a:defRPr kern="1200">
              <a:solidFill>
                <a:schemeClr val="lt1"/>
              </a:solidFill>
              <a:latin typeface="+mn-lt"/>
              <a:ea typeface="+mn-ea"/>
              <a:cs typeface="+mn-cs"/>
            </a:defRPr>
          </a:lvl9pPr>
        </a:lstStyle>
        <a:p>
          <a:pPr algn="ctr" eaLnBrk="1" hangingPunct="1">
            <a:defRPr/>
          </a:pPr>
          <a:endParaRPr lang="ru-RU" sz="1000"/>
        </a:p>
      </xdr:txBody>
    </xdr:sp>
    <xdr:clientData/>
  </xdr:twoCellAnchor>
  <xdr:twoCellAnchor>
    <xdr:from>
      <xdr:col>1</xdr:col>
      <xdr:colOff>969820</xdr:colOff>
      <xdr:row>81</xdr:row>
      <xdr:rowOff>211117</xdr:rowOff>
    </xdr:from>
    <xdr:to>
      <xdr:col>1</xdr:col>
      <xdr:colOff>1166462</xdr:colOff>
      <xdr:row>81</xdr:row>
      <xdr:rowOff>467590</xdr:rowOff>
    </xdr:to>
    <xdr:sp macro="" textlink="">
      <xdr:nvSpPr>
        <xdr:cNvPr id="30" name="Стрелка вверх 22">
          <a:extLst>
            <a:ext uri="{FF2B5EF4-FFF2-40B4-BE49-F238E27FC236}">
              <a16:creationId xmlns:a16="http://schemas.microsoft.com/office/drawing/2014/main" xmlns="" id="{00000000-0008-0000-0900-00001E000000}"/>
            </a:ext>
          </a:extLst>
        </xdr:cNvPr>
        <xdr:cNvSpPr/>
      </xdr:nvSpPr>
      <xdr:spPr>
        <a:xfrm>
          <a:off x="1575956" y="33843026"/>
          <a:ext cx="196642" cy="256473"/>
        </a:xfrm>
        <a:prstGeom prst="upArrow">
          <a:avLst/>
        </a:prstGeom>
        <a:solidFill>
          <a:schemeClr val="accent5">
            <a:lumMod val="50000"/>
          </a:schemeClr>
        </a:solidFill>
        <a:ln w="1270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wrap="square" anchor="ctr"/>
        <a:lstStyle>
          <a:defPPr>
            <a:defRPr lang="ru-RU"/>
          </a:defPPr>
          <a:lvl1pPr algn="l" rtl="0" fontAlgn="base">
            <a:spcBef>
              <a:spcPct val="0"/>
            </a:spcBef>
            <a:spcAft>
              <a:spcPct val="0"/>
            </a:spcAft>
            <a:defRPr kern="1200">
              <a:solidFill>
                <a:schemeClr val="lt1"/>
              </a:solidFill>
              <a:latin typeface="+mn-lt"/>
              <a:ea typeface="+mn-ea"/>
              <a:cs typeface="+mn-cs"/>
            </a:defRPr>
          </a:lvl1pPr>
          <a:lvl2pPr marL="457200" algn="l" rtl="0" fontAlgn="base">
            <a:spcBef>
              <a:spcPct val="0"/>
            </a:spcBef>
            <a:spcAft>
              <a:spcPct val="0"/>
            </a:spcAft>
            <a:defRPr kern="1200">
              <a:solidFill>
                <a:schemeClr val="lt1"/>
              </a:solidFill>
              <a:latin typeface="+mn-lt"/>
              <a:ea typeface="+mn-ea"/>
              <a:cs typeface="+mn-cs"/>
            </a:defRPr>
          </a:lvl2pPr>
          <a:lvl3pPr marL="914400" algn="l" rtl="0" fontAlgn="base">
            <a:spcBef>
              <a:spcPct val="0"/>
            </a:spcBef>
            <a:spcAft>
              <a:spcPct val="0"/>
            </a:spcAft>
            <a:defRPr kern="1200">
              <a:solidFill>
                <a:schemeClr val="lt1"/>
              </a:solidFill>
              <a:latin typeface="+mn-lt"/>
              <a:ea typeface="+mn-ea"/>
              <a:cs typeface="+mn-cs"/>
            </a:defRPr>
          </a:lvl3pPr>
          <a:lvl4pPr marL="1371600" algn="l" rtl="0" fontAlgn="base">
            <a:spcBef>
              <a:spcPct val="0"/>
            </a:spcBef>
            <a:spcAft>
              <a:spcPct val="0"/>
            </a:spcAft>
            <a:defRPr kern="1200">
              <a:solidFill>
                <a:schemeClr val="lt1"/>
              </a:solidFill>
              <a:latin typeface="+mn-lt"/>
              <a:ea typeface="+mn-ea"/>
              <a:cs typeface="+mn-cs"/>
            </a:defRPr>
          </a:lvl4pPr>
          <a:lvl5pPr marL="1828800" algn="l" rtl="0" fontAlgn="base">
            <a:spcBef>
              <a:spcPct val="0"/>
            </a:spcBef>
            <a:spcAft>
              <a:spcPct val="0"/>
            </a:spcAft>
            <a:defRPr kern="1200">
              <a:solidFill>
                <a:schemeClr val="lt1"/>
              </a:solidFill>
              <a:latin typeface="+mn-lt"/>
              <a:ea typeface="+mn-ea"/>
              <a:cs typeface="+mn-cs"/>
            </a:defRPr>
          </a:lvl5pPr>
          <a:lvl6pPr marL="2286000" algn="l" defTabSz="914400" rtl="0" eaLnBrk="1" latinLnBrk="0" hangingPunct="1">
            <a:defRPr kern="1200">
              <a:solidFill>
                <a:schemeClr val="lt1"/>
              </a:solidFill>
              <a:latin typeface="+mn-lt"/>
              <a:ea typeface="+mn-ea"/>
              <a:cs typeface="+mn-cs"/>
            </a:defRPr>
          </a:lvl6pPr>
          <a:lvl7pPr marL="2743200" algn="l" defTabSz="914400" rtl="0" eaLnBrk="1" latinLnBrk="0" hangingPunct="1">
            <a:defRPr kern="1200">
              <a:solidFill>
                <a:schemeClr val="lt1"/>
              </a:solidFill>
              <a:latin typeface="+mn-lt"/>
              <a:ea typeface="+mn-ea"/>
              <a:cs typeface="+mn-cs"/>
            </a:defRPr>
          </a:lvl7pPr>
          <a:lvl8pPr marL="3200400" algn="l" defTabSz="914400" rtl="0" eaLnBrk="1" latinLnBrk="0" hangingPunct="1">
            <a:defRPr kern="1200">
              <a:solidFill>
                <a:schemeClr val="lt1"/>
              </a:solidFill>
              <a:latin typeface="+mn-lt"/>
              <a:ea typeface="+mn-ea"/>
              <a:cs typeface="+mn-cs"/>
            </a:defRPr>
          </a:lvl8pPr>
          <a:lvl9pPr marL="3657600" algn="l" defTabSz="914400" rtl="0" eaLnBrk="1" latinLnBrk="0" hangingPunct="1">
            <a:defRPr kern="1200">
              <a:solidFill>
                <a:schemeClr val="lt1"/>
              </a:solidFill>
              <a:latin typeface="+mn-lt"/>
              <a:ea typeface="+mn-ea"/>
              <a:cs typeface="+mn-cs"/>
            </a:defRPr>
          </a:lvl9pPr>
        </a:lstStyle>
        <a:p>
          <a:pPr algn="ctr" eaLnBrk="1" hangingPunct="1">
            <a:defRPr/>
          </a:pPr>
          <a:endParaRPr lang="ru-RU" sz="1000"/>
        </a:p>
      </xdr:txBody>
    </xdr:sp>
    <xdr:clientData/>
  </xdr:twoCellAnchor>
  <xdr:twoCellAnchor>
    <xdr:from>
      <xdr:col>1</xdr:col>
      <xdr:colOff>977612</xdr:colOff>
      <xdr:row>82</xdr:row>
      <xdr:rowOff>219075</xdr:rowOff>
    </xdr:from>
    <xdr:to>
      <xdr:col>1</xdr:col>
      <xdr:colOff>1142643</xdr:colOff>
      <xdr:row>82</xdr:row>
      <xdr:rowOff>437996</xdr:rowOff>
    </xdr:to>
    <xdr:sp macro="" textlink="">
      <xdr:nvSpPr>
        <xdr:cNvPr id="20488" name="Стрелка вверх 22">
          <a:extLst>
            <a:ext uri="{FF2B5EF4-FFF2-40B4-BE49-F238E27FC236}">
              <a16:creationId xmlns:a16="http://schemas.microsoft.com/office/drawing/2014/main" xmlns="" id="{00000000-0008-0000-0900-000008500000}"/>
            </a:ext>
          </a:extLst>
        </xdr:cNvPr>
        <xdr:cNvSpPr/>
      </xdr:nvSpPr>
      <xdr:spPr>
        <a:xfrm>
          <a:off x="1583748" y="34474439"/>
          <a:ext cx="165031" cy="218921"/>
        </a:xfrm>
        <a:prstGeom prst="upArrow">
          <a:avLst/>
        </a:prstGeom>
        <a:solidFill>
          <a:schemeClr val="accent5">
            <a:lumMod val="50000"/>
          </a:schemeClr>
        </a:solidFill>
        <a:ln w="1270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wrap="square" anchor="ctr"/>
        <a:lstStyle>
          <a:defPPr>
            <a:defRPr lang="ru-RU"/>
          </a:defPPr>
          <a:lvl1pPr algn="l" rtl="0" fontAlgn="base">
            <a:spcBef>
              <a:spcPct val="0"/>
            </a:spcBef>
            <a:spcAft>
              <a:spcPct val="0"/>
            </a:spcAft>
            <a:defRPr kern="1200">
              <a:solidFill>
                <a:schemeClr val="lt1"/>
              </a:solidFill>
              <a:latin typeface="+mn-lt"/>
              <a:ea typeface="+mn-ea"/>
              <a:cs typeface="+mn-cs"/>
            </a:defRPr>
          </a:lvl1pPr>
          <a:lvl2pPr marL="457200" algn="l" rtl="0" fontAlgn="base">
            <a:spcBef>
              <a:spcPct val="0"/>
            </a:spcBef>
            <a:spcAft>
              <a:spcPct val="0"/>
            </a:spcAft>
            <a:defRPr kern="1200">
              <a:solidFill>
                <a:schemeClr val="lt1"/>
              </a:solidFill>
              <a:latin typeface="+mn-lt"/>
              <a:ea typeface="+mn-ea"/>
              <a:cs typeface="+mn-cs"/>
            </a:defRPr>
          </a:lvl2pPr>
          <a:lvl3pPr marL="914400" algn="l" rtl="0" fontAlgn="base">
            <a:spcBef>
              <a:spcPct val="0"/>
            </a:spcBef>
            <a:spcAft>
              <a:spcPct val="0"/>
            </a:spcAft>
            <a:defRPr kern="1200">
              <a:solidFill>
                <a:schemeClr val="lt1"/>
              </a:solidFill>
              <a:latin typeface="+mn-lt"/>
              <a:ea typeface="+mn-ea"/>
              <a:cs typeface="+mn-cs"/>
            </a:defRPr>
          </a:lvl3pPr>
          <a:lvl4pPr marL="1371600" algn="l" rtl="0" fontAlgn="base">
            <a:spcBef>
              <a:spcPct val="0"/>
            </a:spcBef>
            <a:spcAft>
              <a:spcPct val="0"/>
            </a:spcAft>
            <a:defRPr kern="1200">
              <a:solidFill>
                <a:schemeClr val="lt1"/>
              </a:solidFill>
              <a:latin typeface="+mn-lt"/>
              <a:ea typeface="+mn-ea"/>
              <a:cs typeface="+mn-cs"/>
            </a:defRPr>
          </a:lvl4pPr>
          <a:lvl5pPr marL="1828800" algn="l" rtl="0" fontAlgn="base">
            <a:spcBef>
              <a:spcPct val="0"/>
            </a:spcBef>
            <a:spcAft>
              <a:spcPct val="0"/>
            </a:spcAft>
            <a:defRPr kern="1200">
              <a:solidFill>
                <a:schemeClr val="lt1"/>
              </a:solidFill>
              <a:latin typeface="+mn-lt"/>
              <a:ea typeface="+mn-ea"/>
              <a:cs typeface="+mn-cs"/>
            </a:defRPr>
          </a:lvl5pPr>
          <a:lvl6pPr marL="2286000" algn="l" defTabSz="914400" rtl="0" eaLnBrk="1" latinLnBrk="0" hangingPunct="1">
            <a:defRPr kern="1200">
              <a:solidFill>
                <a:schemeClr val="lt1"/>
              </a:solidFill>
              <a:latin typeface="+mn-lt"/>
              <a:ea typeface="+mn-ea"/>
              <a:cs typeface="+mn-cs"/>
            </a:defRPr>
          </a:lvl6pPr>
          <a:lvl7pPr marL="2743200" algn="l" defTabSz="914400" rtl="0" eaLnBrk="1" latinLnBrk="0" hangingPunct="1">
            <a:defRPr kern="1200">
              <a:solidFill>
                <a:schemeClr val="lt1"/>
              </a:solidFill>
              <a:latin typeface="+mn-lt"/>
              <a:ea typeface="+mn-ea"/>
              <a:cs typeface="+mn-cs"/>
            </a:defRPr>
          </a:lvl7pPr>
          <a:lvl8pPr marL="3200400" algn="l" defTabSz="914400" rtl="0" eaLnBrk="1" latinLnBrk="0" hangingPunct="1">
            <a:defRPr kern="1200">
              <a:solidFill>
                <a:schemeClr val="lt1"/>
              </a:solidFill>
              <a:latin typeface="+mn-lt"/>
              <a:ea typeface="+mn-ea"/>
              <a:cs typeface="+mn-cs"/>
            </a:defRPr>
          </a:lvl8pPr>
          <a:lvl9pPr marL="3657600" algn="l" defTabSz="914400" rtl="0" eaLnBrk="1" latinLnBrk="0" hangingPunct="1">
            <a:defRPr kern="1200">
              <a:solidFill>
                <a:schemeClr val="lt1"/>
              </a:solidFill>
              <a:latin typeface="+mn-lt"/>
              <a:ea typeface="+mn-ea"/>
              <a:cs typeface="+mn-cs"/>
            </a:defRPr>
          </a:lvl9pPr>
        </a:lstStyle>
        <a:p>
          <a:pPr algn="ctr" eaLnBrk="1" hangingPunct="1">
            <a:defRPr/>
          </a:pPr>
          <a:endParaRPr lang="ru-RU" sz="1000"/>
        </a:p>
      </xdr:txBody>
    </xdr:sp>
    <xdr:clientData/>
  </xdr:twoCellAnchor>
  <xdr:twoCellAnchor>
    <xdr:from>
      <xdr:col>1</xdr:col>
      <xdr:colOff>987137</xdr:colOff>
      <xdr:row>84</xdr:row>
      <xdr:rowOff>169718</xdr:rowOff>
    </xdr:from>
    <xdr:to>
      <xdr:col>1</xdr:col>
      <xdr:colOff>1152168</xdr:colOff>
      <xdr:row>84</xdr:row>
      <xdr:rowOff>445789</xdr:rowOff>
    </xdr:to>
    <xdr:sp macro="" textlink="">
      <xdr:nvSpPr>
        <xdr:cNvPr id="20489" name="Стрелка вверх 22">
          <a:extLst>
            <a:ext uri="{FF2B5EF4-FFF2-40B4-BE49-F238E27FC236}">
              <a16:creationId xmlns:a16="http://schemas.microsoft.com/office/drawing/2014/main" xmlns="" id="{00000000-0008-0000-0900-000009500000}"/>
            </a:ext>
          </a:extLst>
        </xdr:cNvPr>
        <xdr:cNvSpPr/>
      </xdr:nvSpPr>
      <xdr:spPr>
        <a:xfrm>
          <a:off x="1593273" y="35464173"/>
          <a:ext cx="165031" cy="276071"/>
        </a:xfrm>
        <a:prstGeom prst="upArrow">
          <a:avLst/>
        </a:prstGeom>
        <a:solidFill>
          <a:schemeClr val="accent5">
            <a:lumMod val="50000"/>
          </a:schemeClr>
        </a:solidFill>
        <a:ln w="1270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wrap="square" anchor="ctr"/>
        <a:lstStyle>
          <a:defPPr>
            <a:defRPr lang="ru-RU"/>
          </a:defPPr>
          <a:lvl1pPr algn="l" rtl="0" fontAlgn="base">
            <a:spcBef>
              <a:spcPct val="0"/>
            </a:spcBef>
            <a:spcAft>
              <a:spcPct val="0"/>
            </a:spcAft>
            <a:defRPr kern="1200">
              <a:solidFill>
                <a:schemeClr val="lt1"/>
              </a:solidFill>
              <a:latin typeface="+mn-lt"/>
              <a:ea typeface="+mn-ea"/>
              <a:cs typeface="+mn-cs"/>
            </a:defRPr>
          </a:lvl1pPr>
          <a:lvl2pPr marL="457200" algn="l" rtl="0" fontAlgn="base">
            <a:spcBef>
              <a:spcPct val="0"/>
            </a:spcBef>
            <a:spcAft>
              <a:spcPct val="0"/>
            </a:spcAft>
            <a:defRPr kern="1200">
              <a:solidFill>
                <a:schemeClr val="lt1"/>
              </a:solidFill>
              <a:latin typeface="+mn-lt"/>
              <a:ea typeface="+mn-ea"/>
              <a:cs typeface="+mn-cs"/>
            </a:defRPr>
          </a:lvl2pPr>
          <a:lvl3pPr marL="914400" algn="l" rtl="0" fontAlgn="base">
            <a:spcBef>
              <a:spcPct val="0"/>
            </a:spcBef>
            <a:spcAft>
              <a:spcPct val="0"/>
            </a:spcAft>
            <a:defRPr kern="1200">
              <a:solidFill>
                <a:schemeClr val="lt1"/>
              </a:solidFill>
              <a:latin typeface="+mn-lt"/>
              <a:ea typeface="+mn-ea"/>
              <a:cs typeface="+mn-cs"/>
            </a:defRPr>
          </a:lvl3pPr>
          <a:lvl4pPr marL="1371600" algn="l" rtl="0" fontAlgn="base">
            <a:spcBef>
              <a:spcPct val="0"/>
            </a:spcBef>
            <a:spcAft>
              <a:spcPct val="0"/>
            </a:spcAft>
            <a:defRPr kern="1200">
              <a:solidFill>
                <a:schemeClr val="lt1"/>
              </a:solidFill>
              <a:latin typeface="+mn-lt"/>
              <a:ea typeface="+mn-ea"/>
              <a:cs typeface="+mn-cs"/>
            </a:defRPr>
          </a:lvl4pPr>
          <a:lvl5pPr marL="1828800" algn="l" rtl="0" fontAlgn="base">
            <a:spcBef>
              <a:spcPct val="0"/>
            </a:spcBef>
            <a:spcAft>
              <a:spcPct val="0"/>
            </a:spcAft>
            <a:defRPr kern="1200">
              <a:solidFill>
                <a:schemeClr val="lt1"/>
              </a:solidFill>
              <a:latin typeface="+mn-lt"/>
              <a:ea typeface="+mn-ea"/>
              <a:cs typeface="+mn-cs"/>
            </a:defRPr>
          </a:lvl5pPr>
          <a:lvl6pPr marL="2286000" algn="l" defTabSz="914400" rtl="0" eaLnBrk="1" latinLnBrk="0" hangingPunct="1">
            <a:defRPr kern="1200">
              <a:solidFill>
                <a:schemeClr val="lt1"/>
              </a:solidFill>
              <a:latin typeface="+mn-lt"/>
              <a:ea typeface="+mn-ea"/>
              <a:cs typeface="+mn-cs"/>
            </a:defRPr>
          </a:lvl6pPr>
          <a:lvl7pPr marL="2743200" algn="l" defTabSz="914400" rtl="0" eaLnBrk="1" latinLnBrk="0" hangingPunct="1">
            <a:defRPr kern="1200">
              <a:solidFill>
                <a:schemeClr val="lt1"/>
              </a:solidFill>
              <a:latin typeface="+mn-lt"/>
              <a:ea typeface="+mn-ea"/>
              <a:cs typeface="+mn-cs"/>
            </a:defRPr>
          </a:lvl7pPr>
          <a:lvl8pPr marL="3200400" algn="l" defTabSz="914400" rtl="0" eaLnBrk="1" latinLnBrk="0" hangingPunct="1">
            <a:defRPr kern="1200">
              <a:solidFill>
                <a:schemeClr val="lt1"/>
              </a:solidFill>
              <a:latin typeface="+mn-lt"/>
              <a:ea typeface="+mn-ea"/>
              <a:cs typeface="+mn-cs"/>
            </a:defRPr>
          </a:lvl8pPr>
          <a:lvl9pPr marL="3657600" algn="l" defTabSz="914400" rtl="0" eaLnBrk="1" latinLnBrk="0" hangingPunct="1">
            <a:defRPr kern="1200">
              <a:solidFill>
                <a:schemeClr val="lt1"/>
              </a:solidFill>
              <a:latin typeface="+mn-lt"/>
              <a:ea typeface="+mn-ea"/>
              <a:cs typeface="+mn-cs"/>
            </a:defRPr>
          </a:lvl9pPr>
        </a:lstStyle>
        <a:p>
          <a:pPr algn="ctr" eaLnBrk="1" hangingPunct="1">
            <a:defRPr/>
          </a:pPr>
          <a:endParaRPr lang="ru-RU" sz="1000"/>
        </a:p>
      </xdr:txBody>
    </xdr:sp>
    <xdr:clientData/>
  </xdr:twoCellAnchor>
</xdr:wsDr>
</file>

<file path=xl/drawings/drawing8.xml><?xml version="1.0" encoding="utf-8"?>
<c:userShapes xmlns:c="http://schemas.openxmlformats.org/drawingml/2006/chart">
  <cdr:relSizeAnchor xmlns:cdr="http://schemas.openxmlformats.org/drawingml/2006/chartDrawing">
    <cdr:from>
      <cdr:x>0.2121</cdr:x>
      <cdr:y>0.43852</cdr:y>
    </cdr:from>
    <cdr:to>
      <cdr:x>0.26378</cdr:x>
      <cdr:y>0.48625</cdr:y>
    </cdr:to>
    <cdr:sp macro="" textlink="#REF!">
      <cdr:nvSpPr>
        <cdr:cNvPr id="2" name="Скругленный прямоугольник 1">
          <a:extLst xmlns:a="http://schemas.openxmlformats.org/drawingml/2006/main">
            <a:ext uri="{FF2B5EF4-FFF2-40B4-BE49-F238E27FC236}">
              <a16:creationId xmlns:a16="http://schemas.microsoft.com/office/drawing/2014/main" xmlns="" id="{00000000-0008-0000-0500-000008000000}"/>
            </a:ext>
          </a:extLst>
        </cdr:cNvPr>
        <cdr:cNvSpPr/>
      </cdr:nvSpPr>
      <cdr:spPr>
        <a:xfrm xmlns:a="http://schemas.openxmlformats.org/drawingml/2006/main">
          <a:off x="2281322" y="1330331"/>
          <a:ext cx="555876" cy="144799"/>
        </a:xfrm>
        <a:prstGeom xmlns:a="http://schemas.openxmlformats.org/drawingml/2006/main" prst="roundRect">
          <a:avLst/>
        </a:prstGeom>
      </cdr:spPr>
      <cdr:style>
        <a:lnRef xmlns:a="http://schemas.openxmlformats.org/drawingml/2006/main" idx="2">
          <a:schemeClr val="accent5"/>
        </a:lnRef>
        <a:fillRef xmlns:a="http://schemas.openxmlformats.org/drawingml/2006/main" idx="1">
          <a:schemeClr val="lt1"/>
        </a:fillRef>
        <a:effectRef xmlns:a="http://schemas.openxmlformats.org/drawingml/2006/main" idx="0">
          <a:schemeClr val="accent5"/>
        </a:effectRef>
        <a:fontRef xmlns:a="http://schemas.openxmlformats.org/drawingml/2006/main" idx="minor">
          <a:schemeClr val="dk1"/>
        </a:fontRef>
      </cdr:style>
      <cdr:txBody>
        <a:bodyPr xmlns:a="http://schemas.openxmlformats.org/drawingml/2006/main"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fld id="{67132CC6-D09D-4AB1-8F3F-6E66C1C71F22}" type="TxLink">
            <a:rPr lang="en-US" sz="1050" b="0" i="1" u="none" strike="noStrike">
              <a:solidFill>
                <a:srgbClr val="000000"/>
              </a:solidFill>
              <a:latin typeface="Calibri"/>
              <a:cs typeface="Calibri"/>
            </a:rPr>
            <a:pPr algn="ctr"/>
            <a:t>87%</a:t>
          </a:fld>
          <a:endParaRPr lang="ru-RU" sz="1050" b="1" i="1"/>
        </a:p>
      </cdr:txBody>
    </cdr:sp>
  </cdr:relSizeAnchor>
  <cdr:relSizeAnchor xmlns:cdr="http://schemas.openxmlformats.org/drawingml/2006/chartDrawing">
    <cdr:from>
      <cdr:x>0.4201</cdr:x>
      <cdr:y>0.5304</cdr:y>
    </cdr:from>
    <cdr:to>
      <cdr:x>0.47264</cdr:x>
      <cdr:y>0.5819</cdr:y>
    </cdr:to>
    <cdr:sp macro="" textlink="#REF!">
      <cdr:nvSpPr>
        <cdr:cNvPr id="3" name="Скругленный прямоугольник 2">
          <a:extLst xmlns:a="http://schemas.openxmlformats.org/drawingml/2006/main">
            <a:ext uri="{FF2B5EF4-FFF2-40B4-BE49-F238E27FC236}">
              <a16:creationId xmlns:a16="http://schemas.microsoft.com/office/drawing/2014/main" xmlns="" id="{00000000-0008-0000-0500-000008000000}"/>
            </a:ext>
          </a:extLst>
        </cdr:cNvPr>
        <cdr:cNvSpPr/>
      </cdr:nvSpPr>
      <cdr:spPr>
        <a:xfrm xmlns:a="http://schemas.openxmlformats.org/drawingml/2006/main">
          <a:off x="4518593" y="1609072"/>
          <a:ext cx="565125" cy="156236"/>
        </a:xfrm>
        <a:prstGeom xmlns:a="http://schemas.openxmlformats.org/drawingml/2006/main" prst="roundRect">
          <a:avLst/>
        </a:prstGeom>
      </cdr:spPr>
      <cdr:style>
        <a:lnRef xmlns:a="http://schemas.openxmlformats.org/drawingml/2006/main" idx="2">
          <a:schemeClr val="accent5"/>
        </a:lnRef>
        <a:fillRef xmlns:a="http://schemas.openxmlformats.org/drawingml/2006/main" idx="1">
          <a:schemeClr val="lt1"/>
        </a:fillRef>
        <a:effectRef xmlns:a="http://schemas.openxmlformats.org/drawingml/2006/main" idx="0">
          <a:schemeClr val="accent5"/>
        </a:effectRef>
        <a:fontRef xmlns:a="http://schemas.openxmlformats.org/drawingml/2006/main" idx="minor">
          <a:schemeClr val="dk1"/>
        </a:fontRef>
      </cdr:style>
      <cdr:txBody>
        <a:bodyPr xmlns:a="http://schemas.openxmlformats.org/drawingml/2006/main"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fld id="{638A2F27-175E-49F4-9EE3-3D68AE8655AF}" type="TxLink">
            <a:rPr lang="en-US" sz="1000" b="0" i="1" u="none" strike="noStrike">
              <a:solidFill>
                <a:srgbClr val="000000"/>
              </a:solidFill>
              <a:latin typeface="Calibri"/>
              <a:cs typeface="Calibri"/>
            </a:rPr>
            <a:pPr algn="ctr"/>
            <a:t>97%</a:t>
          </a:fld>
          <a:endParaRPr lang="ru-RU" sz="900" b="1" i="1"/>
        </a:p>
      </cdr:txBody>
    </cdr:sp>
  </cdr:relSizeAnchor>
  <cdr:relSizeAnchor xmlns:cdr="http://schemas.openxmlformats.org/drawingml/2006/chartDrawing">
    <cdr:from>
      <cdr:x>0.62518</cdr:x>
      <cdr:y>0.6146</cdr:y>
    </cdr:from>
    <cdr:to>
      <cdr:x>0.67685</cdr:x>
      <cdr:y>0.665</cdr:y>
    </cdr:to>
    <cdr:sp macro="" textlink="#REF!">
      <cdr:nvSpPr>
        <cdr:cNvPr id="4" name="Скругленный прямоугольник 3">
          <a:extLst xmlns:a="http://schemas.openxmlformats.org/drawingml/2006/main">
            <a:ext uri="{FF2B5EF4-FFF2-40B4-BE49-F238E27FC236}">
              <a16:creationId xmlns:a16="http://schemas.microsoft.com/office/drawing/2014/main" xmlns="" id="{00000000-0008-0000-0500-000008000000}"/>
            </a:ext>
          </a:extLst>
        </cdr:cNvPr>
        <cdr:cNvSpPr/>
      </cdr:nvSpPr>
      <cdr:spPr>
        <a:xfrm xmlns:a="http://schemas.openxmlformats.org/drawingml/2006/main">
          <a:off x="6724480" y="1864515"/>
          <a:ext cx="555768" cy="152899"/>
        </a:xfrm>
        <a:prstGeom xmlns:a="http://schemas.openxmlformats.org/drawingml/2006/main" prst="roundRect">
          <a:avLst/>
        </a:prstGeom>
      </cdr:spPr>
      <cdr:style>
        <a:lnRef xmlns:a="http://schemas.openxmlformats.org/drawingml/2006/main" idx="2">
          <a:schemeClr val="accent5"/>
        </a:lnRef>
        <a:fillRef xmlns:a="http://schemas.openxmlformats.org/drawingml/2006/main" idx="1">
          <a:schemeClr val="lt1"/>
        </a:fillRef>
        <a:effectRef xmlns:a="http://schemas.openxmlformats.org/drawingml/2006/main" idx="0">
          <a:schemeClr val="accent5"/>
        </a:effectRef>
        <a:fontRef xmlns:a="http://schemas.openxmlformats.org/drawingml/2006/main" idx="minor">
          <a:schemeClr val="dk1"/>
        </a:fontRef>
      </cdr:style>
      <cdr:txBody>
        <a:bodyPr xmlns:a="http://schemas.openxmlformats.org/drawingml/2006/main"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fld id="{17A7FD07-ACBD-459F-BBAD-24EBEC38BEA3}" type="TxLink">
            <a:rPr lang="en-US" sz="1050" b="0" i="1" u="none" strike="noStrike">
              <a:solidFill>
                <a:srgbClr val="000000"/>
              </a:solidFill>
              <a:latin typeface="Calibri"/>
              <a:cs typeface="Calibri"/>
            </a:rPr>
            <a:pPr algn="ctr"/>
            <a:t>101%</a:t>
          </a:fld>
          <a:endParaRPr lang="ru-RU" sz="1000" b="1" i="1"/>
        </a:p>
      </cdr:txBody>
    </cdr:sp>
  </cdr:relSizeAnchor>
  <cdr:relSizeAnchor xmlns:cdr="http://schemas.openxmlformats.org/drawingml/2006/chartDrawing">
    <cdr:from>
      <cdr:x>0.8329</cdr:x>
      <cdr:y>0.25915</cdr:y>
    </cdr:from>
    <cdr:to>
      <cdr:x>0.88177</cdr:x>
      <cdr:y>0.31609</cdr:y>
    </cdr:to>
    <cdr:sp macro="" textlink="#REF!">
      <cdr:nvSpPr>
        <cdr:cNvPr id="5" name="Скругленный прямоугольник 4">
          <a:extLst xmlns:a="http://schemas.openxmlformats.org/drawingml/2006/main">
            <a:ext uri="{FF2B5EF4-FFF2-40B4-BE49-F238E27FC236}">
              <a16:creationId xmlns:a16="http://schemas.microsoft.com/office/drawing/2014/main" xmlns="" id="{00000000-0008-0000-0500-000008000000}"/>
            </a:ext>
          </a:extLst>
        </cdr:cNvPr>
        <cdr:cNvSpPr/>
      </cdr:nvSpPr>
      <cdr:spPr>
        <a:xfrm xmlns:a="http://schemas.openxmlformats.org/drawingml/2006/main">
          <a:off x="8958798" y="786173"/>
          <a:ext cx="525651" cy="172739"/>
        </a:xfrm>
        <a:prstGeom xmlns:a="http://schemas.openxmlformats.org/drawingml/2006/main" prst="roundRect">
          <a:avLst/>
        </a:prstGeom>
      </cdr:spPr>
      <cdr:style>
        <a:lnRef xmlns:a="http://schemas.openxmlformats.org/drawingml/2006/main" idx="2">
          <a:schemeClr val="accent5"/>
        </a:lnRef>
        <a:fillRef xmlns:a="http://schemas.openxmlformats.org/drawingml/2006/main" idx="1">
          <a:schemeClr val="lt1"/>
        </a:fillRef>
        <a:effectRef xmlns:a="http://schemas.openxmlformats.org/drawingml/2006/main" idx="0">
          <a:schemeClr val="accent5"/>
        </a:effectRef>
        <a:fontRef xmlns:a="http://schemas.openxmlformats.org/drawingml/2006/main" idx="minor">
          <a:schemeClr val="dk1"/>
        </a:fontRef>
      </cdr:style>
      <cdr:txBody>
        <a:bodyPr xmlns:a="http://schemas.openxmlformats.org/drawingml/2006/main"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fld id="{6F469F2E-7381-4968-A945-35C0D874F772}" type="TxLink">
            <a:rPr lang="en-US" sz="1050" b="0" i="1" u="none" strike="noStrike">
              <a:solidFill>
                <a:srgbClr val="000000"/>
              </a:solidFill>
              <a:latin typeface="Calibri"/>
              <a:cs typeface="Calibri"/>
            </a:rPr>
            <a:pPr algn="ctr"/>
            <a:t>93%</a:t>
          </a:fld>
          <a:endParaRPr lang="ru-RU" sz="1000" b="1" i="1"/>
        </a:p>
      </cdr:txBody>
    </cdr:sp>
  </cdr:relSizeAnchor>
</c:userShapes>
</file>

<file path=xl/drawings/drawing9.xml><?xml version="1.0" encoding="utf-8"?>
<c:userShapes xmlns:c="http://schemas.openxmlformats.org/drawingml/2006/chart">
  <cdr:relSizeAnchor xmlns:cdr="http://schemas.openxmlformats.org/drawingml/2006/chartDrawing">
    <cdr:from>
      <cdr:x>0.77166</cdr:x>
      <cdr:y>0.36897</cdr:y>
    </cdr:from>
    <cdr:to>
      <cdr:x>0.94203</cdr:x>
      <cdr:y>0.45481</cdr:y>
    </cdr:to>
    <cdr:sp macro="" textlink="'data dash'!$K$4">
      <cdr:nvSpPr>
        <cdr:cNvPr id="5" name="Скругленный прямоугольник 4">
          <a:extLst xmlns:a="http://schemas.openxmlformats.org/drawingml/2006/main">
            <a:ext uri="{FF2B5EF4-FFF2-40B4-BE49-F238E27FC236}">
              <a16:creationId xmlns:a16="http://schemas.microsoft.com/office/drawing/2014/main" xmlns="" id="{00000000-0008-0000-0600-000006000000}"/>
            </a:ext>
          </a:extLst>
        </cdr:cNvPr>
        <cdr:cNvSpPr>
          <a:spLocks xmlns:a="http://schemas.openxmlformats.org/drawingml/2006/main" noChangeAspect="1"/>
        </cdr:cNvSpPr>
      </cdr:nvSpPr>
      <cdr:spPr>
        <a:xfrm xmlns:a="http://schemas.openxmlformats.org/drawingml/2006/main">
          <a:off x="2386608" y="759530"/>
          <a:ext cx="526924" cy="176715"/>
        </a:xfrm>
        <a:prstGeom xmlns:a="http://schemas.openxmlformats.org/drawingml/2006/main" prst="roundRect">
          <a:avLst/>
        </a:prstGeom>
      </cdr:spPr>
      <cdr:style>
        <a:lnRef xmlns:a="http://schemas.openxmlformats.org/drawingml/2006/main" idx="2">
          <a:schemeClr val="accent2"/>
        </a:lnRef>
        <a:fillRef xmlns:a="http://schemas.openxmlformats.org/drawingml/2006/main" idx="1">
          <a:schemeClr val="lt1"/>
        </a:fillRef>
        <a:effectRef xmlns:a="http://schemas.openxmlformats.org/drawingml/2006/main" idx="0">
          <a:schemeClr val="accent2"/>
        </a:effectRef>
        <a:fontRef xmlns:a="http://schemas.openxmlformats.org/drawingml/2006/main" idx="minor">
          <a:schemeClr val="dk1"/>
        </a:fontRef>
      </cdr:style>
      <cdr:txBody>
        <a:bodyPr xmlns:a="http://schemas.openxmlformats.org/drawingml/2006/main"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fld id="{0EF6431E-4450-4BCE-9911-729743CCBE80}" type="TxLink">
            <a:rPr lang="en-US" sz="1050" b="0" i="1" u="none" strike="noStrike">
              <a:solidFill>
                <a:srgbClr val="000000"/>
              </a:solidFill>
              <a:latin typeface="Calibri"/>
              <a:cs typeface="Calibri"/>
            </a:rPr>
            <a:pPr algn="ctr"/>
            <a:t>123%</a:t>
          </a:fld>
          <a:endParaRPr lang="ru-RU" sz="1050" b="1" i="1"/>
        </a:p>
      </cdr:txBody>
    </cdr:sp>
  </cdr:relSizeAnchor>
</c:userShapes>
</file>

<file path=xl/drawings/drawing10.xml><?xml version="1.0" encoding="utf-8"?>
<c:userShapes xmlns:c="http://schemas.openxmlformats.org/drawingml/2006/chart">
  <cdr:relSizeAnchor xmlns:cdr="http://schemas.openxmlformats.org/drawingml/2006/chartDrawing">
    <cdr:from>
      <cdr:x>0.80417</cdr:x>
      <cdr:y>0.30852</cdr:y>
    </cdr:from>
    <cdr:to>
      <cdr:x>0.97517</cdr:x>
      <cdr:y>0.39625</cdr:y>
    </cdr:to>
    <cdr:sp macro="" textlink="'data dash'!$K$3">
      <cdr:nvSpPr>
        <cdr:cNvPr id="5" name="Скругленный прямоугольник 4">
          <a:extLst xmlns:a="http://schemas.openxmlformats.org/drawingml/2006/main">
            <a:ext uri="{FF2B5EF4-FFF2-40B4-BE49-F238E27FC236}">
              <a16:creationId xmlns:a16="http://schemas.microsoft.com/office/drawing/2014/main" xmlns="" id="{00000000-0008-0000-0600-000006000000}"/>
            </a:ext>
          </a:extLst>
        </cdr:cNvPr>
        <cdr:cNvSpPr>
          <a:spLocks xmlns:a="http://schemas.openxmlformats.org/drawingml/2006/main" noChangeAspect="1"/>
        </cdr:cNvSpPr>
      </cdr:nvSpPr>
      <cdr:spPr>
        <a:xfrm xmlns:a="http://schemas.openxmlformats.org/drawingml/2006/main">
          <a:off x="2478143" y="637434"/>
          <a:ext cx="526957" cy="181260"/>
        </a:xfrm>
        <a:prstGeom xmlns:a="http://schemas.openxmlformats.org/drawingml/2006/main" prst="roundRect">
          <a:avLst/>
        </a:prstGeom>
      </cdr:spPr>
      <cdr:style>
        <a:lnRef xmlns:a="http://schemas.openxmlformats.org/drawingml/2006/main" idx="2">
          <a:schemeClr val="accent2"/>
        </a:lnRef>
        <a:fillRef xmlns:a="http://schemas.openxmlformats.org/drawingml/2006/main" idx="1">
          <a:schemeClr val="lt1"/>
        </a:fillRef>
        <a:effectRef xmlns:a="http://schemas.openxmlformats.org/drawingml/2006/main" idx="0">
          <a:schemeClr val="accent2"/>
        </a:effectRef>
        <a:fontRef xmlns:a="http://schemas.openxmlformats.org/drawingml/2006/main" idx="minor">
          <a:schemeClr val="dk1"/>
        </a:fontRef>
      </cdr:style>
      <cdr:txBody>
        <a:bodyPr xmlns:a="http://schemas.openxmlformats.org/drawingml/2006/main"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fld id="{6CFA2C47-2F32-42BF-893D-35D9F9737DE0}" type="TxLink">
            <a:rPr lang="en-US" sz="1050" b="0" i="1" u="none" strike="noStrike">
              <a:solidFill>
                <a:srgbClr val="000000"/>
              </a:solidFill>
              <a:latin typeface="Calibri"/>
              <a:cs typeface="Calibri"/>
            </a:rPr>
            <a:pPr algn="ctr"/>
            <a:t>96%</a:t>
          </a:fld>
          <a:endParaRPr lang="ru-RU" sz="1050" b="1" i="1"/>
        </a:p>
      </cdr:txBody>
    </cdr:sp>
  </cdr:relSizeAnchor>
</c:userShapes>
</file>

<file path=xl/drawings/drawing11.xml><?xml version="1.0" encoding="utf-8"?>
<c:userShapes xmlns:c="http://schemas.openxmlformats.org/drawingml/2006/chart">
  <cdr:relSizeAnchor xmlns:cdr="http://schemas.openxmlformats.org/drawingml/2006/chartDrawing">
    <cdr:from>
      <cdr:x>0.7714</cdr:x>
      <cdr:y>0.37243</cdr:y>
    </cdr:from>
    <cdr:to>
      <cdr:x>0.93931</cdr:x>
      <cdr:y>0.44712</cdr:y>
    </cdr:to>
    <cdr:sp macro="" textlink="'data dash'!$K$5">
      <cdr:nvSpPr>
        <cdr:cNvPr id="5" name="Скругленный прямоугольник 4">
          <a:extLst xmlns:a="http://schemas.openxmlformats.org/drawingml/2006/main">
            <a:ext uri="{FF2B5EF4-FFF2-40B4-BE49-F238E27FC236}">
              <a16:creationId xmlns:a16="http://schemas.microsoft.com/office/drawing/2014/main" xmlns="" id="{00000000-0008-0000-0600-000006000000}"/>
            </a:ext>
          </a:extLst>
        </cdr:cNvPr>
        <cdr:cNvSpPr>
          <a:spLocks xmlns:a="http://schemas.openxmlformats.org/drawingml/2006/main" noChangeAspect="1"/>
        </cdr:cNvSpPr>
      </cdr:nvSpPr>
      <cdr:spPr>
        <a:xfrm xmlns:a="http://schemas.openxmlformats.org/drawingml/2006/main">
          <a:off x="2363800" y="768171"/>
          <a:ext cx="514528" cy="154050"/>
        </a:xfrm>
        <a:prstGeom xmlns:a="http://schemas.openxmlformats.org/drawingml/2006/main" prst="roundRect">
          <a:avLst/>
        </a:prstGeom>
      </cdr:spPr>
      <cdr:style>
        <a:lnRef xmlns:a="http://schemas.openxmlformats.org/drawingml/2006/main" idx="2">
          <a:schemeClr val="accent2"/>
        </a:lnRef>
        <a:fillRef xmlns:a="http://schemas.openxmlformats.org/drawingml/2006/main" idx="1">
          <a:schemeClr val="lt1"/>
        </a:fillRef>
        <a:effectRef xmlns:a="http://schemas.openxmlformats.org/drawingml/2006/main" idx="0">
          <a:schemeClr val="accent2"/>
        </a:effectRef>
        <a:fontRef xmlns:a="http://schemas.openxmlformats.org/drawingml/2006/main" idx="minor">
          <a:schemeClr val="dk1"/>
        </a:fontRef>
      </cdr:style>
      <cdr:txBody>
        <a:bodyPr xmlns:a="http://schemas.openxmlformats.org/drawingml/2006/main"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fld id="{2950F6E4-C020-4644-8C4C-EA36D832B5F5}" type="TxLink">
            <a:rPr lang="en-US" sz="1050" b="0" i="1" u="none" strike="noStrike">
              <a:solidFill>
                <a:srgbClr val="000000"/>
              </a:solidFill>
              <a:latin typeface="Calibri"/>
              <a:cs typeface="Calibri"/>
            </a:rPr>
            <a:pPr algn="ctr"/>
            <a:t>-16%</a:t>
          </a:fld>
          <a:endParaRPr lang="ru-RU" sz="1050" b="1" i="1"/>
        </a:p>
      </cdr:txBody>
    </cdr:sp>
  </cdr:relSizeAnchor>
</c:userShapes>
</file>

<file path=xl/drawings/drawing12.xml><?xml version="1.0" encoding="utf-8"?>
<c:userShapes xmlns:c="http://schemas.openxmlformats.org/drawingml/2006/chart">
  <cdr:relSizeAnchor xmlns:cdr="http://schemas.openxmlformats.org/drawingml/2006/chartDrawing">
    <cdr:from>
      <cdr:x>0.52353</cdr:x>
      <cdr:y>0.45271</cdr:y>
    </cdr:from>
    <cdr:to>
      <cdr:x>0.59695</cdr:x>
      <cdr:y>0.54628</cdr:y>
    </cdr:to>
    <cdr:sp macro="" textlink="">
      <cdr:nvSpPr>
        <cdr:cNvPr id="2" name="Скругленный прямоугольник 1"/>
        <cdr:cNvSpPr/>
      </cdr:nvSpPr>
      <cdr:spPr>
        <a:xfrm xmlns:a="http://schemas.openxmlformats.org/drawingml/2006/main">
          <a:off x="6235591" y="1899284"/>
          <a:ext cx="874475" cy="392557"/>
        </a:xfrm>
        <a:prstGeom xmlns:a="http://schemas.openxmlformats.org/drawingml/2006/main" prst="roundRect">
          <a:avLst/>
        </a:prstGeom>
        <a:ln xmlns:a="http://schemas.openxmlformats.org/drawingml/2006/main">
          <a:solidFill>
            <a:srgbClr val="C00000"/>
          </a:solidFill>
        </a:ln>
        <a:effectLst xmlns:a="http://schemas.openxmlformats.org/drawingml/2006/main">
          <a:outerShdw blurRad="50800" dist="50800" dir="5400000" algn="ctr" rotWithShape="0">
            <a:srgbClr val="000000">
              <a:alpha val="79000"/>
            </a:srgbClr>
          </a:outerShdw>
        </a:effectLst>
      </cdr:spPr>
      <cdr:style>
        <a:lnRef xmlns:a="http://schemas.openxmlformats.org/drawingml/2006/main" idx="2">
          <a:schemeClr val="accent2"/>
        </a:lnRef>
        <a:fillRef xmlns:a="http://schemas.openxmlformats.org/drawingml/2006/main" idx="1">
          <a:schemeClr val="lt1"/>
        </a:fillRef>
        <a:effectRef xmlns:a="http://schemas.openxmlformats.org/drawingml/2006/main" idx="0">
          <a:schemeClr val="accent2"/>
        </a:effectRef>
        <a:fontRef xmlns:a="http://schemas.openxmlformats.org/drawingml/2006/main" idx="minor">
          <a:schemeClr val="dk1"/>
        </a:fontRef>
      </cdr:style>
      <cdr:txBody>
        <a:bodyPr xmlns:a="http://schemas.openxmlformats.org/drawingml/2006/main"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n-US" sz="1000" b="1">
              <a:solidFill>
                <a:sysClr val="windowText" lastClr="000000"/>
              </a:solidFill>
              <a:latin typeface="+mn-lt"/>
            </a:rPr>
            <a:t>PROBABILITY %</a:t>
          </a:r>
          <a:endParaRPr lang="ru-RU" sz="1000" b="1">
            <a:solidFill>
              <a:sysClr val="windowText" lastClr="000000"/>
            </a:solidFill>
            <a:latin typeface="+mn-lt"/>
          </a:endParaRPr>
        </a:p>
      </cdr:txBody>
    </cdr:sp>
  </cdr:relSizeAnchor>
</c:userShapes>
</file>

<file path=xl/drawings/drawing13.xml><?xml version="1.0" encoding="utf-8"?>
<c:userShapes xmlns:c="http://schemas.openxmlformats.org/drawingml/2006/chart">
  <cdr:relSizeAnchor xmlns:cdr="http://schemas.openxmlformats.org/drawingml/2006/chartDrawing">
    <cdr:from>
      <cdr:x>0.53902</cdr:x>
      <cdr:y>0.55102</cdr:y>
    </cdr:from>
    <cdr:to>
      <cdr:x>0.61144</cdr:x>
      <cdr:y>0.6099</cdr:y>
    </cdr:to>
    <cdr:sp macro="" textlink="">
      <cdr:nvSpPr>
        <cdr:cNvPr id="2" name="Скругленный прямоугольник 1"/>
        <cdr:cNvSpPr/>
      </cdr:nvSpPr>
      <cdr:spPr>
        <a:xfrm xmlns:a="http://schemas.openxmlformats.org/drawingml/2006/main">
          <a:off x="7958365" y="2547069"/>
          <a:ext cx="1069249" cy="272171"/>
        </a:xfrm>
        <a:prstGeom xmlns:a="http://schemas.openxmlformats.org/drawingml/2006/main" prst="roundRect">
          <a:avLst/>
        </a:prstGeom>
        <a:gradFill xmlns:a="http://schemas.openxmlformats.org/drawingml/2006/main" flip="none" rotWithShape="1">
          <a:gsLst>
            <a:gs pos="0">
              <a:srgbClr val="92D050">
                <a:shade val="30000"/>
                <a:satMod val="115000"/>
              </a:srgbClr>
            </a:gs>
            <a:gs pos="50000">
              <a:srgbClr val="92D050">
                <a:shade val="67500"/>
                <a:satMod val="115000"/>
              </a:srgbClr>
            </a:gs>
            <a:gs pos="100000">
              <a:srgbClr val="92D050">
                <a:shade val="100000"/>
                <a:satMod val="115000"/>
              </a:srgbClr>
            </a:gs>
          </a:gsLst>
          <a:lin ang="16200000" scaled="1"/>
          <a:tileRect/>
        </a:gradFill>
        <a:ln xmlns:a="http://schemas.openxmlformats.org/drawingml/2006/main">
          <a:solidFill>
            <a:srgbClr val="C00000"/>
          </a:solidFill>
        </a:ln>
        <a:effectLst xmlns:a="http://schemas.openxmlformats.org/drawingml/2006/main">
          <a:outerShdw blurRad="50800" dist="50800" dir="5400000" algn="ctr" rotWithShape="0">
            <a:srgbClr val="000000">
              <a:alpha val="31000"/>
            </a:srgbClr>
          </a:outerShdw>
        </a:effectLst>
      </cdr:spPr>
      <cdr:style>
        <a:lnRef xmlns:a="http://schemas.openxmlformats.org/drawingml/2006/main" idx="2">
          <a:schemeClr val="accent2"/>
        </a:lnRef>
        <a:fillRef xmlns:a="http://schemas.openxmlformats.org/drawingml/2006/main" idx="1">
          <a:schemeClr val="lt1"/>
        </a:fillRef>
        <a:effectRef xmlns:a="http://schemas.openxmlformats.org/drawingml/2006/main" idx="0">
          <a:schemeClr val="accent2"/>
        </a:effectRef>
        <a:fontRef xmlns:a="http://schemas.openxmlformats.org/drawingml/2006/main" idx="minor">
          <a:schemeClr val="dk1"/>
        </a:fontRef>
      </cdr:style>
      <cdr:txBody>
        <a:bodyPr xmlns:a="http://schemas.openxmlformats.org/drawingml/2006/main" rot="0" spcFirstLastPara="0" vert="horz" wrap="square" lIns="91440" tIns="45720" rIns="91440" bIns="45720" numCol="1" spcCol="0" rtlCol="0" fromWordArt="0" anchor="ctr" anchorCtr="0" forceAA="0" compatLnSpc="1">
          <a:prstTxWarp prst="textNoShape">
            <a:avLst/>
          </a:prstTxWarp>
          <a:noAutofit/>
        </a:bodyP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n-US" sz="1200" b="1" i="0" u="none" strike="noStrike">
              <a:solidFill>
                <a:sysClr val="windowText" lastClr="000000"/>
              </a:solidFill>
              <a:latin typeface="Times New Roman"/>
              <a:cs typeface="Times New Roman"/>
            </a:rPr>
            <a:t>5%</a:t>
          </a:r>
          <a:endParaRPr lang="ru-RU" sz="1050">
            <a:solidFill>
              <a:sysClr val="windowText" lastClr="000000"/>
            </a:solidFill>
          </a:endParaRPr>
        </a:p>
      </cdr:txBody>
    </cdr:sp>
  </cdr:relSizeAnchor>
  <cdr:relSizeAnchor xmlns:cdr="http://schemas.openxmlformats.org/drawingml/2006/chartDrawing">
    <cdr:from>
      <cdr:x>0.51074</cdr:x>
      <cdr:y>0.36957</cdr:y>
    </cdr:from>
    <cdr:to>
      <cdr:x>0.53437</cdr:x>
      <cdr:y>0.77419</cdr:y>
    </cdr:to>
    <cdr:sp macro="" textlink="">
      <cdr:nvSpPr>
        <cdr:cNvPr id="4" name="Правая фигурная скобка 3"/>
        <cdr:cNvSpPr/>
      </cdr:nvSpPr>
      <cdr:spPr>
        <a:xfrm xmlns:a="http://schemas.openxmlformats.org/drawingml/2006/main">
          <a:off x="7540863" y="1708315"/>
          <a:ext cx="348937" cy="1870364"/>
        </a:xfrm>
        <a:prstGeom xmlns:a="http://schemas.openxmlformats.org/drawingml/2006/main" prst="rightBrace">
          <a:avLst/>
        </a:prstGeom>
        <a:ln xmlns:a="http://schemas.openxmlformats.org/drawingml/2006/main">
          <a:solidFill>
            <a:schemeClr val="tx1">
              <a:lumMod val="65000"/>
              <a:lumOff val="35000"/>
            </a:schemeClr>
          </a:solidFill>
        </a:ln>
        <a:effectLst xmlns:a="http://schemas.openxmlformats.org/drawingml/2006/main">
          <a:outerShdw blurRad="50800" dist="50800" dir="5400000" algn="ctr" rotWithShape="0">
            <a:srgbClr val="000000">
              <a:alpha val="63000"/>
            </a:srgbClr>
          </a:outerShdw>
        </a:effectLst>
      </cdr:spPr>
      <cdr:style>
        <a:lnRef xmlns:a="http://schemas.openxmlformats.org/drawingml/2006/main" idx="3">
          <a:schemeClr val="accent2"/>
        </a:lnRef>
        <a:fillRef xmlns:a="http://schemas.openxmlformats.org/drawingml/2006/main" idx="0">
          <a:schemeClr val="accent2"/>
        </a:fillRef>
        <a:effectRef xmlns:a="http://schemas.openxmlformats.org/drawingml/2006/main" idx="2">
          <a:schemeClr val="accent2"/>
        </a:effectRef>
        <a:fontRef xmlns:a="http://schemas.openxmlformats.org/drawingml/2006/main" idx="minor">
          <a:schemeClr val="tx1"/>
        </a:fontRef>
      </cdr:style>
      <cdr:txBody>
        <a:bodyPr xmlns:a="http://schemas.openxmlformats.org/drawingml/2006/main" rot="0" spcFirstLastPara="0" vert="horz" wrap="square" lIns="91440" tIns="45720" rIns="91440" bIns="45720" numCol="1" spcCol="0" rtlCol="0" fromWordArt="0" anchor="t" anchorCtr="0" forceAA="0" compatLnSpc="1">
          <a:prstTxWarp prst="textNoShape">
            <a:avLst/>
          </a:prstTxWarp>
          <a:no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endParaRPr lang="ru-RU" sz="1100"/>
        </a:p>
      </cdr:txBody>
    </cdr:sp>
  </cdr:relSizeAnchor>
  <cdr:relSizeAnchor xmlns:cdr="http://schemas.openxmlformats.org/drawingml/2006/chartDrawing">
    <cdr:from>
      <cdr:x>0.53797</cdr:x>
      <cdr:y>0.44666</cdr:y>
    </cdr:from>
    <cdr:to>
      <cdr:x>0.61054</cdr:x>
      <cdr:y>0.54005</cdr:y>
    </cdr:to>
    <cdr:sp macro="" textlink="">
      <cdr:nvSpPr>
        <cdr:cNvPr id="5" name="Скругленный прямоугольник 4"/>
        <cdr:cNvSpPr/>
      </cdr:nvSpPr>
      <cdr:spPr>
        <a:xfrm xmlns:a="http://schemas.openxmlformats.org/drawingml/2006/main">
          <a:off x="7942943" y="2064658"/>
          <a:ext cx="1071377" cy="431718"/>
        </a:xfrm>
        <a:prstGeom xmlns:a="http://schemas.openxmlformats.org/drawingml/2006/main" prst="roundRect">
          <a:avLst/>
        </a:prstGeom>
        <a:ln xmlns:a="http://schemas.openxmlformats.org/drawingml/2006/main">
          <a:solidFill>
            <a:srgbClr val="C00000"/>
          </a:solidFill>
        </a:ln>
        <a:effectLst xmlns:a="http://schemas.openxmlformats.org/drawingml/2006/main">
          <a:outerShdw blurRad="50800" dist="50800" dir="5400000" algn="ctr" rotWithShape="0">
            <a:srgbClr val="000000">
              <a:alpha val="79000"/>
            </a:srgbClr>
          </a:outerShdw>
        </a:effectLst>
      </cdr:spPr>
      <cdr:style>
        <a:lnRef xmlns:a="http://schemas.openxmlformats.org/drawingml/2006/main" idx="2">
          <a:schemeClr val="accent2"/>
        </a:lnRef>
        <a:fillRef xmlns:a="http://schemas.openxmlformats.org/drawingml/2006/main" idx="1">
          <a:schemeClr val="lt1"/>
        </a:fillRef>
        <a:effectRef xmlns:a="http://schemas.openxmlformats.org/drawingml/2006/main" idx="0">
          <a:schemeClr val="accent2"/>
        </a:effectRef>
        <a:fontRef xmlns:a="http://schemas.openxmlformats.org/drawingml/2006/main" idx="minor">
          <a:schemeClr val="dk1"/>
        </a:fontRef>
      </cdr:style>
      <cdr:txBody>
        <a:bodyPr xmlns:a="http://schemas.openxmlformats.org/drawingml/2006/main"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n-US" sz="1000" b="1">
              <a:solidFill>
                <a:sysClr val="windowText" lastClr="000000"/>
              </a:solidFill>
              <a:latin typeface="+mn-lt"/>
            </a:rPr>
            <a:t>PROBABILITY %</a:t>
          </a:r>
          <a:endParaRPr lang="ru-RU" sz="1000" b="1">
            <a:solidFill>
              <a:sysClr val="windowText" lastClr="000000"/>
            </a:solidFill>
            <a:latin typeface="+mn-lt"/>
          </a:endParaRPr>
        </a:p>
      </cdr:txBody>
    </cdr:sp>
  </cdr:relSizeAnchor>
</c:userShapes>
</file>

<file path=xl/drawings/drawing14.xml><?xml version="1.0" encoding="utf-8"?>
<c:userShapes xmlns:c="http://schemas.openxmlformats.org/drawingml/2006/chart">
  <cdr:relSizeAnchor xmlns:cdr="http://schemas.openxmlformats.org/drawingml/2006/chartDrawing">
    <cdr:from>
      <cdr:x>0.54349</cdr:x>
      <cdr:y>0.53738</cdr:y>
    </cdr:from>
    <cdr:to>
      <cdr:x>0.61591</cdr:x>
      <cdr:y>0.59625</cdr:y>
    </cdr:to>
    <cdr:sp macro="" textlink="'РЕЕСТР РИСКОВ_2023'!$AC$71">
      <cdr:nvSpPr>
        <cdr:cNvPr id="2" name="Скругленный прямоугольник 1"/>
        <cdr:cNvSpPr/>
      </cdr:nvSpPr>
      <cdr:spPr>
        <a:xfrm xmlns:a="http://schemas.openxmlformats.org/drawingml/2006/main">
          <a:off x="7965209" y="2484005"/>
          <a:ext cx="1061357" cy="272143"/>
        </a:xfrm>
        <a:prstGeom xmlns:a="http://schemas.openxmlformats.org/drawingml/2006/main" prst="roundRect">
          <a:avLst/>
        </a:prstGeom>
        <a:gradFill xmlns:a="http://schemas.openxmlformats.org/drawingml/2006/main" flip="none" rotWithShape="1">
          <a:gsLst>
            <a:gs pos="0">
              <a:srgbClr val="92D050">
                <a:shade val="30000"/>
                <a:satMod val="115000"/>
              </a:srgbClr>
            </a:gs>
            <a:gs pos="50000">
              <a:srgbClr val="92D050">
                <a:shade val="67500"/>
                <a:satMod val="115000"/>
              </a:srgbClr>
            </a:gs>
            <a:gs pos="100000">
              <a:srgbClr val="92D050">
                <a:shade val="100000"/>
                <a:satMod val="115000"/>
              </a:srgbClr>
            </a:gs>
          </a:gsLst>
          <a:lin ang="16200000" scaled="1"/>
          <a:tileRect/>
        </a:gradFill>
        <a:ln xmlns:a="http://schemas.openxmlformats.org/drawingml/2006/main">
          <a:solidFill>
            <a:srgbClr val="C00000"/>
          </a:solidFill>
        </a:ln>
        <a:effectLst xmlns:a="http://schemas.openxmlformats.org/drawingml/2006/main">
          <a:outerShdw blurRad="50800" dist="50800" dir="5400000" algn="ctr" rotWithShape="0">
            <a:srgbClr val="000000">
              <a:alpha val="31000"/>
            </a:srgbClr>
          </a:outerShdw>
        </a:effectLst>
      </cdr:spPr>
      <cdr:style>
        <a:lnRef xmlns:a="http://schemas.openxmlformats.org/drawingml/2006/main" idx="2">
          <a:schemeClr val="accent2"/>
        </a:lnRef>
        <a:fillRef xmlns:a="http://schemas.openxmlformats.org/drawingml/2006/main" idx="1">
          <a:schemeClr val="lt1"/>
        </a:fillRef>
        <a:effectRef xmlns:a="http://schemas.openxmlformats.org/drawingml/2006/main" idx="0">
          <a:schemeClr val="accent2"/>
        </a:effectRef>
        <a:fontRef xmlns:a="http://schemas.openxmlformats.org/drawingml/2006/main" idx="minor">
          <a:schemeClr val="dk1"/>
        </a:fontRef>
      </cdr:style>
      <cdr:txBody>
        <a:bodyPr xmlns:a="http://schemas.openxmlformats.org/drawingml/2006/main" rot="0" spcFirstLastPara="0" vert="horz" wrap="square" lIns="91440" tIns="45720" rIns="91440" bIns="45720" numCol="1" spcCol="0" rtlCol="0" fromWordArt="0" anchor="ctr" anchorCtr="0" forceAA="0" compatLnSpc="1">
          <a:prstTxWarp prst="textNoShape">
            <a:avLst/>
          </a:prstTxWarp>
          <a:noAutofit/>
        </a:bodyP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fld id="{9BBE1BEF-F63A-4FB6-9A8F-EBC307DC6A6B}" type="TxLink">
            <a:rPr lang="en-US" sz="1200" b="1" i="0" u="none" strike="noStrike">
              <a:solidFill>
                <a:srgbClr val="000000"/>
              </a:solidFill>
              <a:latin typeface="Times New Roman"/>
              <a:cs typeface="Times New Roman"/>
            </a:rPr>
            <a:pPr algn="ctr"/>
            <a:t>10%</a:t>
          </a:fld>
          <a:endParaRPr lang="ru-RU" sz="900">
            <a:solidFill>
              <a:sysClr val="windowText" lastClr="000000"/>
            </a:solidFill>
          </a:endParaRPr>
        </a:p>
      </cdr:txBody>
    </cdr:sp>
  </cdr:relSizeAnchor>
  <cdr:relSizeAnchor xmlns:cdr="http://schemas.openxmlformats.org/drawingml/2006/chartDrawing">
    <cdr:from>
      <cdr:x>0.51749</cdr:x>
      <cdr:y>0.31071</cdr:y>
    </cdr:from>
    <cdr:to>
      <cdr:x>0.54002</cdr:x>
      <cdr:y>0.85421</cdr:y>
    </cdr:to>
    <cdr:sp macro="" textlink="">
      <cdr:nvSpPr>
        <cdr:cNvPr id="4" name="Правая фигурная скобка 3"/>
        <cdr:cNvSpPr/>
      </cdr:nvSpPr>
      <cdr:spPr>
        <a:xfrm xmlns:a="http://schemas.openxmlformats.org/drawingml/2006/main">
          <a:off x="7584175" y="1436248"/>
          <a:ext cx="330233" cy="2512298"/>
        </a:xfrm>
        <a:prstGeom xmlns:a="http://schemas.openxmlformats.org/drawingml/2006/main" prst="rightBrace">
          <a:avLst/>
        </a:prstGeom>
        <a:ln xmlns:a="http://schemas.openxmlformats.org/drawingml/2006/main">
          <a:solidFill>
            <a:schemeClr val="tx1">
              <a:lumMod val="65000"/>
              <a:lumOff val="35000"/>
            </a:schemeClr>
          </a:solidFill>
        </a:ln>
        <a:effectLst xmlns:a="http://schemas.openxmlformats.org/drawingml/2006/main">
          <a:outerShdw blurRad="50800" dist="50800" dir="5400000" algn="ctr" rotWithShape="0">
            <a:srgbClr val="000000">
              <a:alpha val="63000"/>
            </a:srgbClr>
          </a:outerShdw>
        </a:effectLst>
      </cdr:spPr>
      <cdr:style>
        <a:lnRef xmlns:a="http://schemas.openxmlformats.org/drawingml/2006/main" idx="3">
          <a:schemeClr val="accent2"/>
        </a:lnRef>
        <a:fillRef xmlns:a="http://schemas.openxmlformats.org/drawingml/2006/main" idx="0">
          <a:schemeClr val="accent2"/>
        </a:fillRef>
        <a:effectRef xmlns:a="http://schemas.openxmlformats.org/drawingml/2006/main" idx="2">
          <a:schemeClr val="accent2"/>
        </a:effectRef>
        <a:fontRef xmlns:a="http://schemas.openxmlformats.org/drawingml/2006/main" idx="minor">
          <a:schemeClr val="tx1"/>
        </a:fontRef>
      </cdr:style>
      <cdr:txBody>
        <a:bodyPr xmlns:a="http://schemas.openxmlformats.org/drawingml/2006/main" rot="0" spcFirstLastPara="0" vert="horz" wrap="square" lIns="91440" tIns="45720" rIns="91440" bIns="45720" numCol="1" spcCol="0" rtlCol="0" fromWordArt="0" anchor="t" anchorCtr="0" forceAA="0" compatLnSpc="1">
          <a:prstTxWarp prst="textNoShape">
            <a:avLst/>
          </a:prstTxWarp>
          <a:no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endParaRPr lang="ru-RU" sz="1100"/>
        </a:p>
      </cdr:txBody>
    </cdr:sp>
  </cdr:relSizeAnchor>
  <cdr:relSizeAnchor xmlns:cdr="http://schemas.openxmlformats.org/drawingml/2006/chartDrawing">
    <cdr:from>
      <cdr:x>0.53546</cdr:x>
      <cdr:y>0.45728</cdr:y>
    </cdr:from>
    <cdr:to>
      <cdr:x>0.63912</cdr:x>
      <cdr:y>0.51254</cdr:y>
    </cdr:to>
    <cdr:sp macro="" textlink="">
      <cdr:nvSpPr>
        <cdr:cNvPr id="5" name="Скругленный прямоугольник 4"/>
        <cdr:cNvSpPr/>
      </cdr:nvSpPr>
      <cdr:spPr>
        <a:xfrm xmlns:a="http://schemas.openxmlformats.org/drawingml/2006/main">
          <a:off x="6340500" y="1815780"/>
          <a:ext cx="1227545" cy="219404"/>
        </a:xfrm>
        <a:prstGeom xmlns:a="http://schemas.openxmlformats.org/drawingml/2006/main" prst="roundRect">
          <a:avLst/>
        </a:prstGeom>
        <a:ln xmlns:a="http://schemas.openxmlformats.org/drawingml/2006/main">
          <a:solidFill>
            <a:srgbClr val="C00000"/>
          </a:solidFill>
        </a:ln>
        <a:effectLst xmlns:a="http://schemas.openxmlformats.org/drawingml/2006/main">
          <a:outerShdw blurRad="50800" dist="50800" dir="5400000" algn="ctr" rotWithShape="0">
            <a:srgbClr val="000000">
              <a:alpha val="79000"/>
            </a:srgbClr>
          </a:outerShdw>
        </a:effectLst>
      </cdr:spPr>
      <cdr:style>
        <a:lnRef xmlns:a="http://schemas.openxmlformats.org/drawingml/2006/main" idx="2">
          <a:schemeClr val="accent2"/>
        </a:lnRef>
        <a:fillRef xmlns:a="http://schemas.openxmlformats.org/drawingml/2006/main" idx="1">
          <a:schemeClr val="lt1"/>
        </a:fillRef>
        <a:effectRef xmlns:a="http://schemas.openxmlformats.org/drawingml/2006/main" idx="0">
          <a:schemeClr val="accent2"/>
        </a:effectRef>
        <a:fontRef xmlns:a="http://schemas.openxmlformats.org/drawingml/2006/main" idx="minor">
          <a:schemeClr val="dk1"/>
        </a:fontRef>
      </cdr:style>
      <cdr:txBody>
        <a:bodyPr xmlns:a="http://schemas.openxmlformats.org/drawingml/2006/main"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ru-RU" sz="1100" b="1">
              <a:solidFill>
                <a:schemeClr val="dk1"/>
              </a:solidFill>
              <a:effectLst/>
              <a:latin typeface="+mn-lt"/>
              <a:ea typeface="+mn-ea"/>
              <a:cs typeface="+mn-cs"/>
            </a:rPr>
            <a:t>ВЕРОЯТНОСТЬ</a:t>
          </a:r>
          <a:r>
            <a:rPr lang="en-US" sz="1100" b="1">
              <a:solidFill>
                <a:schemeClr val="dk1"/>
              </a:solidFill>
              <a:effectLst/>
              <a:latin typeface="+mn-lt"/>
              <a:ea typeface="+mn-ea"/>
              <a:cs typeface="+mn-cs"/>
            </a:rPr>
            <a:t> %</a:t>
          </a:r>
          <a:endParaRPr lang="ru-RU" sz="1000">
            <a:effectLst/>
          </a:endParaRPr>
        </a:p>
      </cdr:txBody>
    </cdr:sp>
  </cdr:relSizeAnchor>
</c:userShapes>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33</xdr:col>
          <xdr:colOff>304800</xdr:colOff>
          <xdr:row>1</xdr:row>
          <xdr:rowOff>68580</xdr:rowOff>
        </xdr:from>
        <xdr:to>
          <xdr:col>34</xdr:col>
          <xdr:colOff>106680</xdr:colOff>
          <xdr:row>1</xdr:row>
          <xdr:rowOff>289560</xdr:rowOff>
        </xdr:to>
        <xdr:sp macro="" textlink="">
          <xdr:nvSpPr>
            <xdr:cNvPr id="59394" name="Check Box 2" hidden="1">
              <a:extLst>
                <a:ext uri="{63B3BB69-23CF-44E3-9099-C40C66FF867C}">
                  <a14:compatExt spid="_x0000_s59394"/>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and%20Settings/&#1072;&#1076;&#1084;&#1080;&#1085;/Local%20Settings/Temporary%20Internet%20Files/Content.Outlook/3U8ETNWR/&#1055;&#1083;&#1072;&#1085;&#1080;&#1088;&#1091;&#1077;&#1084;&#1099;&#1077;%20&#1076;&#1086;&#1093;&#1086;&#1076;&#1099;-&#1088;&#1072;&#1089;&#1093;&#1086;&#1076;&#1099;_21%2010%2010%20&#1076;&#1083;&#1103;%20&#1050;&#1058;&#1046;%20&#1087;&#1086;%20BV.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v00017\public\&#36039;&#28304;&#12539;&#12456;&#12493;&#12523;&#12462;&#12540;&#20107;&#26989;&#37096;&#38272;\&#36039;&#28304;&#12539;&#12456;&#12493;&#12523;&#12462;&#12540;&#32207;&#25324;&#37096;\50b%20&#12522;&#12473;&#12463;&#12510;&#12493;&#12472;&#12513;&#12531;&#12488;&#65288;&#25237;&#36039;&#65289;\02%20&#65396;&#65416;&#65433;&#65399;&#65438;&#65392;&#31532;&#19968;&#26412;&#37096;\10%20&#30707;&#27833;&#12539;&#12460;&#12473;&#38283;&#30330;&#37096;\10%20LNG%20JAPAN\&#36196;&#36947;&#65399;&#65438;&#65414;&#65393;&#65420;&#65439;&#65435;&#65404;&#65438;&#65386;&#65400;&#65412;\EGLNG%20SC%20Model%20asof0831.xls"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Worksheet%20in%206345%20Long-term%20debt%20testing%20Final"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Worksheet%20in%205611%20PP&amp;E%20by%20branches%20-%20%20Final%20" TargetMode="External"/></Relationships>
</file>

<file path=xl/externalLinks/_rels/externalLink5.xml.rels><?xml version="1.0" encoding="UTF-8" standalone="yes"?>
<Relationships xmlns="http://schemas.openxmlformats.org/package/2006/relationships"><Relationship Id="rId1" Type="http://schemas.microsoft.com/office/2006/relationships/xlExternalLinkPath/xlPathMissing" Target="Worksheet%20in%20(C)%208141%20Sales%20Analytical%20Testing" TargetMode="External"/></Relationships>
</file>

<file path=xl/externalLinks/_rels/externalLink6.xml.rels><?xml version="1.0" encoding="UTF-8" standalone="yes"?>
<Relationships xmlns="http://schemas.openxmlformats.org/package/2006/relationships"><Relationship Id="rId1" Type="http://schemas.microsoft.com/office/2006/relationships/xlExternalLinkPath/xlPathMissing" Target="Worksheet%20in%208341%20Salaries%20-%20CHUY"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J:\Audit\TSB015\AUDIT\Dec2001\Final\&#1041;&#1048;&#1056;&#1046;&#1040;\Gzb_1.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Documents%20and%20Settings/pto4/&#1056;&#1072;&#1073;&#1086;&#1095;&#1080;&#1081;%20&#1089;&#1090;&#1086;&#1083;/&#1056;&#1077;&#1084;&#1055;&#1042;-1.%20&#1050;-&#1054;&#1088;&#1076;&#1072;.%20&#1040;&#1073;&#1076;&#1088;&#1077;&#1077;&#1074;%20&#1040;&#1083;&#1090;&#1099;&#1085;&#1073;&#1077;&#1082;/&#1085;&#1072;%20&#1088;&#1072;&#1089;&#1087;&#1077;&#1095;&#1072;&#1090;&#1082;&#1091;/&#1088;&#1087;&#1074;-1.&#1080;&#1073;-2010-14,%20201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расшифровка (USD) (посл.)"/>
      <sheetName val="расшифровка (тыс.тг) (курс 150)"/>
      <sheetName val="Loans out"/>
      <sheetName val="ЦХЛ 2004"/>
    </sheetNames>
    <sheetDataSet>
      <sheetData sheetId="0" refreshError="1"/>
      <sheetData sheetId="1"/>
      <sheetData sheetId="2" refreshError="1"/>
      <sheetData sheetId="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価格ﾃﾞｰﾀ"/>
      <sheetName val="価格ﾃﾞｰﾀ (96～)"/>
      <sheetName val="Henry-Hub価格変動"/>
      <sheetName val="Gas価検証"/>
      <sheetName val="Debt Summary"/>
      <sheetName val="Depreciation"/>
      <sheetName val="Annual"/>
      <sheetName val="Input"/>
      <sheetName val="Tax"/>
      <sheetName val="GEPetrol Expenditure"/>
      <sheetName val="Construction Budget"/>
      <sheetName val="Chart"/>
      <sheetName val="Sensitivity"/>
      <sheetName val="Memo"/>
      <sheetName val="価格ﾃﾞｰﾀ (94～)"/>
      <sheetName val="価格ﾃﾞｰﾀ (97～)"/>
      <sheetName val="Sheet1"/>
      <sheetName val="#ССЫЛКА"/>
      <sheetName val="EGLNG SC Model asof0831"/>
      <sheetName val="ФОТ"/>
      <sheetName val="shedule of delivery"/>
      <sheetName val="11.1"/>
      <sheetName val="09"/>
      <sheetName val="10"/>
      <sheetName val="09.1"/>
      <sheetName val="бюджет Пр1"/>
      <sheetName val="Y-100 (IS)"/>
      <sheetName val="Y-300_12m"/>
      <sheetName val="Форма2"/>
      <sheetName val="I-Index"/>
      <sheetName val="6.2_ауп"/>
      <sheetName val="Реализ"/>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FRS 7"/>
      <sheetName val="Loans"/>
      <sheetName val="Fair value"/>
      <sheetName val="Movement"/>
      <sheetName val="CMA testing"/>
      <sheetName val="Principal repayment test"/>
      <sheetName val="Interest expense test"/>
      <sheetName val="Calculation of effective rate"/>
      <sheetName val="Calc amort discount expense"/>
      <sheetName val="Cur portion of L-t loans calc"/>
      <sheetName val="Cur portion of L-t loans c 07 "/>
      <sheetName val="Loan FX calc"/>
      <sheetName val="Interest accruals"/>
      <sheetName val="Expected vs Actual"/>
      <sheetName val="Expected vs Actual (3)"/>
      <sheetName val="Expected vs Actual (4)"/>
      <sheetName val="JBIC"/>
      <sheetName val="Spain"/>
      <sheetName val="ABN AMRO"/>
      <sheetName val="200 units"/>
      <sheetName val="Related parties"/>
      <sheetName val="Finance BV"/>
      <sheetName val="Loans description"/>
      <sheetName val="Collaterals on loans"/>
      <sheetName val="Transformation table"/>
      <sheetName val="XREF"/>
      <sheetName val="Tickmarks"/>
      <sheetName val="Threshold Calc"/>
      <sheetName val="ВОЛС"/>
      <sheetName val="summary"/>
      <sheetName val="8180 (8181,8182)"/>
      <sheetName val="8082"/>
      <sheetName val="8250"/>
      <sheetName val="8140"/>
      <sheetName val="8070"/>
      <sheetName val="8145"/>
      <sheetName val="8200"/>
      <sheetName val="8113"/>
      <sheetName val="8210"/>
      <sheetName val="ТМЗ-6"/>
      <sheetName val="Mvnt"/>
      <sheetName val="Disclosure"/>
      <sheetName val="Balance Sheet"/>
      <sheetName val="KEGOC - Global"/>
      <sheetName val="Sarbai MES"/>
      <sheetName val="Бонды стр.341"/>
      <sheetName val="1450"/>
      <sheetName val="Datasheet"/>
      <sheetName val="Hidden"/>
      <sheetName val="L-1"/>
      <sheetName val="4"/>
      <sheetName val="1-1"/>
      <sheetName val="1"/>
      <sheetName val="Курсы"/>
      <sheetName val="Data USA Cdn$"/>
      <sheetName val="Data USA U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EGOC - Global"/>
      <sheetName val="Ispol. Dir."/>
      <sheetName val="CDU"/>
      <sheetName val="Sever MES"/>
      <sheetName val="Akmola MES"/>
      <sheetName val="Center MES"/>
      <sheetName val="Sarbai MES"/>
      <sheetName val="Shymkent MES"/>
      <sheetName val="Zapad MES"/>
      <sheetName val="Astana"/>
      <sheetName val="Almaty MES"/>
      <sheetName val="Aktyube MES"/>
      <sheetName val="Vostok MES"/>
      <sheetName val="XREF"/>
      <sheetName val="Tickmarks"/>
      <sheetName val="summary"/>
      <sheetName val="8180 (8181,8182)"/>
      <sheetName val="8082"/>
      <sheetName val="8250"/>
      <sheetName val="8140"/>
      <sheetName val="8070"/>
      <sheetName val="8145"/>
      <sheetName val="8200"/>
      <sheetName val="8113"/>
      <sheetName val="8210"/>
      <sheetName val="trade receivables 1401"/>
      <sheetName val="1530"/>
      <sheetName val="1450"/>
      <sheetName val="1531"/>
      <sheetName val="Movements"/>
      <sheetName val="Balance Sheet"/>
      <sheetName val="Собственный капитал"/>
      <sheetName val="Mvnt"/>
      <sheetName val="Disclosure"/>
      <sheetName val="Datasheet"/>
      <sheetName val="Бонды стр.341"/>
      <sheetName val="ТМЗ-6"/>
      <sheetName val="Hidden"/>
      <sheetName val="Movement"/>
      <sheetName val="PP&amp;E mvt for 2003"/>
      <sheetName val="Форма2"/>
      <sheetName val="4"/>
      <sheetName val="1-1"/>
      <sheetName val="1"/>
      <sheetName val="Б.мчас (П)"/>
      <sheetName val="ВСДС_1 (MAIN)"/>
      <sheetName val="7"/>
      <sheetName val="10"/>
      <sheetName val="Список документов"/>
      <sheetName val="GAAP TB 30.09.01  detail p&amp;l"/>
      <sheetName val="rollforward"/>
      <sheetName val="GAAP TB 31.12.01  detail p&amp;l"/>
      <sheetName val="FA Movement "/>
      <sheetName val="depreciation testing"/>
      <sheetName val="breakdown"/>
      <sheetName val="FA depreciation"/>
      <sheetName val="9-1"/>
      <sheetName val="P&amp;L"/>
      <sheetName val="Provisions"/>
      <sheetName val="XLRpt_TempSheet"/>
    </sheetNames>
    <sheetDataSet>
      <sheetData sheetId="0" refreshError="1"/>
      <sheetData sheetId="1"/>
      <sheetData sheetId="2"/>
      <sheetData sheetId="3"/>
      <sheetData sheetId="4"/>
      <sheetData sheetId="5"/>
      <sheetData sheetId="6"/>
      <sheetData sheetId="7"/>
      <sheetData sheetId="8"/>
      <sheetData sheetId="9"/>
      <sheetData sheetId="10"/>
      <sheetData sheetId="11"/>
      <sheetData sheetId="12"/>
      <sheetData sheetId="13"/>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sclosure"/>
      <sheetName val="Summary 2006"/>
      <sheetName val="Sep1"/>
      <sheetName val="Aug1"/>
      <sheetName val="Jul1"/>
      <sheetName val="Jun1"/>
      <sheetName val="May1"/>
      <sheetName val="Apr1"/>
      <sheetName val="Mar1"/>
      <sheetName val="Gross Margin analysis"/>
      <sheetName val="Export"/>
      <sheetName val="Import"/>
      <sheetName val="Internal republican"/>
      <sheetName val="International"/>
      <sheetName val="Transit"/>
      <sheetName val="Feb"/>
      <sheetName val="Mar"/>
      <sheetName val="Apr"/>
      <sheetName val="May"/>
      <sheetName val="Chart1"/>
      <sheetName val="Chart2"/>
      <sheetName val="Sheet1"/>
      <sheetName val="Jun"/>
      <sheetName val="Jul"/>
      <sheetName val="Aug"/>
      <sheetName val="Sep"/>
      <sheetName val="Quantitative analysis"/>
      <sheetName val="Summary 2005"/>
      <sheetName val="Jan"/>
      <sheetName val="Jan1"/>
      <sheetName val="Feb1"/>
      <sheetName val="Comparative analysis"/>
      <sheetName val="Summary STAR"/>
      <sheetName val="STAR 1"/>
      <sheetName val="STAR 2"/>
      <sheetName val="STAR 3"/>
      <sheetName val="STAR 4"/>
      <sheetName val="KTZh 2005 transformation table"/>
      <sheetName val="Tickmarks"/>
      <sheetName val="Movement"/>
      <sheetName val="9-1"/>
      <sheetName val="4"/>
      <sheetName val="1-1"/>
      <sheetName val="1"/>
      <sheetName val="Собственный капитал"/>
      <sheetName val="PP&amp;E mvt for 2003"/>
      <sheetName val="Movements"/>
      <sheetName val="P&amp;L"/>
      <sheetName val="Provisions"/>
      <sheetName val="Cur portion of L-t loans 2006"/>
      <sheetName val="PL"/>
      <sheetName val="24"/>
      <sheetName val="8"/>
      <sheetName val="SE"/>
      <sheetName val="10"/>
      <sheetName val="9"/>
      <sheetName val="7"/>
      <sheetName val="11"/>
      <sheetName val="12"/>
      <sheetName val="14"/>
      <sheetName val="16"/>
      <sheetName val="17"/>
      <sheetName val="23"/>
      <sheetName val="18"/>
      <sheetName val="6"/>
      <sheetName val="CFS"/>
      <sheetName val="21"/>
      <sheetName val="19"/>
      <sheetName val="breakdown"/>
      <sheetName val="FA depreciatio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reakdown"/>
      <sheetName val="Salary test"/>
      <sheetName val="XREF"/>
      <sheetName val="Tickmarks"/>
      <sheetName val="Threshold Table"/>
      <sheetName val="д.7.001"/>
      <sheetName val="summary"/>
      <sheetName val="Cust acc 2003"/>
      <sheetName val="8180 (8181,8182)"/>
      <sheetName val="8082"/>
      <sheetName val="8250"/>
      <sheetName val="8140"/>
      <sheetName val="8070"/>
      <sheetName val="8145"/>
      <sheetName val="8200"/>
      <sheetName val="8113"/>
      <sheetName val="8210"/>
      <sheetName val="Anlagevermögen"/>
      <sheetName val="ТМЗ-6"/>
      <sheetName val="Март"/>
      <sheetName val="Сентябрь"/>
      <sheetName val="Квартал"/>
      <sheetName val="Январь"/>
      <sheetName val="Декабрь"/>
      <sheetName val="Ноябрь"/>
      <sheetName val="Datasheet"/>
      <sheetName val="4"/>
      <sheetName val="Mvnt"/>
      <sheetName val="Disclosure"/>
      <sheetName val="KEGOC - Global"/>
      <sheetName val="Sarbai MES"/>
      <sheetName val="Содержание"/>
      <sheetName val="CMA Calculations- R Factor"/>
      <sheetName val="CMA Calculations- Figure 5440.1"/>
      <sheetName val="九九年各月"/>
      <sheetName val="Бонды стр.341"/>
      <sheetName val="Target"/>
      <sheetName val="Links"/>
      <sheetName val="Lead"/>
      <sheetName val="Depreciation"/>
      <sheetName val="Additions testing"/>
      <sheetName val="Movement schedule"/>
      <sheetName val="depreciation testing"/>
      <sheetName val="Worksheet in 8341 Salaries - CH"/>
      <sheetName val="Inputs"/>
      <sheetName val="Saisie obligatoire"/>
      <sheetName val="Work_Packages_data"/>
      <sheetName val="Threshold_Table"/>
      <sheetName val="1-1"/>
      <sheetName val="1"/>
      <sheetName val="XLR_NoRangeSheet"/>
      <sheetName val="Salary_test"/>
      <sheetName val="Cust_acc_2003"/>
      <sheetName val="8180_(8181,8182)"/>
      <sheetName val="д_7_001"/>
      <sheetName val="KEGOC_-_Global"/>
      <sheetName val="Sarbai_MES"/>
      <sheetName val="CMA_Calculations-_R_Factor"/>
      <sheetName val="CMA_Calculations-_Figure_5440_1"/>
      <sheetName val="Бонды_стр_341"/>
      <sheetName val="Additions_testing"/>
      <sheetName val="Movement_schedule"/>
      <sheetName val="depreciation_testing"/>
      <sheetName val="Worksheet_in_8341_Salaries_-_CH"/>
      <sheetName val="Saisie_obligatoire"/>
    </sheetNames>
    <sheetDataSet>
      <sheetData sheetId="0"/>
      <sheetData sheetId="1"/>
      <sheetData sheetId="2"/>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База"/>
      <sheetName val="Аукцион - форма"/>
      <sheetName val="П_макросы"/>
      <sheetName val="П_приформирование"/>
      <sheetName val="Dialog_vvod"/>
      <sheetName val="Ждать"/>
      <sheetName val="Имена_файлов"/>
      <sheetName val="Config"/>
      <sheetName val="Д_архивация"/>
      <sheetName val="Д_даты_архивации"/>
      <sheetName val="Д_настройка"/>
      <sheetName val="Форма2"/>
      <sheetName val="XREF"/>
      <sheetName val="KEGOC - Global"/>
      <sheetName val="Sarbai MES"/>
      <sheetName val="Б.мчас (П)"/>
      <sheetName val="д.7.001"/>
      <sheetName val="Сводная"/>
      <sheetName val="IS"/>
      <sheetName val="Актив(1)"/>
      <sheetName val="Лист2"/>
      <sheetName val="Cash CCI Detail"/>
      <sheetName val="XLR_NoRangeSheet"/>
      <sheetName val="валюта"/>
      <sheetName val="1 вариант  2009 "/>
      <sheetName val="поставка сравн13"/>
      <sheetName val="#ССЫЛКА"/>
      <sheetName val="Gzb_1"/>
      <sheetName val="Форма1"/>
      <sheetName val="ЯНВАРЬ"/>
      <sheetName val="Статьи"/>
      <sheetName val="ТД РАП"/>
      <sheetName val="Авансы_уплач,деньги в регионах"/>
      <sheetName val="Авансы_уплач,деньги в регионах,"/>
      <sheetName val="d_pok"/>
      <sheetName val="б"/>
      <sheetName val="PLтв - Б"/>
      <sheetName val="FES"/>
      <sheetName val="summary"/>
      <sheetName val="1450"/>
      <sheetName val="Tickmarks"/>
      <sheetName val="Бонды стр.341"/>
      <sheetName val="Prelim Cost"/>
      <sheetName val="ДДСАБ"/>
      <sheetName val="ДДСККБ"/>
      <sheetName val="АФ"/>
      <sheetName val="Унифицированная"/>
      <sheetName val="Конс "/>
      <sheetName val="Sheet1"/>
      <sheetName val="PP&amp;E mvt for 2003"/>
      <sheetName val="TB"/>
      <sheetName val="PR CN"/>
      <sheetName val="Общая информация"/>
      <sheetName val="References"/>
      <sheetName val="8180 (8181,8182)"/>
      <sheetName val="8082"/>
      <sheetName val="8250"/>
      <sheetName val="8140"/>
      <sheetName val="8070"/>
      <sheetName val="8145"/>
      <sheetName val="8200"/>
      <sheetName val="8113"/>
      <sheetName val="8210"/>
      <sheetName val="Products"/>
      <sheetName val="Criterion Range"/>
      <sheetName val="Report1"/>
      <sheetName val="Final"/>
      <sheetName val="Лист5"/>
      <sheetName val="Лист1"/>
      <sheetName val="Final (2)"/>
      <sheetName val="CSFP"/>
      <sheetName val="CSCE"/>
      <sheetName val="100"/>
      <sheetName val="105"/>
      <sheetName val="130.1"/>
      <sheetName val="130.2"/>
      <sheetName val="120"/>
      <sheetName val="150"/>
      <sheetName val="160"/>
      <sheetName val="190"/>
      <sheetName val="215"/>
      <sheetName val="200"/>
      <sheetName val="213"/>
      <sheetName val="210"/>
      <sheetName val="250"/>
      <sheetName val="260"/>
      <sheetName val="CSP&amp;L"/>
      <sheetName val="540 700"/>
      <sheetName val="660"/>
      <sheetName val="640 830"/>
      <sheetName val="800"/>
      <sheetName val="900"/>
      <sheetName val="IFRS 7-CCY"/>
      <sheetName val="IFRS 7-Liquidity"/>
      <sheetName val="IFRS 7-Geo"/>
      <sheetName val="IFRS 7-Credit risk"/>
      <sheetName val="Regulatory"/>
      <sheetName val="ввод-вывод ОС авг2004- 2005"/>
      <sheetName val="Технический"/>
      <sheetName val="Откл. по фин. рез"/>
      <sheetName val="Добыча нефти4"/>
      <sheetName val="факс(2005-20гг.)"/>
      <sheetName val="Налоги"/>
      <sheetName val="12НК"/>
      <sheetName val="Cash flows - PBC"/>
      <sheetName val="FA register"/>
      <sheetName val="Kas FA Movement"/>
      <sheetName val="Аукцион_-_форма"/>
      <sheetName val="курсы"/>
      <sheetName val="OS"/>
      <sheetName val="Добычанефти4"/>
      <sheetName val="поставкасравн13"/>
      <sheetName val="Предпр"/>
      <sheetName val="ЦентрЗатр"/>
      <sheetName val="ЕдИзм"/>
      <sheetName val="из сем"/>
      <sheetName val="definitions"/>
      <sheetName val="33. Tran. and selling expenses"/>
      <sheetName val="Счет-ф"/>
      <sheetName val="аккредитивы"/>
      <sheetName val="D2 DCF"/>
      <sheetName val="бартер"/>
      <sheetName val="C-Total Market"/>
      <sheetName val="I-Demand Drivers"/>
      <sheetName val="2008 ГСМ"/>
      <sheetName val="канц"/>
      <sheetName val="Плата за загрязнение "/>
      <sheetName val="Типограф"/>
      <sheetName val="GAAP TB 31.12.01  detail p&amp;l"/>
      <sheetName val="Intercompany transactions"/>
      <sheetName val="Storage"/>
      <sheetName val="NTA adjustment calc"/>
      <sheetName val="ао"/>
      <sheetName val="ТД_РАП"/>
      <sheetName val="3.3. Inventories"/>
      <sheetName val="Debt"/>
      <sheetName val="Const"/>
      <sheetName val="KAR10"/>
      <sheetName val="Контакты"/>
      <sheetName val="curve"/>
      <sheetName val="Анализ закл. работ"/>
      <sheetName val="Parameters"/>
      <sheetName val="Исх"/>
      <sheetName val="13А ГЭП-анализ"/>
      <sheetName val="Нормативы"/>
      <sheetName val="8180_(8181,8182)"/>
      <sheetName val="Аукцион_-_форма1"/>
      <sheetName val="8180_(8181,8182)1"/>
      <sheetName val="Links"/>
      <sheetName val="Lead"/>
      <sheetName val="Переоценка сроч"/>
      <sheetName val="breakdown"/>
      <sheetName val="FA depreciation"/>
      <sheetName val="Бюдж-тенге"/>
      <sheetName val="июль ппд(факт)"/>
      <sheetName val="25.07.08г (2)"/>
      <sheetName val="п 15"/>
      <sheetName val="ОборБалФормОтч"/>
      <sheetName val="Hidden"/>
      <sheetName val="Перечень связанных сторон"/>
      <sheetName val="Движение финансов"/>
      <sheetName val="Прил 6.1."/>
      <sheetName val="REPO Deals"/>
      <sheetName val="34-38.2"/>
      <sheetName val="Training Plan Template"/>
      <sheetName val="Note 13"/>
      <sheetName val="Аукцион_-_форма2"/>
      <sheetName val="Cash_CCI_Detail"/>
      <sheetName val="ТД_РАП1"/>
      <sheetName val="8180_(8181,8182)2"/>
      <sheetName val="KEGOC_-_Global"/>
      <sheetName val="Sarbai_MES"/>
      <sheetName val="Б_мчас_(П)"/>
      <sheetName val="д_7_001"/>
      <sheetName val="1_вариант__2009_"/>
      <sheetName val="поставка_сравн13"/>
      <sheetName val="Prelim_Cost"/>
      <sheetName val="Конс_"/>
      <sheetName val="PP&amp;E_mvt_for_2003"/>
      <sheetName val="PR_CN"/>
      <sheetName val="Общая_информация"/>
      <sheetName val="Авансы_уплач,деньги_в_регионах"/>
      <sheetName val="Авансы_уплач,деньги_в_регионах,"/>
      <sheetName val="PLтв_-_Б"/>
      <sheetName val="Final_(2)"/>
      <sheetName val="130_1"/>
      <sheetName val="130_2"/>
      <sheetName val="540_700"/>
      <sheetName val="640_830"/>
      <sheetName val="IFRS_7-CCY"/>
      <sheetName val="IFRS_7-Liquidity"/>
      <sheetName val="IFRS_7-Geo"/>
      <sheetName val="IFRS_7-Credit_risk"/>
      <sheetName val="Intercompany_transactions"/>
      <sheetName val="Бонды_стр_341"/>
      <sheetName val="Criterion_Range"/>
      <sheetName val="13А_ГЭП-анализ"/>
      <sheetName val="Добыча_нефти4"/>
      <sheetName val="из_сем"/>
      <sheetName val="33__Tran__and_selling_expenses"/>
      <sheetName val="D2_DCF"/>
      <sheetName val="Переоценка_сроч"/>
      <sheetName val="FA_depreciation"/>
      <sheetName val="п_15"/>
      <sheetName val="факс(2005-20гг_)"/>
      <sheetName val="Cash_flows_-_PBC"/>
      <sheetName val="FA_register"/>
      <sheetName val="Kas_FA_Movement"/>
      <sheetName val="NTA_adjustment_calc"/>
      <sheetName val="ввод-вывод_ОС_авг2004-_2005"/>
      <sheetName val="Откл__по_фин__рез"/>
      <sheetName val="C-Total_Market"/>
      <sheetName val="I-Demand_Drivers"/>
      <sheetName val="июль_ппд(факт)"/>
      <sheetName val="25_07_08г_(2)"/>
      <sheetName val="GAAP_TB_31_12_01__detail_p&amp;l"/>
      <sheetName val="2008_ГСМ"/>
      <sheetName val="Плата_за_загрязнение_"/>
      <sheetName val="3_3__Inventories"/>
      <sheetName val="Анализ_закл__работ"/>
    </sheetNames>
    <sheetDataSet>
      <sheetData sheetId="0" refreshError="1"/>
      <sheetData sheetId="1"/>
      <sheetData sheetId="2" refreshError="1"/>
      <sheetData sheetId="3" refreshError="1"/>
      <sheetData sheetId="4"/>
      <sheetData sheetId="5"/>
      <sheetData sheetId="6"/>
      <sheetData sheetId="7"/>
      <sheetData sheetId="8"/>
      <sheetData sheetId="9"/>
      <sheetData sheetId="10"/>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ow r="1">
          <cell r="A1">
            <v>0</v>
          </cell>
        </row>
      </sheetData>
      <sheetData sheetId="66">
        <row r="1">
          <cell r="A1">
            <v>0</v>
          </cell>
        </row>
      </sheetData>
      <sheetData sheetId="67">
        <row r="1">
          <cell r="A1">
            <v>0</v>
          </cell>
        </row>
      </sheetData>
      <sheetData sheetId="68">
        <row r="1">
          <cell r="A1">
            <v>0</v>
          </cell>
        </row>
      </sheetData>
      <sheetData sheetId="69">
        <row r="1">
          <cell r="A1">
            <v>0</v>
          </cell>
        </row>
      </sheetData>
      <sheetData sheetId="70">
        <row r="1">
          <cell r="A1">
            <v>0</v>
          </cell>
        </row>
      </sheetData>
      <sheetData sheetId="71">
        <row r="1">
          <cell r="A1">
            <v>0</v>
          </cell>
        </row>
      </sheetData>
      <sheetData sheetId="72">
        <row r="1">
          <cell r="A1">
            <v>0</v>
          </cell>
        </row>
      </sheetData>
      <sheetData sheetId="73">
        <row r="1">
          <cell r="A1">
            <v>0</v>
          </cell>
        </row>
      </sheetData>
      <sheetData sheetId="74">
        <row r="1">
          <cell r="A1">
            <v>0</v>
          </cell>
        </row>
      </sheetData>
      <sheetData sheetId="75">
        <row r="1">
          <cell r="A1">
            <v>0</v>
          </cell>
        </row>
      </sheetData>
      <sheetData sheetId="76">
        <row r="1">
          <cell r="A1">
            <v>0</v>
          </cell>
        </row>
      </sheetData>
      <sheetData sheetId="77">
        <row r="1">
          <cell r="A1">
            <v>0</v>
          </cell>
        </row>
      </sheetData>
      <sheetData sheetId="78">
        <row r="1">
          <cell r="A1">
            <v>0</v>
          </cell>
        </row>
      </sheetData>
      <sheetData sheetId="79">
        <row r="1">
          <cell r="A1">
            <v>0</v>
          </cell>
        </row>
      </sheetData>
      <sheetData sheetId="80">
        <row r="1">
          <cell r="A1">
            <v>0</v>
          </cell>
        </row>
      </sheetData>
      <sheetData sheetId="81">
        <row r="1">
          <cell r="A1">
            <v>0</v>
          </cell>
        </row>
      </sheetData>
      <sheetData sheetId="82">
        <row r="1">
          <cell r="A1">
            <v>0</v>
          </cell>
        </row>
      </sheetData>
      <sheetData sheetId="83">
        <row r="1">
          <cell r="A1">
            <v>0</v>
          </cell>
        </row>
      </sheetData>
      <sheetData sheetId="84">
        <row r="1">
          <cell r="A1">
            <v>0</v>
          </cell>
        </row>
      </sheetData>
      <sheetData sheetId="85">
        <row r="1">
          <cell r="A1">
            <v>0</v>
          </cell>
        </row>
      </sheetData>
      <sheetData sheetId="86">
        <row r="1">
          <cell r="A1">
            <v>0</v>
          </cell>
        </row>
      </sheetData>
      <sheetData sheetId="87">
        <row r="1">
          <cell r="A1">
            <v>0</v>
          </cell>
        </row>
      </sheetData>
      <sheetData sheetId="88">
        <row r="1">
          <cell r="A1">
            <v>0</v>
          </cell>
        </row>
      </sheetData>
      <sheetData sheetId="89">
        <row r="1">
          <cell r="A1">
            <v>0</v>
          </cell>
        </row>
      </sheetData>
      <sheetData sheetId="90">
        <row r="1">
          <cell r="A1">
            <v>0</v>
          </cell>
        </row>
      </sheetData>
      <sheetData sheetId="91">
        <row r="1">
          <cell r="A1">
            <v>0</v>
          </cell>
        </row>
      </sheetData>
      <sheetData sheetId="92">
        <row r="1">
          <cell r="A1">
            <v>0</v>
          </cell>
        </row>
      </sheetData>
      <sheetData sheetId="93">
        <row r="1">
          <cell r="A1">
            <v>0</v>
          </cell>
        </row>
      </sheetData>
      <sheetData sheetId="94">
        <row r="1">
          <cell r="A1">
            <v>0</v>
          </cell>
        </row>
      </sheetData>
      <sheetData sheetId="95">
        <row r="1">
          <cell r="A1">
            <v>0</v>
          </cell>
        </row>
      </sheetData>
      <sheetData sheetId="96">
        <row r="1">
          <cell r="A1">
            <v>0</v>
          </cell>
        </row>
      </sheetData>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sheetData sheetId="108"/>
      <sheetData sheetId="109" refreshError="1"/>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sheetData sheetId="167"/>
      <sheetData sheetId="168"/>
      <sheetData sheetId="169"/>
      <sheetData sheetId="170"/>
      <sheetData sheetId="171"/>
      <sheetData sheetId="172"/>
      <sheetData sheetId="173"/>
      <sheetData sheetId="174"/>
      <sheetData sheetId="175"/>
      <sheetData sheetId="176">
        <row r="1">
          <cell r="A1">
            <v>0</v>
          </cell>
        </row>
      </sheetData>
      <sheetData sheetId="177">
        <row r="1">
          <cell r="A1">
            <v>0</v>
          </cell>
        </row>
      </sheetData>
      <sheetData sheetId="178">
        <row r="1">
          <cell r="A1">
            <v>0</v>
          </cell>
        </row>
      </sheetData>
      <sheetData sheetId="179">
        <row r="1">
          <cell r="A1">
            <v>0</v>
          </cell>
        </row>
      </sheetData>
      <sheetData sheetId="180">
        <row r="1">
          <cell r="A1">
            <v>0</v>
          </cell>
        </row>
      </sheetData>
      <sheetData sheetId="181">
        <row r="1">
          <cell r="A1">
            <v>0</v>
          </cell>
        </row>
      </sheetData>
      <sheetData sheetId="182">
        <row r="1">
          <cell r="A1">
            <v>0</v>
          </cell>
        </row>
      </sheetData>
      <sheetData sheetId="183">
        <row r="1">
          <cell r="A1">
            <v>0</v>
          </cell>
        </row>
      </sheetData>
      <sheetData sheetId="184">
        <row r="1">
          <cell r="A1">
            <v>0</v>
          </cell>
        </row>
      </sheetData>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брос"/>
      <sheetName val="р-1.2010-14"/>
      <sheetName val="р-1.2010"/>
      <sheetName val="LME_prices"/>
      <sheetName val="поставка сравн13"/>
      <sheetName val="Б.мчас (П)"/>
      <sheetName val="L-1"/>
      <sheetName val="XREF"/>
      <sheetName val="I. Прогноз доходов"/>
      <sheetName val="СписокТЭП"/>
      <sheetName val="ввод-вывод ОС авг2004- 2005"/>
      <sheetName val="Форма2"/>
      <sheetName val="ВСДС_1 (MAIN)"/>
      <sheetName val="База"/>
      <sheetName val="элементы"/>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Тимур Касымбеков" refreshedDate="44951.653106712962" createdVersion="8" refreshedVersion="8" minRefreshableVersion="3" recordCount="117">
  <cacheSource type="worksheet">
    <worksheetSource name="Таблица2"/>
  </cacheSource>
  <cacheFields count="6">
    <cacheField name="Категория риска" numFmtId="0">
      <sharedItems count="28">
        <s v="РИСК ГРУЗООБОРОТА"/>
        <s v="РИСК ПАССАЖИРООБОРОТА"/>
        <s v="РИСК НЕВЫДЕЛЕНИЯ СУБСИДИЙ"/>
        <s v="ЭПИДЕМИОЛОГИЧЕСКИЙ РИСК _x000a_(Super Risk)"/>
        <s v="СТРАНОВОЙ РИСК_x000a_ (Super Risk)"/>
        <s v="ТАРИФНЫЙ РИСК/ _x000a_ЦЕНОВОЙ РИСК"/>
        <s v="ВАЛЮТНЫЙ РИСК"/>
        <s v="ОПЕРАЦИОННЫЙ РИСК"/>
        <s v="ИНФРАСТРУКТУРНЫЙ РИСК"/>
        <s v="ПРОЕКТНЫЕ И ИНВЕСТИЦИОННЫЕ РИСКИ"/>
        <s v="НАЛОГОВЫЙ РИСК"/>
        <s v="КОНТРАКТНЫЙ РИСК"/>
        <s v="ИТ и КИБЕР РИСК"/>
        <s v="РИСК ЛИКВИДНОСТИ"/>
        <s v="КРЕДИТНЫЙ РИСК"/>
        <s v="РИСК БЕЗОПАСНОСТИ ДВИЖЕНИЯ И ОХРАНЫ ТРУДА"/>
        <s v="HR РИСКИ (ESG)"/>
        <s v="КОМПЛАЕНС РИСК"/>
        <s v="РЕПУТАЦИОННЫЙ РИСК"/>
        <s v="ПРАВОВОЙ РИСК"/>
        <s v="СТРАТЕГИЧЕСКИЙ РИСК"/>
        <s v="ТЕХНОЛОГИЧЕСКИЕ РИСКИ"/>
        <s v="РИСКИ НИОКР"/>
        <s v="ЭКОЛОГИЧЕСКИЕ И КЛИМАТИЧЕСКИЕ РИСКИ (ESG)"/>
        <s v="РИСКИ КОРПОРАТИВНОГО УПРАВЛЕНИЯ (ESG)"/>
        <s v="МАКРО РИСК_x000a_(Super Risk)"/>
        <s v="РИСКИ САНКЦИЙ И ОГРАНИЧЕНИЙ_x000a_(Super Risk)"/>
        <s v="ПРОЦЕНТНЫЙ РИСК"/>
      </sharedItems>
    </cacheField>
    <cacheField name="Фактор риска" numFmtId="0">
      <sharedItems/>
    </cacheField>
    <cacheField name="Вероятность" numFmtId="0">
      <sharedItems containsBlank="1" containsMixedTypes="1" containsNumber="1" minValue="-0.4" maxValue="1"/>
    </cacheField>
    <cacheField name="Влияние, млн. тнг" numFmtId="0">
      <sharedItems containsBlank="1" containsMixedTypes="1" containsNumber="1" minValue="-231750" maxValue="39462"/>
    </cacheField>
    <cacheField name="Ожидаемые потери, млн. тнг" numFmtId="0">
      <sharedItems containsBlank="1" containsMixedTypes="1" containsNumber="1" minValue="-61599.999999999993" maxValue="19731"/>
    </cacheField>
    <cacheField name="Остаточный риск, млн. тнг" numFmtId="0">
      <sharedItems containsMixedTypes="1" containsNumber="1" minValue="-46350" maxValue="6125.6071022800079"/>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Тимур" refreshedDate="44158.750578587962" createdVersion="6" refreshedVersion="6" minRefreshableVersion="3" recordCount="20">
  <cacheSource type="worksheet">
    <worksheetSource ref="B2:E22" sheet="Check"/>
  </cacheSource>
  <cacheFields count="4">
    <cacheField name="КАТЕГОРИЯ РИСКА" numFmtId="0">
      <sharedItems containsBlank="1" count="22">
        <m/>
        <s v="РИСК ГРУЗООБОРОТА"/>
        <s v="РИСК ПАССАЖИРСКОГО ОБОРОТА"/>
        <s v="ЭПИДЕМИОЛОГИЧЕСКИЙ РИСК _x000a_(Super Risk)"/>
        <s v="МАКРО РИСК_x000a_(Super Risk)"/>
        <s v="СТРАНОВОЙ РИСК_x000a_ (Super Risk)"/>
        <s v="ТАРИФНЫЙ РИСК/ _x000a_ЦЕНОВОЙ РИСК"/>
        <s v="ВАЛЮТНЫЙ РИСК"/>
        <s v="ОПЕРАЦИОННЫЙ РИСК"/>
        <s v="ИНФРАСТРУКТУРНЫЙ РИСК"/>
        <s v="ПРОЕКТНЫЕ И ИНВЕСТИЦИОННЫЕ РИСКИ"/>
        <s v="НАЛОГОВЫЙ РИСК"/>
        <s v="КОНТРАКТНЫЙ РИСК"/>
        <s v="РИСК СЛИЯНИЯ, ПОГЛОЩЕНИЯ, ДЕВИСТИЦИЙ"/>
        <s v="ИТ и КИБЕР РИСК"/>
        <s v="РИСК ЛИКВИДНОСТИ"/>
        <s v="КРЕДИТНЫЙ РИСК"/>
        <s v="РИСК БЕЗОПАСНОСТИ ДВИЖЕНИЯ И ОХРАНЫ ТРУДА"/>
        <s v="HR РИСКИ"/>
        <s v="КОМПЛАЕНС РИСК"/>
        <s v="ТАРИФНЫЙ РИСК" u="1"/>
        <s v="РЕПУТАЦИОННЫЙ РИСК" u="1"/>
      </sharedItems>
    </cacheField>
    <cacheField name="ВЕРОЯТНОСТЬ" numFmtId="0">
      <sharedItems containsString="0" containsBlank="1" containsNumber="1" minValue="0.05" maxValue="1"/>
    </cacheField>
    <cacheField name="ВЛИЯНИЕ" numFmtId="0">
      <sharedItems containsString="0" containsBlank="1" containsNumber="1" minValue="-137783.15789473685" maxValue="11849.948881999995"/>
    </cacheField>
    <cacheField name="Ожидаемые потери" numFmtId="0">
      <sharedItems containsString="0" containsBlank="1" containsNumber="1" minValue="-130894" maxValue="8937.6819522510596"/>
    </cacheField>
  </cacheFields>
  <extLst>
    <ext xmlns:x14="http://schemas.microsoft.com/office/spreadsheetml/2009/9/main" uri="{725AE2AE-9491-48be-B2B4-4EB974FC3084}">
      <x14:pivotCacheDefinition pivotCacheId="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7">
  <r>
    <x v="0"/>
    <s v="Объем внутриреспубликанского грузооборота"/>
    <n v="0.99084175724693513"/>
    <n v="-14586.878000000001"/>
    <n v="-14453.28783026666"/>
    <n v="-3845.0939000000003"/>
  </r>
  <r>
    <x v="0"/>
    <s v="Объем грузооборота от импорта"/>
    <n v="0.05"/>
    <n v="1715.1306880989828"/>
    <n v="85.75653440494915"/>
    <n v="85.75653440494915"/>
  </r>
  <r>
    <x v="0"/>
    <s v="Объем грузооборота от экспорта"/>
    <n v="0.2"/>
    <n v="-7962.3487495075733"/>
    <n v="-1592.4697499015147"/>
    <n v="1533.5547687573865"/>
  </r>
  <r>
    <x v="0"/>
    <s v="Объем транзитного грузооборота"/>
    <n v="9.6875000000000003E-2"/>
    <n v="-11278.400747719992"/>
    <n v="-1092.5950724353743"/>
    <n v="6125.6071022800079"/>
  </r>
  <r>
    <x v="0"/>
    <s v="Риски, связанные с  перегрузочной деятельностью на МГСП"/>
    <n v="0.76364643470029581"/>
    <n v="-3613.0450100000003"/>
    <n v="-2759.0889402981948"/>
    <n v="-1373.8680037500001"/>
  </r>
  <r>
    <x v="0"/>
    <s v="Риски, связанные с обработкой грузов на региональных терминалах"/>
    <n v="0.72499999999999998"/>
    <n v="-502"/>
    <n v="-363.95"/>
    <n v="-188.25"/>
  </r>
  <r>
    <x v="0"/>
    <s v="Риски, связанные с оперированием грузовыми вагонами"/>
    <n v="0.95"/>
    <n v="-26809"/>
    <n v="-25468.55"/>
    <n v="-12754"/>
  </r>
  <r>
    <x v="0"/>
    <s v="Риски экспедирования грузов"/>
    <n v="0.4"/>
    <n v="-103"/>
    <n v="-41.2"/>
    <n v="-20.6"/>
  </r>
  <r>
    <x v="0"/>
    <s v="Риски перевалки грузов на морских портах"/>
    <n v="0.6"/>
    <n v="-1757.53"/>
    <n v="-1054.518"/>
    <n v="-527.25900000000001"/>
  </r>
  <r>
    <x v="1"/>
    <s v="Риск неполучения/ неполного получения государственных субсидий"/>
    <n v="0.67719394122134746"/>
    <n v="-14233.101850229999"/>
    <n v="-9638.5703377621066"/>
    <n v="-2374.4891951609998"/>
  </r>
  <r>
    <x v="1"/>
    <s v="Снижение пассажиропотока"/>
    <n v="0.6"/>
    <n v="-7659"/>
    <n v="-4595.3999999999996"/>
    <n v="0"/>
  </r>
  <r>
    <x v="2"/>
    <s v="Субсидии по % ставке КТЖ"/>
    <n v="0.5"/>
    <n v="29183"/>
    <n v="14591.5"/>
    <n v="0"/>
  </r>
  <r>
    <x v="2"/>
    <s v="Субсидии по % ставке ПЛ"/>
    <n v="0.5"/>
    <n v="6945"/>
    <n v="3472.5"/>
    <n v="0"/>
  </r>
  <r>
    <x v="2"/>
    <s v="Субсидии РБ и МИО на пассажирские перевозки"/>
    <n v="0.5"/>
    <n v="39462"/>
    <n v="19731"/>
    <n v="0"/>
  </r>
  <r>
    <x v="2"/>
    <s v="Субсидии на реализацию Национального Проекта &quot;Сильные регионы - драйвер развития страны&quot;"/>
    <n v="0"/>
    <n v="0"/>
    <n v="0"/>
    <n v="0"/>
  </r>
  <r>
    <x v="3"/>
    <s v="Оперирование вагонами, фитинговых платформ"/>
    <n v="0.22545055529693422"/>
    <n v="-37457"/>
    <n v="-8444.7014497572654"/>
    <n v="-4511.0999999999995"/>
  </r>
  <r>
    <x v="3"/>
    <s v="Снижение доходов в связи со снижением пассажирооборота из-за введения карантинных мер"/>
    <n v="0"/>
    <n v="0"/>
    <n v="0"/>
    <n v="0"/>
  </r>
  <r>
    <x v="3"/>
    <s v="Введение временного запрета на прием груза в КНР"/>
    <n v="0"/>
    <n v="0"/>
    <n v="0"/>
    <n v="0"/>
  </r>
  <r>
    <x v="4"/>
    <s v="Риски негативного влияния на грузооборот и пассажирооборот"/>
    <n v="0.2"/>
    <n v="-7200"/>
    <n v="-1440"/>
    <n v="-1440"/>
  </r>
  <r>
    <x v="4"/>
    <s v="Применение навигационных пломб"/>
    <n v="0"/>
    <n v="0"/>
    <n v="0"/>
    <n v="0"/>
  </r>
  <r>
    <x v="5"/>
    <s v="Регулируемый тариф магистральной железнодорожной сети"/>
    <n v="0.79098794711789855"/>
    <n v="-58443.916999999994"/>
    <n v="-46228.433929358849"/>
    <n v="-40922.550965373004"/>
  </r>
  <r>
    <x v="5"/>
    <s v="Регулируемый тариф на услуги локомотивной тяги"/>
    <n v="0.8"/>
    <n v="-50644.1"/>
    <n v="-40515.279999999999"/>
    <n v="-40515.279999999999"/>
  </r>
  <r>
    <x v="5"/>
    <s v="Ценовой тарифный риск по вагонной составляющей (оперирование вагонами)"/>
    <n v="0.8"/>
    <n v="4079.9831719453787"/>
    <n v="3263.9865375563031"/>
    <n v="-78"/>
  </r>
  <r>
    <x v="6"/>
    <s v="Баланс активов и обязательств"/>
    <n v="0.6"/>
    <n v="-49815.520000000019"/>
    <n v="-29889.312000000009"/>
    <n v="-18680.820000000007"/>
  </r>
  <r>
    <x v="7"/>
    <s v="Риск низкого качества и несвоевременного планового ремонта подвижного состава (локомотивный парк и железнодорожный вагон)"/>
    <n v="0.41197943030932727"/>
    <n v="-1043.307"/>
    <n v="-429.82102349773334"/>
    <n v="-19.319438928231531"/>
  </r>
  <r>
    <x v="7"/>
    <s v="Профицит локомотивного парка в грузовом движении"/>
    <n v="0"/>
    <n v="0"/>
    <n v="0"/>
    <n v="0"/>
  </r>
  <r>
    <x v="7"/>
    <s v="Дефицит локомотивного парка в грузовом движении"/>
    <n v="0"/>
    <n v="0"/>
    <n v="0"/>
    <n v="0"/>
  </r>
  <r>
    <x v="7"/>
    <s v="Критический износ/дефицит пассажирских вагонов"/>
    <n v="0"/>
    <n v="0"/>
    <n v="0"/>
    <n v="0"/>
  </r>
  <r>
    <x v="7"/>
    <s v="Несохранность груза"/>
    <n v="0"/>
    <n v="0"/>
    <n v="0"/>
    <n v="0"/>
  </r>
  <r>
    <x v="7"/>
    <s v="Мошенничество"/>
    <n v="0"/>
    <n v="0"/>
    <n v="0"/>
    <n v="0"/>
  </r>
  <r>
    <x v="7"/>
    <s v="Хищения"/>
    <n v="0"/>
    <n v="0"/>
    <n v="0"/>
    <n v="0"/>
  </r>
  <r>
    <x v="7"/>
    <s v="Процесс закупок"/>
    <n v="0"/>
    <n v="0"/>
    <n v="0"/>
    <n v="0"/>
  </r>
  <r>
    <x v="7"/>
    <s v="Риск не выполнения утвержденных мероприятий энергосбережения по результату проведенного энергоаудита;"/>
    <n v="0"/>
    <n v="0"/>
    <n v="0"/>
    <n v="0"/>
  </r>
  <r>
    <x v="8"/>
    <s v="Износ верхнего строения пути"/>
    <n v="0.52850938613764376"/>
    <n v="-13682.081210629633"/>
    <n v="-7231.1083417152568"/>
    <n v="-4187.696824450165"/>
  </r>
  <r>
    <x v="8"/>
    <s v="Износ искусственных сооружений"/>
    <n v="0"/>
    <n v="0"/>
    <n v="0"/>
    <n v="0"/>
  </r>
  <r>
    <x v="8"/>
    <s v="Риск выдачи ограничения скорости по отступлениям текущего содержания пути"/>
    <n v="0"/>
    <n v="0"/>
    <n v="0"/>
    <n v="0"/>
  </r>
  <r>
    <x v="8"/>
    <s v="Риск отказа оборудования и устройств тяговых подстанций (ТП) из-за выработки нормативного срока службы"/>
    <n v="0"/>
    <n v="0"/>
    <n v="0"/>
    <n v="0"/>
  </r>
  <r>
    <x v="8"/>
    <s v="Риск отказа контактной сети из-за выработки нормативного срока службы"/>
    <n v="0"/>
    <n v="0"/>
    <n v="0"/>
    <n v="0"/>
  </r>
  <r>
    <x v="8"/>
    <s v="Нарушение нормальной работы технических средств"/>
    <n v="0"/>
    <n v="0"/>
    <n v="0"/>
    <n v="0"/>
  </r>
  <r>
    <x v="9"/>
    <s v="Риск обесценения инвестиций"/>
    <n v="0.59222100961904522"/>
    <n v="-6669"/>
    <n v="-3949.5219131494127"/>
    <n v="-2123.3000000000002"/>
  </r>
  <r>
    <x v="9"/>
    <s v="Недостаток инвестиций в развитие инфраструктуры"/>
    <m/>
    <m/>
    <m/>
    <n v="0"/>
  </r>
  <r>
    <x v="9"/>
    <s v="Риск реализации новых низкорентабельных/непрофильных проектов без соответствующих решений органов Компании и Фонда"/>
    <s v=""/>
    <s v=""/>
    <s v=""/>
    <s v=""/>
  </r>
  <r>
    <x v="9"/>
    <s v="Риски, свзяанные с реализацией проекта Достык-Мойынты"/>
    <n v="0"/>
    <n v="0"/>
    <n v="0"/>
    <n v="0"/>
  </r>
  <r>
    <x v="10"/>
    <s v="Неправильное исчисление и несвоевременная уплата налогов и других обязательных платежей в бюджет"/>
    <n v="0"/>
    <n v="0.25"/>
    <n v="0"/>
    <n v="0"/>
  </r>
  <r>
    <x v="10"/>
    <s v="Дополнительные  нагрузки на работников"/>
    <n v="0"/>
    <n v="0"/>
    <n v="0"/>
    <n v="0"/>
  </r>
  <r>
    <x v="10"/>
    <s v="Нестабильность интернет-ресурсов"/>
    <n v="0"/>
    <n v="0"/>
    <n v="0"/>
    <n v="0"/>
  </r>
  <r>
    <x v="11"/>
    <s v="Риск принудительного исполнения контрактов"/>
    <n v="0.53775113536229191"/>
    <n v="-15253.264999999999"/>
    <n v="-8202.46057173191"/>
    <n v="-5557.1555749999998"/>
  </r>
  <r>
    <x v="11"/>
    <s v="Уплата штрафных санкций АО &quot;KTZ Expess&quot; и АО &quot;АМТП&quot; по договору с DP World"/>
    <n v="0.7"/>
    <n v="-3008"/>
    <n v="-2105.6"/>
    <n v="-1052.8"/>
  </r>
  <r>
    <x v="11"/>
    <s v="Банкротство и невозврат дебиторской задолженности ТОО &quot;Казахстанская вагоностроительная компания&quot;"/>
    <n v="0.25"/>
    <n v="-8907.4"/>
    <n v="-2226.85"/>
    <n v="-2226.85"/>
  </r>
  <r>
    <x v="11"/>
    <s v="Неисполнение договорных (контрактных) обязательств ЗИКСТО перед Компанией"/>
    <n v="0.4"/>
    <n v="-34211.478000000003"/>
    <n v="-13684.591200000003"/>
    <n v="-6842.2956000000013"/>
  </r>
  <r>
    <x v="11"/>
    <s v="Неисполнение договора поставки электровозов и комплектующих поставщиком ТОО &quot;ЭКЗ&quot;, субпоставщиками &quot;ALSTOM&quot;, ЗАО &quot;ТМХ&quot;"/>
    <n v="0.2"/>
    <n v="-231750"/>
    <n v="-46350"/>
    <n v="-46350"/>
  </r>
  <r>
    <x v="11"/>
    <s v="Ненадлежащее исполнение договорных обязательств  по поставке тепловозов ТОО &quot;Транспортейшн Глоубэл Эл-Эл-Си&quot;"/>
    <n v="0.05"/>
    <n v="0"/>
    <n v="0"/>
    <n v="0"/>
  </r>
  <r>
    <x v="11"/>
    <s v="Выплата необеспеченных банковской гарантией либо страховым полисом авансовых платежей потенциально недобросовестным поставщикам"/>
    <n v="0.25"/>
    <n v="-3100"/>
    <n v="-775"/>
    <n v="-387.5"/>
  </r>
  <r>
    <x v="11"/>
    <s v="Увеличение закупочной стоимости рельс поставщиком ТОО &quot;Актюбинский рельсо-балочный завод&quot;"/>
    <n v="0.4"/>
    <n v="-5003"/>
    <n v="-2001.2"/>
    <n v="-1000.6"/>
  </r>
  <r>
    <x v="11"/>
    <s v="Риски, связанные с договором поставки пассажирских вагонов Stadler Rail AG"/>
    <n v="-0.4"/>
    <n v="-40000"/>
    <n v="-20000"/>
    <n v="0"/>
  </r>
  <r>
    <x v="12"/>
    <s v="Отказ/сбой систем жизнеобеспечения"/>
    <n v="0.02"/>
    <n v="0"/>
    <n v="0"/>
    <n v="0"/>
  </r>
  <r>
    <x v="12"/>
    <s v="Сбой/останов серверной инфраструктуры"/>
    <n v="0.45"/>
    <n v="0"/>
    <n v="0"/>
    <n v="0"/>
  </r>
  <r>
    <x v="12"/>
    <s v="Сбой/останов сетевой инфраструктуры"/>
    <n v="0.5"/>
    <n v="0"/>
    <n v="0"/>
    <n v="0"/>
  </r>
  <r>
    <x v="12"/>
    <s v="Отказ/Сбой корпоративных систем"/>
    <n v="0.5"/>
    <n v="0"/>
    <n v="0"/>
    <n v="0"/>
  </r>
  <r>
    <x v="12"/>
    <s v="Кибер-хищения денежных средств группы компаний АО «НК «КТЖ», при организации удаленной формы работы для работников, имеющих право подписи по платежам (в системе Банк-клиент)"/>
    <n v="0.4"/>
    <n v="0"/>
    <n v="0"/>
    <n v="0"/>
  </r>
  <r>
    <x v="12"/>
    <s v="Отказ/сбой/отсутствие право владения информационными системами, используемыми в перевозочном процессе Компании"/>
    <n v="0.25"/>
    <n v="0"/>
    <n v="0"/>
    <n v="0"/>
  </r>
  <r>
    <x v="12"/>
    <s v="Неудовлетворенность клиентов при получении ИТ услуг"/>
    <s v=""/>
    <s v=""/>
    <s v=""/>
    <s v=""/>
  </r>
  <r>
    <x v="12"/>
    <s v="Некачественное управление лицензионным программным обеспечением в Компании"/>
    <n v="0.5"/>
    <n v="0"/>
    <n v="0"/>
    <n v="0"/>
  </r>
  <r>
    <x v="12"/>
    <s v="Риски информационной безопасности"/>
    <s v=""/>
    <s v=""/>
    <s v=""/>
    <s v=""/>
  </r>
  <r>
    <x v="12"/>
    <s v="Риски оплаты штрафов за неисполнение регуляторных требований"/>
    <n v="0.5"/>
    <n v="0"/>
    <n v="0"/>
    <n v="0"/>
  </r>
  <r>
    <x v="12"/>
    <s v="Риски утечки конфиденциальной информации Компании"/>
    <n v="0.5"/>
    <n v="0"/>
    <n v="0"/>
    <n v="0"/>
  </r>
  <r>
    <x v="13"/>
    <s v="Риск разрыва ликвидности"/>
    <n v="0.25"/>
    <n v="-269.72699999999998"/>
    <n v="-67.431749999999994"/>
    <n v="-33.715874999999997"/>
  </r>
  <r>
    <x v="14"/>
    <s v="Потеря  временно-свободных денежных средств при размещении (в долгосрочные финансовые инструменты) в банки второго уровня"/>
    <n v="0.45179023155256937"/>
    <n v="-29603.176149999999"/>
    <n v="-13374.425807499998"/>
    <n v="-14390"/>
  </r>
  <r>
    <x v="14"/>
    <s v="Невозврат дебиторской задолженности (Образование проблемной дебиторской задолженности)"/>
    <n v="0"/>
    <n v="0"/>
    <n v="0"/>
    <n v="0"/>
  </r>
  <r>
    <x v="14"/>
    <s v="Неисполнение обязательств по возврату банковских займов."/>
    <n v="0"/>
    <n v="0"/>
    <n v="0"/>
    <n v="0"/>
  </r>
  <r>
    <x v="15"/>
    <s v="Нарушения безопасности движения_x000a_Сход / столкновение  подвижного состава в поезде и при маневровой работе"/>
    <n v="0.4"/>
    <n v="-401.4"/>
    <n v="-160.56"/>
    <n v="-80.28"/>
  </r>
  <r>
    <x v="15"/>
    <s v="Предпосылки к нарушениям безопасности движения _x000a_"/>
    <n v="0.45"/>
    <n v="-15"/>
    <n v="-6.75"/>
    <n v="-0.37968750000000001"/>
  </r>
  <r>
    <x v="15"/>
    <s v="Угроза жизни и здоровья сотрудников Компании"/>
    <n v="0.75"/>
    <n v="-399"/>
    <n v="-299.25"/>
    <n v="-224.4375"/>
  </r>
  <r>
    <x v="16"/>
    <s v="Нарушения Трудового кодекса Республики Казахстан"/>
    <n v="0.8"/>
    <n v="-75"/>
    <n v="-60"/>
    <n v="-48"/>
  </r>
  <r>
    <x v="16"/>
    <s v="Коррупция при приеме на работу"/>
    <n v="0.8"/>
    <n v="0"/>
    <n v="0"/>
    <n v="0"/>
  </r>
  <r>
    <x v="16"/>
    <s v="Социальное недовольство со стороны работников"/>
    <n v="0.4"/>
    <n v="-69886.5"/>
    <n v="-27954.600000000002"/>
    <n v="-13977.300000000001"/>
  </r>
  <r>
    <x v="17"/>
    <s v="Риск коррупции со стороны должностных лиц КТЖ"/>
    <n v="1"/>
    <n v="0"/>
    <n v="0"/>
    <n v="0"/>
  </r>
  <r>
    <x v="17"/>
    <s v="Коррупционные риски в сфере закупок"/>
    <n v="1"/>
    <n v="0"/>
    <n v="0"/>
    <n v="0"/>
  </r>
  <r>
    <x v="17"/>
    <s v="Коррупционные риски в сфере управления персоналом"/>
    <n v="0"/>
    <n v="0"/>
    <n v="0"/>
    <n v="0"/>
  </r>
  <r>
    <x v="17"/>
    <s v="Коррупционные риски в сфере дарения/принятия подарков, представительских расходов"/>
    <n v="0"/>
    <n v="0"/>
    <n v="0"/>
    <n v="0"/>
  </r>
  <r>
    <x v="17"/>
    <s v="Коррупционные риски в сфере оказания услуг"/>
    <n v="0"/>
    <n v="0"/>
    <n v="0"/>
    <n v="0"/>
  </r>
  <r>
    <x v="17"/>
    <s v="Коррупционные риски в сфере инвестиционной деятельности, приватизации и реализации активов"/>
    <n v="0"/>
    <n v="0"/>
    <n v="0"/>
    <n v="0"/>
  </r>
  <r>
    <x v="17"/>
    <s v="Коррупционные риски при взаимодействии с государственными органами"/>
    <n v="0"/>
    <n v="0"/>
    <n v="0"/>
    <n v="0"/>
  </r>
  <r>
    <x v="17"/>
    <s v="Коррупционные риски при взаимодействии с иностранными должностными лицами и третьими лицами"/>
    <n v="0"/>
    <n v="0"/>
    <n v="0"/>
    <n v="0"/>
  </r>
  <r>
    <x v="17"/>
    <s v="Коррупционные риски сговора работников контрольно-ревизионных подразделений с проверяемыми структурными подразделениями, дочерними и зависимыми организациями"/>
    <n v="0"/>
    <n v="0"/>
    <n v="0"/>
    <n v="0"/>
  </r>
  <r>
    <x v="17"/>
    <s v="Коррупционные риски при взаимодействии с финансовыми организациями"/>
    <n v="0"/>
    <n v="0"/>
    <n v="0"/>
    <n v="0"/>
  </r>
  <r>
    <x v="17"/>
    <s v="Коррупционные риски в сфере охраны труда и техники безопасности"/>
    <n v="0"/>
    <n v="0"/>
    <n v="0"/>
    <n v="0"/>
  </r>
  <r>
    <x v="18"/>
    <s v="Снижение репутации Компании"/>
    <n v="0.4"/>
    <n v="0"/>
    <n v="0"/>
    <n v="0"/>
  </r>
  <r>
    <x v="18"/>
    <s v="Недостоверность финансовой отчетности"/>
    <n v="0.25"/>
    <n v="0"/>
    <n v="0"/>
    <n v="0"/>
  </r>
  <r>
    <x v="18"/>
    <s v="Риск несвоевременного предоставления финансовой отчетности"/>
    <n v="0.25"/>
    <n v="0"/>
    <n v="0"/>
    <n v="0"/>
  </r>
  <r>
    <x v="18"/>
    <s v="Риск несвоевременного утверждения Бизнес-плана"/>
    <n v="0"/>
    <n v="0"/>
    <n v="0"/>
    <n v="0"/>
  </r>
  <r>
    <x v="19"/>
    <s v="Риск несоблюдения норм законодательства Республики Казахстан"/>
    <s v=""/>
    <s v=""/>
    <s v=""/>
    <s v=""/>
  </r>
  <r>
    <x v="19"/>
    <s v="Взыскание с Общества более 50% сумм по решениям судов от общей суммы всех исковых требований предъявляемых к Обществу"/>
    <s v=""/>
    <s v=""/>
    <s v=""/>
    <s v=""/>
  </r>
  <r>
    <x v="20"/>
    <s v="Риск потери эксклюзивного права КТЖ на транзитные перевозки в качестве национального оператора РК"/>
    <n v="0"/>
    <n v="0"/>
    <n v="0"/>
    <n v="0"/>
  </r>
  <r>
    <x v="20"/>
    <s v="Существенное изменение структуры грузооборота по типам грузов и направлениям относительно прогнозируемых значений"/>
    <n v="0.25"/>
    <n v="0"/>
    <n v="0"/>
    <n v="0"/>
  </r>
  <r>
    <x v="20"/>
    <s v="Не исполнения Плана мероприятий по реализации Стратегии развития АО &quot;НК &quot;КТЖ&quot; до 2029 года"/>
    <n v="0.05"/>
    <n v="-50000"/>
    <n v="-2500"/>
    <n v="0"/>
  </r>
  <r>
    <x v="21"/>
    <s v="Отставание ликвидации ограничений смежных видов транспорта (мощностей портов, складских терминалов) от реализации_x000a_инвестиционной программы или программы развития компании"/>
    <n v="0.4"/>
    <n v="0"/>
    <n v="0"/>
    <n v="0"/>
  </r>
  <r>
    <x v="21"/>
    <s v="Неудовлетворение потребностей рынка грузовых перевозок вследствие неэффективной работы парка грузовых вагонов"/>
    <n v="0.25"/>
    <n v="0"/>
    <n v="0"/>
    <n v="0"/>
  </r>
  <r>
    <x v="21"/>
    <s v="Снижение конкурентоспособности железнодорожного транспорта вследствие отставания от технического и технологического_x000a_развития других видов транспорта"/>
    <n v="0.4"/>
    <n v="0"/>
    <n v="0"/>
    <n v="0"/>
  </r>
  <r>
    <x v="22"/>
    <s v="Недостаточный уровень внедрения и использования современных научно-технических разработок"/>
    <n v="0.25"/>
    <n v="0"/>
    <n v="0"/>
    <n v="0"/>
  </r>
  <r>
    <x v="22"/>
    <s v="Недостаточный уровень кооперации с зарубежными лидерами в области развития и использования инновационных_x000a_технологий в сфере железнодорожного машиностроения"/>
    <n v="0"/>
    <n v="0"/>
    <n v="0"/>
    <n v="0"/>
  </r>
  <r>
    <x v="23"/>
    <s v="Риск падения уровня Каспийского моря"/>
    <n v="0.4"/>
    <n v="-13600"/>
    <n v="-5440"/>
    <n v="-1632"/>
  </r>
  <r>
    <x v="23"/>
    <s v="Риски, связанные с изменением физических параметров климата"/>
    <n v="0.25"/>
    <n v="0"/>
    <n v="0"/>
    <n v="0"/>
  </r>
  <r>
    <x v="23"/>
    <s v="Экология"/>
    <n v="0.25"/>
    <n v="0"/>
    <n v="0"/>
    <n v="0"/>
  </r>
  <r>
    <x v="23"/>
    <s v="Загрязнение окружающей среды"/>
    <n v="0.9"/>
    <n v="0"/>
    <n v="0"/>
    <n v="0"/>
  </r>
  <r>
    <x v="23"/>
    <s v="Изменения экологического законодательства"/>
    <n v="1"/>
    <n v="0"/>
    <n v="0"/>
    <n v="0"/>
  </r>
  <r>
    <x v="23"/>
    <s v="Влияние изменения климата из-за глобального потепления"/>
    <n v="1"/>
    <n v="0"/>
    <n v="0"/>
    <n v="0"/>
  </r>
  <r>
    <x v="23"/>
    <s v="Риск воздействия погодных условий"/>
    <n v="1"/>
    <n v="0"/>
    <n v="0"/>
    <n v="0"/>
  </r>
  <r>
    <x v="24"/>
    <s v="Риск отзыва сертификата соотвествия требованиям международных стандартов на  которые сертифицирована Компания."/>
    <n v="0.05"/>
    <n v="0"/>
    <n v="0"/>
    <n v="0"/>
  </r>
  <r>
    <x v="25"/>
    <s v="Уровень гиперинфляции"/>
    <n v="0.7"/>
    <n v="-88000"/>
    <n v="-61599.999999999993"/>
    <n v="0"/>
  </r>
  <r>
    <x v="25"/>
    <s v="Нестабильные политические и экономические условия"/>
    <n v="0"/>
    <n v="0"/>
    <n v="0"/>
    <n v="0"/>
  </r>
  <r>
    <x v="25"/>
    <s v="Обесценение активов"/>
    <n v="0"/>
    <n v="0"/>
    <n v="0"/>
    <n v="0"/>
  </r>
  <r>
    <x v="25"/>
    <s v="Снижение кредитного рейтинга"/>
    <n v="0.05"/>
    <n v="0"/>
    <n v="0"/>
    <n v="0"/>
  </r>
  <r>
    <x v="26"/>
    <s v="Влияние на грузооборот (CTR-4)"/>
    <n v="0.5"/>
    <n v="0"/>
    <n v="0"/>
    <n v="0"/>
  </r>
  <r>
    <x v="26"/>
    <s v="Влияние на пассажирооборот"/>
    <n v="0"/>
    <n v="0"/>
    <n v="0"/>
    <n v="0"/>
  </r>
  <r>
    <x v="26"/>
    <s v="Влияние на репутацию"/>
    <n v="0"/>
    <n v="0"/>
    <n v="0"/>
    <n v="0"/>
  </r>
  <r>
    <x v="27"/>
    <s v="Увеличение расходов по процентам на новые займы, а также текущие займы (с плавающей ставкой) в тенге."/>
    <n v="0.4"/>
    <n v="-1800"/>
    <n v="-720"/>
    <n v="-216"/>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x v="0"/>
    <m/>
    <m/>
    <m/>
  </r>
  <r>
    <x v="1"/>
    <n v="0.7542380175012694"/>
    <n v="11849.948881999995"/>
    <n v="8937.6819522510596"/>
  </r>
  <r>
    <x v="2"/>
    <n v="0.74261586878827512"/>
    <n v="-328.72909087120001"/>
    <n v="-244.11943941329605"/>
  </r>
  <r>
    <x v="3"/>
    <n v="0.94991325069503951"/>
    <n v="-23919.5"/>
    <n v="-22721.449999999997"/>
  </r>
  <r>
    <x v="4"/>
    <n v="0.05"/>
    <n v="0"/>
    <n v="0"/>
  </r>
  <r>
    <x v="5"/>
    <n v="0.5"/>
    <n v="-2200"/>
    <n v="-1100"/>
  </r>
  <r>
    <x v="6"/>
    <n v="0.90416387447878976"/>
    <n v="-18999.426959763408"/>
    <n v="-17178.595492816457"/>
  </r>
  <r>
    <x v="7"/>
    <n v="0.95"/>
    <n v="-137783.15789473685"/>
    <n v="-130894"/>
  </r>
  <r>
    <x v="8"/>
    <n v="0.94728184787680814"/>
    <n v="-428.59999999999997"/>
    <n v="-406.00499999999994"/>
  </r>
  <r>
    <x v="9"/>
    <n v="0.55000000000000004"/>
    <n v="-31715.199999999997"/>
    <n v="-17443.36"/>
  </r>
  <r>
    <x v="10"/>
    <n v="1"/>
    <n v="-44819.629536"/>
    <n v="-44819.629536"/>
  </r>
  <r>
    <x v="11"/>
    <n v="0.25"/>
    <n v="-9387.5"/>
    <n v="-2346.875"/>
  </r>
  <r>
    <x v="12"/>
    <n v="0.87011625481249311"/>
    <n v="-54207.129536"/>
    <n v="-47166.504536"/>
  </r>
  <r>
    <x v="13"/>
    <n v="0.05"/>
    <n v="0"/>
    <n v="0"/>
  </r>
  <r>
    <x v="14"/>
    <n v="0.79932527410739396"/>
    <n v="-2240.91"/>
    <n v="-1791.2160000000001"/>
  </r>
  <r>
    <x v="15"/>
    <n v="0.25"/>
    <n v="-67.431749999999994"/>
    <n v="-16.857937499999998"/>
  </r>
  <r>
    <x v="16"/>
    <n v="0.47224255791397773"/>
    <n v="-21445.599999999999"/>
    <n v="-10127.525"/>
  </r>
  <r>
    <x v="17"/>
    <n v="0.64858088930936608"/>
    <n v="-549.64"/>
    <n v="-356.48599999999999"/>
  </r>
  <r>
    <x v="18"/>
    <n v="0.8"/>
    <n v="-60"/>
    <n v="-48"/>
  </r>
  <r>
    <x v="19"/>
    <n v="1"/>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4" cacheId="0" applyNumberFormats="0" applyBorderFormats="0" applyFontFormats="0" applyPatternFormats="0" applyAlignmentFormats="0" applyWidthHeightFormats="1" dataCaption="Значения" updatedVersion="8" minRefreshableVersion="3" useAutoFormatting="1" itemPrintTitles="1" createdVersion="8" indent="0" outline="1" outlineData="1" multipleFieldFilters="0" chartFormat="8">
  <location ref="AX2:AY31" firstHeaderRow="1" firstDataRow="1" firstDataCol="1"/>
  <pivotFields count="6">
    <pivotField axis="axisRow" showAll="0" sortType="ascending">
      <items count="29">
        <item x="16"/>
        <item x="6"/>
        <item x="8"/>
        <item x="12"/>
        <item x="17"/>
        <item x="11"/>
        <item x="14"/>
        <item x="25"/>
        <item x="10"/>
        <item x="7"/>
        <item x="19"/>
        <item x="9"/>
        <item x="27"/>
        <item x="18"/>
        <item x="15"/>
        <item x="0"/>
        <item x="13"/>
        <item x="2"/>
        <item x="1"/>
        <item x="24"/>
        <item x="22"/>
        <item x="26"/>
        <item x="4"/>
        <item x="20"/>
        <item x="5"/>
        <item x="21"/>
        <item x="23"/>
        <item x="3"/>
        <item t="default"/>
      </items>
      <autoSortScope>
        <pivotArea dataOnly="0" outline="0" fieldPosition="0">
          <references count="1">
            <reference field="4294967294" count="1" selected="0">
              <x v="0"/>
            </reference>
          </references>
        </pivotArea>
      </autoSortScope>
    </pivotField>
    <pivotField showAll="0"/>
    <pivotField showAll="0"/>
    <pivotField showAll="0"/>
    <pivotField dataField="1" showAll="0"/>
    <pivotField showAll="0"/>
  </pivotFields>
  <rowFields count="1">
    <field x="0"/>
  </rowFields>
  <rowItems count="29">
    <i>
      <x v="5"/>
    </i>
    <i>
      <x v="24"/>
    </i>
    <i>
      <x v="7"/>
    </i>
    <i>
      <x v="15"/>
    </i>
    <i>
      <x v="1"/>
    </i>
    <i>
      <x/>
    </i>
    <i>
      <x v="18"/>
    </i>
    <i>
      <x v="6"/>
    </i>
    <i>
      <x v="27"/>
    </i>
    <i>
      <x v="2"/>
    </i>
    <i>
      <x v="26"/>
    </i>
    <i>
      <x v="11"/>
    </i>
    <i>
      <x v="23"/>
    </i>
    <i>
      <x v="22"/>
    </i>
    <i>
      <x v="12"/>
    </i>
    <i>
      <x v="14"/>
    </i>
    <i>
      <x v="9"/>
    </i>
    <i>
      <x v="16"/>
    </i>
    <i>
      <x v="13"/>
    </i>
    <i>
      <x v="3"/>
    </i>
    <i>
      <x v="19"/>
    </i>
    <i>
      <x v="8"/>
    </i>
    <i>
      <x v="21"/>
    </i>
    <i>
      <x v="25"/>
    </i>
    <i>
      <x v="20"/>
    </i>
    <i>
      <x v="4"/>
    </i>
    <i>
      <x v="10"/>
    </i>
    <i>
      <x v="17"/>
    </i>
    <i t="grand">
      <x/>
    </i>
  </rowItems>
  <colItems count="1">
    <i/>
  </colItems>
  <dataFields count="1">
    <dataField name="Сумма по полю Ожидаемые потери, млн. тнг" fld="4" baseField="0" baseItem="0"/>
  </dataFields>
  <formats count="1">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Срез_КАТЕГОРИЯ_РИСКА1" sourceName="КАТЕГОРИЯ РИСКА">
  <data>
    <tabular pivotCacheId="6">
      <items count="22">
        <i x="18" s="1"/>
        <i x="7" s="1"/>
        <i x="9" s="1"/>
        <i x="14" s="1"/>
        <i x="19" s="1"/>
        <i x="12" s="1"/>
        <i x="16" s="1"/>
        <i x="4" s="1"/>
        <i x="11" s="1"/>
        <i x="8" s="1"/>
        <i x="10" s="1"/>
        <i x="21" s="1"/>
        <i x="17" s="1"/>
        <i x="1" s="1"/>
        <i x="15" s="1"/>
        <i x="2" s="1"/>
        <i x="13" s="1"/>
        <i x="5" s="1"/>
        <i x="20" s="1"/>
        <i x="6" s="1"/>
        <i x="3"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КАТЕГОРИЯ РИСКА" cache="Срез_КАТЕГОРИЯ_РИСКА1" caption="КАТЕГОРИЯ РИСКА" columnCount="4" style="Стиль среза 10" rowHeight="432000"/>
</slicers>
</file>

<file path=xl/tables/table1.xml><?xml version="1.0" encoding="utf-8"?>
<table xmlns="http://schemas.openxmlformats.org/spreadsheetml/2006/main" id="1" name="Таблица1" displayName="Таблица1" ref="B3:AQ394" totalsRowShown="0">
  <autoFilter ref="B3:AQ394"/>
  <tableColumns count="42">
    <tableColumn id="1" name="КАТЕГОРИЯ РИСКА"/>
    <tableColumn id="2" name="РИСК ТОЛЕРАНТНОСТЬ"/>
    <tableColumn id="3" name="код риска"/>
    <tableColumn id="4" name="ВЛАДЕЛЕЦ РИСКА"/>
    <tableColumn id="5" name="КОНТРОЛИРУЮЩЕЕ СП"/>
    <tableColumn id="6" name="ФАКТОРЫ РИСКА                         УРОВЕНЬ 1"/>
    <tableColumn id="7" name="ПЛАН / ЦЕЛЬ"/>
    <tableColumn id="8" name="ПОРОГ/ТОЛЕРАНТНОСТЬ"/>
    <tableColumn id="9" name="ФАКТ"/>
    <tableColumn id="10" name="ОЦЕНКА"/>
    <tableColumn id="11" name=" @Risk"/>
    <tableColumn id="12" name="ФАКТОРЫ РИСКА�УРОВЕНЬ 2"/>
    <tableColumn id="13" name="ФАКТОРЫ РИСКА �УРОВЕНЬ 3"/>
    <tableColumn id="14" name="ИСТОЧНИК ДАННЫХ"/>
    <tableColumn id="15" name="КАРТИРОВАНИЕ РИСКОВ СОГЛАСНО ФИНАНСОВОГО ОТЧЕТА"/>
    <tableColumn id="16" name="SWOT"/>
    <tableColumn id="17" name="КЛЮЧЕВОЙ ИНДИКАТОР РИСКА (KRI)"/>
    <tableColumn id="18" name="0"/>
    <tableColumn id="19" name="ВЕРОЯТНОСТЬ"/>
    <tableColumn id="20" name="ВЛИЯНИЕ (+/- млн.тенге)"/>
    <tableColumn id="21" name="Ожидаемые потери / прибыль"/>
    <tableColumn id="22" name="Комментарии и обоснования по оценке вероятности и ущерба"/>
    <tableColumn id="23" name="ВЕРОЯТНОСТЬ (%)" dataDxfId="694" dataCellStyle="Процентный"/>
    <tableColumn id="24" name="ВЛИЯНИЕ (+/-)"/>
    <tableColumn id="25" name="ОЖИДАЕМЫЕ ПОТЕРИ (-) / ПРИБЫЛЬ (+) (млн.тенге)"/>
    <tableColumn id="26" name="ПЕРИОД ВОЗДЕЙСТВИЯ РИСКА"/>
    <tableColumn id="27" name="ПРИОРИТЕТ"/>
    <tableColumn id="28" name="ВИД ДЕЙСТВИЯ"/>
    <tableColumn id="29" name="НАИМЕНОВАНИЕ МЕРОПРИЯТИЯ ПО СНИЖЕНИЮ РИСКА"/>
    <tableColumn id="30" name="ОТВЕТСТВЕННОЕ СП"/>
    <tableColumn id="31" name="СРОК ИСПОЛНЕНИЯ"/>
    <tableColumn id="32" name="ЭФФЕКТИВНОСТЬ"/>
    <tableColumn id="33" name="ВЕРОЯТНОСТЬ %"/>
    <tableColumn id="34" name="ВЛИЯНИЕ"/>
    <tableColumn id="35" name="ОЖИДАЕМЫЕ ПОТЕРИ/ПРИБЫЛЬ"/>
    <tableColumn id="36" name="02"/>
    <tableColumn id="37" name="1"/>
    <tableColumn id="38" name="0,5"/>
    <tableColumn id="39" name="0,3"/>
    <tableColumn id="40" name="03"/>
    <tableColumn id="41" name="04"/>
    <tableColumn id="42" name="05"/>
  </tableColumns>
  <tableStyleInfo name="TableStyleMedium2" showFirstColumn="0" showLastColumn="0" showRowStripes="1" showColumnStripes="0"/>
</table>
</file>

<file path=xl/tables/table2.xml><?xml version="1.0" encoding="utf-8"?>
<table xmlns="http://schemas.openxmlformats.org/spreadsheetml/2006/main" id="2" name="Таблица2" displayName="Таблица2" ref="AQ2:AV119" totalsRowShown="0">
  <autoFilter ref="AQ2:AV119"/>
  <tableColumns count="6">
    <tableColumn id="1" name="Категория риска"/>
    <tableColumn id="2" name="Фактор риска"/>
    <tableColumn id="3" name="Вероятность"/>
    <tableColumn id="4" name="Влияние, млн. тнг"/>
    <tableColumn id="5" name="Ожидаемые потери, млн. тнг"/>
    <tableColumn id="6" name="Остаточный риск, млн. тнг"/>
  </tableColumns>
  <tableStyleInfo name="TableStyleMedium2"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8.bin"/><Relationship Id="rId1" Type="http://schemas.openxmlformats.org/officeDocument/2006/relationships/pivotTable" Target="../pivotTables/pivotTable1.xml"/><Relationship Id="rId6" Type="http://schemas.openxmlformats.org/officeDocument/2006/relationships/table" Target="../tables/table2.xml"/><Relationship Id="rId5" Type="http://schemas.openxmlformats.org/officeDocument/2006/relationships/ctrlProp" Target="../ctrlProps/ctrlProp6.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B2:AQ394"/>
  <sheetViews>
    <sheetView workbookViewId="0">
      <selection activeCell="I17" sqref="I17"/>
    </sheetView>
  </sheetViews>
  <sheetFormatPr defaultRowHeight="14.4"/>
  <cols>
    <col min="1" max="1" width="2" customWidth="1"/>
    <col min="2" max="2" width="20.33203125" customWidth="1"/>
    <col min="3" max="3" width="23.88671875" customWidth="1"/>
    <col min="4" max="4" width="12.109375" customWidth="1"/>
    <col min="5" max="5" width="19.5546875" customWidth="1"/>
    <col min="6" max="6" width="24.44140625" customWidth="1"/>
    <col min="7" max="7" width="43.44140625" customWidth="1"/>
    <col min="8" max="8" width="14.88671875" customWidth="1"/>
    <col min="9" max="9" width="25.5546875" customWidth="1"/>
    <col min="11" max="11" width="10.6640625" customWidth="1"/>
    <col min="12" max="12" width="11.44140625" customWidth="1"/>
    <col min="13" max="13" width="40.88671875" customWidth="1"/>
    <col min="14" max="14" width="43" customWidth="1"/>
    <col min="15" max="15" width="21.88671875" customWidth="1"/>
    <col min="16" max="16" width="58.109375" customWidth="1"/>
    <col min="18" max="18" width="37.109375" customWidth="1"/>
    <col min="20" max="20" width="16.109375" customWidth="1"/>
    <col min="21" max="21" width="26.33203125" customWidth="1"/>
    <col min="22" max="22" width="32" customWidth="1"/>
    <col min="23" max="23" width="60.88671875" customWidth="1"/>
    <col min="24" max="24" width="19.5546875" customWidth="1"/>
    <col min="25" max="25" width="16.44140625" customWidth="1"/>
    <col min="26" max="26" width="51.33203125" customWidth="1"/>
    <col min="27" max="27" width="31.33203125" customWidth="1"/>
    <col min="28" max="28" width="14" customWidth="1"/>
    <col min="29" max="29" width="17.44140625" customWidth="1"/>
    <col min="30" max="30" width="55" customWidth="1"/>
    <col min="31" max="31" width="20.88671875" customWidth="1"/>
    <col min="32" max="32" width="21.33203125" customWidth="1"/>
    <col min="33" max="33" width="19.109375" customWidth="1"/>
    <col min="34" max="34" width="18.109375" customWidth="1"/>
    <col min="35" max="35" width="12" customWidth="1"/>
    <col min="36" max="36" width="33.6640625" customWidth="1"/>
  </cols>
  <sheetData>
    <row r="2" spans="2:43">
      <c r="AK2">
        <f>'РЕЕСТР РИСКОВ_2023'!AQ39</f>
        <v>0</v>
      </c>
      <c r="AL2">
        <f>'РЕЕСТР РИСКОВ_2023'!AR39</f>
        <v>0</v>
      </c>
      <c r="AM2">
        <f>'РЕЕСТР РИСКОВ_2023'!AS39</f>
        <v>0</v>
      </c>
      <c r="AN2">
        <f>'РЕЕСТР РИСКОВ_2023'!AT39</f>
        <v>0</v>
      </c>
      <c r="AO2">
        <f>'РЕЕСТР РИСКОВ_2023'!AU39</f>
        <v>0</v>
      </c>
      <c r="AP2">
        <f>'РЕЕСТР РИСКОВ_2023'!AV39</f>
        <v>0</v>
      </c>
      <c r="AQ2">
        <f>'РЕЕСТР РИСКОВ_2023'!AW39</f>
        <v>0</v>
      </c>
    </row>
    <row r="3" spans="2:43">
      <c r="B3" t="s">
        <v>570</v>
      </c>
      <c r="C3" t="s">
        <v>145</v>
      </c>
      <c r="D3" t="s">
        <v>94</v>
      </c>
      <c r="E3" t="s">
        <v>95</v>
      </c>
      <c r="F3" t="s">
        <v>261</v>
      </c>
      <c r="G3" t="s">
        <v>96</v>
      </c>
      <c r="H3" t="s">
        <v>375</v>
      </c>
      <c r="I3" t="s">
        <v>380</v>
      </c>
      <c r="J3" t="s">
        <v>372</v>
      </c>
      <c r="K3" t="s">
        <v>373</v>
      </c>
      <c r="L3" t="s">
        <v>374</v>
      </c>
      <c r="M3" t="s">
        <v>889</v>
      </c>
      <c r="N3" t="s">
        <v>890</v>
      </c>
      <c r="O3" t="s">
        <v>97</v>
      </c>
      <c r="P3" t="s">
        <v>98</v>
      </c>
      <c r="Q3" t="s">
        <v>58</v>
      </c>
      <c r="R3" t="s">
        <v>99</v>
      </c>
      <c r="S3" t="s">
        <v>891</v>
      </c>
      <c r="T3" t="s">
        <v>100</v>
      </c>
      <c r="U3" t="s">
        <v>102</v>
      </c>
      <c r="V3" t="s">
        <v>101</v>
      </c>
      <c r="W3" t="s">
        <v>376</v>
      </c>
      <c r="X3" t="s">
        <v>237</v>
      </c>
      <c r="Y3" t="s">
        <v>135</v>
      </c>
      <c r="Z3" t="s">
        <v>132</v>
      </c>
      <c r="AA3" t="s">
        <v>103</v>
      </c>
      <c r="AB3" t="s">
        <v>104</v>
      </c>
      <c r="AC3" t="s">
        <v>105</v>
      </c>
      <c r="AD3" t="s">
        <v>106</v>
      </c>
      <c r="AE3" t="s">
        <v>107</v>
      </c>
      <c r="AF3" t="s">
        <v>108</v>
      </c>
      <c r="AG3" t="s">
        <v>109</v>
      </c>
      <c r="AH3" t="s">
        <v>297</v>
      </c>
      <c r="AI3" t="s">
        <v>167</v>
      </c>
      <c r="AJ3" t="s">
        <v>110</v>
      </c>
      <c r="AK3" t="s">
        <v>892</v>
      </c>
      <c r="AL3" t="s">
        <v>893</v>
      </c>
      <c r="AM3" t="s">
        <v>894</v>
      </c>
      <c r="AN3" t="s">
        <v>895</v>
      </c>
      <c r="AO3" t="s">
        <v>896</v>
      </c>
      <c r="AP3" t="s">
        <v>897</v>
      </c>
      <c r="AQ3" t="s">
        <v>898</v>
      </c>
    </row>
    <row r="4" spans="2:43">
      <c r="B4" t="str">
        <f>IF('INHERENT MAP'!$B$5=2021,'РЕЕСТР РИСКОВ_2023'!F41,IF('INHERENT MAP'!$B$5=2022,#REF!,IF('INHERENT MAP'!$B$5=2023,#REF!,IF('INHERENT MAP'!$B$5=2024,#REF!,#REF!))))</f>
        <v>РИСК ГРУЗООБОРОТА</v>
      </c>
      <c r="C4" t="str">
        <f>IF('INHERENT MAP'!$B$5=2021,'РЕЕСТР РИСКОВ_2023'!G41,IF('INHERENT MAP'!$B$5=2022,#REF!,IF('INHERENT MAP'!$B$5=2023,#REF!,IF('INHERENT MAP'!$B$5=2024,#REF!,#REF!))))</f>
        <v>- ХХХ млн. тенге</v>
      </c>
      <c r="D4" t="str">
        <f>IF('INHERENT MAP'!$B$5=2021,'РЕЕСТР РИСКОВ_2023'!H41,IF('INHERENT MAP'!$B$5=2022,#REF!,IF('INHERENT MAP'!$B$5=2023,#REF!,IF('INHERENT MAP'!$B$5=2024,#REF!,#REF!))))</f>
        <v>CTR-1</v>
      </c>
      <c r="E4" t="str">
        <f>IF('INHERENT MAP'!$B$5=2021,'РЕЕСТР РИСКОВ_2023'!I41,IF('INHERENT MAP'!$B$5=2022,#REF!,IF('INHERENT MAP'!$B$5=2023,#REF!,IF('INHERENT MAP'!$B$5=2024,#REF!,#REF!))))</f>
        <v>ЦЗД</v>
      </c>
      <c r="F4" t="str">
        <f>IF('INHERENT MAP'!$B$5=2021,'РЕЕСТР РИСКОВ_2023'!J41,IF('INHERENT MAP'!$B$5=2022,#REF!,IF('INHERENT MAP'!$B$5=2023,#REF!,IF('INHERENT MAP'!$B$5=2024,#REF!,#REF!))))</f>
        <v>ТОО "КТЖ-Грузовые перевозки"</v>
      </c>
      <c r="G4" t="str">
        <f>IF('INHERENT MAP'!$B$5=2021,'РЕЕСТР РИСКОВ_2023'!K41,IF('INHERENT MAP'!$B$5=2022,#REF!,IF('INHERENT MAP'!$B$5=2023,#REF!,IF('INHERENT MAP'!$B$5=2024,#REF!,#REF!))))</f>
        <v>Объем внутриреспубликанского грузооборота</v>
      </c>
      <c r="H4">
        <f>IF('INHERENT MAP'!$B$5=2021,'РЕЕСТР РИСКОВ_2023'!L41,IF('INHERENT MAP'!$B$5=2022,#REF!,IF('INHERENT MAP'!$B$5=2023,#REF!,IF('INHERENT MAP'!$B$5=2024,#REF!,#REF!))))</f>
        <v>354032</v>
      </c>
      <c r="I4">
        <f>IF('INHERENT MAP'!$B$5=2021,'РЕЕСТР РИСКОВ_2023'!M41,IF('INHERENT MAP'!$B$5=2022,#REF!,IF('INHERENT MAP'!$B$5=2023,#REF!,IF('INHERENT MAP'!$B$5=2024,#REF!,#REF!))))</f>
        <v>0</v>
      </c>
      <c r="J4">
        <f>IF('INHERENT MAP'!$B$5=2021,'РЕЕСТР РИСКОВ_2023'!N41,IF('INHERENT MAP'!$B$5=2022,#REF!,IF('INHERENT MAP'!$B$5=2023,#REF!,IF('INHERENT MAP'!$B$5=2024,#REF!,#REF!))))</f>
        <v>0</v>
      </c>
      <c r="K4">
        <f>IF('INHERENT MAP'!$B$5=2021,'РЕЕСТР РИСКОВ_2023'!O41,IF('INHERENT MAP'!$B$5=2022,#REF!,IF('INHERENT MAP'!$B$5=2023,#REF!,IF('INHERENT MAP'!$B$5=2024,#REF!,#REF!))))</f>
        <v>0</v>
      </c>
      <c r="L4">
        <f>IF('INHERENT MAP'!$B$5=2021,'РЕЕСТР РИСКОВ_2023'!P41,IF('INHERENT MAP'!$B$5=2022,#REF!,IF('INHERENT MAP'!$B$5=2023,#REF!,IF('INHERENT MAP'!$B$5=2024,#REF!,#REF!))))</f>
        <v>339578.71216973336</v>
      </c>
      <c r="M4" t="str">
        <f>IF('INHERENT MAP'!$B$5=2021,'РЕЕСТР РИСКОВ_2023'!Q41,IF('INHERENT MAP'!$B$5=2022,#REF!,IF('INHERENT MAP'!$B$5=2023,#REF!,IF('INHERENT MAP'!$B$5=2024,#REF!,#REF!))))</f>
        <v>Интермодальный риск от частного сектора (основные 2 конкурента ТТТ Сервис, Дар Рэйл, возможно до 8 частных перевозчиков)</v>
      </c>
      <c r="N4" t="str">
        <f>IF('INHERENT MAP'!$B$5=2021,'РЕЕСТР РИСКОВ_2023'!R41,IF('INHERENT MAP'!$B$5=2022,#REF!,IF('INHERENT MAP'!$B$5=2023,#REF!,IF('INHERENT MAP'!$B$5=2024,#REF!,#REF!))))</f>
        <v>Риск появления на рынке новых частных перевозчиков в связи с выдачей лицензии перевозчика порядка 30 организациям Министерством индустрии и инфраструктурного Развития РК.</v>
      </c>
      <c r="O4" t="str">
        <f>IF('INHERENT MAP'!$B$5=2021,'РЕЕСТР РИСКОВ_2023'!T41,IF('INHERENT MAP'!$B$5=2022,#REF!,IF('INHERENT MAP'!$B$5=2023,#REF!,IF('INHERENT MAP'!$B$5=2024,#REF!,#REF!))))</f>
        <v>расчеты экономического блока (доходники)</v>
      </c>
      <c r="P4">
        <f>IF('INHERENT MAP'!$B$5=2021,'РЕЕСТР РИСКОВ_2023'!U41,IF('INHERENT MAP'!$B$5=2022,#REF!,IF('INHERENT MAP'!$B$5=2023,#REF!,IF('INHERENT MAP'!$B$5=2024,#REF!,#REF!))))</f>
        <v>0</v>
      </c>
      <c r="Q4" t="str">
        <f>IF('INHERENT MAP'!$B$5=2021,'РЕЕСТР РИСКОВ_2023'!V41,IF('INHERENT MAP'!$B$5=2022,#REF!,IF('INHERENT MAP'!$B$5=2023,#REF!,IF('INHERENT MAP'!$B$5=2024,#REF!,#REF!))))</f>
        <v>Угрозы</v>
      </c>
      <c r="R4" t="str">
        <f>IF('INHERENT MAP'!$B$5=2021,'РЕЕСТР РИСКОВ_2023'!W41,IF('INHERENT MAP'!$B$5=2022,#REF!,IF('INHERENT MAP'!$B$5=2023,#REF!,IF('INHERENT MAP'!$B$5=2024,#REF!,#REF!))))</f>
        <v>Доля рынка грузовых перевозок 
2020- 99,2%,
2021- 84,48%</v>
      </c>
      <c r="S4">
        <f>IF('INHERENT MAP'!$B$5=2021,'РЕЕСТР РИСКОВ_2023'!X41,IF('INHERENT MAP'!$B$5=2022,#REF!,IF('INHERENT MAP'!$B$5=2023,#REF!,IF('INHERENT MAP'!$B$5=2024,#REF!,#REF!))))</f>
        <v>0</v>
      </c>
      <c r="T4" s="94">
        <f>IF('INHERENT MAP'!$B$5=2021,'РЕЕСТР РИСКОВ_2023'!Y41,IF('INHERENT MAP'!$B$5=2022,#REF!,IF('INHERENT MAP'!$B$5=2023,#REF!,IF('INHERENT MAP'!$B$5=2024,#REF!,#REF!))))</f>
        <v>1</v>
      </c>
      <c r="U4">
        <f>IF('INHERENT MAP'!$B$5=2021,'РЕЕСТР РИСКОВ_2023'!Z41,IF('INHERENT MAP'!$B$5=2022,#REF!,IF('INHERENT MAP'!$B$5=2023,#REF!,IF('INHERENT MAP'!$B$5=2024,#REF!,#REF!))))</f>
        <v>-15630</v>
      </c>
      <c r="V4">
        <f>IF('INHERENT MAP'!$B$5=2021,'РЕЕСТР РИСКОВ_2023'!AA41,IF('INHERENT MAP'!$B$5=2022,#REF!,IF('INHERENT MAP'!$B$5=2023,#REF!,IF('INHERENT MAP'!$B$5=2024,#REF!,#REF!))))</f>
        <v>-15630</v>
      </c>
      <c r="W4" t="str">
        <f>IF('INHERENT MAP'!$B$5=2021,'РЕЕСТР РИСКОВ_2023'!AB41,IF('INHERENT MAP'!$B$5=2022,#REF!,IF('INHERENT MAP'!$B$5=2023,#REF!,IF('INHERENT MAP'!$B$5=2024,#REF!,#REF!))))</f>
        <v>Сумма дохода учтена в Бюджете ГП. Либерализация железнодорожного рынка по государственной инициативе, пилотный проект до 2025 года, расширение маршрутов с помощью электротяги</v>
      </c>
      <c r="X4" s="94">
        <f>IF('INHERENT MAP'!$B$5=2021,'РЕЕСТР РИСКОВ_2023'!AC41,IF('INHERENT MAP'!$B$5=2022,#REF!,IF('INHERENT MAP'!$B$5=2023,#REF!,IF('INHERENT MAP'!$B$5=2024,#REF!,#REF!))))</f>
        <v>0.99084175724693513</v>
      </c>
      <c r="Y4">
        <f>IF('INHERENT MAP'!$B$5=2021,'РЕЕСТР РИСКОВ_2023'!AD41,IF('INHERENT MAP'!$B$5=2022,#REF!,IF('INHERENT MAP'!$B$5=2023,#REF!,IF('INHERENT MAP'!$B$5=2024,#REF!,#REF!))))</f>
        <v>-14586.878000000001</v>
      </c>
      <c r="Z4">
        <f>IF('INHERENT MAP'!$B$5=2021,'РЕЕСТР РИСКОВ_2023'!AE41,IF('INHERENT MAP'!$B$5=2022,#REF!,IF('INHERENT MAP'!$B$5=2023,#REF!,IF('INHERENT MAP'!$B$5=2024,#REF!,#REF!))))</f>
        <v>-14453.28783026666</v>
      </c>
      <c r="AA4" t="str">
        <f>IF('INHERENT MAP'!$B$5=2021,'РЕЕСТР РИСКОВ_2023'!AF41,IF('INHERENT MAP'!$B$5=2022,#REF!,IF('INHERENT MAP'!$B$5=2023,#REF!,IF('INHERENT MAP'!$B$5=2024,#REF!,#REF!))))</f>
        <v>1год</v>
      </c>
      <c r="AB4" t="str">
        <f>IF('INHERENT MAP'!$B$5=2021,'РЕЕСТР РИСКОВ_2023'!AG41,IF('INHERENT MAP'!$B$5=2022,#REF!,IF('INHERENT MAP'!$B$5=2023,#REF!,IF('INHERENT MAP'!$B$5=2024,#REF!,#REF!))))</f>
        <v>высокий</v>
      </c>
      <c r="AC4">
        <f>IF('INHERENT MAP'!$B$5=2021,'РЕЕСТР РИСКОВ_2023'!AH41,IF('INHERENT MAP'!$B$5=2022,#REF!,IF('INHERENT MAP'!$B$5=2023,#REF!,IF('INHERENT MAP'!$B$5=2024,#REF!,#REF!))))</f>
        <v>0</v>
      </c>
      <c r="AD4" t="str">
        <f>IF('INHERENT MAP'!$B$5=2021,'РЕЕСТР РИСКОВ_2023'!AI41,IF('INHERENT MAP'!$B$5=2022,#REF!,IF('INHERENT MAP'!$B$5=2023,#REF!,IF('INHERENT MAP'!$B$5=2024,#REF!,#REF!))))</f>
        <v>1. Проведение опроса грузоотправителей для выявления проблемных вопросов;                                                                                                                                                                    2. Выявление  проблемных вопросов по исполнению плановых показатетелей (объемы перевозок, скорость перевозки, передача поездов по стыкам и другие).                                                                                                                                                                                                                                           3. Разработка новых нормативных актов, внесение именений в действующие для устранения проблемных вопросов.                                                                                                                                                                                                                                   4. Предложение благоприятных тарифных условий для грузоотправителей (работающих непосредственно с частными перевозчиками) с учетом скорейшего отправления однородного груза (вертушек) без задержки на станционных путях в ожидании накопления или других факторов препятствующих незамедлительной отправке с условием увеличения объемов перевозки грузов. 
5. Формирование шатл-поездов с ускоренной доставкой грузов.    
6. Предоставление клиентам доступа к информационной системе для приема и обработки заявок и перевозок грузов в on-line режиме с любого мобильного устройства.                                                                                                                                                                                                                                                                                            7. Мониторинг объемов, выполняемых частными перевозчиками, а также контроль запланированных объемов в среднесрочной переспективе</v>
      </c>
      <c r="AE4" t="str">
        <f>IF('INHERENT MAP'!$B$5=2021,'РЕЕСТР РИСКОВ_2023'!AK41,IF('INHERENT MAP'!$B$5=2022,#REF!,IF('INHERENT MAP'!$B$5=2023,#REF!,IF('INHERENT MAP'!$B$5=2024,#REF!,#REF!))))</f>
        <v xml:space="preserve">АО "КТЖ-Грузовые перевозки"
ГППМ, ГППВ, ГПЭ, ГПВР, ГПКП, ГПМ, ГППЭ, ГППТ, ГППГ, ГПВ, ГПД, ГПАИС,  НОДГП </v>
      </c>
      <c r="AF4">
        <f>IF('INHERENT MAP'!$B$5=2021,'РЕЕСТР РИСКОВ_2023'!AL41,IF('INHERENT MAP'!$B$5=2022,#REF!,IF('INHERENT MAP'!$B$5=2023,#REF!,IF('INHERENT MAP'!$B$5=2024,#REF!,#REF!))))</f>
        <v>0</v>
      </c>
      <c r="AG4" t="str">
        <f>IF('INHERENT MAP'!$B$5=2021,'РЕЕСТР РИСКОВ_2023'!AM41,IF('INHERENT MAP'!$B$5=2022,#REF!,IF('INHERENT MAP'!$B$5=2023,#REF!,IF('INHERENT MAP'!$B$5=2024,#REF!,#REF!))))</f>
        <v>средняя</v>
      </c>
      <c r="AH4">
        <f>IF('INHERENT MAP'!$B$5=2021,'РЕЕСТР РИСКОВ_2023'!AN41,IF('INHERENT MAP'!$B$5=2022,#REF!,IF('INHERENT MAP'!$B$5=2023,#REF!,IF('INHERENT MAP'!$B$5=2024,#REF!,#REF!))))</f>
        <v>0.5</v>
      </c>
      <c r="AI4">
        <f>IF('INHERENT MAP'!$B$5=2021,'РЕЕСТР РИСКОВ_2023'!AO41,IF('INHERENT MAP'!$B$5=2022,#REF!,IF('INHERENT MAP'!$B$5=2023,#REF!,IF('INHERENT MAP'!$B$5=2024,#REF!,#REF!))))</f>
        <v>-7815</v>
      </c>
      <c r="AJ4">
        <f>IF('INHERENT MAP'!$B$5=2021,'РЕЕСТР РИСКОВ_2023'!AP41,IF('INHERENT MAP'!$B$5=2022,#REF!,IF('INHERENT MAP'!$B$5=2023,#REF!,IF('INHERENT MAP'!$B$5=2024,#REF!,#REF!))))</f>
        <v>-3907.5</v>
      </c>
    </row>
    <row r="5" spans="2:43">
      <c r="B5" t="str">
        <f>IF('INHERENT MAP'!$B$5=2021,IF('РЕЕСТР РИСКОВ_2023'!F42="",B4,'РЕЕСТР РИСКОВ_2023'!F42),IF('INHERENT MAP'!$B$5=2022,IF(#REF!="",B4,#REF!),IF('INHERENT MAP'!$B$5=2023,IF(#REF!="",B4,#REF!),IF('INHERENT MAP'!$B$5=2024,IF(#REF!="",B4,#REF!),IF('РЕЕСТР РИСКОВ_2023'!F42="",B4,'РЕЕСТР РИСКОВ_2023'!F42)))))</f>
        <v>РИСК ГРУЗООБОРОТА</v>
      </c>
      <c r="C5" t="str">
        <f>IF('INHERENT MAP'!$B$5=2021,IF('РЕЕСТР РИСКОВ_2023'!G42="",C4,'РЕЕСТР РИСКОВ_2023'!G42),IF('INHERENT MAP'!$B$5=2022,IF(#REF!="",C4,#REF!),IF('INHERENT MAP'!$B$5=2023,IF(#REF!="",C4,#REF!),IF('INHERENT MAP'!$B$5=2024,IF(#REF!="",C4,#REF!),IF('РЕЕСТР РИСКОВ_2023'!G42="",C4,'РЕЕСТР РИСКОВ_2023'!G42)))))</f>
        <v>- ХХХ млн. тенге</v>
      </c>
      <c r="D5" t="str">
        <f>IF('INHERENT MAP'!$B$5=2021,IF('РЕЕСТР РИСКОВ_2023'!H42="",D4,'РЕЕСТР РИСКОВ_2023'!H42),IF('INHERENT MAP'!$B$5=2022,IF(#REF!="",D4,#REF!),IF('INHERENT MAP'!$B$5=2023,IF(#REF!="",D4,#REF!),IF('INHERENT MAP'!$B$5=2024,IF(#REF!="",D4,#REF!),IF('РЕЕСТР РИСКОВ_2023'!H42="",D4,'РЕЕСТР РИСКОВ_2023'!H42)))))</f>
        <v>CTR-1</v>
      </c>
      <c r="E5" t="str">
        <f>IF('INHERENT MAP'!$B$5=2021,IF('РЕЕСТР РИСКОВ_2023'!I42="",E4,'РЕЕСТР РИСКОВ_2023'!I42),IF('INHERENT MAP'!$B$5=2022,IF(#REF!="",E4,#REF!),IF('INHERENT MAP'!$B$5=2023,IF(#REF!="",E4,#REF!),IF('INHERENT MAP'!$B$5=2024,IF(#REF!="",E4,#REF!),IF('РЕЕСТР РИСКОВ_2023'!I42="",E4,'РЕЕСТР РИСКОВ_2023'!I42)))))</f>
        <v>ЦЗД</v>
      </c>
      <c r="F5" t="str">
        <f>IF('INHERENT MAP'!$B$5=2021,IF('РЕЕСТР РИСКОВ_2023'!J42="",F4,'РЕЕСТР РИСКОВ_2023'!J42),IF('INHERENT MAP'!$B$5=2022,IF(#REF!="",F4,#REF!),IF('INHERENT MAP'!$B$5=2023,IF(#REF!="",F4,#REF!),IF('INHERENT MAP'!$B$5=2024,IF(#REF!="",F4,#REF!),IF('РЕЕСТР РИСКОВ_2023'!J42="",F4,'РЕЕСТР РИСКОВ_2023'!J42)))))</f>
        <v>ТОО "КТЖ-Грузовые перевозки"</v>
      </c>
      <c r="G5" t="str">
        <f>IF('INHERENT MAP'!$B$5=2021,IF('РЕЕСТР РИСКОВ_2023'!K42="",G4,'РЕЕСТР РИСКОВ_2023'!K42),IF('INHERENT MAP'!$B$5=2022,IF(#REF!="",G4,#REF!),IF('INHERENT MAP'!$B$5=2023,IF(#REF!="",G4,#REF!),IF('INHERENT MAP'!$B$5=2024,IF(#REF!="",G4,#REF!),IF('РЕЕСТР РИСКОВ_2023'!K42="",G4,'РЕЕСТР РИСКОВ_2023'!K42)))))</f>
        <v>Объем внутриреспубликанского грузооборота</v>
      </c>
      <c r="H5">
        <f>IF('INHERENT MAP'!$B$5=2021,'РЕЕСТР РИСКОВ_2023'!L42,IF('INHERENT MAP'!$B$5=2022,#REF!,IF('INHERENT MAP'!$B$5=2023,#REF!,IF('INHERENT MAP'!$B$5=2024,#REF!,#REF!))))</f>
        <v>0</v>
      </c>
      <c r="I5">
        <f>IF('INHERENT MAP'!$B$5=2021,'РЕЕСТР РИСКОВ_2023'!M42,IF('INHERENT MAP'!$B$5=2022,#REF!,IF('INHERENT MAP'!$B$5=2023,#REF!,IF('INHERENT MAP'!$B$5=2024,#REF!,#REF!))))</f>
        <v>0</v>
      </c>
      <c r="J5">
        <f>IF('INHERENT MAP'!$B$5=2021,'РЕЕСТР РИСКОВ_2023'!N42,IF('INHERENT MAP'!$B$5=2022,#REF!,IF('INHERENT MAP'!$B$5=2023,#REF!,IF('INHERENT MAP'!$B$5=2024,#REF!,#REF!))))</f>
        <v>0</v>
      </c>
      <c r="K5">
        <f>IF('INHERENT MAP'!$B$5=2021,'РЕЕСТР РИСКОВ_2023'!O42,IF('INHERENT MAP'!$B$5=2022,#REF!,IF('INHERENT MAP'!$B$5=2023,#REF!,IF('INHERENT MAP'!$B$5=2024,#REF!,#REF!))))</f>
        <v>0</v>
      </c>
      <c r="L5">
        <f>IF('INHERENT MAP'!$B$5=2021,'РЕЕСТР РИСКОВ_2023'!P42,IF('INHERENT MAP'!$B$5=2022,#REF!,IF('INHERENT MAP'!$B$5=2023,#REF!,IF('INHERENT MAP'!$B$5=2024,#REF!,#REF!))))</f>
        <v>0</v>
      </c>
      <c r="M5" t="str">
        <f>IF('INHERENT MAP'!$B$5=2021,IF('РЕЕСТР РИСКОВ_2023'!Q42="",M4,'РЕЕСТР РИСКОВ_2023'!Q42),IF('INHERENT MAP'!$B$5=2022,IF(#REF!="",M4,#REF!),IF('INHERENT MAP'!$B$5=2023,IF(#REF!="",M4,#REF!),IF('INHERENT MAP'!$B$5=2024,IF(#REF!="",M4,#REF!),IF('РЕЕСТР РИСКОВ_2023'!Q42="",M4,'РЕЕСТР РИСКОВ_2023'!Q42)))))</f>
        <v>Снижение спроса со стороны грузоотправителей (Kz)</v>
      </c>
      <c r="N5" t="str">
        <f>IF('INHERENT MAP'!$B$5=2021,IF('РЕЕСТР РИСКОВ_2023'!R42="",N4,'РЕЕСТР РИСКОВ_2023'!R42),IF('INHERENT MAP'!$B$5=2022,IF(#REF!="",N4,#REF!),IF('INHERENT MAP'!$B$5=2023,IF(#REF!="",N4,#REF!),IF('INHERENT MAP'!$B$5=2024,IF(#REF!="",N4,#REF!),IF('РЕЕСТР РИСКОВ_2023'!R42="",N4,'РЕЕСТР РИСКОВ_2023'!R42)))))</f>
        <v>Риск ухудшения качества предоставляемых услуг.</v>
      </c>
      <c r="O5" t="str">
        <f>'РЕЕСТР РИСКОВ_2023'!T42</f>
        <v>данные маркетиноговой службы по результатам анкетирования, КПД ГП.      информация от ЦМТ</v>
      </c>
      <c r="P5">
        <f>IF('РЕЕСТР РИСКОВ_2023'!U42="",P4,'РЕЕСТР РИСКОВ_2023'!U42)</f>
        <v>0</v>
      </c>
      <c r="Q5" t="str">
        <f>IF('РЕЕСТР РИСКОВ_2023'!V42="",Q4,'РЕЕСТР РИСКОВ_2023'!V42)</f>
        <v>Угрозы</v>
      </c>
      <c r="R5" t="str">
        <f>IF('РЕЕСТР РИСКОВ_2023'!W42="",R4,'РЕЕСТР РИСКОВ_2023'!W42)</f>
        <v>Обзор удовлетворенности клиентов 
2018-  46,8%
2019- 64,8%
2020 - 65%
2021 - 66%</v>
      </c>
      <c r="S5">
        <f>'РЕЕСТР РИСКОВ_2023'!X42</f>
        <v>0</v>
      </c>
      <c r="T5" s="94">
        <f>IF('INHERENT MAP'!$B$5=2021,'РЕЕСТР РИСКОВ_2023'!Y42,IF('INHERENT MAP'!$B$5=2022,#REF!,IF('INHERENT MAP'!$B$5=2023,#REF!,IF('INHERENT MAP'!$B$5=2024,#REF!,#REF!))))</f>
        <v>1</v>
      </c>
      <c r="U5">
        <f>IF('INHERENT MAP'!$B$5=2021,'РЕЕСТР РИСКОВ_2023'!Z42,IF('INHERENT MAP'!$B$5=2022,#REF!,IF('INHERENT MAP'!$B$5=2023,#REF!,IF('INHERENT MAP'!$B$5=2024,#REF!,#REF!))))</f>
        <v>0</v>
      </c>
      <c r="V5">
        <f>IF('INHERENT MAP'!$B$5=2021,'РЕЕСТР РИСКОВ_2023'!AA42,IF('INHERENT MAP'!$B$5=2022,#REF!,IF('INHERENT MAP'!$B$5=2023,#REF!,IF('INHERENT MAP'!$B$5=2024,#REF!,#REF!))))</f>
        <v>0</v>
      </c>
      <c r="W5" t="str">
        <f>IF('INHERENT MAP'!$B$5=2021,'РЕЕСТР РИСКОВ_2023'!AB42,IF('INHERENT MAP'!$B$5=2022,#REF!,IF('INHERENT MAP'!$B$5=2023,#REF!,IF('INHERENT MAP'!$B$5=2024,#REF!,#REF!))))</f>
        <v>Влияние на доход не возможно учесть, в связи с несовершненством клиентской базы.</v>
      </c>
      <c r="X5" s="94">
        <f>IF('INHERENT MAP'!$B$5=2021,'РЕЕСТР РИСКОВ_2023'!AC42,IF('INHERENT MAP'!$B$5=2022,#REF!,IF('INHERENT MAP'!$B$5=2023,#REF!,IF('INHERENT MAP'!$B$5=2024,#REF!,#REF!))))</f>
        <v>0</v>
      </c>
      <c r="Y5">
        <f>IF('INHERENT MAP'!$B$5=2021,'РЕЕСТР РИСКОВ_2023'!AD42,IF('INHERENT MAP'!$B$5=2022,#REF!,IF('INHERENT MAP'!$B$5=2023,#REF!,IF('INHERENT MAP'!$B$5=2024,#REF!,#REF!))))</f>
        <v>0</v>
      </c>
      <c r="Z5">
        <f>IF('INHERENT MAP'!$B$5=2021,'РЕЕСТР РИСКОВ_2023'!AE42,IF('INHERENT MAP'!$B$5=2022,#REF!,IF('INHERENT MAP'!$B$5=2023,#REF!,IF('INHERENT MAP'!$B$5=2024,#REF!,#REF!))))</f>
        <v>0</v>
      </c>
      <c r="AA5">
        <f>IF('INHERENT MAP'!$B$5=2021,'РЕЕСТР РИСКОВ_2023'!AF42,IF('INHERENT MAP'!$B$5=2022,#REF!,IF('INHERENT MAP'!$B$5=2023,#REF!,IF('INHERENT MAP'!$B$5=2024,#REF!,#REF!))))</f>
        <v>0</v>
      </c>
      <c r="AB5">
        <f>IF('INHERENT MAP'!$B$5=2021,'РЕЕСТР РИСКОВ_2023'!AG42,IF('INHERENT MAP'!$B$5=2022,#REF!,IF('INHERENT MAP'!$B$5=2023,#REF!,IF('INHERENT MAP'!$B$5=2024,#REF!,#REF!))))</f>
        <v>0</v>
      </c>
      <c r="AC5">
        <f>IF('INHERENT MAP'!$B$5=2021,'РЕЕСТР РИСКОВ_2023'!AH42,IF('INHERENT MAP'!$B$5=2022,#REF!,IF('INHERENT MAP'!$B$5=2023,#REF!,IF('INHERENT MAP'!$B$5=2024,#REF!,#REF!))))</f>
        <v>0</v>
      </c>
      <c r="AD5" t="str">
        <f>IF('INHERENT MAP'!$B$5=2021,'РЕЕСТР РИСКОВ_2023'!AI42,IF('INHERENT MAP'!$B$5=2022,#REF!,IF('INHERENT MAP'!$B$5=2023,#REF!,IF('INHERENT MAP'!$B$5=2024,#REF!,#REF!))))</f>
        <v xml:space="preserve">1.  Проведение опроса грузоотправителей для выявления проблемных вопросов по взаимодействию с участниками процесса перевозки грузов;                                                                                                                                                                                                                                                                   2. Разработка и мониторинг плана мероприятий по результатам анкетирования клиентов по улучшению качества обслуживания клиентов. Информирование клиентов о реализации предложений, указанных в анкете.                                                                                                                                                                                                        
3. Улучшение программы АСУ ДКР (переход на безбумажное оформление перевозочных документов, реализация мобильного приложения АСУ ДКР);                                                                                                                                 
4. Создание роликов в социальных сетях и на сайте ТОО "КТЖ-Грузовые перевозки" с пошаговой инструкцией для клиентов;                                                                                                                                                                          5. Отмена повторного запроса учредительных документов у клиентов путем формирования базы по клиентам.                                                                  6. Проведение встреч (конференций с применением программ удаленного доступа) с участием грузоотправителей и грузополучателей (зерновики, угольщики) .                                                                                                                                                                   7. Проведение мониторинга строительства альтернативных участков железных дорог в обход Казахстана;                                                                                                                 8. Проведение мониторинга государственной поддержки перевозки грузов на дальние расстояния внутри государства;                         9. Проведение встреч (конференций с применением программ удаленного доступа) с участием работников соседниж ЖДА;    10. Увеличение процента вакцинированных сотрудников:                                                                                                                                        11. Разработка и реализация программы контейнеризации грузов;                                                                                                                        12. Привлечение локомотивов сторонних организаций;                                                                                                                                                    13. Применение локомобилей для подачи/уюорки групп вагонов с выставочных путей станции до горузоплучателей.                 14. Заключение соглашений о совместном сотрудничестве с владельцами терминалов и подъездных путей;                                 15. Запуск электронной площадки торговли комлексной услуги по перевозке грузов.                                                                                </v>
      </c>
      <c r="AE5" t="str">
        <f>IF('INHERENT MAP'!$B$5=2021,'РЕЕСТР РИСКОВ_2023'!AK42,IF('INHERENT MAP'!$B$5=2022,#REF!,IF('INHERENT MAP'!$B$5=2023,#REF!,IF('INHERENT MAP'!$B$5=2024,#REF!,#REF!))))</f>
        <v>АО "КТЖ-Грузовые перевозки"</v>
      </c>
      <c r="AF5">
        <f>IF('INHERENT MAP'!$B$5=2021,'РЕЕСТР РИСКОВ_2023'!AL42,IF('INHERENT MAP'!$B$5=2022,#REF!,IF('INHERENT MAP'!$B$5=2023,#REF!,IF('INHERENT MAP'!$B$5=2024,#REF!,#REF!))))</f>
        <v>0</v>
      </c>
      <c r="AG5" t="str">
        <f>IF('INHERENT MAP'!$B$5=2021,'РЕЕСТР РИСКОВ_2023'!AM42,IF('INHERENT MAP'!$B$5=2022,#REF!,IF('INHERENT MAP'!$B$5=2023,#REF!,IF('INHERENT MAP'!$B$5=2024,#REF!,#REF!))))</f>
        <v>низкая</v>
      </c>
      <c r="AH5">
        <f>IF('INHERENT MAP'!$B$5=2021,'РЕЕСТР РИСКОВ_2023'!AN42,IF('INHERENT MAP'!$B$5=2022,#REF!,IF('INHERENT MAP'!$B$5=2023,#REF!,IF('INHERENT MAP'!$B$5=2024,#REF!,#REF!))))</f>
        <v>1</v>
      </c>
      <c r="AI5">
        <f>IF('INHERENT MAP'!$B$5=2021,'РЕЕСТР РИСКОВ_2023'!AO42,IF('INHERENT MAP'!$B$5=2022,#REF!,IF('INHERENT MAP'!$B$5=2023,#REF!,IF('INHERENT MAP'!$B$5=2024,#REF!,#REF!))))</f>
        <v>0</v>
      </c>
      <c r="AJ5">
        <f>IF('INHERENT MAP'!$B$5=2021,'РЕЕСТР РИСКОВ_2023'!AP42,IF('INHERENT MAP'!$B$5=2022,#REF!,IF('INHERENT MAP'!$B$5=2023,#REF!,IF('INHERENT MAP'!$B$5=2024,#REF!,#REF!))))</f>
        <v>0</v>
      </c>
      <c r="AK5">
        <f>IF('РЕЕСТР РИСКОВ_2023'!AQ42="",AK4,'РЕЕСТР РИСКОВ_2023'!AQ42)</f>
        <v>0</v>
      </c>
      <c r="AL5">
        <f>IF('РЕЕСТР РИСКОВ_2023'!AR42="",AL4,'РЕЕСТР РИСКОВ_2023'!AR42)</f>
        <v>0</v>
      </c>
      <c r="AM5">
        <f>IF('РЕЕСТР РИСКОВ_2023'!AS42="",AM4,'РЕЕСТР РИСКОВ_2023'!AS42)</f>
        <v>0</v>
      </c>
      <c r="AN5">
        <f>IF('РЕЕСТР РИСКОВ_2023'!AT42="",AN4,'РЕЕСТР РИСКОВ_2023'!AT42)</f>
        <v>0</v>
      </c>
      <c r="AO5">
        <f>IF('РЕЕСТР РИСКОВ_2023'!AU42="",AO4,'РЕЕСТР РИСКОВ_2023'!AU42)</f>
        <v>0</v>
      </c>
    </row>
    <row r="6" spans="2:43">
      <c r="B6" t="str">
        <f>IF('INHERENT MAP'!$B$5=2021,IF('РЕЕСТР РИСКОВ_2023'!F43="",B5,'РЕЕСТР РИСКОВ_2023'!F43),IF('INHERENT MAP'!$B$5=2022,IF(#REF!="",B5,#REF!),IF('INHERENT MAP'!$B$5=2023,IF(#REF!="",B5,#REF!),IF('INHERENT MAP'!$B$5=2024,IF(#REF!="",B5,#REF!),IF('РЕЕСТР РИСКОВ_2023'!F43="",B5,'РЕЕСТР РИСКОВ_2023'!F43)))))</f>
        <v>РИСК ГРУЗООБОРОТА</v>
      </c>
      <c r="C6" t="str">
        <f>IF('INHERENT MAP'!$B$5=2021,IF('РЕЕСТР РИСКОВ_2023'!G43="",C5,'РЕЕСТР РИСКОВ_2023'!G43),IF('INHERENT MAP'!$B$5=2022,IF(#REF!="",C5,#REF!),IF('INHERENT MAP'!$B$5=2023,IF(#REF!="",C5,#REF!),IF('INHERENT MAP'!$B$5=2024,IF(#REF!="",C5,#REF!),IF('РЕЕСТР РИСКОВ_2023'!G43="",C5,'РЕЕСТР РИСКОВ_2023'!G43)))))</f>
        <v>- ХХХ млн. тенге</v>
      </c>
      <c r="D6" t="str">
        <f>IF('INHERENT MAP'!$B$5=2021,IF('РЕЕСТР РИСКОВ_2023'!H43="",D5,'РЕЕСТР РИСКОВ_2023'!H43),IF('INHERENT MAP'!$B$5=2022,IF(#REF!="",D5,#REF!),IF('INHERENT MAP'!$B$5=2023,IF(#REF!="",D5,#REF!),IF('INHERENT MAP'!$B$5=2024,IF(#REF!="",D5,#REF!),IF('РЕЕСТР РИСКОВ_2023'!H43="",D5,'РЕЕСТР РИСКОВ_2023'!H43)))))</f>
        <v>CTR-1</v>
      </c>
      <c r="E6" t="str">
        <f>IF('INHERENT MAP'!$B$5=2021,IF('РЕЕСТР РИСКОВ_2023'!I43="",E5,'РЕЕСТР РИСКОВ_2023'!I43),IF('INHERENT MAP'!$B$5=2022,IF(#REF!="",E5,#REF!),IF('INHERENT MAP'!$B$5=2023,IF(#REF!="",E5,#REF!),IF('INHERENT MAP'!$B$5=2024,IF(#REF!="",E5,#REF!),IF('РЕЕСТР РИСКОВ_2023'!I43="",E5,'РЕЕСТР РИСКОВ_2023'!I43)))))</f>
        <v>ЦЗД</v>
      </c>
      <c r="F6" t="str">
        <f>IF('INHERENT MAP'!$B$5=2021,IF('РЕЕСТР РИСКОВ_2023'!J43="",F5,'РЕЕСТР РИСКОВ_2023'!J43),IF('INHERENT MAP'!$B$5=2022,IF(#REF!="",F5,#REF!),IF('INHERENT MAP'!$B$5=2023,IF(#REF!="",F5,#REF!),IF('INHERENT MAP'!$B$5=2024,IF(#REF!="",F5,#REF!),IF('РЕЕСТР РИСКОВ_2023'!J43="",F5,'РЕЕСТР РИСКОВ_2023'!J43)))))</f>
        <v>ТОО "КТЖ-Грузовые перевозки"</v>
      </c>
      <c r="G6" t="str">
        <f>IF('INHERENT MAP'!$B$5=2021,IF('РЕЕСТР РИСКОВ_2023'!K43="",G5,'РЕЕСТР РИСКОВ_2023'!K43),IF('INHERENT MAP'!$B$5=2022,IF(#REF!="",G5,#REF!),IF('INHERENT MAP'!$B$5=2023,IF(#REF!="",G5,#REF!),IF('INHERENT MAP'!$B$5=2024,IF(#REF!="",G5,#REF!),IF('РЕЕСТР РИСКОВ_2023'!K43="",G5,'РЕЕСТР РИСКОВ_2023'!K43)))))</f>
        <v>Объем внутриреспубликанского грузооборота</v>
      </c>
      <c r="H6">
        <f>IF('INHERENT MAP'!$B$5=2021,'РЕЕСТР РИСКОВ_2023'!L43,IF('INHERENT MAP'!$B$5=2022,#REF!,IF('INHERENT MAP'!$B$5=2023,#REF!,IF('INHERENT MAP'!$B$5=2024,#REF!,#REF!))))</f>
        <v>0</v>
      </c>
      <c r="I6">
        <f>IF('INHERENT MAP'!$B$5=2021,'РЕЕСТР РИСКОВ_2023'!M43,IF('INHERENT MAP'!$B$5=2022,#REF!,IF('INHERENT MAP'!$B$5=2023,#REF!,IF('INHERENT MAP'!$B$5=2024,#REF!,#REF!))))</f>
        <v>0</v>
      </c>
      <c r="J6">
        <f>IF('INHERENT MAP'!$B$5=2021,'РЕЕСТР РИСКОВ_2023'!N43,IF('INHERENT MAP'!$B$5=2022,#REF!,IF('INHERENT MAP'!$B$5=2023,#REF!,IF('INHERENT MAP'!$B$5=2024,#REF!,#REF!))))</f>
        <v>0</v>
      </c>
      <c r="K6">
        <f>IF('INHERENT MAP'!$B$5=2021,'РЕЕСТР РИСКОВ_2023'!O43,IF('INHERENT MAP'!$B$5=2022,#REF!,IF('INHERENT MAP'!$B$5=2023,#REF!,IF('INHERENT MAP'!$B$5=2024,#REF!,#REF!))))</f>
        <v>0</v>
      </c>
      <c r="L6">
        <f>IF('INHERENT MAP'!$B$5=2021,'РЕЕСТР РИСКОВ_2023'!P43,IF('INHERENT MAP'!$B$5=2022,#REF!,IF('INHERENT MAP'!$B$5=2023,#REF!,IF('INHERENT MAP'!$B$5=2024,#REF!,#REF!))))</f>
        <v>0</v>
      </c>
      <c r="M6" t="str">
        <f>IF('INHERENT MAP'!$B$5=2021,IF('РЕЕСТР РИСКОВ_2023'!Q43="",M5,'РЕЕСТР РИСКОВ_2023'!Q43),IF('INHERENT MAP'!$B$5=2022,IF(#REF!="",M5,#REF!),IF('INHERENT MAP'!$B$5=2023,IF(#REF!="",M5,#REF!),IF('INHERENT MAP'!$B$5=2024,IF(#REF!="",M5,#REF!),IF('РЕЕСТР РИСКОВ_2023'!Q43="",M5,'РЕЕСТР РИСКОВ_2023'!Q43)))))</f>
        <v>Снижение спроса со стороны грузоотправителей (Kz)</v>
      </c>
      <c r="N6" t="str">
        <f>IF('INHERENT MAP'!$B$5=2021,IF('РЕЕСТР РИСКОВ_2023'!R43="",N5,'РЕЕСТР РИСКОВ_2023'!R43),IF('INHERENT MAP'!$B$5=2022,IF(#REF!="",N5,#REF!),IF('INHERENT MAP'!$B$5=2023,IF(#REF!="",N5,#REF!),IF('INHERENT MAP'!$B$5=2024,IF(#REF!="",N5,#REF!),IF('РЕЕСТР РИСКОВ_2023'!R43="",N5,'РЕЕСТР РИСКОВ_2023'!R43)))))</f>
        <v>Эпидемиологический риск (ER)</v>
      </c>
      <c r="O6">
        <f>'РЕЕСТР РИСКОВ_2023'!T43</f>
        <v>0</v>
      </c>
      <c r="P6">
        <f>IF('РЕЕСТР РИСКОВ_2023'!U43="",P5,'РЕЕСТР РИСКОВ_2023'!U43)</f>
        <v>0</v>
      </c>
      <c r="Q6" t="str">
        <f>IF('РЕЕСТР РИСКОВ_2023'!V43="",Q5,'РЕЕСТР РИСКОВ_2023'!V43)</f>
        <v>Угрозы</v>
      </c>
      <c r="R6" t="str">
        <f>IF('РЕЕСТР РИСКОВ_2023'!W43="",R5,'РЕЕСТР РИСКОВ_2023'!W43)</f>
        <v>Динамика прироста заболевших COVID-19 в Казахстане</v>
      </c>
      <c r="S6">
        <f>'РЕЕСТР РИСКОВ_2023'!X43</f>
        <v>0</v>
      </c>
      <c r="T6" s="94">
        <f>IF('INHERENT MAP'!$B$5=2021,'РЕЕСТР РИСКОВ_2023'!Y43,IF('INHERENT MAP'!$B$5=2022,#REF!,IF('INHERENT MAP'!$B$5=2023,#REF!,IF('INHERENT MAP'!$B$5=2024,#REF!,#REF!))))</f>
        <v>1</v>
      </c>
      <c r="U6">
        <f>IF('INHERENT MAP'!$B$5=2021,'РЕЕСТР РИСКОВ_2023'!Z43,IF('INHERENT MAP'!$B$5=2022,#REF!,IF('INHERENT MAP'!$B$5=2023,#REF!,IF('INHERENT MAP'!$B$5=2024,#REF!,#REF!))))</f>
        <v>0</v>
      </c>
      <c r="V6">
        <f>IF('INHERENT MAP'!$B$5=2021,'РЕЕСТР РИСКОВ_2023'!AA43,IF('INHERENT MAP'!$B$5=2022,#REF!,IF('INHERENT MAP'!$B$5=2023,#REF!,IF('INHERENT MAP'!$B$5=2024,#REF!,#REF!))))</f>
        <v>0</v>
      </c>
      <c r="W6">
        <f>IF('INHERENT MAP'!$B$5=2021,'РЕЕСТР РИСКОВ_2023'!AB43,IF('INHERENT MAP'!$B$5=2022,#REF!,IF('INHERENT MAP'!$B$5=2023,#REF!,IF('INHERENT MAP'!$B$5=2024,#REF!,#REF!))))</f>
        <v>0</v>
      </c>
      <c r="X6" s="94">
        <f>IF('INHERENT MAP'!$B$5=2021,'РЕЕСТР РИСКОВ_2023'!AC43,IF('INHERENT MAP'!$B$5=2022,#REF!,IF('INHERENT MAP'!$B$5=2023,#REF!,IF('INHERENT MAP'!$B$5=2024,#REF!,#REF!))))</f>
        <v>0</v>
      </c>
      <c r="Y6">
        <f>IF('INHERENT MAP'!$B$5=2021,'РЕЕСТР РИСКОВ_2023'!AD43,IF('INHERENT MAP'!$B$5=2022,#REF!,IF('INHERENT MAP'!$B$5=2023,#REF!,IF('INHERENT MAP'!$B$5=2024,#REF!,#REF!))))</f>
        <v>0</v>
      </c>
      <c r="Z6">
        <f>IF('INHERENT MAP'!$B$5=2021,'РЕЕСТР РИСКОВ_2023'!AE43,IF('INHERENT MAP'!$B$5=2022,#REF!,IF('INHERENT MAP'!$B$5=2023,#REF!,IF('INHERENT MAP'!$B$5=2024,#REF!,#REF!))))</f>
        <v>0</v>
      </c>
      <c r="AA6">
        <f>IF('INHERENT MAP'!$B$5=2021,'РЕЕСТР РИСКОВ_2023'!AF43,IF('INHERENT MAP'!$B$5=2022,#REF!,IF('INHERENT MAP'!$B$5=2023,#REF!,IF('INHERENT MAP'!$B$5=2024,#REF!,#REF!))))</f>
        <v>0</v>
      </c>
      <c r="AB6">
        <f>IF('INHERENT MAP'!$B$5=2021,'РЕЕСТР РИСКОВ_2023'!AG43,IF('INHERENT MAP'!$B$5=2022,#REF!,IF('INHERENT MAP'!$B$5=2023,#REF!,IF('INHERENT MAP'!$B$5=2024,#REF!,#REF!))))</f>
        <v>0</v>
      </c>
      <c r="AC6">
        <f>IF('INHERENT MAP'!$B$5=2021,'РЕЕСТР РИСКОВ_2023'!AH43,IF('INHERENT MAP'!$B$5=2022,#REF!,IF('INHERENT MAP'!$B$5=2023,#REF!,IF('INHERENT MAP'!$B$5=2024,#REF!,#REF!))))</f>
        <v>0</v>
      </c>
      <c r="AD6">
        <f>IF('INHERENT MAP'!$B$5=2021,'РЕЕСТР РИСКОВ_2023'!AI43,IF('INHERENT MAP'!$B$5=2022,#REF!,IF('INHERENT MAP'!$B$5=2023,#REF!,IF('INHERENT MAP'!$B$5=2024,#REF!,#REF!))))</f>
        <v>0</v>
      </c>
      <c r="AE6">
        <f>IF('INHERENT MAP'!$B$5=2021,'РЕЕСТР РИСКОВ_2023'!AK43,IF('INHERENT MAP'!$B$5=2022,#REF!,IF('INHERENT MAP'!$B$5=2023,#REF!,IF('INHERENT MAP'!$B$5=2024,#REF!,#REF!))))</f>
        <v>0</v>
      </c>
      <c r="AF6">
        <f>IF('INHERENT MAP'!$B$5=2021,'РЕЕСТР РИСКОВ_2023'!AL43,IF('INHERENT MAP'!$B$5=2022,#REF!,IF('INHERENT MAP'!$B$5=2023,#REF!,IF('INHERENT MAP'!$B$5=2024,#REF!,#REF!))))</f>
        <v>0</v>
      </c>
      <c r="AG6">
        <f>IF('INHERENT MAP'!$B$5=2021,'РЕЕСТР РИСКОВ_2023'!AM43,IF('INHERENT MAP'!$B$5=2022,#REF!,IF('INHERENT MAP'!$B$5=2023,#REF!,IF('INHERENT MAP'!$B$5=2024,#REF!,#REF!))))</f>
        <v>0</v>
      </c>
      <c r="AH6">
        <f>IF('INHERENT MAP'!$B$5=2021,'РЕЕСТР РИСКОВ_2023'!AN43,IF('INHERENT MAP'!$B$5=2022,#REF!,IF('INHERENT MAP'!$B$5=2023,#REF!,IF('INHERENT MAP'!$B$5=2024,#REF!,#REF!))))</f>
        <v>0</v>
      </c>
      <c r="AI6">
        <f>IF('INHERENT MAP'!$B$5=2021,'РЕЕСТР РИСКОВ_2023'!AO43,IF('INHERENT MAP'!$B$5=2022,#REF!,IF('INHERENT MAP'!$B$5=2023,#REF!,IF('INHERENT MAP'!$B$5=2024,#REF!,#REF!))))</f>
        <v>0</v>
      </c>
      <c r="AJ6">
        <f>IF('INHERENT MAP'!$B$5=2021,'РЕЕСТР РИСКОВ_2023'!AP43,IF('INHERENT MAP'!$B$5=2022,#REF!,IF('INHERENT MAP'!$B$5=2023,#REF!,IF('INHERENT MAP'!$B$5=2024,#REF!,#REF!))))</f>
        <v>0</v>
      </c>
      <c r="AK6">
        <f>IF('РЕЕСТР РИСКОВ_2023'!AQ43="",AK5,'РЕЕСТР РИСКОВ_2023'!AQ43)</f>
        <v>0</v>
      </c>
      <c r="AL6">
        <f>IF('РЕЕСТР РИСКОВ_2023'!AR43="",AL5,'РЕЕСТР РИСКОВ_2023'!AR43)</f>
        <v>0</v>
      </c>
      <c r="AM6">
        <f>IF('РЕЕСТР РИСКОВ_2023'!AS43="",AM5,'РЕЕСТР РИСКОВ_2023'!AS43)</f>
        <v>0</v>
      </c>
      <c r="AN6">
        <f>IF('РЕЕСТР РИСКОВ_2023'!AT43="",AN5,'РЕЕСТР РИСКОВ_2023'!AT43)</f>
        <v>0</v>
      </c>
      <c r="AO6">
        <f>IF('РЕЕСТР РИСКОВ_2023'!AU43="",AO5,'РЕЕСТР РИСКОВ_2023'!AU43)</f>
        <v>0</v>
      </c>
    </row>
    <row r="7" spans="2:43">
      <c r="B7" t="str">
        <f>IF('INHERENT MAP'!$B$5=2021,IF('РЕЕСТР РИСКОВ_2023'!F44="",B6,'РЕЕСТР РИСКОВ_2023'!F44),IF('INHERENT MAP'!$B$5=2022,IF(#REF!="",B6,#REF!),IF('INHERENT MAP'!$B$5=2023,IF(#REF!="",B6,#REF!),IF('INHERENT MAP'!$B$5=2024,IF(#REF!="",B6,#REF!),IF('РЕЕСТР РИСКОВ_2023'!F44="",B6,'РЕЕСТР РИСКОВ_2023'!F44)))))</f>
        <v>РИСК ГРУЗООБОРОТА</v>
      </c>
      <c r="C7" t="str">
        <f>IF('INHERENT MAP'!$B$5=2021,IF('РЕЕСТР РИСКОВ_2023'!G44="",C6,'РЕЕСТР РИСКОВ_2023'!G44),IF('INHERENT MAP'!$B$5=2022,IF(#REF!="",C6,#REF!),IF('INHERENT MAP'!$B$5=2023,IF(#REF!="",C6,#REF!),IF('INHERENT MAP'!$B$5=2024,IF(#REF!="",C6,#REF!),IF('РЕЕСТР РИСКОВ_2023'!G44="",C6,'РЕЕСТР РИСКОВ_2023'!G44)))))</f>
        <v>- ХХХ млн. тенге</v>
      </c>
      <c r="D7" t="str">
        <f>IF('INHERENT MAP'!$B$5=2021,IF('РЕЕСТР РИСКОВ_2023'!H44="",D6,'РЕЕСТР РИСКОВ_2023'!H44),IF('INHERENT MAP'!$B$5=2022,IF(#REF!="",D6,#REF!),IF('INHERENT MAP'!$B$5=2023,IF(#REF!="",D6,#REF!),IF('INHERENT MAP'!$B$5=2024,IF(#REF!="",D6,#REF!),IF('РЕЕСТР РИСКОВ_2023'!H44="",D6,'РЕЕСТР РИСКОВ_2023'!H44)))))</f>
        <v>CTR-1</v>
      </c>
      <c r="E7" t="str">
        <f>IF('INHERENT MAP'!$B$5=2021,IF('РЕЕСТР РИСКОВ_2023'!I44="",E6,'РЕЕСТР РИСКОВ_2023'!I44),IF('INHERENT MAP'!$B$5=2022,IF(#REF!="",E6,#REF!),IF('INHERENT MAP'!$B$5=2023,IF(#REF!="",E6,#REF!),IF('INHERENT MAP'!$B$5=2024,IF(#REF!="",E6,#REF!),IF('РЕЕСТР РИСКОВ_2023'!I44="",E6,'РЕЕСТР РИСКОВ_2023'!I44)))))</f>
        <v>ЦЗД</v>
      </c>
      <c r="F7" t="str">
        <f>IF('INHERENT MAP'!$B$5=2021,IF('РЕЕСТР РИСКОВ_2023'!J44="",F6,'РЕЕСТР РИСКОВ_2023'!J44),IF('INHERENT MAP'!$B$5=2022,IF(#REF!="",F6,#REF!),IF('INHERENT MAP'!$B$5=2023,IF(#REF!="",F6,#REF!),IF('INHERENT MAP'!$B$5=2024,IF(#REF!="",F6,#REF!),IF('РЕЕСТР РИСКОВ_2023'!J44="",F6,'РЕЕСТР РИСКОВ_2023'!J44)))))</f>
        <v>ТОО "КТЖ-Грузовые перевозки"</v>
      </c>
      <c r="G7" t="str">
        <f>IF('INHERENT MAP'!$B$5=2021,IF('РЕЕСТР РИСКОВ_2023'!K44="",G6,'РЕЕСТР РИСКОВ_2023'!K44),IF('INHERENT MAP'!$B$5=2022,IF(#REF!="",G6,#REF!),IF('INHERENT MAP'!$B$5=2023,IF(#REF!="",G6,#REF!),IF('INHERENT MAP'!$B$5=2024,IF(#REF!="",G6,#REF!),IF('РЕЕСТР РИСКОВ_2023'!K44="",G6,'РЕЕСТР РИСКОВ_2023'!K44)))))</f>
        <v>Объем внутриреспубликанского грузооборота</v>
      </c>
      <c r="H7">
        <f>IF('INHERENT MAP'!$B$5=2021,'РЕЕСТР РИСКОВ_2023'!L44,IF('INHERENT MAP'!$B$5=2022,#REF!,IF('INHERENT MAP'!$B$5=2023,#REF!,IF('INHERENT MAP'!$B$5=2024,#REF!,#REF!))))</f>
        <v>0</v>
      </c>
      <c r="I7">
        <f>IF('INHERENT MAP'!$B$5=2021,'РЕЕСТР РИСКОВ_2023'!M44,IF('INHERENT MAP'!$B$5=2022,#REF!,IF('INHERENT MAP'!$B$5=2023,#REF!,IF('INHERENT MAP'!$B$5=2024,#REF!,#REF!))))</f>
        <v>0</v>
      </c>
      <c r="J7">
        <f>IF('INHERENT MAP'!$B$5=2021,'РЕЕСТР РИСКОВ_2023'!N44,IF('INHERENT MAP'!$B$5=2022,#REF!,IF('INHERENT MAP'!$B$5=2023,#REF!,IF('INHERENT MAP'!$B$5=2024,#REF!,#REF!))))</f>
        <v>0</v>
      </c>
      <c r="K7">
        <f>IF('INHERENT MAP'!$B$5=2021,'РЕЕСТР РИСКОВ_2023'!O44,IF('INHERENT MAP'!$B$5=2022,#REF!,IF('INHERENT MAP'!$B$5=2023,#REF!,IF('INHERENT MAP'!$B$5=2024,#REF!,#REF!))))</f>
        <v>0</v>
      </c>
      <c r="L7">
        <f>IF('INHERENT MAP'!$B$5=2021,'РЕЕСТР РИСКОВ_2023'!P44,IF('INHERENT MAP'!$B$5=2022,#REF!,IF('INHERENT MAP'!$B$5=2023,#REF!,IF('INHERENT MAP'!$B$5=2024,#REF!,#REF!))))</f>
        <v>0</v>
      </c>
      <c r="M7" t="str">
        <f>IF('INHERENT MAP'!$B$5=2021,IF('РЕЕСТР РИСКОВ_2023'!Q44="",M6,'РЕЕСТР РИСКОВ_2023'!Q44),IF('INHERENT MAP'!$B$5=2022,IF(#REF!="",M6,#REF!),IF('INHERENT MAP'!$B$5=2023,IF(#REF!="",M6,#REF!),IF('INHERENT MAP'!$B$5=2024,IF(#REF!="",M6,#REF!),IF('РЕЕСТР РИСКОВ_2023'!Q44="",M6,'РЕЕСТР РИСКОВ_2023'!Q44)))))</f>
        <v>Снижение спроса со стороны грузоотправителей (Kz)</v>
      </c>
      <c r="N7" t="str">
        <f>IF('INHERENT MAP'!$B$5=2021,IF('РЕЕСТР РИСКОВ_2023'!R44="",N6,'РЕЕСТР РИСКОВ_2023'!R44),IF('INHERENT MAP'!$B$5=2022,IF(#REF!="",N6,#REF!),IF('INHERENT MAP'!$B$5=2023,IF(#REF!="",N6,#REF!),IF('INHERENT MAP'!$B$5=2024,IF(#REF!="",N6,#REF!),IF('РЕЕСТР РИСКОВ_2023'!R44="",N6,'РЕЕСТР РИСКОВ_2023'!R44)))))</f>
        <v>Макро риск</v>
      </c>
      <c r="O7">
        <f>'РЕЕСТР РИСКОВ_2023'!T44</f>
        <v>0</v>
      </c>
      <c r="P7">
        <f>IF('РЕЕСТР РИСКОВ_2023'!U44="",P6,'РЕЕСТР РИСКОВ_2023'!U44)</f>
        <v>0</v>
      </c>
      <c r="Q7" t="str">
        <f>IF('РЕЕСТР РИСКОВ_2023'!V44="",Q6,'РЕЕСТР РИСКОВ_2023'!V44)</f>
        <v>Угрозы</v>
      </c>
      <c r="R7" t="str">
        <f>IF('РЕЕСТР РИСКОВ_2023'!W44="",R6,'РЕЕСТР РИСКОВ_2023'!W44)</f>
        <v>Гиперинфляция</v>
      </c>
      <c r="S7">
        <f>'РЕЕСТР РИСКОВ_2023'!X44</f>
        <v>0</v>
      </c>
      <c r="T7" s="94">
        <f>IF('INHERENT MAP'!$B$5=2021,'РЕЕСТР РИСКОВ_2023'!Y44,IF('INHERENT MAP'!$B$5=2022,#REF!,IF('INHERENT MAP'!$B$5=2023,#REF!,IF('INHERENT MAP'!$B$5=2024,#REF!,#REF!))))</f>
        <v>1</v>
      </c>
      <c r="U7">
        <f>IF('INHERENT MAP'!$B$5=2021,'РЕЕСТР РИСКОВ_2023'!Z44,IF('INHERENT MAP'!$B$5=2022,#REF!,IF('INHERENT MAP'!$B$5=2023,#REF!,IF('INHERENT MAP'!$B$5=2024,#REF!,#REF!))))</f>
        <v>0</v>
      </c>
      <c r="V7">
        <f>IF('INHERENT MAP'!$B$5=2021,'РЕЕСТР РИСКОВ_2023'!AA44,IF('INHERENT MAP'!$B$5=2022,#REF!,IF('INHERENT MAP'!$B$5=2023,#REF!,IF('INHERENT MAP'!$B$5=2024,#REF!,#REF!))))</f>
        <v>0</v>
      </c>
      <c r="W7">
        <f>IF('INHERENT MAP'!$B$5=2021,'РЕЕСТР РИСКОВ_2023'!AB44,IF('INHERENT MAP'!$B$5=2022,#REF!,IF('INHERENT MAP'!$B$5=2023,#REF!,IF('INHERENT MAP'!$B$5=2024,#REF!,#REF!))))</f>
        <v>0</v>
      </c>
      <c r="X7" s="94">
        <f>IF('INHERENT MAP'!$B$5=2021,'РЕЕСТР РИСКОВ_2023'!AC44,IF('INHERENT MAP'!$B$5=2022,#REF!,IF('INHERENT MAP'!$B$5=2023,#REF!,IF('INHERENT MAP'!$B$5=2024,#REF!,#REF!))))</f>
        <v>0</v>
      </c>
      <c r="Y7">
        <f>IF('INHERENT MAP'!$B$5=2021,'РЕЕСТР РИСКОВ_2023'!AD44,IF('INHERENT MAP'!$B$5=2022,#REF!,IF('INHERENT MAP'!$B$5=2023,#REF!,IF('INHERENT MAP'!$B$5=2024,#REF!,#REF!))))</f>
        <v>0</v>
      </c>
      <c r="Z7">
        <f>IF('INHERENT MAP'!$B$5=2021,'РЕЕСТР РИСКОВ_2023'!AE44,IF('INHERENT MAP'!$B$5=2022,#REF!,IF('INHERENT MAP'!$B$5=2023,#REF!,IF('INHERENT MAP'!$B$5=2024,#REF!,#REF!))))</f>
        <v>0</v>
      </c>
      <c r="AA7">
        <f>IF('INHERENT MAP'!$B$5=2021,'РЕЕСТР РИСКОВ_2023'!AF44,IF('INHERENT MAP'!$B$5=2022,#REF!,IF('INHERENT MAP'!$B$5=2023,#REF!,IF('INHERENT MAP'!$B$5=2024,#REF!,#REF!))))</f>
        <v>0</v>
      </c>
      <c r="AB7">
        <f>IF('INHERENT MAP'!$B$5=2021,'РЕЕСТР РИСКОВ_2023'!AG44,IF('INHERENT MAP'!$B$5=2022,#REF!,IF('INHERENT MAP'!$B$5=2023,#REF!,IF('INHERENT MAP'!$B$5=2024,#REF!,#REF!))))</f>
        <v>0</v>
      </c>
      <c r="AC7">
        <f>IF('INHERENT MAP'!$B$5=2021,'РЕЕСТР РИСКОВ_2023'!AH44,IF('INHERENT MAP'!$B$5=2022,#REF!,IF('INHERENT MAP'!$B$5=2023,#REF!,IF('INHERENT MAP'!$B$5=2024,#REF!,#REF!))))</f>
        <v>0</v>
      </c>
      <c r="AD7">
        <f>IF('INHERENT MAP'!$B$5=2021,'РЕЕСТР РИСКОВ_2023'!AI44,IF('INHERENT MAP'!$B$5=2022,#REF!,IF('INHERENT MAP'!$B$5=2023,#REF!,IF('INHERENT MAP'!$B$5=2024,#REF!,#REF!))))</f>
        <v>0</v>
      </c>
      <c r="AE7">
        <f>IF('INHERENT MAP'!$B$5=2021,'РЕЕСТР РИСКОВ_2023'!AK44,IF('INHERENT MAP'!$B$5=2022,#REF!,IF('INHERENT MAP'!$B$5=2023,#REF!,IF('INHERENT MAP'!$B$5=2024,#REF!,#REF!))))</f>
        <v>0</v>
      </c>
      <c r="AF7">
        <f>IF('INHERENT MAP'!$B$5=2021,'РЕЕСТР РИСКОВ_2023'!AL44,IF('INHERENT MAP'!$B$5=2022,#REF!,IF('INHERENT MAP'!$B$5=2023,#REF!,IF('INHERENT MAP'!$B$5=2024,#REF!,#REF!))))</f>
        <v>0</v>
      </c>
      <c r="AG7">
        <f>IF('INHERENT MAP'!$B$5=2021,'РЕЕСТР РИСКОВ_2023'!AM44,IF('INHERENT MAP'!$B$5=2022,#REF!,IF('INHERENT MAP'!$B$5=2023,#REF!,IF('INHERENT MAP'!$B$5=2024,#REF!,#REF!))))</f>
        <v>0</v>
      </c>
      <c r="AH7">
        <f>IF('INHERENT MAP'!$B$5=2021,'РЕЕСТР РИСКОВ_2023'!AN44,IF('INHERENT MAP'!$B$5=2022,#REF!,IF('INHERENT MAP'!$B$5=2023,#REF!,IF('INHERENT MAP'!$B$5=2024,#REF!,#REF!))))</f>
        <v>0</v>
      </c>
      <c r="AI7">
        <f>IF('INHERENT MAP'!$B$5=2021,'РЕЕСТР РИСКОВ_2023'!AO44,IF('INHERENT MAP'!$B$5=2022,#REF!,IF('INHERENT MAP'!$B$5=2023,#REF!,IF('INHERENT MAP'!$B$5=2024,#REF!,#REF!))))</f>
        <v>0</v>
      </c>
      <c r="AJ7">
        <f>IF('INHERENT MAP'!$B$5=2021,'РЕЕСТР РИСКОВ_2023'!AP44,IF('INHERENT MAP'!$B$5=2022,#REF!,IF('INHERENT MAP'!$B$5=2023,#REF!,IF('INHERENT MAP'!$B$5=2024,#REF!,#REF!))))</f>
        <v>0</v>
      </c>
      <c r="AK7">
        <f>IF('РЕЕСТР РИСКОВ_2023'!AQ44="",AK6,'РЕЕСТР РИСКОВ_2023'!AQ44)</f>
        <v>0</v>
      </c>
      <c r="AL7">
        <f>IF('РЕЕСТР РИСКОВ_2023'!AR44="",AL6,'РЕЕСТР РИСКОВ_2023'!AR44)</f>
        <v>0</v>
      </c>
      <c r="AM7">
        <f>IF('РЕЕСТР РИСКОВ_2023'!AS44="",AM6,'РЕЕСТР РИСКОВ_2023'!AS44)</f>
        <v>0</v>
      </c>
      <c r="AN7">
        <f>IF('РЕЕСТР РИСКОВ_2023'!AT44="",AN6,'РЕЕСТР РИСКОВ_2023'!AT44)</f>
        <v>0</v>
      </c>
      <c r="AO7">
        <f>IF('РЕЕСТР РИСКОВ_2023'!AU44="",AO6,'РЕЕСТР РИСКОВ_2023'!AU44)</f>
        <v>0</v>
      </c>
    </row>
    <row r="8" spans="2:43">
      <c r="B8" t="str">
        <f>IF('INHERENT MAP'!$B$5=2021,IF('РЕЕСТР РИСКОВ_2023'!F45="",B7,'РЕЕСТР РИСКОВ_2023'!F45),IF('INHERENT MAP'!$B$5=2022,IF(#REF!="",B7,#REF!),IF('INHERENT MAP'!$B$5=2023,IF(#REF!="",B7,#REF!),IF('INHERENT MAP'!$B$5=2024,IF(#REF!="",B7,#REF!),IF('РЕЕСТР РИСКОВ_2023'!F45="",B7,'РЕЕСТР РИСКОВ_2023'!F45)))))</f>
        <v>РИСК ГРУЗООБОРОТА</v>
      </c>
      <c r="C8" t="str">
        <f>IF('INHERENT MAP'!$B$5=2021,IF('РЕЕСТР РИСКОВ_2023'!G45="",C7,'РЕЕСТР РИСКОВ_2023'!G45),IF('INHERENT MAP'!$B$5=2022,IF(#REF!="",C7,#REF!),IF('INHERENT MAP'!$B$5=2023,IF(#REF!="",C7,#REF!),IF('INHERENT MAP'!$B$5=2024,IF(#REF!="",C7,#REF!),IF('РЕЕСТР РИСКОВ_2023'!G45="",C7,'РЕЕСТР РИСКОВ_2023'!G45)))))</f>
        <v>- ХХХ млн. тенге</v>
      </c>
      <c r="D8" t="str">
        <f>IF('INHERENT MAP'!$B$5=2021,IF('РЕЕСТР РИСКОВ_2023'!H45="",D7,'РЕЕСТР РИСКОВ_2023'!H45),IF('INHERENT MAP'!$B$5=2022,IF(#REF!="",D7,#REF!),IF('INHERENT MAP'!$B$5=2023,IF(#REF!="",D7,#REF!),IF('INHERENT MAP'!$B$5=2024,IF(#REF!="",D7,#REF!),IF('РЕЕСТР РИСКОВ_2023'!H45="",D7,'РЕЕСТР РИСКОВ_2023'!H45)))))</f>
        <v>CTR-1</v>
      </c>
      <c r="E8" t="str">
        <f>IF('INHERENT MAP'!$B$5=2021,IF('РЕЕСТР РИСКОВ_2023'!I45="",E7,'РЕЕСТР РИСКОВ_2023'!I45),IF('INHERENT MAP'!$B$5=2022,IF(#REF!="",E7,#REF!),IF('INHERENT MAP'!$B$5=2023,IF(#REF!="",E7,#REF!),IF('INHERENT MAP'!$B$5=2024,IF(#REF!="",E7,#REF!),IF('РЕЕСТР РИСКОВ_2023'!I45="",E7,'РЕЕСТР РИСКОВ_2023'!I45)))))</f>
        <v>ЦЗД</v>
      </c>
      <c r="F8" t="str">
        <f>IF('INHERENT MAP'!$B$5=2021,IF('РЕЕСТР РИСКОВ_2023'!J45="",F7,'РЕЕСТР РИСКОВ_2023'!J45),IF('INHERENT MAP'!$B$5=2022,IF(#REF!="",F7,#REF!),IF('INHERENT MAP'!$B$5=2023,IF(#REF!="",F7,#REF!),IF('INHERENT MAP'!$B$5=2024,IF(#REF!="",F7,#REF!),IF('РЕЕСТР РИСКОВ_2023'!J45="",F7,'РЕЕСТР РИСКОВ_2023'!J45)))))</f>
        <v>ТОО "КТЖ-Грузовые перевозки"</v>
      </c>
      <c r="G8" t="str">
        <f>IF('INHERENT MAP'!$B$5=2021,IF('РЕЕСТР РИСКОВ_2023'!K45="",G7,'РЕЕСТР РИСКОВ_2023'!K45),IF('INHERENT MAP'!$B$5=2022,IF(#REF!="",G7,#REF!),IF('INHERENT MAP'!$B$5=2023,IF(#REF!="",G7,#REF!),IF('INHERENT MAP'!$B$5=2024,IF(#REF!="",G7,#REF!),IF('РЕЕСТР РИСКОВ_2023'!K45="",G7,'РЕЕСТР РИСКОВ_2023'!K45)))))</f>
        <v>Объем внутриреспубликанского грузооборота</v>
      </c>
      <c r="H8">
        <f>IF('INHERENT MAP'!$B$5=2021,'РЕЕСТР РИСКОВ_2023'!L45,IF('INHERENT MAP'!$B$5=2022,#REF!,IF('INHERENT MAP'!$B$5=2023,#REF!,IF('INHERENT MAP'!$B$5=2024,#REF!,#REF!))))</f>
        <v>0</v>
      </c>
      <c r="I8">
        <f>IF('INHERENT MAP'!$B$5=2021,'РЕЕСТР РИСКОВ_2023'!M45,IF('INHERENT MAP'!$B$5=2022,#REF!,IF('INHERENT MAP'!$B$5=2023,#REF!,IF('INHERENT MAP'!$B$5=2024,#REF!,#REF!))))</f>
        <v>0</v>
      </c>
      <c r="J8">
        <f>IF('INHERENT MAP'!$B$5=2021,'РЕЕСТР РИСКОВ_2023'!N45,IF('INHERENT MAP'!$B$5=2022,#REF!,IF('INHERENT MAP'!$B$5=2023,#REF!,IF('INHERENT MAP'!$B$5=2024,#REF!,#REF!))))</f>
        <v>0</v>
      </c>
      <c r="K8">
        <f>IF('INHERENT MAP'!$B$5=2021,'РЕЕСТР РИСКОВ_2023'!O45,IF('INHERENT MAP'!$B$5=2022,#REF!,IF('INHERENT MAP'!$B$5=2023,#REF!,IF('INHERENT MAP'!$B$5=2024,#REF!,#REF!))))</f>
        <v>0</v>
      </c>
      <c r="L8">
        <f>IF('INHERENT MAP'!$B$5=2021,'РЕЕСТР РИСКОВ_2023'!P45,IF('INHERENT MAP'!$B$5=2022,#REF!,IF('INHERENT MAP'!$B$5=2023,#REF!,IF('INHERENT MAP'!$B$5=2024,#REF!,#REF!))))</f>
        <v>0</v>
      </c>
      <c r="M8" t="str">
        <f>IF('INHERENT MAP'!$B$5=2021,IF('РЕЕСТР РИСКОВ_2023'!Q45="",M7,'РЕЕСТР РИСКОВ_2023'!Q45),IF('INHERENT MAP'!$B$5=2022,IF(#REF!="",M7,#REF!),IF('INHERENT MAP'!$B$5=2023,IF(#REF!="",M7,#REF!),IF('INHERENT MAP'!$B$5=2024,IF(#REF!="",M7,#REF!),IF('РЕЕСТР РИСКОВ_2023'!Q45="",M7,'РЕЕСТР РИСКОВ_2023'!Q45)))))</f>
        <v>Снижение спроса со стороны грузоотправителей (Kz)</v>
      </c>
      <c r="N8" t="str">
        <f>IF('INHERENT MAP'!$B$5=2021,IF('РЕЕСТР РИСКОВ_2023'!R45="",N7,'РЕЕСТР РИСКОВ_2023'!R45),IF('INHERENT MAP'!$B$5=2022,IF(#REF!="",N7,#REF!),IF('INHERENT MAP'!$B$5=2023,IF(#REF!="",N7,#REF!),IF('INHERENT MAP'!$B$5=2024,IF(#REF!="",N7,#REF!),IF('РЕЕСТР РИСКОВ_2023'!R45="",N7,'РЕЕСТР РИСКОВ_2023'!R45)))))</f>
        <v>Изменение структуры грузов</v>
      </c>
      <c r="O8">
        <f>'РЕЕСТР РИСКОВ_2023'!T45</f>
        <v>0</v>
      </c>
      <c r="P8">
        <f>IF('РЕЕСТР РИСКОВ_2023'!U45="",P7,'РЕЕСТР РИСКОВ_2023'!U45)</f>
        <v>0</v>
      </c>
      <c r="Q8" t="str">
        <f>IF('РЕЕСТР РИСКОВ_2023'!V45="",Q7,'РЕЕСТР РИСКОВ_2023'!V45)</f>
        <v>Угрозы</v>
      </c>
      <c r="R8" t="str">
        <f>IF('РЕЕСТР РИСКОВ_2023'!W45="",R7,'РЕЕСТР РИСКОВ_2023'!W45)</f>
        <v>Гиперинфляция</v>
      </c>
      <c r="S8">
        <f>'РЕЕСТР РИСКОВ_2023'!X45</f>
        <v>0</v>
      </c>
      <c r="T8" s="94">
        <f>IF('INHERENT MAP'!$B$5=2021,'РЕЕСТР РИСКОВ_2023'!Y45,IF('INHERENT MAP'!$B$5=2022,#REF!,IF('INHERENT MAP'!$B$5=2023,#REF!,IF('INHERENT MAP'!$B$5=2024,#REF!,#REF!))))</f>
        <v>1</v>
      </c>
      <c r="U8">
        <f>IF('INHERENT MAP'!$B$5=2021,'РЕЕСТР РИСКОВ_2023'!Z45,IF('INHERENT MAP'!$B$5=2022,#REF!,IF('INHERENT MAP'!$B$5=2023,#REF!,IF('INHERENT MAP'!$B$5=2024,#REF!,#REF!))))</f>
        <v>0</v>
      </c>
      <c r="V8">
        <f>IF('INHERENT MAP'!$B$5=2021,'РЕЕСТР РИСКОВ_2023'!AA45,IF('INHERENT MAP'!$B$5=2022,#REF!,IF('INHERENT MAP'!$B$5=2023,#REF!,IF('INHERENT MAP'!$B$5=2024,#REF!,#REF!))))</f>
        <v>0</v>
      </c>
      <c r="W8">
        <f>IF('INHERENT MAP'!$B$5=2021,'РЕЕСТР РИСКОВ_2023'!AB45,IF('INHERENT MAP'!$B$5=2022,#REF!,IF('INHERENT MAP'!$B$5=2023,#REF!,IF('INHERENT MAP'!$B$5=2024,#REF!,#REF!))))</f>
        <v>0</v>
      </c>
      <c r="X8" s="94">
        <f>IF('INHERENT MAP'!$B$5=2021,'РЕЕСТР РИСКОВ_2023'!AC45,IF('INHERENT MAP'!$B$5=2022,#REF!,IF('INHERENT MAP'!$B$5=2023,#REF!,IF('INHERENT MAP'!$B$5=2024,#REF!,#REF!))))</f>
        <v>0</v>
      </c>
      <c r="Y8">
        <f>IF('INHERENT MAP'!$B$5=2021,'РЕЕСТР РИСКОВ_2023'!AD45,IF('INHERENT MAP'!$B$5=2022,#REF!,IF('INHERENT MAP'!$B$5=2023,#REF!,IF('INHERENT MAP'!$B$5=2024,#REF!,#REF!))))</f>
        <v>0</v>
      </c>
      <c r="Z8">
        <f>IF('INHERENT MAP'!$B$5=2021,'РЕЕСТР РИСКОВ_2023'!AE45,IF('INHERENT MAP'!$B$5=2022,#REF!,IF('INHERENT MAP'!$B$5=2023,#REF!,IF('INHERENT MAP'!$B$5=2024,#REF!,#REF!))))</f>
        <v>0</v>
      </c>
      <c r="AA8">
        <f>IF('INHERENT MAP'!$B$5=2021,'РЕЕСТР РИСКОВ_2023'!AF45,IF('INHERENT MAP'!$B$5=2022,#REF!,IF('INHERENT MAP'!$B$5=2023,#REF!,IF('INHERENT MAP'!$B$5=2024,#REF!,#REF!))))</f>
        <v>0</v>
      </c>
      <c r="AB8">
        <f>IF('INHERENT MAP'!$B$5=2021,'РЕЕСТР РИСКОВ_2023'!AG45,IF('INHERENT MAP'!$B$5=2022,#REF!,IF('INHERENT MAP'!$B$5=2023,#REF!,IF('INHERENT MAP'!$B$5=2024,#REF!,#REF!))))</f>
        <v>0</v>
      </c>
      <c r="AC8">
        <f>IF('INHERENT MAP'!$B$5=2021,'РЕЕСТР РИСКОВ_2023'!AH45,IF('INHERENT MAP'!$B$5=2022,#REF!,IF('INHERENT MAP'!$B$5=2023,#REF!,IF('INHERENT MAP'!$B$5=2024,#REF!,#REF!))))</f>
        <v>0</v>
      </c>
      <c r="AD8">
        <f>IF('INHERENT MAP'!$B$5=2021,'РЕЕСТР РИСКОВ_2023'!AI45,IF('INHERENT MAP'!$B$5=2022,#REF!,IF('INHERENT MAP'!$B$5=2023,#REF!,IF('INHERENT MAP'!$B$5=2024,#REF!,#REF!))))</f>
        <v>0</v>
      </c>
      <c r="AE8">
        <f>IF('INHERENT MAP'!$B$5=2021,'РЕЕСТР РИСКОВ_2023'!AK45,IF('INHERENT MAP'!$B$5=2022,#REF!,IF('INHERENT MAP'!$B$5=2023,#REF!,IF('INHERENT MAP'!$B$5=2024,#REF!,#REF!))))</f>
        <v>0</v>
      </c>
      <c r="AF8">
        <f>IF('INHERENT MAP'!$B$5=2021,'РЕЕСТР РИСКОВ_2023'!AL45,IF('INHERENT MAP'!$B$5=2022,#REF!,IF('INHERENT MAP'!$B$5=2023,#REF!,IF('INHERENT MAP'!$B$5=2024,#REF!,#REF!))))</f>
        <v>0</v>
      </c>
      <c r="AG8">
        <f>IF('INHERENT MAP'!$B$5=2021,'РЕЕСТР РИСКОВ_2023'!AM45,IF('INHERENT MAP'!$B$5=2022,#REF!,IF('INHERENT MAP'!$B$5=2023,#REF!,IF('INHERENT MAP'!$B$5=2024,#REF!,#REF!))))</f>
        <v>0</v>
      </c>
      <c r="AH8">
        <f>IF('INHERENT MAP'!$B$5=2021,'РЕЕСТР РИСКОВ_2023'!AN45,IF('INHERENT MAP'!$B$5=2022,#REF!,IF('INHERENT MAP'!$B$5=2023,#REF!,IF('INHERENT MAP'!$B$5=2024,#REF!,#REF!))))</f>
        <v>0</v>
      </c>
      <c r="AI8">
        <f>IF('INHERENT MAP'!$B$5=2021,'РЕЕСТР РИСКОВ_2023'!AO45,IF('INHERENT MAP'!$B$5=2022,#REF!,IF('INHERENT MAP'!$B$5=2023,#REF!,IF('INHERENT MAP'!$B$5=2024,#REF!,#REF!))))</f>
        <v>0</v>
      </c>
      <c r="AJ8">
        <f>IF('INHERENT MAP'!$B$5=2021,'РЕЕСТР РИСКОВ_2023'!AP45,IF('INHERENT MAP'!$B$5=2022,#REF!,IF('INHERENT MAP'!$B$5=2023,#REF!,IF('INHERENT MAP'!$B$5=2024,#REF!,#REF!))))</f>
        <v>0</v>
      </c>
      <c r="AK8">
        <f>IF('РЕЕСТР РИСКОВ_2023'!AQ45="",AK7,'РЕЕСТР РИСКОВ_2023'!AQ45)</f>
        <v>0</v>
      </c>
      <c r="AL8">
        <f>IF('РЕЕСТР РИСКОВ_2023'!AR45="",AL7,'РЕЕСТР РИСКОВ_2023'!AR45)</f>
        <v>0</v>
      </c>
      <c r="AM8">
        <f>IF('РЕЕСТР РИСКОВ_2023'!AS45="",AM7,'РЕЕСТР РИСКОВ_2023'!AS45)</f>
        <v>0</v>
      </c>
      <c r="AN8">
        <f>IF('РЕЕСТР РИСКОВ_2023'!AT45="",AN7,'РЕЕСТР РИСКОВ_2023'!AT45)</f>
        <v>0</v>
      </c>
      <c r="AO8">
        <f>IF('РЕЕСТР РИСКОВ_2023'!AU45="",AO7,'РЕЕСТР РИСКОВ_2023'!AU45)</f>
        <v>0</v>
      </c>
    </row>
    <row r="9" spans="2:43">
      <c r="B9" t="str">
        <f>IF('INHERENT MAP'!$B$5=2021,IF('РЕЕСТР РИСКОВ_2023'!F46="",B8,'РЕЕСТР РИСКОВ_2023'!F46),IF('INHERENT MAP'!$B$5=2022,IF(#REF!="",B8,#REF!),IF('INHERENT MAP'!$B$5=2023,IF(#REF!="",B8,#REF!),IF('INHERENT MAP'!$B$5=2024,IF(#REF!="",B8,#REF!),IF('РЕЕСТР РИСКОВ_2023'!F46="",B8,'РЕЕСТР РИСКОВ_2023'!F46)))))</f>
        <v>РИСК ГРУЗООБОРОТА</v>
      </c>
      <c r="C9" t="str">
        <f>IF('INHERENT MAP'!$B$5=2021,IF('РЕЕСТР РИСКОВ_2023'!G46="",C8,'РЕЕСТР РИСКОВ_2023'!G46),IF('INHERENT MAP'!$B$5=2022,IF(#REF!="",C8,#REF!),IF('INHERENT MAP'!$B$5=2023,IF(#REF!="",C8,#REF!),IF('INHERENT MAP'!$B$5=2024,IF(#REF!="",C8,#REF!),IF('РЕЕСТР РИСКОВ_2023'!G46="",C8,'РЕЕСТР РИСКОВ_2023'!G46)))))</f>
        <v>- ХХХ млн. тенге</v>
      </c>
      <c r="D9" t="str">
        <f>IF('INHERENT MAP'!$B$5=2021,IF('РЕЕСТР РИСКОВ_2023'!H46="",D8,'РЕЕСТР РИСКОВ_2023'!H46),IF('INHERENT MAP'!$B$5=2022,IF(#REF!="",D8,#REF!),IF('INHERENT MAP'!$B$5=2023,IF(#REF!="",D8,#REF!),IF('INHERENT MAP'!$B$5=2024,IF(#REF!="",D8,#REF!),IF('РЕЕСТР РИСКОВ_2023'!H46="",D8,'РЕЕСТР РИСКОВ_2023'!H46)))))</f>
        <v>CTR-1</v>
      </c>
      <c r="E9" t="str">
        <f>IF('INHERENT MAP'!$B$5=2021,IF('РЕЕСТР РИСКОВ_2023'!I46="",E8,'РЕЕСТР РИСКОВ_2023'!I46),IF('INHERENT MAP'!$B$5=2022,IF(#REF!="",E8,#REF!),IF('INHERENT MAP'!$B$5=2023,IF(#REF!="",E8,#REF!),IF('INHERENT MAP'!$B$5=2024,IF(#REF!="",E8,#REF!),IF('РЕЕСТР РИСКОВ_2023'!I46="",E8,'РЕЕСТР РИСКОВ_2023'!I46)))))</f>
        <v>ЦЗД</v>
      </c>
      <c r="F9" t="str">
        <f>IF('INHERENT MAP'!$B$5=2021,IF('РЕЕСТР РИСКОВ_2023'!J46="",F8,'РЕЕСТР РИСКОВ_2023'!J46),IF('INHERENT MAP'!$B$5=2022,IF(#REF!="",F8,#REF!),IF('INHERENT MAP'!$B$5=2023,IF(#REF!="",F8,#REF!),IF('INHERENT MAP'!$B$5=2024,IF(#REF!="",F8,#REF!),IF('РЕЕСТР РИСКОВ_2023'!J46="",F8,'РЕЕСТР РИСКОВ_2023'!J46)))))</f>
        <v>ТОО "КТЖ-Грузовые перевозки"</v>
      </c>
      <c r="G9" t="str">
        <f>IF('INHERENT MAP'!$B$5=2021,IF('РЕЕСТР РИСКОВ_2023'!K46="",G8,'РЕЕСТР РИСКОВ_2023'!K46),IF('INHERENT MAP'!$B$5=2022,IF(#REF!="",G8,#REF!),IF('INHERENT MAP'!$B$5=2023,IF(#REF!="",G8,#REF!),IF('INHERENT MAP'!$B$5=2024,IF(#REF!="",G8,#REF!),IF('РЕЕСТР РИСКОВ_2023'!K46="",G8,'РЕЕСТР РИСКОВ_2023'!K46)))))</f>
        <v>Объем внутриреспубликанского грузооборота</v>
      </c>
      <c r="H9">
        <f>IF('INHERENT MAP'!$B$5=2021,'РЕЕСТР РИСКОВ_2023'!L46,IF('INHERENT MAP'!$B$5=2022,#REF!,IF('INHERENT MAP'!$B$5=2023,#REF!,IF('INHERENT MAP'!$B$5=2024,#REF!,#REF!))))</f>
        <v>0</v>
      </c>
      <c r="I9">
        <f>IF('INHERENT MAP'!$B$5=2021,'РЕЕСТР РИСКОВ_2023'!M46,IF('INHERENT MAP'!$B$5=2022,#REF!,IF('INHERENT MAP'!$B$5=2023,#REF!,IF('INHERENT MAP'!$B$5=2024,#REF!,#REF!))))</f>
        <v>0</v>
      </c>
      <c r="J9">
        <f>IF('INHERENT MAP'!$B$5=2021,'РЕЕСТР РИСКОВ_2023'!N46,IF('INHERENT MAP'!$B$5=2022,#REF!,IF('INHERENT MAP'!$B$5=2023,#REF!,IF('INHERENT MAP'!$B$5=2024,#REF!,#REF!))))</f>
        <v>0</v>
      </c>
      <c r="K9">
        <f>IF('INHERENT MAP'!$B$5=2021,'РЕЕСТР РИСКОВ_2023'!O46,IF('INHERENT MAP'!$B$5=2022,#REF!,IF('INHERENT MAP'!$B$5=2023,#REF!,IF('INHERENT MAP'!$B$5=2024,#REF!,#REF!))))</f>
        <v>0</v>
      </c>
      <c r="L9">
        <f>IF('INHERENT MAP'!$B$5=2021,'РЕЕСТР РИСКОВ_2023'!P46,IF('INHERENT MAP'!$B$5=2022,#REF!,IF('INHERENT MAP'!$B$5=2023,#REF!,IF('INHERENT MAP'!$B$5=2024,#REF!,#REF!))))</f>
        <v>0</v>
      </c>
      <c r="M9" t="str">
        <f>IF('INHERENT MAP'!$B$5=2021,IF('РЕЕСТР РИСКОВ_2023'!Q46="",M8,'РЕЕСТР РИСКОВ_2023'!Q46),IF('INHERENT MAP'!$B$5=2022,IF(#REF!="",M8,#REF!),IF('INHERENT MAP'!$B$5=2023,IF(#REF!="",M8,#REF!),IF('INHERENT MAP'!$B$5=2024,IF(#REF!="",M8,#REF!),IF('РЕЕСТР РИСКОВ_2023'!Q46="",M8,'РЕЕСТР РИСКОВ_2023'!Q46)))))</f>
        <v>Интермодальная конкуренция со стороны альтернативных видов транспорта (воздушный,автомобильный, водный транспорт)</v>
      </c>
      <c r="N9" t="str">
        <f>IF('INHERENT MAP'!$B$5=2021,IF('РЕЕСТР РИСКОВ_2023'!R46="",N8,'РЕЕСТР РИСКОВ_2023'!R46),IF('INHERENT MAP'!$B$5=2022,IF(#REF!="",N8,#REF!),IF('INHERENT MAP'!$B$5=2023,IF(#REF!="",N8,#REF!),IF('INHERENT MAP'!$B$5=2024,IF(#REF!="",N8,#REF!),IF('РЕЕСТР РИСКОВ_2023'!R46="",N8,'РЕЕСТР РИСКОВ_2023'!R46)))))</f>
        <v>1. Нехватка грузовых вагонов; 
2. Неблагоприятные тарифные условия (в т.ч. сборы за дополнительные услуги);
3. Длительные процедуры по оформлению перевозочных документов;
4. Несвоевременная доставка вагонов на станцию назначения;
5. Несвоевременная подача вагонов в связи с нехваткой маневровых локомотивов на малодеятельных грузовых станциях.</v>
      </c>
      <c r="O9" t="str">
        <f>'РЕЕСТР РИСКОВ_2023'!T46</f>
        <v>стат.данные c сайта stat.kz</v>
      </c>
      <c r="P9">
        <f>IF('РЕЕСТР РИСКОВ_2023'!U46="",P8,'РЕЕСТР РИСКОВ_2023'!U46)</f>
        <v>0</v>
      </c>
      <c r="Q9" t="str">
        <f>IF('РЕЕСТР РИСКОВ_2023'!V46="",Q8,'РЕЕСТР РИСКОВ_2023'!V46)</f>
        <v>Возможности</v>
      </c>
      <c r="R9" t="str">
        <f>IF('РЕЕСТР РИСКОВ_2023'!W46="",R8,'РЕЕСТР РИСКОВ_2023'!W46)</f>
        <v xml:space="preserve">Доля рынка грузовых перевозок 
2018-46,5%
2019-48%
2020-51,5%
</v>
      </c>
      <c r="S9">
        <f>'РЕЕСТР РИСКОВ_2023'!X46</f>
        <v>0</v>
      </c>
      <c r="T9" s="94">
        <f>IF('INHERENT MAP'!$B$5=2021,'РЕЕСТР РИСКОВ_2023'!Y46,IF('INHERENT MAP'!$B$5=2022,#REF!,IF('INHERENT MAP'!$B$5=2023,#REF!,IF('INHERENT MAP'!$B$5=2024,#REF!,#REF!))))</f>
        <v>1</v>
      </c>
      <c r="U9">
        <f>IF('INHERENT MAP'!$B$5=2021,'РЕЕСТР РИСКОВ_2023'!Z46,IF('INHERENT MAP'!$B$5=2022,#REF!,IF('INHERENT MAP'!$B$5=2023,#REF!,IF('INHERENT MAP'!$B$5=2024,#REF!,#REF!))))</f>
        <v>4086</v>
      </c>
      <c r="V9">
        <f>IF('INHERENT MAP'!$B$5=2021,'РЕЕСТР РИСКОВ_2023'!AA46,IF('INHERENT MAP'!$B$5=2022,#REF!,IF('INHERENT MAP'!$B$5=2023,#REF!,IF('INHERENT MAP'!$B$5=2024,#REF!,#REF!))))</f>
        <v>4086</v>
      </c>
      <c r="W9" t="str">
        <f>IF('INHERENT MAP'!$B$5=2021,'РЕЕСТР РИСКОВ_2023'!AB46,IF('INHERENT MAP'!$B$5=2022,#REF!,IF('INHERENT MAP'!$B$5=2023,#REF!,IF('INHERENT MAP'!$B$5=2024,#REF!,#REF!))))</f>
        <v>(+2% от дохода в доле) х бюджет на 2023 г (перевозка грузов, багажа, грузобагажа во внутриреспубликанском сообщении).              Грузоотправитель из-за низкого качества обслуживания клиентов, высокой скорости тарификации</v>
      </c>
      <c r="X9" s="94">
        <f>IF('INHERENT MAP'!$B$5=2021,'РЕЕСТР РИСКОВ_2023'!AC46,IF('INHERENT MAP'!$B$5=2022,#REF!,IF('INHERENT MAP'!$B$5=2023,#REF!,IF('INHERENT MAP'!$B$5=2024,#REF!,#REF!))))</f>
        <v>0</v>
      </c>
      <c r="Y9">
        <f>IF('INHERENT MAP'!$B$5=2021,'РЕЕСТР РИСКОВ_2023'!AD46,IF('INHERENT MAP'!$B$5=2022,#REF!,IF('INHERENT MAP'!$B$5=2023,#REF!,IF('INHERENT MAP'!$B$5=2024,#REF!,#REF!))))</f>
        <v>0</v>
      </c>
      <c r="Z9">
        <f>IF('INHERENT MAP'!$B$5=2021,'РЕЕСТР РИСКОВ_2023'!AE46,IF('INHERENT MAP'!$B$5=2022,#REF!,IF('INHERENT MAP'!$B$5=2023,#REF!,IF('INHERENT MAP'!$B$5=2024,#REF!,#REF!))))</f>
        <v>0</v>
      </c>
      <c r="AA9">
        <f>IF('INHERENT MAP'!$B$5=2021,'РЕЕСТР РИСКОВ_2023'!AF46,IF('INHERENT MAP'!$B$5=2022,#REF!,IF('INHERENT MAP'!$B$5=2023,#REF!,IF('INHERENT MAP'!$B$5=2024,#REF!,#REF!))))</f>
        <v>0</v>
      </c>
      <c r="AB9">
        <f>IF('INHERENT MAP'!$B$5=2021,'РЕЕСТР РИСКОВ_2023'!AG46,IF('INHERENT MAP'!$B$5=2022,#REF!,IF('INHERENT MAP'!$B$5=2023,#REF!,IF('INHERENT MAP'!$B$5=2024,#REF!,#REF!))))</f>
        <v>0</v>
      </c>
      <c r="AC9">
        <f>IF('INHERENT MAP'!$B$5=2021,'РЕЕСТР РИСКОВ_2023'!AH46,IF('INHERENT MAP'!$B$5=2022,#REF!,IF('INHERENT MAP'!$B$5=2023,#REF!,IF('INHERENT MAP'!$B$5=2024,#REF!,#REF!))))</f>
        <v>0</v>
      </c>
      <c r="AD9" t="str">
        <f>IF('INHERENT MAP'!$B$5=2021,'РЕЕСТР РИСКОВ_2023'!AI46,IF('INHERENT MAP'!$B$5=2022,#REF!,IF('INHERENT MAP'!$B$5=2023,#REF!,IF('INHERENT MAP'!$B$5=2024,#REF!,#REF!))))</f>
        <v>1. Увеличение доли контейнеризации грузов путем проведения разъяснительной работы с грузоотправителями, формирование и укорению продвижения контейнерных поездов, установления понижающих коэффициенты к предельному уровню тарифов на услуги магистральной железнодорожной сети и локомотивной тяги.                                                                                                                                                                              2. Координация взаимодействия с владельцами подъездных путей, транспортно логистических центров по улучшению 3PL (услуга ответственного хранения, перевозка, упаковка, перегрузка, маркировка и т.д.).
3. Своевременная подача вагонов под погрузку, выгрузку.
4. Привлечение новых грузоотправителей путем размещения в свободном доступе информации о преимуществах перевозки грузов железнодорожным транспортом, тарифов на перевозки грузов, порядка предоставления заявки, предоставления благоприятных тарифных условий (в т.ч. сборы за дополнительные услуги)</v>
      </c>
      <c r="AE9" t="str">
        <f>IF('INHERENT MAP'!$B$5=2021,'РЕЕСТР РИСКОВ_2023'!AK46,IF('INHERENT MAP'!$B$5=2022,#REF!,IF('INHERENT MAP'!$B$5=2023,#REF!,IF('INHERENT MAP'!$B$5=2024,#REF!,#REF!))))</f>
        <v>АО "КТЖ-Грузовые перевозки"</v>
      </c>
      <c r="AF9">
        <f>IF('INHERENT MAP'!$B$5=2021,'РЕЕСТР РИСКОВ_2023'!AL46,IF('INHERENT MAP'!$B$5=2022,#REF!,IF('INHERENT MAP'!$B$5=2023,#REF!,IF('INHERENT MAP'!$B$5=2024,#REF!,#REF!))))</f>
        <v>0</v>
      </c>
      <c r="AG9" t="str">
        <f>IF('INHERENT MAP'!$B$5=2021,'РЕЕСТР РИСКОВ_2023'!AM46,IF('INHERENT MAP'!$B$5=2022,#REF!,IF('INHERENT MAP'!$B$5=2023,#REF!,IF('INHERENT MAP'!$B$5=2024,#REF!,#REF!))))</f>
        <v>низкая</v>
      </c>
      <c r="AH9">
        <f>IF('INHERENT MAP'!$B$5=2021,'РЕЕСТР РИСКОВ_2023'!AN46,IF('INHERENT MAP'!$B$5=2022,#REF!,IF('INHERENT MAP'!$B$5=2023,#REF!,IF('INHERENT MAP'!$B$5=2024,#REF!,#REF!))))</f>
        <v>1</v>
      </c>
      <c r="AI9">
        <f>IF('INHERENT MAP'!$B$5=2021,'РЕЕСТР РИСКОВ_2023'!AO46,IF('INHERENT MAP'!$B$5=2022,#REF!,IF('INHERENT MAP'!$B$5=2023,#REF!,IF('INHERENT MAP'!$B$5=2024,#REF!,#REF!))))</f>
        <v>4086</v>
      </c>
      <c r="AJ9">
        <f>IF('INHERENT MAP'!$B$5=2021,'РЕЕСТР РИСКОВ_2023'!AP46,IF('INHERENT MAP'!$B$5=2022,#REF!,IF('INHERENT MAP'!$B$5=2023,#REF!,IF('INHERENT MAP'!$B$5=2024,#REF!,#REF!))))</f>
        <v>4086</v>
      </c>
      <c r="AK9">
        <f>IF('РЕЕСТР РИСКОВ_2023'!AQ46="",AK8,'РЕЕСТР РИСКОВ_2023'!AQ46)</f>
        <v>4086</v>
      </c>
      <c r="AL9">
        <f>IF('РЕЕСТР РИСКОВ_2023'!AR46="",AL8,'РЕЕСТР РИСКОВ_2023'!AR46)</f>
        <v>0</v>
      </c>
      <c r="AM9">
        <f>IF('РЕЕСТР РИСКОВ_2023'!AS46="",AM8,'РЕЕСТР РИСКОВ_2023'!AS46)</f>
        <v>0</v>
      </c>
      <c r="AN9">
        <f>IF('РЕЕСТР РИСКОВ_2023'!AT46="",AN8,'РЕЕСТР РИСКОВ_2023'!AT46)</f>
        <v>0</v>
      </c>
      <c r="AO9">
        <f>IF('РЕЕСТР РИСКОВ_2023'!AU46="",AO8,'РЕЕСТР РИСКОВ_2023'!AU46)</f>
        <v>0</v>
      </c>
    </row>
    <row r="10" spans="2:43">
      <c r="B10" t="str">
        <f>IF('INHERENT MAP'!$B$5=2021,IF('РЕЕСТР РИСКОВ_2023'!F47="",B9,'РЕЕСТР РИСКОВ_2023'!F47),IF('INHERENT MAP'!$B$5=2022,IF(#REF!="",B9,#REF!),IF('INHERENT MAP'!$B$5=2023,IF(#REF!="",B9,#REF!),IF('INHERENT MAP'!$B$5=2024,IF(#REF!="",B9,#REF!),IF('РЕЕСТР РИСКОВ_2023'!F47="",B9,'РЕЕСТР РИСКОВ_2023'!F47)))))</f>
        <v>РИСК ГРУЗООБОРОТА</v>
      </c>
      <c r="C10" t="str">
        <f>IF('INHERENT MAP'!$B$5=2021,IF('РЕЕСТР РИСКОВ_2023'!G47="",C9,'РЕЕСТР РИСКОВ_2023'!G47),IF('INHERENT MAP'!$B$5=2022,IF(#REF!="",C9,#REF!),IF('INHERENT MAP'!$B$5=2023,IF(#REF!="",C9,#REF!),IF('INHERENT MAP'!$B$5=2024,IF(#REF!="",C9,#REF!),IF('РЕЕСТР РИСКОВ_2023'!G47="",C9,'РЕЕСТР РИСКОВ_2023'!G47)))))</f>
        <v>- ХХХ млн. тенге</v>
      </c>
      <c r="D10" t="str">
        <f>IF('INHERENT MAP'!$B$5=2021,IF('РЕЕСТР РИСКОВ_2023'!H47="",D9,'РЕЕСТР РИСКОВ_2023'!H47),IF('INHERENT MAP'!$B$5=2022,IF(#REF!="",D9,#REF!),IF('INHERENT MAP'!$B$5=2023,IF(#REF!="",D9,#REF!),IF('INHERENT MAP'!$B$5=2024,IF(#REF!="",D9,#REF!),IF('РЕЕСТР РИСКОВ_2023'!H47="",D9,'РЕЕСТР РИСКОВ_2023'!H47)))))</f>
        <v>CTR-1</v>
      </c>
      <c r="E10" t="str">
        <f>IF('INHERENT MAP'!$B$5=2021,IF('РЕЕСТР РИСКОВ_2023'!I47="",E9,'РЕЕСТР РИСКОВ_2023'!I47),IF('INHERENT MAP'!$B$5=2022,IF(#REF!="",E9,#REF!),IF('INHERENT MAP'!$B$5=2023,IF(#REF!="",E9,#REF!),IF('INHERENT MAP'!$B$5=2024,IF(#REF!="",E9,#REF!),IF('РЕЕСТР РИСКОВ_2023'!I47="",E9,'РЕЕСТР РИСКОВ_2023'!I47)))))</f>
        <v>ЦЗД</v>
      </c>
      <c r="F10" t="str">
        <f>IF('INHERENT MAP'!$B$5=2021,IF('РЕЕСТР РИСКОВ_2023'!J47="",F9,'РЕЕСТР РИСКОВ_2023'!J47),IF('INHERENT MAP'!$B$5=2022,IF(#REF!="",F9,#REF!),IF('INHERENT MAP'!$B$5=2023,IF(#REF!="",F9,#REF!),IF('INHERENT MAP'!$B$5=2024,IF(#REF!="",F9,#REF!),IF('РЕЕСТР РИСКОВ_2023'!J47="",F9,'РЕЕСТР РИСКОВ_2023'!J47)))))</f>
        <v>ТОО "КТЖ-Грузовые перевозки"</v>
      </c>
      <c r="G10" t="str">
        <f>IF('INHERENT MAP'!$B$5=2021,IF('РЕЕСТР РИСКОВ_2023'!K47="",G9,'РЕЕСТР РИСКОВ_2023'!K47),IF('INHERENT MAP'!$B$5=2022,IF(#REF!="",G9,#REF!),IF('INHERENT MAP'!$B$5=2023,IF(#REF!="",G9,#REF!),IF('INHERENT MAP'!$B$5=2024,IF(#REF!="",G9,#REF!),IF('РЕЕСТР РИСКОВ_2023'!K47="",G9,'РЕЕСТР РИСКОВ_2023'!K47)))))</f>
        <v>Объем внутриреспубликанского грузооборота</v>
      </c>
      <c r="H10">
        <f>IF('INHERENT MAP'!$B$5=2021,'РЕЕСТР РИСКОВ_2023'!L47,IF('INHERENT MAP'!$B$5=2022,#REF!,IF('INHERENT MAP'!$B$5=2023,#REF!,IF('INHERENT MAP'!$B$5=2024,#REF!,#REF!))))</f>
        <v>0</v>
      </c>
      <c r="I10">
        <f>IF('INHERENT MAP'!$B$5=2021,'РЕЕСТР РИСКОВ_2023'!M47,IF('INHERENT MAP'!$B$5=2022,#REF!,IF('INHERENT MAP'!$B$5=2023,#REF!,IF('INHERENT MAP'!$B$5=2024,#REF!,#REF!))))</f>
        <v>0</v>
      </c>
      <c r="J10">
        <f>IF('INHERENT MAP'!$B$5=2021,'РЕЕСТР РИСКОВ_2023'!N47,IF('INHERENT MAP'!$B$5=2022,#REF!,IF('INHERENT MAP'!$B$5=2023,#REF!,IF('INHERENT MAP'!$B$5=2024,#REF!,#REF!))))</f>
        <v>0</v>
      </c>
      <c r="K10">
        <f>IF('INHERENT MAP'!$B$5=2021,'РЕЕСТР РИСКОВ_2023'!O47,IF('INHERENT MAP'!$B$5=2022,#REF!,IF('INHERENT MAP'!$B$5=2023,#REF!,IF('INHERENT MAP'!$B$5=2024,#REF!,#REF!))))</f>
        <v>0</v>
      </c>
      <c r="L10">
        <f>IF('INHERENT MAP'!$B$5=2021,'РЕЕСТР РИСКОВ_2023'!P47,IF('INHERENT MAP'!$B$5=2022,#REF!,IF('INHERENT MAP'!$B$5=2023,#REF!,IF('INHERENT MAP'!$B$5=2024,#REF!,#REF!))))</f>
        <v>0</v>
      </c>
      <c r="M10" t="str">
        <f>IF('INHERENT MAP'!$B$5=2021,IF('РЕЕСТР РИСКОВ_2023'!Q47="",M9,'РЕЕСТР РИСКОВ_2023'!Q47),IF('INHERENT MAP'!$B$5=2022,IF(#REF!="",M9,#REF!),IF('INHERENT MAP'!$B$5=2023,IF(#REF!="",M9,#REF!),IF('INHERENT MAP'!$B$5=2024,IF(#REF!="",M9,#REF!),IF('РЕЕСТР РИСКОВ_2023'!Q47="",M9,'РЕЕСТР РИСКОВ_2023'!Q47)))))</f>
        <v>Нормативная скорость доставки груза, 330 км/сут</v>
      </c>
      <c r="N10" t="str">
        <f>IF('INHERENT MAP'!$B$5=2021,IF('РЕЕСТР РИСКОВ_2023'!R47="",N9,'РЕЕСТР РИСКОВ_2023'!R47),IF('INHERENT MAP'!$B$5=2022,IF(#REF!="",N9,#REF!),IF('INHERENT MAP'!$B$5=2023,IF(#REF!="",N9,#REF!),IF('INHERENT MAP'!$B$5=2024,IF(#REF!="",N9,#REF!),IF('РЕЕСТР РИСКОВ_2023'!R47="",N9,'РЕЕСТР РИСКОВ_2023'!R47)))))</f>
        <v>1. Короткие плечи обработки поездов;</v>
      </c>
      <c r="O10">
        <f>'РЕЕСТР РИСКОВ_2023'!T47</f>
        <v>0</v>
      </c>
      <c r="P10">
        <f>IF('РЕЕСТР РИСКОВ_2023'!U47="",P9,'РЕЕСТР РИСКОВ_2023'!U47)</f>
        <v>0</v>
      </c>
      <c r="Q10" t="str">
        <f>IF('РЕЕСТР РИСКОВ_2023'!V47="",Q9,'РЕЕСТР РИСКОВ_2023'!V47)</f>
        <v>Cлабые стороны</v>
      </c>
      <c r="R10" t="str">
        <f>IF('РЕЕСТР РИСКОВ_2023'!W47="",R9,'РЕЕСТР РИСКОВ_2023'!W47)</f>
        <v>Неисполнение нормативной скорости грузового поезда               2019-48,86 км/час
2020- 48,59
2021- 49,03</v>
      </c>
      <c r="S10">
        <f>'РЕЕСТР РИСКОВ_2023'!X47</f>
        <v>0</v>
      </c>
      <c r="T10" s="94">
        <f>IF('INHERENT MAP'!$B$5=2021,'РЕЕСТР РИСКОВ_2023'!Y47,IF('INHERENT MAP'!$B$5=2022,#REF!,IF('INHERENT MAP'!$B$5=2023,#REF!,IF('INHERENT MAP'!$B$5=2024,#REF!,#REF!))))</f>
        <v>0.05</v>
      </c>
      <c r="U10">
        <f>IF('INHERENT MAP'!$B$5=2021,'РЕЕСТР РИСКОВ_2023'!Z47,IF('INHERENT MAP'!$B$5=2022,#REF!,IF('INHERENT MAP'!$B$5=2023,#REF!,IF('INHERENT MAP'!$B$5=2024,#REF!,#REF!))))</f>
        <v>-1600.8779999999997</v>
      </c>
      <c r="V10">
        <f>IF('INHERENT MAP'!$B$5=2021,'РЕЕСТР РИСКОВ_2023'!AA47,IF('INHERENT MAP'!$B$5=2022,#REF!,IF('INHERENT MAP'!$B$5=2023,#REF!,IF('INHERENT MAP'!$B$5=2024,#REF!,#REF!))))</f>
        <v>-80.043899999999994</v>
      </c>
      <c r="W10" t="str">
        <f>IF('INHERENT MAP'!$B$5=2021,'РЕЕСТР РИСКОВ_2023'!AB47,IF('INHERENT MAP'!$B$5=2022,#REF!,IF('INHERENT MAP'!$B$5=2023,#REF!,IF('INHERENT MAP'!$B$5=2024,#REF!,#REF!))))</f>
        <v>0,6% (разница между плановой и фактической скоростью) х бюджет на 2023 г (перевозка грузов, багажа, грузобагажа во внутриреспубликанском сообщении).</v>
      </c>
      <c r="X10" s="94">
        <f>IF('INHERENT MAP'!$B$5=2021,'РЕЕСТР РИСКОВ_2023'!AC47,IF('INHERENT MAP'!$B$5=2022,#REF!,IF('INHERENT MAP'!$B$5=2023,#REF!,IF('INHERENT MAP'!$B$5=2024,#REF!,#REF!))))</f>
        <v>0</v>
      </c>
      <c r="Y10">
        <f>IF('INHERENT MAP'!$B$5=2021,'РЕЕСТР РИСКОВ_2023'!AD47,IF('INHERENT MAP'!$B$5=2022,#REF!,IF('INHERENT MAP'!$B$5=2023,#REF!,IF('INHERENT MAP'!$B$5=2024,#REF!,#REF!))))</f>
        <v>0</v>
      </c>
      <c r="Z10">
        <f>IF('INHERENT MAP'!$B$5=2021,'РЕЕСТР РИСКОВ_2023'!AE47,IF('INHERENT MAP'!$B$5=2022,#REF!,IF('INHERENT MAP'!$B$5=2023,#REF!,IF('INHERENT MAP'!$B$5=2024,#REF!,#REF!))))</f>
        <v>0</v>
      </c>
      <c r="AA10">
        <f>IF('INHERENT MAP'!$B$5=2021,'РЕЕСТР РИСКОВ_2023'!AF47,IF('INHERENT MAP'!$B$5=2022,#REF!,IF('INHERENT MAP'!$B$5=2023,#REF!,IF('INHERENT MAP'!$B$5=2024,#REF!,#REF!))))</f>
        <v>0</v>
      </c>
      <c r="AB10">
        <f>IF('INHERENT MAP'!$B$5=2021,'РЕЕСТР РИСКОВ_2023'!AG47,IF('INHERENT MAP'!$B$5=2022,#REF!,IF('INHERENT MAP'!$B$5=2023,#REF!,IF('INHERENT MAP'!$B$5=2024,#REF!,#REF!))))</f>
        <v>0</v>
      </c>
      <c r="AC10">
        <f>IF('INHERENT MAP'!$B$5=2021,'РЕЕСТР РИСКОВ_2023'!AH47,IF('INHERENT MAP'!$B$5=2022,#REF!,IF('INHERENT MAP'!$B$5=2023,#REF!,IF('INHERENT MAP'!$B$5=2024,#REF!,#REF!))))</f>
        <v>0</v>
      </c>
      <c r="AD10" t="str">
        <f>IF('INHERENT MAP'!$B$5=2021,'РЕЕСТР РИСКОВ_2023'!AI47,IF('INHERENT MAP'!$B$5=2022,#REF!,IF('INHERENT MAP'!$B$5=2023,#REF!,IF('INHERENT MAP'!$B$5=2024,#REF!,#REF!))))</f>
        <v xml:space="preserve">1. Оптимальное направление вагонопотока с наименьшими экономическими затратами, исключающая нарушение сроков доставки;                                                                                                                                                                                                                            2.Увеличение участковой скорости грузовых поездов;                                                                                                                                                                                     3. Создание централизованной системы технического контроля состояния подвижного состава.                                                                      4. Своевременное рассмотрение претензий причастными структурными подразделениями.                                                                                                  5. Обновление/оздоровление тягового подвижного состава;                                                                                                                                                                           6. Уменьшение времени уборки/подачи вагонов с/на фронты погрузки;                                                                                                                                         7. Уменьшение времени переработки грузовых поездов на сортировочных станциях;                                                                                                                        8. Улучшение технического состояния магистральных и станционных путей;                                                                                                                                                                                              9.Увеличение плеч обслуживания локомотивов и грузовых вагонов.                                                                                                                                                   10. Уменьшение количества станций по обработке поездов:  Восстановление предузловых станций для скрещения и обгона поездов;                                                                                                                                                                                                                                       11. Восстановление вторых путей (Никельтау-Кандыагаш);                                                                                                                                              12. Строительство 2 путей (Арыс-Сексеул, Тобол-Кандыагаш, Кандыагаш-АтырауАрыс-Сексеул, Тобол-Кандыагаш, Кандыагаш-Атырау);                                                                                                                                                                                                            13.. Строительство соединительного участка Айсары – Чкалово-Кокшетау                                                                                                           14. Удлинение премоотправочных путей на некоторых станциях;                                                                                                                           15. Строительство и модернизация раздельных пунктов и станций;                                                                                                                                   16.. Внесение изменений в правила фиормирования графика движения поездов на участках МЖС с малыми грузопотоками;  17. Увеличение тарифа на перевозку порожних вагонов:                                                                                                                                                18. Восстановление предузловых станций для скрещения и обгона поездов;                                                                                                                      19. Доработка АСУ ДКР в части планирования перевозки порожних вагонов при условии наличия заявок грузоотправителей;                                                                                                                                                      20. Содержание штата путейских рабочих согласно объемов работ;                                                                                                                               21. Изменение технологии содержания пути в части проведения профилактических "окон";                                                                                      22. Разработка методики формирования графика движения поездов с учетом формирования сборных поездов в условиях малых струй;                                                                                                                                                                                                                                    23. Удлинение плеч обслуживания поездов;                                                                                                                                                                           24. Формирование ускоренных и длиносоставных поездов;                                                                                                                           25. Привлечение локомотивов сторонних организаций;                                                                                                                                                     26. Применение локомобилей для подачи/уюорки групп вагонов с выставочных путей станции до горузоплучателей. </v>
      </c>
      <c r="AE10" t="str">
        <f>IF('INHERENT MAP'!$B$5=2021,'РЕЕСТР РИСКОВ_2023'!AK47,IF('INHERENT MAP'!$B$5=2022,#REF!,IF('INHERENT MAP'!$B$5=2023,#REF!,IF('INHERENT MAP'!$B$5=2024,#REF!,#REF!))))</f>
        <v>АО "КТЖ-Грузовые перевозки"</v>
      </c>
      <c r="AF10">
        <f>IF('INHERENT MAP'!$B$5=2021,'РЕЕСТР РИСКОВ_2023'!AL47,IF('INHERENT MAP'!$B$5=2022,#REF!,IF('INHERENT MAP'!$B$5=2023,#REF!,IF('INHERENT MAP'!$B$5=2024,#REF!,#REF!))))</f>
        <v>0</v>
      </c>
      <c r="AG10" t="str">
        <f>IF('INHERENT MAP'!$B$5=2021,'РЕЕСТР РИСКОВ_2023'!AM47,IF('INHERENT MAP'!$B$5=2022,#REF!,IF('INHERENT MAP'!$B$5=2023,#REF!,IF('INHERENT MAP'!$B$5=2024,#REF!,#REF!))))</f>
        <v>низкая</v>
      </c>
      <c r="AH10">
        <f>IF('INHERENT MAP'!$B$5=2021,'РЕЕСТР РИСКОВ_2023'!AN47,IF('INHERENT MAP'!$B$5=2022,#REF!,IF('INHERENT MAP'!$B$5=2023,#REF!,IF('INHERENT MAP'!$B$5=2024,#REF!,#REF!))))</f>
        <v>0.05</v>
      </c>
      <c r="AI10">
        <f>IF('INHERENT MAP'!$B$5=2021,'РЕЕСТР РИСКОВ_2023'!AO47,IF('INHERENT MAP'!$B$5=2022,#REF!,IF('INHERENT MAP'!$B$5=2023,#REF!,IF('INHERENT MAP'!$B$5=2024,#REF!,#REF!))))</f>
        <v>-1600.8779999999997</v>
      </c>
      <c r="AJ10">
        <f>IF('INHERENT MAP'!$B$5=2021,'РЕЕСТР РИСКОВ_2023'!AP47,IF('INHERENT MAP'!$B$5=2022,#REF!,IF('INHERENT MAP'!$B$5=2023,#REF!,IF('INHERENT MAP'!$B$5=2024,#REF!,#REF!))))</f>
        <v>-80.043899999999994</v>
      </c>
      <c r="AK10">
        <f>IF('РЕЕСТР РИСКОВ_2023'!AQ47="",AK9,'РЕЕСТР РИСКОВ_2023'!AQ47)</f>
        <v>-80.043899999999994</v>
      </c>
      <c r="AL10">
        <f>IF('РЕЕСТР РИСКОВ_2023'!AR47="",AL9,'РЕЕСТР РИСКОВ_2023'!AR47)</f>
        <v>0</v>
      </c>
      <c r="AM10">
        <f>IF('РЕЕСТР РИСКОВ_2023'!AS47="",AM9,'РЕЕСТР РИСКОВ_2023'!AS47)</f>
        <v>0</v>
      </c>
      <c r="AN10">
        <f>IF('РЕЕСТР РИСКОВ_2023'!AT47="",AN9,'РЕЕСТР РИСКОВ_2023'!AT47)</f>
        <v>0</v>
      </c>
      <c r="AO10">
        <f>IF('РЕЕСТР РИСКОВ_2023'!AU47="",AO9,'РЕЕСТР РИСКОВ_2023'!AU47)</f>
        <v>0</v>
      </c>
    </row>
    <row r="11" spans="2:43">
      <c r="B11" t="str">
        <f>IF('INHERENT MAP'!$B$5=2021,IF('РЕЕСТР РИСКОВ_2023'!F51="",B10,'РЕЕСТР РИСКОВ_2023'!F51),IF('INHERENT MAP'!$B$5=2022,IF(#REF!="",B10,#REF!),IF('INHERENT MAP'!$B$5=2023,IF(#REF!="",B10,#REF!),IF('INHERENT MAP'!$B$5=2024,IF(#REF!="",B10,#REF!),IF('РЕЕСТР РИСКОВ_2023'!F51="",B10,'РЕЕСТР РИСКОВ_2023'!F51)))))</f>
        <v>РИСК ГРУЗООБОРОТА</v>
      </c>
      <c r="C11" t="str">
        <f>IF('INHERENT MAP'!$B$5=2021,IF('РЕЕСТР РИСКОВ_2023'!G51="",C10,'РЕЕСТР РИСКОВ_2023'!G51),IF('INHERENT MAP'!$B$5=2022,IF(#REF!="",C10,#REF!),IF('INHERENT MAP'!$B$5=2023,IF(#REF!="",C10,#REF!),IF('INHERENT MAP'!$B$5=2024,IF(#REF!="",C10,#REF!),IF('РЕЕСТР РИСКОВ_2023'!G51="",C10,'РЕЕСТР РИСКОВ_2023'!G51)))))</f>
        <v>- ХХХ млн. тенге</v>
      </c>
      <c r="D11" t="str">
        <f>IF('INHERENT MAP'!$B$5=2021,IF('РЕЕСТР РИСКОВ_2023'!H51="",D10,'РЕЕСТР РИСКОВ_2023'!H51),IF('INHERENT MAP'!$B$5=2022,IF(#REF!="",D10,#REF!),IF('INHERENT MAP'!$B$5=2023,IF(#REF!="",D10,#REF!),IF('INHERENT MAP'!$B$5=2024,IF(#REF!="",D10,#REF!),IF('РЕЕСТР РИСКОВ_2023'!H51="",D10,'РЕЕСТР РИСКОВ_2023'!H51)))))</f>
        <v>CTR-2</v>
      </c>
      <c r="E11" t="str">
        <f>IF('INHERENT MAP'!$B$5=2021,IF('РЕЕСТР РИСКОВ_2023'!I51="",E10,'РЕЕСТР РИСКОВ_2023'!I51),IF('INHERENT MAP'!$B$5=2022,IF(#REF!="",E10,#REF!),IF('INHERENT MAP'!$B$5=2023,IF(#REF!="",E10,#REF!),IF('INHERENT MAP'!$B$5=2024,IF(#REF!="",E10,#REF!),IF('РЕЕСТР РИСКОВ_2023'!I51="",E10,'РЕЕСТР РИСКОВ_2023'!I51)))))</f>
        <v>ЦЗД</v>
      </c>
      <c r="F11" t="str">
        <f>IF('INHERENT MAP'!$B$5=2021,IF('РЕЕСТР РИСКОВ_2023'!J51="",F10,'РЕЕСТР РИСКОВ_2023'!J51),IF('INHERENT MAP'!$B$5=2022,IF(#REF!="",F10,#REF!),IF('INHERENT MAP'!$B$5=2023,IF(#REF!="",F10,#REF!),IF('INHERENT MAP'!$B$5=2024,IF(#REF!="",F10,#REF!),IF('РЕЕСТР РИСКОВ_2023'!J51="",F10,'РЕЕСТР РИСКОВ_2023'!J51)))))</f>
        <v>ТОО "КТЖ-Грузовые перевозки"</v>
      </c>
      <c r="G11" t="str">
        <f>IF('INHERENT MAP'!$B$5=2021,IF('РЕЕСТР РИСКОВ_2023'!K51="",G10,'РЕЕСТР РИСКОВ_2023'!K51),IF('INHERENT MAP'!$B$5=2022,IF(#REF!="",G10,#REF!),IF('INHERENT MAP'!$B$5=2023,IF(#REF!="",G10,#REF!),IF('INHERENT MAP'!$B$5=2024,IF(#REF!="",G10,#REF!),IF('РЕЕСТР РИСКОВ_2023'!K51="",G10,'РЕЕСТР РИСКОВ_2023'!K51)))))</f>
        <v>Объем грузооборота от импорта</v>
      </c>
      <c r="H11">
        <f>IF('INHERENT MAP'!$B$5=2021,'РЕЕСТР РИСКОВ_2023'!L51,IF('INHERENT MAP'!$B$5=2022,#REF!,IF('INHERENT MAP'!$B$5=2023,#REF!,IF('INHERENT MAP'!$B$5=2024,#REF!,#REF!))))</f>
        <v>267833</v>
      </c>
      <c r="I11">
        <f>IF('INHERENT MAP'!$B$5=2021,'РЕЕСТР РИСКОВ_2023'!M51,IF('INHERENT MAP'!$B$5=2022,#REF!,IF('INHERENT MAP'!$B$5=2023,#REF!,IF('INHERENT MAP'!$B$5=2024,#REF!,#REF!))))</f>
        <v>0</v>
      </c>
      <c r="J11">
        <f>IF('INHERENT MAP'!$B$5=2021,'РЕЕСТР РИСКОВ_2023'!N51,IF('INHERENT MAP'!$B$5=2022,#REF!,IF('INHERENT MAP'!$B$5=2023,#REF!,IF('INHERENT MAP'!$B$5=2024,#REF!,#REF!))))</f>
        <v>0</v>
      </c>
      <c r="K11">
        <f>IF('INHERENT MAP'!$B$5=2021,'РЕЕСТР РИСКОВ_2023'!O51,IF('INHERENT MAP'!$B$5=2022,#REF!,IF('INHERENT MAP'!$B$5=2023,#REF!,IF('INHERENT MAP'!$B$5=2024,#REF!,#REF!))))</f>
        <v>0</v>
      </c>
      <c r="L11">
        <f>IF('INHERENT MAP'!$B$5=2021,'РЕЕСТР РИСКОВ_2023'!P51,IF('INHERENT MAP'!$B$5=2022,#REF!,IF('INHERENT MAP'!$B$5=2023,#REF!,IF('INHERENT MAP'!$B$5=2024,#REF!,#REF!))))</f>
        <v>267918.75653440494</v>
      </c>
      <c r="M11" t="str">
        <f>IF('INHERENT MAP'!$B$5=2021,IF('РЕЕСТР РИСКОВ_2023'!Q51="",M10,'РЕЕСТР РИСКОВ_2023'!Q51),IF('INHERENT MAP'!$B$5=2022,IF(#REF!="",M10,#REF!),IF('INHERENT MAP'!$B$5=2023,IF(#REF!="",M10,#REF!),IF('INHERENT MAP'!$B$5=2024,IF(#REF!="",M10,#REF!),IF('РЕЕСТР РИСКОВ_2023'!Q51="",M10,'РЕЕСТР РИСКОВ_2023'!Q51)))))</f>
        <v>Снижение спроса со стороны грузоотправителей импорта</v>
      </c>
      <c r="N11" t="str">
        <f>IF('INHERENT MAP'!$B$5=2021,IF('РЕЕСТР РИСКОВ_2023'!R51="",N10,'РЕЕСТР РИСКОВ_2023'!R51),IF('INHERENT MAP'!$B$5=2022,IF(#REF!="",N10,#REF!),IF('INHERENT MAP'!$B$5=2023,IF(#REF!="",N10,#REF!),IF('INHERENT MAP'!$B$5=2024,IF(#REF!="",N10,#REF!),IF('РЕЕСТР РИСКОВ_2023'!R51="",N10,'РЕЕСТР РИСКОВ_2023'!R51)))))</f>
        <v xml:space="preserve">Риск ухудшения качества предоставляемых услуг </v>
      </c>
      <c r="O11" t="str">
        <f>'РЕЕСТР РИСКОВ_2023'!T51</f>
        <v>данные маркетиноговой службы по результатам анкетирования, КПД ГП</v>
      </c>
      <c r="P11">
        <f>IF('РЕЕСТР РИСКОВ_2023'!U51="",P10,'РЕЕСТР РИСКОВ_2023'!U51)</f>
        <v>0</v>
      </c>
      <c r="Q11" t="str">
        <f>IF('РЕЕСТР РИСКОВ_2023'!V51="",Q10,'РЕЕСТР РИСКОВ_2023'!V51)</f>
        <v>Cлабые стороны</v>
      </c>
      <c r="R11" t="str">
        <f>IF('РЕЕСТР РИСКОВ_2023'!W51="",R10,'РЕЕСТР РИСКОВ_2023'!W51)</f>
        <v>Обзор удовлетворенности клиентов 
2018-  46,8%                                       2019- 64,8%                                          2020 - 65%                                      2021-66%</v>
      </c>
      <c r="S11">
        <f>'РЕЕСТР РИСКОВ_2023'!X51</f>
        <v>0</v>
      </c>
      <c r="T11" s="94">
        <f>IF('INHERENT MAP'!$B$5=2021,'РЕЕСТР РИСКОВ_2023'!Y51,IF('INHERENT MAP'!$B$5=2022,#REF!,IF('INHERENT MAP'!$B$5=2023,#REF!,IF('INHERENT MAP'!$B$5=2024,#REF!,#REF!))))</f>
        <v>0</v>
      </c>
      <c r="U11">
        <f>IF('INHERENT MAP'!$B$5=2021,'РЕЕСТР РИСКОВ_2023'!Z51,IF('INHERENT MAP'!$B$5=2022,#REF!,IF('INHERENT MAP'!$B$5=2023,#REF!,IF('INHERENT MAP'!$B$5=2024,#REF!,#REF!))))</f>
        <v>0</v>
      </c>
      <c r="V11">
        <f>IF('INHERENT MAP'!$B$5=2021,'РЕЕСТР РИСКОВ_2023'!AA51,IF('INHERENT MAP'!$B$5=2022,#REF!,IF('INHERENT MAP'!$B$5=2023,#REF!,IF('INHERENT MAP'!$B$5=2024,#REF!,#REF!))))</f>
        <v>0</v>
      </c>
      <c r="W11" t="str">
        <f>IF('INHERENT MAP'!$B$5=2021,'РЕЕСТР РИСКОВ_2023'!AB51,IF('INHERENT MAP'!$B$5=2022,#REF!,IF('INHERENT MAP'!$B$5=2023,#REF!,IF('INHERENT MAP'!$B$5=2024,#REF!,#REF!))))</f>
        <v>Влияние на доход не возможно учесть, в связи с несовершненством клиентской базы</v>
      </c>
      <c r="X11" s="94">
        <f>IF('INHERENT MAP'!$B$5=2021,'РЕЕСТР РИСКОВ_2023'!AC51,IF('INHERENT MAP'!$B$5=2022,#REF!,IF('INHERENT MAP'!$B$5=2023,#REF!,IF('INHERENT MAP'!$B$5=2024,#REF!,#REF!))))</f>
        <v>0.05</v>
      </c>
      <c r="Y11">
        <f>IF('INHERENT MAP'!$B$5=2021,'РЕЕСТР РИСКОВ_2023'!AD51,IF('INHERENT MAP'!$B$5=2022,#REF!,IF('INHERENT MAP'!$B$5=2023,#REF!,IF('INHERENT MAP'!$B$5=2024,#REF!,#REF!))))</f>
        <v>1715.1306880989828</v>
      </c>
      <c r="Z11">
        <f>IF('INHERENT MAP'!$B$5=2021,'РЕЕСТР РИСКОВ_2023'!AE51,IF('INHERENT MAP'!$B$5=2022,#REF!,IF('INHERENT MAP'!$B$5=2023,#REF!,IF('INHERENT MAP'!$B$5=2024,#REF!,#REF!))))</f>
        <v>85.75653440494915</v>
      </c>
      <c r="AA11">
        <f>IF('INHERENT MAP'!$B$5=2021,'РЕЕСТР РИСКОВ_2023'!AF51,IF('INHERENT MAP'!$B$5=2022,#REF!,IF('INHERENT MAP'!$B$5=2023,#REF!,IF('INHERENT MAP'!$B$5=2024,#REF!,#REF!))))</f>
        <v>0</v>
      </c>
      <c r="AB11">
        <f>IF('INHERENT MAP'!$B$5=2021,'РЕЕСТР РИСКОВ_2023'!AG51,IF('INHERENT MAP'!$B$5=2022,#REF!,IF('INHERENT MAP'!$B$5=2023,#REF!,IF('INHERENT MAP'!$B$5=2024,#REF!,#REF!))))</f>
        <v>0</v>
      </c>
      <c r="AC11">
        <f>IF('INHERENT MAP'!$B$5=2021,'РЕЕСТР РИСКОВ_2023'!AH51,IF('INHERENT MAP'!$B$5=2022,#REF!,IF('INHERENT MAP'!$B$5=2023,#REF!,IF('INHERENT MAP'!$B$5=2024,#REF!,#REF!))))</f>
        <v>0</v>
      </c>
      <c r="AD11" t="str">
        <f>IF('INHERENT MAP'!$B$5=2021,'РЕЕСТР РИСКОВ_2023'!AI51,IF('INHERENT MAP'!$B$5=2022,#REF!,IF('INHERENT MAP'!$B$5=2023,#REF!,IF('INHERENT MAP'!$B$5=2024,#REF!,#REF!))))</f>
        <v xml:space="preserve">1.  Проведение опроса грузоотправителей для выявления проблемных вопросов по взаимодействию с участниками процесса перевозки грузов;                                                                                                                                                                                                                                                                   2. Разработка и мониторинг плана мероприятий по результатам анкетирования клиентов по улучшению качества обслуживания клиентов. Информирование клиентов о реализации предложений, указанных в анкете.                                                                                                                                                                                                        
3. Улучшение программы АСУ ДКР (переход на безбумажное оформление перевозочных документов, реализация мобильного приложения АСУ ДКР);                                                                                                                                 
4. Создание роликов в социальных сетях и на сайте ТОО "КТЖ-Грузовые перевозки" с пошаговой инструкцией для клиентов;                                                                                                                                                                          5. Отмена повторного запроса учредительных документов у клиентов путем формирования базы по клиентам.                                                                  6. Проведение встреч (конференций с применением программ удаленного доступа) с участием грузоотправителей и грузополучателей (зерновики, угольщики) .                                                                                                                                                                     7. Проведение мониторинга строительства альтернативных участков железных дорог в обход Казахстана;                                                                                                                 8. Проведение мониторинга государственной поддержки перевозки грузов на дальние расстояния внутри государства;                               9. Проведение встреч (конференций с применением программ удаленного доступа) с участием работников соседниж ЖДА;    10. Увеличение процента вакцинированных сотрудников:                                                                                                                                        11. Разработка и реализация программы контейнеризации грузов;                                                                                                                          12. Привлечение локомотивов сторонних организаций;                                                                                                                                                        13. Применение локомобилей для подачи/уюорки групп вагонов с выставочных путей станции до горузоплучателей.                 14. Заключение соглашений о совместном сотрудничестве с владельцами терминалов и подъездных путей;                                 15. Запуск электронной площадки торговли комлексной услуги по перевозке грузов.                                                                                </v>
      </c>
      <c r="AE11" t="str">
        <f>IF('INHERENT MAP'!$B$5=2021,'РЕЕСТР РИСКОВ_2023'!AK51,IF('INHERENT MAP'!$B$5=2022,#REF!,IF('INHERENT MAP'!$B$5=2023,#REF!,IF('INHERENT MAP'!$B$5=2024,#REF!,#REF!))))</f>
        <v>АО "КТЖ-Грузовые перевозки"</v>
      </c>
      <c r="AF11">
        <f>IF('INHERENT MAP'!$B$5=2021,'РЕЕСТР РИСКОВ_2023'!AL51,IF('INHERENT MAP'!$B$5=2022,#REF!,IF('INHERENT MAP'!$B$5=2023,#REF!,IF('INHERENT MAP'!$B$5=2024,#REF!,#REF!))))</f>
        <v>0</v>
      </c>
      <c r="AG11" t="str">
        <f>IF('INHERENT MAP'!$B$5=2021,'РЕЕСТР РИСКОВ_2023'!AM51,IF('INHERENT MAP'!$B$5=2022,#REF!,IF('INHERENT MAP'!$B$5=2023,#REF!,IF('INHERENT MAP'!$B$5=2024,#REF!,#REF!))))</f>
        <v>низкая</v>
      </c>
      <c r="AH11">
        <f>IF('INHERENT MAP'!$B$5=2021,'РЕЕСТР РИСКОВ_2023'!AN51,IF('INHERENT MAP'!$B$5=2022,#REF!,IF('INHERENT MAP'!$B$5=2023,#REF!,IF('INHERENT MAP'!$B$5=2024,#REF!,#REF!))))</f>
        <v>0</v>
      </c>
      <c r="AI11">
        <f>IF('INHERENT MAP'!$B$5=2021,'РЕЕСТР РИСКОВ_2023'!AO51,IF('INHERENT MAP'!$B$5=2022,#REF!,IF('INHERENT MAP'!$B$5=2023,#REF!,IF('INHERENT MAP'!$B$5=2024,#REF!,#REF!))))</f>
        <v>0</v>
      </c>
      <c r="AJ11">
        <f>IF('INHERENT MAP'!$B$5=2021,'РЕЕСТР РИСКОВ_2023'!AP51,IF('INHERENT MAP'!$B$5=2022,#REF!,IF('INHERENT MAP'!$B$5=2023,#REF!,IF('INHERENT MAP'!$B$5=2024,#REF!,#REF!))))</f>
        <v>0</v>
      </c>
      <c r="AK11">
        <f>IF('РЕЕСТР РИСКОВ_2023'!AQ51="",AK10,'РЕЕСТР РИСКОВ_2023'!AQ51)</f>
        <v>-80.043899999999994</v>
      </c>
      <c r="AL11">
        <f>IF('РЕЕСТР РИСКОВ_2023'!AR51="",AL10,'РЕЕСТР РИСКОВ_2023'!AR51)</f>
        <v>0.05</v>
      </c>
      <c r="AM11">
        <f>IF('РЕЕСТР РИСКОВ_2023'!AS51="",AM10,'РЕЕСТР РИСКОВ_2023'!AS51)</f>
        <v>1715.1306880989828</v>
      </c>
      <c r="AN11">
        <f>IF('РЕЕСТР РИСКОВ_2023'!AT51="",AN10,'РЕЕСТР РИСКОВ_2023'!AT51)</f>
        <v>85.75653440494915</v>
      </c>
      <c r="AO11">
        <f>IF('РЕЕСТР РИСКОВ_2023'!AU51="",AO10,'РЕЕСТР РИСКОВ_2023'!AU51)</f>
        <v>0</v>
      </c>
    </row>
    <row r="12" spans="2:43">
      <c r="B12" t="str">
        <f>IF('INHERENT MAP'!$B$5=2021,IF('РЕЕСТР РИСКОВ_2023'!F52="",B11,'РЕЕСТР РИСКОВ_2023'!F52),IF('INHERENT MAP'!$B$5=2022,IF(#REF!="",B11,#REF!),IF('INHERENT MAP'!$B$5=2023,IF(#REF!="",B11,#REF!),IF('INHERENT MAP'!$B$5=2024,IF(#REF!="",B11,#REF!),IF('РЕЕСТР РИСКОВ_2023'!F52="",B11,'РЕЕСТР РИСКОВ_2023'!F52)))))</f>
        <v>РИСК ГРУЗООБОРОТА</v>
      </c>
      <c r="C12" t="str">
        <f>IF('INHERENT MAP'!$B$5=2021,IF('РЕЕСТР РИСКОВ_2023'!G52="",C11,'РЕЕСТР РИСКОВ_2023'!G52),IF('INHERENT MAP'!$B$5=2022,IF(#REF!="",C11,#REF!),IF('INHERENT MAP'!$B$5=2023,IF(#REF!="",C11,#REF!),IF('INHERENT MAP'!$B$5=2024,IF(#REF!="",C11,#REF!),IF('РЕЕСТР РИСКОВ_2023'!G52="",C11,'РЕЕСТР РИСКОВ_2023'!G52)))))</f>
        <v>- ХХХ млн. тенге</v>
      </c>
      <c r="D12" t="str">
        <f>IF('INHERENT MAP'!$B$5=2021,IF('РЕЕСТР РИСКОВ_2023'!H52="",D11,'РЕЕСТР РИСКОВ_2023'!H52),IF('INHERENT MAP'!$B$5=2022,IF(#REF!="",D11,#REF!),IF('INHERENT MAP'!$B$5=2023,IF(#REF!="",D11,#REF!),IF('INHERENT MAP'!$B$5=2024,IF(#REF!="",D11,#REF!),IF('РЕЕСТР РИСКОВ_2023'!H52="",D11,'РЕЕСТР РИСКОВ_2023'!H52)))))</f>
        <v>CTR-2</v>
      </c>
      <c r="E12" t="str">
        <f>IF('INHERENT MAP'!$B$5=2021,IF('РЕЕСТР РИСКОВ_2023'!I52="",E11,'РЕЕСТР РИСКОВ_2023'!I52),IF('INHERENT MAP'!$B$5=2022,IF(#REF!="",E11,#REF!),IF('INHERENT MAP'!$B$5=2023,IF(#REF!="",E11,#REF!),IF('INHERENT MAP'!$B$5=2024,IF(#REF!="",E11,#REF!),IF('РЕЕСТР РИСКОВ_2023'!I52="",E11,'РЕЕСТР РИСКОВ_2023'!I52)))))</f>
        <v>ЦЗД</v>
      </c>
      <c r="F12" t="str">
        <f>IF('INHERENT MAP'!$B$5=2021,IF('РЕЕСТР РИСКОВ_2023'!J52="",F11,'РЕЕСТР РИСКОВ_2023'!J52),IF('INHERENT MAP'!$B$5=2022,IF(#REF!="",F11,#REF!),IF('INHERENT MAP'!$B$5=2023,IF(#REF!="",F11,#REF!),IF('INHERENT MAP'!$B$5=2024,IF(#REF!="",F11,#REF!),IF('РЕЕСТР РИСКОВ_2023'!J52="",F11,'РЕЕСТР РИСКОВ_2023'!J52)))))</f>
        <v>ТОО "КТЖ-Грузовые перевозки"</v>
      </c>
      <c r="G12" t="str">
        <f>IF('INHERENT MAP'!$B$5=2021,IF('РЕЕСТР РИСКОВ_2023'!K52="",G11,'РЕЕСТР РИСКОВ_2023'!K52),IF('INHERENT MAP'!$B$5=2022,IF(#REF!="",G11,#REF!),IF('INHERENT MAP'!$B$5=2023,IF(#REF!="",G11,#REF!),IF('INHERENT MAP'!$B$5=2024,IF(#REF!="",G11,#REF!),IF('РЕЕСТР РИСКОВ_2023'!K52="",G11,'РЕЕСТР РИСКОВ_2023'!K52)))))</f>
        <v>Объем грузооборота от импорта</v>
      </c>
      <c r="H12">
        <f>IF('INHERENT MAP'!$B$5=2021,'РЕЕСТР РИСКОВ_2023'!L52,IF('INHERENT MAP'!$B$5=2022,#REF!,IF('INHERENT MAP'!$B$5=2023,#REF!,IF('INHERENT MAP'!$B$5=2024,#REF!,#REF!))))</f>
        <v>0</v>
      </c>
      <c r="I12">
        <f>IF('INHERENT MAP'!$B$5=2021,'РЕЕСТР РИСКОВ_2023'!M52,IF('INHERENT MAP'!$B$5=2022,#REF!,IF('INHERENT MAP'!$B$5=2023,#REF!,IF('INHERENT MAP'!$B$5=2024,#REF!,#REF!))))</f>
        <v>0</v>
      </c>
      <c r="J12">
        <f>IF('INHERENT MAP'!$B$5=2021,'РЕЕСТР РИСКОВ_2023'!N52,IF('INHERENT MAP'!$B$5=2022,#REF!,IF('INHERENT MAP'!$B$5=2023,#REF!,IF('INHERENT MAP'!$B$5=2024,#REF!,#REF!))))</f>
        <v>0</v>
      </c>
      <c r="K12">
        <f>IF('INHERENT MAP'!$B$5=2021,'РЕЕСТР РИСКОВ_2023'!O52,IF('INHERENT MAP'!$B$5=2022,#REF!,IF('INHERENT MAP'!$B$5=2023,#REF!,IF('INHERENT MAP'!$B$5=2024,#REF!,#REF!))))</f>
        <v>0</v>
      </c>
      <c r="L12">
        <f>IF('INHERENT MAP'!$B$5=2021,'РЕЕСТР РИСКОВ_2023'!P52,IF('INHERENT MAP'!$B$5=2022,#REF!,IF('INHERENT MAP'!$B$5=2023,#REF!,IF('INHERENT MAP'!$B$5=2024,#REF!,#REF!))))</f>
        <v>0</v>
      </c>
      <c r="M12" t="str">
        <f>IF('INHERENT MAP'!$B$5=2021,IF('РЕЕСТР РИСКОВ_2023'!Q52="",M11,'РЕЕСТР РИСКОВ_2023'!Q52),IF('INHERENT MAP'!$B$5=2022,IF(#REF!="",M11,#REF!),IF('INHERENT MAP'!$B$5=2023,IF(#REF!="",M11,#REF!),IF('INHERENT MAP'!$B$5=2024,IF(#REF!="",M11,#REF!),IF('РЕЕСТР РИСКОВ_2023'!Q52="",M11,'РЕЕСТР РИСКОВ_2023'!Q52)))))</f>
        <v>Снижение спроса со стороны грузоотправителей импорта</v>
      </c>
      <c r="N12" t="str">
        <f>IF('INHERENT MAP'!$B$5=2021,IF('РЕЕСТР РИСКОВ_2023'!R52="",N11,'РЕЕСТР РИСКОВ_2023'!R52),IF('INHERENT MAP'!$B$5=2022,IF(#REF!="",N11,#REF!),IF('INHERENT MAP'!$B$5=2023,IF(#REF!="",N11,#REF!),IF('INHERENT MAP'!$B$5=2024,IF(#REF!="",N11,#REF!),IF('РЕЕСТР РИСКОВ_2023'!R52="",N11,'РЕЕСТР РИСКОВ_2023'!R52)))))</f>
        <v>Эпидемиологический риск (ER)</v>
      </c>
      <c r="O12">
        <f>'РЕЕСТР РИСКОВ_2023'!T52</f>
        <v>0</v>
      </c>
      <c r="P12">
        <f>IF('РЕЕСТР РИСКОВ_2023'!U52="",P11,'РЕЕСТР РИСКОВ_2023'!U52)</f>
        <v>0</v>
      </c>
      <c r="Q12" t="str">
        <f>IF('РЕЕСТР РИСКОВ_2023'!V52="",Q11,'РЕЕСТР РИСКОВ_2023'!V52)</f>
        <v>Cлабые стороны</v>
      </c>
      <c r="R12" t="str">
        <f>IF('РЕЕСТР РИСКОВ_2023'!W52="",R11,'РЕЕСТР РИСКОВ_2023'!W52)</f>
        <v>Обзор удовлетворенности клиентов 
2018-  46,8%                                       2019- 64,8%                                          2020 - 65%                                      2021-66%</v>
      </c>
      <c r="S12">
        <f>'РЕЕСТР РИСКОВ_2023'!X52</f>
        <v>0</v>
      </c>
      <c r="T12" s="94">
        <f>IF('INHERENT MAP'!$B$5=2021,'РЕЕСТР РИСКОВ_2023'!Y52,IF('INHERENT MAP'!$B$5=2022,#REF!,IF('INHERENT MAP'!$B$5=2023,#REF!,IF('INHERENT MAP'!$B$5=2024,#REF!,#REF!))))</f>
        <v>0</v>
      </c>
      <c r="U12">
        <f>IF('INHERENT MAP'!$B$5=2021,'РЕЕСТР РИСКОВ_2023'!Z52,IF('INHERENT MAP'!$B$5=2022,#REF!,IF('INHERENT MAP'!$B$5=2023,#REF!,IF('INHERENT MAP'!$B$5=2024,#REF!,#REF!))))</f>
        <v>0</v>
      </c>
      <c r="V12">
        <f>IF('INHERENT MAP'!$B$5=2021,'РЕЕСТР РИСКОВ_2023'!AA52,IF('INHERENT MAP'!$B$5=2022,#REF!,IF('INHERENT MAP'!$B$5=2023,#REF!,IF('INHERENT MAP'!$B$5=2024,#REF!,#REF!))))</f>
        <v>0</v>
      </c>
      <c r="W12">
        <f>IF('INHERENT MAP'!$B$5=2021,'РЕЕСТР РИСКОВ_2023'!AB52,IF('INHERENT MAP'!$B$5=2022,#REF!,IF('INHERENT MAP'!$B$5=2023,#REF!,IF('INHERENT MAP'!$B$5=2024,#REF!,#REF!))))</f>
        <v>0</v>
      </c>
      <c r="X12" s="94">
        <f>IF('INHERENT MAP'!$B$5=2021,'РЕЕСТР РИСКОВ_2023'!AC52,IF('INHERENT MAP'!$B$5=2022,#REF!,IF('INHERENT MAP'!$B$5=2023,#REF!,IF('INHERENT MAP'!$B$5=2024,#REF!,#REF!))))</f>
        <v>0</v>
      </c>
      <c r="Y12">
        <f>IF('INHERENT MAP'!$B$5=2021,'РЕЕСТР РИСКОВ_2023'!AD52,IF('INHERENT MAP'!$B$5=2022,#REF!,IF('INHERENT MAP'!$B$5=2023,#REF!,IF('INHERENT MAP'!$B$5=2024,#REF!,#REF!))))</f>
        <v>0</v>
      </c>
      <c r="Z12">
        <f>IF('INHERENT MAP'!$B$5=2021,'РЕЕСТР РИСКОВ_2023'!AE52,IF('INHERENT MAP'!$B$5=2022,#REF!,IF('INHERENT MAP'!$B$5=2023,#REF!,IF('INHERENT MAP'!$B$5=2024,#REF!,#REF!))))</f>
        <v>0</v>
      </c>
      <c r="AA12">
        <f>IF('INHERENT MAP'!$B$5=2021,'РЕЕСТР РИСКОВ_2023'!AF52,IF('INHERENT MAP'!$B$5=2022,#REF!,IF('INHERENT MAP'!$B$5=2023,#REF!,IF('INHERENT MAP'!$B$5=2024,#REF!,#REF!))))</f>
        <v>0</v>
      </c>
      <c r="AB12">
        <f>IF('INHERENT MAP'!$B$5=2021,'РЕЕСТР РИСКОВ_2023'!AG52,IF('INHERENT MAP'!$B$5=2022,#REF!,IF('INHERENT MAP'!$B$5=2023,#REF!,IF('INHERENT MAP'!$B$5=2024,#REF!,#REF!))))</f>
        <v>0</v>
      </c>
      <c r="AC12">
        <f>IF('INHERENT MAP'!$B$5=2021,'РЕЕСТР РИСКОВ_2023'!AH52,IF('INHERENT MAP'!$B$5=2022,#REF!,IF('INHERENT MAP'!$B$5=2023,#REF!,IF('INHERENT MAP'!$B$5=2024,#REF!,#REF!))))</f>
        <v>0</v>
      </c>
      <c r="AD12">
        <f>IF('INHERENT MAP'!$B$5=2021,'РЕЕСТР РИСКОВ_2023'!AI52,IF('INHERENT MAP'!$B$5=2022,#REF!,IF('INHERENT MAP'!$B$5=2023,#REF!,IF('INHERENT MAP'!$B$5=2024,#REF!,#REF!))))</f>
        <v>0</v>
      </c>
      <c r="AE12">
        <f>IF('INHERENT MAP'!$B$5=2021,'РЕЕСТР РИСКОВ_2023'!AK52,IF('INHERENT MAP'!$B$5=2022,#REF!,IF('INHERENT MAP'!$B$5=2023,#REF!,IF('INHERENT MAP'!$B$5=2024,#REF!,#REF!))))</f>
        <v>0</v>
      </c>
      <c r="AF12">
        <f>IF('INHERENT MAP'!$B$5=2021,'РЕЕСТР РИСКОВ_2023'!AL52,IF('INHERENT MAP'!$B$5=2022,#REF!,IF('INHERENT MAP'!$B$5=2023,#REF!,IF('INHERENT MAP'!$B$5=2024,#REF!,#REF!))))</f>
        <v>0</v>
      </c>
      <c r="AG12">
        <f>IF('INHERENT MAP'!$B$5=2021,'РЕЕСТР РИСКОВ_2023'!AM52,IF('INHERENT MAP'!$B$5=2022,#REF!,IF('INHERENT MAP'!$B$5=2023,#REF!,IF('INHERENT MAP'!$B$5=2024,#REF!,#REF!))))</f>
        <v>0</v>
      </c>
      <c r="AH12">
        <f>IF('INHERENT MAP'!$B$5=2021,'РЕЕСТР РИСКОВ_2023'!AN52,IF('INHERENT MAP'!$B$5=2022,#REF!,IF('INHERENT MAP'!$B$5=2023,#REF!,IF('INHERENT MAP'!$B$5=2024,#REF!,#REF!))))</f>
        <v>0</v>
      </c>
      <c r="AI12">
        <f>IF('INHERENT MAP'!$B$5=2021,'РЕЕСТР РИСКОВ_2023'!AO52,IF('INHERENT MAP'!$B$5=2022,#REF!,IF('INHERENT MAP'!$B$5=2023,#REF!,IF('INHERENT MAP'!$B$5=2024,#REF!,#REF!))))</f>
        <v>0</v>
      </c>
      <c r="AJ12">
        <f>IF('INHERENT MAP'!$B$5=2021,'РЕЕСТР РИСКОВ_2023'!AP52,IF('INHERENT MAP'!$B$5=2022,#REF!,IF('INHERENT MAP'!$B$5=2023,#REF!,IF('INHERENT MAP'!$B$5=2024,#REF!,#REF!))))</f>
        <v>0</v>
      </c>
      <c r="AK12">
        <f>IF('РЕЕСТР РИСКОВ_2023'!AQ52="",AK11,'РЕЕСТР РИСКОВ_2023'!AQ52)</f>
        <v>-80.043899999999994</v>
      </c>
      <c r="AL12">
        <f>IF('РЕЕСТР РИСКОВ_2023'!AR52="",AL11,'РЕЕСТР РИСКОВ_2023'!AR52)</f>
        <v>0.05</v>
      </c>
      <c r="AM12">
        <f>IF('РЕЕСТР РИСКОВ_2023'!AS52="",AM11,'РЕЕСТР РИСКОВ_2023'!AS52)</f>
        <v>1715.1306880989828</v>
      </c>
      <c r="AN12">
        <f>IF('РЕЕСТР РИСКОВ_2023'!AT52="",AN11,'РЕЕСТР РИСКОВ_2023'!AT52)</f>
        <v>85.75653440494915</v>
      </c>
      <c r="AO12">
        <f>IF('РЕЕСТР РИСКОВ_2023'!AU52="",AO11,'РЕЕСТР РИСКОВ_2023'!AU52)</f>
        <v>0</v>
      </c>
    </row>
    <row r="13" spans="2:43">
      <c r="B13" t="str">
        <f>IF('INHERENT MAP'!$B$5=2021,IF('РЕЕСТР РИСКОВ_2023'!F53="",B12,'РЕЕСТР РИСКОВ_2023'!F53),IF('INHERENT MAP'!$B$5=2022,IF(#REF!="",B12,#REF!),IF('INHERENT MAP'!$B$5=2023,IF(#REF!="",B12,#REF!),IF('INHERENT MAP'!$B$5=2024,IF(#REF!="",B12,#REF!),IF('РЕЕСТР РИСКОВ_2023'!F53="",B12,'РЕЕСТР РИСКОВ_2023'!F53)))))</f>
        <v>РИСК ГРУЗООБОРОТА</v>
      </c>
      <c r="C13" t="str">
        <f>IF('INHERENT MAP'!$B$5=2021,IF('РЕЕСТР РИСКОВ_2023'!G53="",C12,'РЕЕСТР РИСКОВ_2023'!G53),IF('INHERENT MAP'!$B$5=2022,IF(#REF!="",C12,#REF!),IF('INHERENT MAP'!$B$5=2023,IF(#REF!="",C12,#REF!),IF('INHERENT MAP'!$B$5=2024,IF(#REF!="",C12,#REF!),IF('РЕЕСТР РИСКОВ_2023'!G53="",C12,'РЕЕСТР РИСКОВ_2023'!G53)))))</f>
        <v>- ХХХ млн. тенге</v>
      </c>
      <c r="D13" t="str">
        <f>IF('INHERENT MAP'!$B$5=2021,IF('РЕЕСТР РИСКОВ_2023'!H53="",D12,'РЕЕСТР РИСКОВ_2023'!H53),IF('INHERENT MAP'!$B$5=2022,IF(#REF!="",D12,#REF!),IF('INHERENT MAP'!$B$5=2023,IF(#REF!="",D12,#REF!),IF('INHERENT MAP'!$B$5=2024,IF(#REF!="",D12,#REF!),IF('РЕЕСТР РИСКОВ_2023'!H53="",D12,'РЕЕСТР РИСКОВ_2023'!H53)))))</f>
        <v>CTR-2</v>
      </c>
      <c r="E13" t="str">
        <f>IF('INHERENT MAP'!$B$5=2021,IF('РЕЕСТР РИСКОВ_2023'!I53="",E12,'РЕЕСТР РИСКОВ_2023'!I53),IF('INHERENT MAP'!$B$5=2022,IF(#REF!="",E12,#REF!),IF('INHERENT MAP'!$B$5=2023,IF(#REF!="",E12,#REF!),IF('INHERENT MAP'!$B$5=2024,IF(#REF!="",E12,#REF!),IF('РЕЕСТР РИСКОВ_2023'!I53="",E12,'РЕЕСТР РИСКОВ_2023'!I53)))))</f>
        <v>ЦЗД</v>
      </c>
      <c r="F13" t="str">
        <f>IF('INHERENT MAP'!$B$5=2021,IF('РЕЕСТР РИСКОВ_2023'!J53="",F12,'РЕЕСТР РИСКОВ_2023'!J53),IF('INHERENT MAP'!$B$5=2022,IF(#REF!="",F12,#REF!),IF('INHERENT MAP'!$B$5=2023,IF(#REF!="",F12,#REF!),IF('INHERENT MAP'!$B$5=2024,IF(#REF!="",F12,#REF!),IF('РЕЕСТР РИСКОВ_2023'!J53="",F12,'РЕЕСТР РИСКОВ_2023'!J53)))))</f>
        <v>ТОО "КТЖ-Грузовые перевозки"</v>
      </c>
      <c r="G13" t="str">
        <f>IF('INHERENT MAP'!$B$5=2021,IF('РЕЕСТР РИСКОВ_2023'!K53="",G12,'РЕЕСТР РИСКОВ_2023'!K53),IF('INHERENT MAP'!$B$5=2022,IF(#REF!="",G12,#REF!),IF('INHERENT MAP'!$B$5=2023,IF(#REF!="",G12,#REF!),IF('INHERENT MAP'!$B$5=2024,IF(#REF!="",G12,#REF!),IF('РЕЕСТР РИСКОВ_2023'!K53="",G12,'РЕЕСТР РИСКОВ_2023'!K53)))))</f>
        <v>Объем грузооборота от импорта</v>
      </c>
      <c r="H13">
        <f>IF('INHERENT MAP'!$B$5=2021,'РЕЕСТР РИСКОВ_2023'!L53,IF('INHERENT MAP'!$B$5=2022,#REF!,IF('INHERENT MAP'!$B$5=2023,#REF!,IF('INHERENT MAP'!$B$5=2024,#REF!,#REF!))))</f>
        <v>0</v>
      </c>
      <c r="I13">
        <f>IF('INHERENT MAP'!$B$5=2021,'РЕЕСТР РИСКОВ_2023'!M53,IF('INHERENT MAP'!$B$5=2022,#REF!,IF('INHERENT MAP'!$B$5=2023,#REF!,IF('INHERENT MAP'!$B$5=2024,#REF!,#REF!))))</f>
        <v>0</v>
      </c>
      <c r="J13">
        <f>IF('INHERENT MAP'!$B$5=2021,'РЕЕСТР РИСКОВ_2023'!N53,IF('INHERENT MAP'!$B$5=2022,#REF!,IF('INHERENT MAP'!$B$5=2023,#REF!,IF('INHERENT MAP'!$B$5=2024,#REF!,#REF!))))</f>
        <v>0</v>
      </c>
      <c r="K13">
        <f>IF('INHERENT MAP'!$B$5=2021,'РЕЕСТР РИСКОВ_2023'!O53,IF('INHERENT MAP'!$B$5=2022,#REF!,IF('INHERENT MAP'!$B$5=2023,#REF!,IF('INHERENT MAP'!$B$5=2024,#REF!,#REF!))))</f>
        <v>0</v>
      </c>
      <c r="L13">
        <f>IF('INHERENT MAP'!$B$5=2021,'РЕЕСТР РИСКОВ_2023'!P53,IF('INHERENT MAP'!$B$5=2022,#REF!,IF('INHERENT MAP'!$B$5=2023,#REF!,IF('INHERENT MAP'!$B$5=2024,#REF!,#REF!))))</f>
        <v>0</v>
      </c>
      <c r="M13" t="str">
        <f>IF('INHERENT MAP'!$B$5=2021,IF('РЕЕСТР РИСКОВ_2023'!Q53="",M12,'РЕЕСТР РИСКОВ_2023'!Q53),IF('INHERENT MAP'!$B$5=2022,IF(#REF!="",M12,#REF!),IF('INHERENT MAP'!$B$5=2023,IF(#REF!="",M12,#REF!),IF('INHERENT MAP'!$B$5=2024,IF(#REF!="",M12,#REF!),IF('РЕЕСТР РИСКОВ_2023'!Q53="",M12,'РЕЕСТР РИСКОВ_2023'!Q53)))))</f>
        <v>Снижение спроса со стороны грузоотправителей импорта</v>
      </c>
      <c r="N13" t="str">
        <f>IF('INHERENT MAP'!$B$5=2021,IF('РЕЕСТР РИСКОВ_2023'!R53="",N12,'РЕЕСТР РИСКОВ_2023'!R53),IF('INHERENT MAP'!$B$5=2022,IF(#REF!="",N12,#REF!),IF('INHERENT MAP'!$B$5=2023,IF(#REF!="",N12,#REF!),IF('INHERENT MAP'!$B$5=2024,IF(#REF!="",N12,#REF!),IF('РЕЕСТР РИСКОВ_2023'!R53="",N12,'РЕЕСТР РИСКОВ_2023'!R53)))))</f>
        <v>Макро риск</v>
      </c>
      <c r="O13">
        <f>'РЕЕСТР РИСКОВ_2023'!T53</f>
        <v>0</v>
      </c>
      <c r="P13">
        <f>IF('РЕЕСТР РИСКОВ_2023'!U53="",P12,'РЕЕСТР РИСКОВ_2023'!U53)</f>
        <v>0</v>
      </c>
      <c r="Q13" t="str">
        <f>IF('РЕЕСТР РИСКОВ_2023'!V53="",Q12,'РЕЕСТР РИСКОВ_2023'!V53)</f>
        <v>Cлабые стороны</v>
      </c>
      <c r="R13" t="str">
        <f>IF('РЕЕСТР РИСКОВ_2023'!W53="",R12,'РЕЕСТР РИСКОВ_2023'!W53)</f>
        <v>Динамика прироста заболевших COVID-19 в Казахстане и мире</v>
      </c>
      <c r="S13">
        <f>'РЕЕСТР РИСКОВ_2023'!X53</f>
        <v>0</v>
      </c>
      <c r="T13" s="94">
        <f>IF('INHERENT MAP'!$B$5=2021,'РЕЕСТР РИСКОВ_2023'!Y53,IF('INHERENT MAP'!$B$5=2022,#REF!,IF('INHERENT MAP'!$B$5=2023,#REF!,IF('INHERENT MAP'!$B$5=2024,#REF!,#REF!))))</f>
        <v>0</v>
      </c>
      <c r="U13">
        <f>IF('INHERENT MAP'!$B$5=2021,'РЕЕСТР РИСКОВ_2023'!Z53,IF('INHERENT MAP'!$B$5=2022,#REF!,IF('INHERENT MAP'!$B$5=2023,#REF!,IF('INHERENT MAP'!$B$5=2024,#REF!,#REF!))))</f>
        <v>0</v>
      </c>
      <c r="V13">
        <f>IF('INHERENT MAP'!$B$5=2021,'РЕЕСТР РИСКОВ_2023'!AA53,IF('INHERENT MAP'!$B$5=2022,#REF!,IF('INHERENT MAP'!$B$5=2023,#REF!,IF('INHERENT MAP'!$B$5=2024,#REF!,#REF!))))</f>
        <v>0</v>
      </c>
      <c r="W13">
        <f>IF('INHERENT MAP'!$B$5=2021,'РЕЕСТР РИСКОВ_2023'!AB53,IF('INHERENT MAP'!$B$5=2022,#REF!,IF('INHERENT MAP'!$B$5=2023,#REF!,IF('INHERENT MAP'!$B$5=2024,#REF!,#REF!))))</f>
        <v>0</v>
      </c>
      <c r="X13" s="94">
        <f>IF('INHERENT MAP'!$B$5=2021,'РЕЕСТР РИСКОВ_2023'!AC53,IF('INHERENT MAP'!$B$5=2022,#REF!,IF('INHERENT MAP'!$B$5=2023,#REF!,IF('INHERENT MAP'!$B$5=2024,#REF!,#REF!))))</f>
        <v>0</v>
      </c>
      <c r="Y13">
        <f>IF('INHERENT MAP'!$B$5=2021,'РЕЕСТР РИСКОВ_2023'!AD53,IF('INHERENT MAP'!$B$5=2022,#REF!,IF('INHERENT MAP'!$B$5=2023,#REF!,IF('INHERENT MAP'!$B$5=2024,#REF!,#REF!))))</f>
        <v>0</v>
      </c>
      <c r="Z13">
        <f>IF('INHERENT MAP'!$B$5=2021,'РЕЕСТР РИСКОВ_2023'!AE53,IF('INHERENT MAP'!$B$5=2022,#REF!,IF('INHERENT MAP'!$B$5=2023,#REF!,IF('INHERENT MAP'!$B$5=2024,#REF!,#REF!))))</f>
        <v>0</v>
      </c>
      <c r="AA13">
        <f>IF('INHERENT MAP'!$B$5=2021,'РЕЕСТР РИСКОВ_2023'!AF53,IF('INHERENT MAP'!$B$5=2022,#REF!,IF('INHERENT MAP'!$B$5=2023,#REF!,IF('INHERENT MAP'!$B$5=2024,#REF!,#REF!))))</f>
        <v>0</v>
      </c>
      <c r="AB13">
        <f>IF('INHERENT MAP'!$B$5=2021,'РЕЕСТР РИСКОВ_2023'!AG53,IF('INHERENT MAP'!$B$5=2022,#REF!,IF('INHERENT MAP'!$B$5=2023,#REF!,IF('INHERENT MAP'!$B$5=2024,#REF!,#REF!))))</f>
        <v>0</v>
      </c>
      <c r="AC13">
        <f>IF('INHERENT MAP'!$B$5=2021,'РЕЕСТР РИСКОВ_2023'!AH53,IF('INHERENT MAP'!$B$5=2022,#REF!,IF('INHERENT MAP'!$B$5=2023,#REF!,IF('INHERENT MAP'!$B$5=2024,#REF!,#REF!))))</f>
        <v>0</v>
      </c>
      <c r="AD13">
        <f>IF('INHERENT MAP'!$B$5=2021,'РЕЕСТР РИСКОВ_2023'!AI53,IF('INHERENT MAP'!$B$5=2022,#REF!,IF('INHERENT MAP'!$B$5=2023,#REF!,IF('INHERENT MAP'!$B$5=2024,#REF!,#REF!))))</f>
        <v>0</v>
      </c>
      <c r="AE13">
        <f>IF('INHERENT MAP'!$B$5=2021,'РЕЕСТР РИСКОВ_2023'!AK53,IF('INHERENT MAP'!$B$5=2022,#REF!,IF('INHERENT MAP'!$B$5=2023,#REF!,IF('INHERENT MAP'!$B$5=2024,#REF!,#REF!))))</f>
        <v>0</v>
      </c>
      <c r="AF13">
        <f>IF('INHERENT MAP'!$B$5=2021,'РЕЕСТР РИСКОВ_2023'!AL53,IF('INHERENT MAP'!$B$5=2022,#REF!,IF('INHERENT MAP'!$B$5=2023,#REF!,IF('INHERENT MAP'!$B$5=2024,#REF!,#REF!))))</f>
        <v>0</v>
      </c>
      <c r="AG13">
        <f>IF('INHERENT MAP'!$B$5=2021,'РЕЕСТР РИСКОВ_2023'!AM53,IF('INHERENT MAP'!$B$5=2022,#REF!,IF('INHERENT MAP'!$B$5=2023,#REF!,IF('INHERENT MAP'!$B$5=2024,#REF!,#REF!))))</f>
        <v>0</v>
      </c>
      <c r="AH13">
        <f>IF('INHERENT MAP'!$B$5=2021,'РЕЕСТР РИСКОВ_2023'!AN53,IF('INHERENT MAP'!$B$5=2022,#REF!,IF('INHERENT MAP'!$B$5=2023,#REF!,IF('INHERENT MAP'!$B$5=2024,#REF!,#REF!))))</f>
        <v>0</v>
      </c>
      <c r="AI13">
        <f>IF('INHERENT MAP'!$B$5=2021,'РЕЕСТР РИСКОВ_2023'!AO53,IF('INHERENT MAP'!$B$5=2022,#REF!,IF('INHERENT MAP'!$B$5=2023,#REF!,IF('INHERENT MAP'!$B$5=2024,#REF!,#REF!))))</f>
        <v>0</v>
      </c>
      <c r="AJ13">
        <f>IF('INHERENT MAP'!$B$5=2021,'РЕЕСТР РИСКОВ_2023'!AP53,IF('INHERENT MAP'!$B$5=2022,#REF!,IF('INHERENT MAP'!$B$5=2023,#REF!,IF('INHERENT MAP'!$B$5=2024,#REF!,#REF!))))</f>
        <v>0</v>
      </c>
      <c r="AK13">
        <f>IF('РЕЕСТР РИСКОВ_2023'!AQ53="",AK12,'РЕЕСТР РИСКОВ_2023'!AQ53)</f>
        <v>-80.043899999999994</v>
      </c>
      <c r="AL13">
        <f>IF('РЕЕСТР РИСКОВ_2023'!AR53="",AL12,'РЕЕСТР РИСКОВ_2023'!AR53)</f>
        <v>0.05</v>
      </c>
      <c r="AM13">
        <f>IF('РЕЕСТР РИСКОВ_2023'!AS53="",AM12,'РЕЕСТР РИСКОВ_2023'!AS53)</f>
        <v>1715.1306880989828</v>
      </c>
      <c r="AN13">
        <f>IF('РЕЕСТР РИСКОВ_2023'!AT53="",AN12,'РЕЕСТР РИСКОВ_2023'!AT53)</f>
        <v>85.75653440494915</v>
      </c>
      <c r="AO13">
        <f>IF('РЕЕСТР РИСКОВ_2023'!AU53="",AO12,'РЕЕСТР РИСКОВ_2023'!AU53)</f>
        <v>0</v>
      </c>
    </row>
    <row r="14" spans="2:43">
      <c r="B14" t="str">
        <f>IF('INHERENT MAP'!$B$5=2021,IF('РЕЕСТР РИСКОВ_2023'!F54="",B13,'РЕЕСТР РИСКОВ_2023'!F54),IF('INHERENT MAP'!$B$5=2022,IF(#REF!="",B13,#REF!),IF('INHERENT MAP'!$B$5=2023,IF(#REF!="",B13,#REF!),IF('INHERENT MAP'!$B$5=2024,IF(#REF!="",B13,#REF!),IF('РЕЕСТР РИСКОВ_2023'!F54="",B13,'РЕЕСТР РИСКОВ_2023'!F54)))))</f>
        <v>РИСК ГРУЗООБОРОТА</v>
      </c>
      <c r="C14" t="str">
        <f>IF('INHERENT MAP'!$B$5=2021,IF('РЕЕСТР РИСКОВ_2023'!G54="",C13,'РЕЕСТР РИСКОВ_2023'!G54),IF('INHERENT MAP'!$B$5=2022,IF(#REF!="",C13,#REF!),IF('INHERENT MAP'!$B$5=2023,IF(#REF!="",C13,#REF!),IF('INHERENT MAP'!$B$5=2024,IF(#REF!="",C13,#REF!),IF('РЕЕСТР РИСКОВ_2023'!G54="",C13,'РЕЕСТР РИСКОВ_2023'!G54)))))</f>
        <v>- ХХХ млн. тенге</v>
      </c>
      <c r="D14" t="str">
        <f>IF('INHERENT MAP'!$B$5=2021,IF('РЕЕСТР РИСКОВ_2023'!H54="",D13,'РЕЕСТР РИСКОВ_2023'!H54),IF('INHERENT MAP'!$B$5=2022,IF(#REF!="",D13,#REF!),IF('INHERENT MAP'!$B$5=2023,IF(#REF!="",D13,#REF!),IF('INHERENT MAP'!$B$5=2024,IF(#REF!="",D13,#REF!),IF('РЕЕСТР РИСКОВ_2023'!H54="",D13,'РЕЕСТР РИСКОВ_2023'!H54)))))</f>
        <v>CTR-2</v>
      </c>
      <c r="E14" t="str">
        <f>IF('INHERENT MAP'!$B$5=2021,IF('РЕЕСТР РИСКОВ_2023'!I54="",E13,'РЕЕСТР РИСКОВ_2023'!I54),IF('INHERENT MAP'!$B$5=2022,IF(#REF!="",E13,#REF!),IF('INHERENT MAP'!$B$5=2023,IF(#REF!="",E13,#REF!),IF('INHERENT MAP'!$B$5=2024,IF(#REF!="",E13,#REF!),IF('РЕЕСТР РИСКОВ_2023'!I54="",E13,'РЕЕСТР РИСКОВ_2023'!I54)))))</f>
        <v>ЦЗД</v>
      </c>
      <c r="F14" t="str">
        <f>IF('INHERENT MAP'!$B$5=2021,IF('РЕЕСТР РИСКОВ_2023'!J54="",F13,'РЕЕСТР РИСКОВ_2023'!J54),IF('INHERENT MAP'!$B$5=2022,IF(#REF!="",F13,#REF!),IF('INHERENT MAP'!$B$5=2023,IF(#REF!="",F13,#REF!),IF('INHERENT MAP'!$B$5=2024,IF(#REF!="",F13,#REF!),IF('РЕЕСТР РИСКОВ_2023'!J54="",F13,'РЕЕСТР РИСКОВ_2023'!J54)))))</f>
        <v>ТОО "КТЖ-Грузовые перевозки"</v>
      </c>
      <c r="G14" t="str">
        <f>IF('INHERENT MAP'!$B$5=2021,IF('РЕЕСТР РИСКОВ_2023'!K54="",G13,'РЕЕСТР РИСКОВ_2023'!K54),IF('INHERENT MAP'!$B$5=2022,IF(#REF!="",G13,#REF!),IF('INHERENT MAP'!$B$5=2023,IF(#REF!="",G13,#REF!),IF('INHERENT MAP'!$B$5=2024,IF(#REF!="",G13,#REF!),IF('РЕЕСТР РИСКОВ_2023'!K54="",G13,'РЕЕСТР РИСКОВ_2023'!K54)))))</f>
        <v>Объем грузооборота от импорта</v>
      </c>
      <c r="H14">
        <f>IF('INHERENT MAP'!$B$5=2021,'РЕЕСТР РИСКОВ_2023'!L54,IF('INHERENT MAP'!$B$5=2022,#REF!,IF('INHERENT MAP'!$B$5=2023,#REF!,IF('INHERENT MAP'!$B$5=2024,#REF!,#REF!))))</f>
        <v>0</v>
      </c>
      <c r="I14">
        <f>IF('INHERENT MAP'!$B$5=2021,'РЕЕСТР РИСКОВ_2023'!M54,IF('INHERENT MAP'!$B$5=2022,#REF!,IF('INHERENT MAP'!$B$5=2023,#REF!,IF('INHERENT MAP'!$B$5=2024,#REF!,#REF!))))</f>
        <v>0</v>
      </c>
      <c r="J14">
        <f>IF('INHERENT MAP'!$B$5=2021,'РЕЕСТР РИСКОВ_2023'!N54,IF('INHERENT MAP'!$B$5=2022,#REF!,IF('INHERENT MAP'!$B$5=2023,#REF!,IF('INHERENT MAP'!$B$5=2024,#REF!,#REF!))))</f>
        <v>0</v>
      </c>
      <c r="K14">
        <f>IF('INHERENT MAP'!$B$5=2021,'РЕЕСТР РИСКОВ_2023'!O54,IF('INHERENT MAP'!$B$5=2022,#REF!,IF('INHERENT MAP'!$B$5=2023,#REF!,IF('INHERENT MAP'!$B$5=2024,#REF!,#REF!))))</f>
        <v>0</v>
      </c>
      <c r="L14">
        <f>IF('INHERENT MAP'!$B$5=2021,'РЕЕСТР РИСКОВ_2023'!P54,IF('INHERENT MAP'!$B$5=2022,#REF!,IF('INHERENT MAP'!$B$5=2023,#REF!,IF('INHERENT MAP'!$B$5=2024,#REF!,#REF!))))</f>
        <v>0</v>
      </c>
      <c r="M14" t="str">
        <f>IF('INHERENT MAP'!$B$5=2021,IF('РЕЕСТР РИСКОВ_2023'!Q54="",M13,'РЕЕСТР РИСКОВ_2023'!Q54),IF('INHERENT MAP'!$B$5=2022,IF(#REF!="",M13,#REF!),IF('INHERENT MAP'!$B$5=2023,IF(#REF!="",M13,#REF!),IF('INHERENT MAP'!$B$5=2024,IF(#REF!="",M13,#REF!),IF('РЕЕСТР РИСКОВ_2023'!Q54="",M13,'РЕЕСТР РИСКОВ_2023'!Q54)))))</f>
        <v>Снижение спроса со стороны грузоотправителей импорта</v>
      </c>
      <c r="N14" t="str">
        <f>IF('INHERENT MAP'!$B$5=2021,IF('РЕЕСТР РИСКОВ_2023'!R54="",N13,'РЕЕСТР РИСКОВ_2023'!R54),IF('INHERENT MAP'!$B$5=2022,IF(#REF!="",N13,#REF!),IF('INHERENT MAP'!$B$5=2023,IF(#REF!="",N13,#REF!),IF('INHERENT MAP'!$B$5=2024,IF(#REF!="",N13,#REF!),IF('РЕЕСТР РИСКОВ_2023'!R54="",N13,'РЕЕСТР РИСКОВ_2023'!R54)))))</f>
        <v>Изменение структуры грузов</v>
      </c>
      <c r="O14">
        <f>'РЕЕСТР РИСКОВ_2023'!T54</f>
        <v>0</v>
      </c>
      <c r="P14">
        <f>IF('РЕЕСТР РИСКОВ_2023'!U54="",P13,'РЕЕСТР РИСКОВ_2023'!U54)</f>
        <v>0</v>
      </c>
      <c r="Q14" t="str">
        <f>IF('РЕЕСТР РИСКОВ_2023'!V54="",Q13,'РЕЕСТР РИСКОВ_2023'!V54)</f>
        <v>Cлабые стороны</v>
      </c>
      <c r="R14" t="str">
        <f>IF('РЕЕСТР РИСКОВ_2023'!W54="",R13,'РЕЕСТР РИСКОВ_2023'!W54)</f>
        <v>Ухудшение политической ситуации в соседних странах</v>
      </c>
      <c r="S14">
        <f>'РЕЕСТР РИСКОВ_2023'!X54</f>
        <v>0</v>
      </c>
      <c r="T14" s="94">
        <f>IF('INHERENT MAP'!$B$5=2021,'РЕЕСТР РИСКОВ_2023'!Y54,IF('INHERENT MAP'!$B$5=2022,#REF!,IF('INHERENT MAP'!$B$5=2023,#REF!,IF('INHERENT MAP'!$B$5=2024,#REF!,#REF!))))</f>
        <v>0</v>
      </c>
      <c r="U14">
        <f>IF('INHERENT MAP'!$B$5=2021,'РЕЕСТР РИСКОВ_2023'!Z54,IF('INHERENT MAP'!$B$5=2022,#REF!,IF('INHERENT MAP'!$B$5=2023,#REF!,IF('INHERENT MAP'!$B$5=2024,#REF!,#REF!))))</f>
        <v>0</v>
      </c>
      <c r="V14">
        <f>IF('INHERENT MAP'!$B$5=2021,'РЕЕСТР РИСКОВ_2023'!AA54,IF('INHERENT MAP'!$B$5=2022,#REF!,IF('INHERENT MAP'!$B$5=2023,#REF!,IF('INHERENT MAP'!$B$5=2024,#REF!,#REF!))))</f>
        <v>0</v>
      </c>
      <c r="W14">
        <f>IF('INHERENT MAP'!$B$5=2021,'РЕЕСТР РИСКОВ_2023'!AB54,IF('INHERENT MAP'!$B$5=2022,#REF!,IF('INHERENT MAP'!$B$5=2023,#REF!,IF('INHERENT MAP'!$B$5=2024,#REF!,#REF!))))</f>
        <v>0</v>
      </c>
      <c r="X14" s="94">
        <f>IF('INHERENT MAP'!$B$5=2021,'РЕЕСТР РИСКОВ_2023'!AC54,IF('INHERENT MAP'!$B$5=2022,#REF!,IF('INHERENT MAP'!$B$5=2023,#REF!,IF('INHERENT MAP'!$B$5=2024,#REF!,#REF!))))</f>
        <v>0</v>
      </c>
      <c r="Y14">
        <f>IF('INHERENT MAP'!$B$5=2021,'РЕЕСТР РИСКОВ_2023'!AD54,IF('INHERENT MAP'!$B$5=2022,#REF!,IF('INHERENT MAP'!$B$5=2023,#REF!,IF('INHERENT MAP'!$B$5=2024,#REF!,#REF!))))</f>
        <v>0</v>
      </c>
      <c r="Z14">
        <f>IF('INHERENT MAP'!$B$5=2021,'РЕЕСТР РИСКОВ_2023'!AE54,IF('INHERENT MAP'!$B$5=2022,#REF!,IF('INHERENT MAP'!$B$5=2023,#REF!,IF('INHERENT MAP'!$B$5=2024,#REF!,#REF!))))</f>
        <v>0</v>
      </c>
      <c r="AA14">
        <f>IF('INHERENT MAP'!$B$5=2021,'РЕЕСТР РИСКОВ_2023'!AF54,IF('INHERENT MAP'!$B$5=2022,#REF!,IF('INHERENT MAP'!$B$5=2023,#REF!,IF('INHERENT MAP'!$B$5=2024,#REF!,#REF!))))</f>
        <v>0</v>
      </c>
      <c r="AB14">
        <f>IF('INHERENT MAP'!$B$5=2021,'РЕЕСТР РИСКОВ_2023'!AG54,IF('INHERENT MAP'!$B$5=2022,#REF!,IF('INHERENT MAP'!$B$5=2023,#REF!,IF('INHERENT MAP'!$B$5=2024,#REF!,#REF!))))</f>
        <v>0</v>
      </c>
      <c r="AC14">
        <f>IF('INHERENT MAP'!$B$5=2021,'РЕЕСТР РИСКОВ_2023'!AH54,IF('INHERENT MAP'!$B$5=2022,#REF!,IF('INHERENT MAP'!$B$5=2023,#REF!,IF('INHERENT MAP'!$B$5=2024,#REF!,#REF!))))</f>
        <v>0</v>
      </c>
      <c r="AD14">
        <f>IF('INHERENT MAP'!$B$5=2021,'РЕЕСТР РИСКОВ_2023'!AI54,IF('INHERENT MAP'!$B$5=2022,#REF!,IF('INHERENT MAP'!$B$5=2023,#REF!,IF('INHERENT MAP'!$B$5=2024,#REF!,#REF!))))</f>
        <v>0</v>
      </c>
      <c r="AE14">
        <f>IF('INHERENT MAP'!$B$5=2021,'РЕЕСТР РИСКОВ_2023'!AK54,IF('INHERENT MAP'!$B$5=2022,#REF!,IF('INHERENT MAP'!$B$5=2023,#REF!,IF('INHERENT MAP'!$B$5=2024,#REF!,#REF!))))</f>
        <v>0</v>
      </c>
      <c r="AF14">
        <f>IF('INHERENT MAP'!$B$5=2021,'РЕЕСТР РИСКОВ_2023'!AL54,IF('INHERENT MAP'!$B$5=2022,#REF!,IF('INHERENT MAP'!$B$5=2023,#REF!,IF('INHERENT MAP'!$B$5=2024,#REF!,#REF!))))</f>
        <v>0</v>
      </c>
      <c r="AG14">
        <f>IF('INHERENT MAP'!$B$5=2021,'РЕЕСТР РИСКОВ_2023'!AM54,IF('INHERENT MAP'!$B$5=2022,#REF!,IF('INHERENT MAP'!$B$5=2023,#REF!,IF('INHERENT MAP'!$B$5=2024,#REF!,#REF!))))</f>
        <v>0</v>
      </c>
      <c r="AH14">
        <f>IF('INHERENT MAP'!$B$5=2021,'РЕЕСТР РИСКОВ_2023'!AN54,IF('INHERENT MAP'!$B$5=2022,#REF!,IF('INHERENT MAP'!$B$5=2023,#REF!,IF('INHERENT MAP'!$B$5=2024,#REF!,#REF!))))</f>
        <v>0</v>
      </c>
      <c r="AI14">
        <f>IF('INHERENT MAP'!$B$5=2021,'РЕЕСТР РИСКОВ_2023'!AO54,IF('INHERENT MAP'!$B$5=2022,#REF!,IF('INHERENT MAP'!$B$5=2023,#REF!,IF('INHERENT MAP'!$B$5=2024,#REF!,#REF!))))</f>
        <v>0</v>
      </c>
      <c r="AJ14">
        <f>IF('INHERENT MAP'!$B$5=2021,'РЕЕСТР РИСКОВ_2023'!AP54,IF('INHERENT MAP'!$B$5=2022,#REF!,IF('INHERENT MAP'!$B$5=2023,#REF!,IF('INHERENT MAP'!$B$5=2024,#REF!,#REF!))))</f>
        <v>0</v>
      </c>
      <c r="AK14">
        <f>IF('РЕЕСТР РИСКОВ_2023'!AQ54="",AK13,'РЕЕСТР РИСКОВ_2023'!AQ54)</f>
        <v>0</v>
      </c>
      <c r="AL14">
        <f>IF('РЕЕСТР РИСКОВ_2023'!AR54="",AL13,'РЕЕСТР РИСКОВ_2023'!AR54)</f>
        <v>0.05</v>
      </c>
      <c r="AM14">
        <f>IF('РЕЕСТР РИСКОВ_2023'!AS54="",AM13,'РЕЕСТР РИСКОВ_2023'!AS54)</f>
        <v>1715.1306880989828</v>
      </c>
      <c r="AN14">
        <f>IF('РЕЕСТР РИСКОВ_2023'!AT54="",AN13,'РЕЕСТР РИСКОВ_2023'!AT54)</f>
        <v>85.75653440494915</v>
      </c>
      <c r="AO14">
        <f>IF('РЕЕСТР РИСКОВ_2023'!AU54="",AO13,'РЕЕСТР РИСКОВ_2023'!AU54)</f>
        <v>0</v>
      </c>
    </row>
    <row r="15" spans="2:43">
      <c r="B15" t="str">
        <f>IF('INHERENT MAP'!$B$5=2021,IF('РЕЕСТР РИСКОВ_2023'!F55="",B14,'РЕЕСТР РИСКОВ_2023'!F55),IF('INHERENT MAP'!$B$5=2022,IF(#REF!="",B14,#REF!),IF('INHERENT MAP'!$B$5=2023,IF(#REF!="",B14,#REF!),IF('INHERENT MAP'!$B$5=2024,IF(#REF!="",B14,#REF!),IF('РЕЕСТР РИСКОВ_2023'!F55="",B14,'РЕЕСТР РИСКОВ_2023'!F55)))))</f>
        <v>РИСК ГРУЗООБОРОТА</v>
      </c>
      <c r="C15" t="str">
        <f>IF('INHERENT MAP'!$B$5=2021,IF('РЕЕСТР РИСКОВ_2023'!G55="",C14,'РЕЕСТР РИСКОВ_2023'!G55),IF('INHERENT MAP'!$B$5=2022,IF(#REF!="",C14,#REF!),IF('INHERENT MAP'!$B$5=2023,IF(#REF!="",C14,#REF!),IF('INHERENT MAP'!$B$5=2024,IF(#REF!="",C14,#REF!),IF('РЕЕСТР РИСКОВ_2023'!G55="",C14,'РЕЕСТР РИСКОВ_2023'!G55)))))</f>
        <v>- ХХХ млн. тенге</v>
      </c>
      <c r="D15" t="str">
        <f>IF('INHERENT MAP'!$B$5=2021,IF('РЕЕСТР РИСКОВ_2023'!H55="",D14,'РЕЕСТР РИСКОВ_2023'!H55),IF('INHERENT MAP'!$B$5=2022,IF(#REF!="",D14,#REF!),IF('INHERENT MAP'!$B$5=2023,IF(#REF!="",D14,#REF!),IF('INHERENT MAP'!$B$5=2024,IF(#REF!="",D14,#REF!),IF('РЕЕСТР РИСКОВ_2023'!H55="",D14,'РЕЕСТР РИСКОВ_2023'!H55)))))</f>
        <v>CTR-2</v>
      </c>
      <c r="E15" t="str">
        <f>IF('INHERENT MAP'!$B$5=2021,IF('РЕЕСТР РИСКОВ_2023'!I55="",E14,'РЕЕСТР РИСКОВ_2023'!I55),IF('INHERENT MAP'!$B$5=2022,IF(#REF!="",E14,#REF!),IF('INHERENT MAP'!$B$5=2023,IF(#REF!="",E14,#REF!),IF('INHERENT MAP'!$B$5=2024,IF(#REF!="",E14,#REF!),IF('РЕЕСТР РИСКОВ_2023'!I55="",E14,'РЕЕСТР РИСКОВ_2023'!I55)))))</f>
        <v>ЦЗД</v>
      </c>
      <c r="F15" t="str">
        <f>IF('INHERENT MAP'!$B$5=2021,IF('РЕЕСТР РИСКОВ_2023'!J55="",F14,'РЕЕСТР РИСКОВ_2023'!J55),IF('INHERENT MAP'!$B$5=2022,IF(#REF!="",F14,#REF!),IF('INHERENT MAP'!$B$5=2023,IF(#REF!="",F14,#REF!),IF('INHERENT MAP'!$B$5=2024,IF(#REF!="",F14,#REF!),IF('РЕЕСТР РИСКОВ_2023'!J55="",F14,'РЕЕСТР РИСКОВ_2023'!J55)))))</f>
        <v>ТОО "КТЖ-Грузовые перевозки"</v>
      </c>
      <c r="G15" t="str">
        <f>IF('INHERENT MAP'!$B$5=2021,IF('РЕЕСТР РИСКОВ_2023'!K55="",G14,'РЕЕСТР РИСКОВ_2023'!K55),IF('INHERENT MAP'!$B$5=2022,IF(#REF!="",G14,#REF!),IF('INHERENT MAP'!$B$5=2023,IF(#REF!="",G14,#REF!),IF('INHERENT MAP'!$B$5=2024,IF(#REF!="",G14,#REF!),IF('РЕЕСТР РИСКОВ_2023'!K55="",G14,'РЕЕСТР РИСКОВ_2023'!K55)))))</f>
        <v>Объем грузооборота от импорта</v>
      </c>
      <c r="H15">
        <f>IF('INHERENT MAP'!$B$5=2021,'РЕЕСТР РИСКОВ_2023'!L55,IF('INHERENT MAP'!$B$5=2022,#REF!,IF('INHERENT MAP'!$B$5=2023,#REF!,IF('INHERENT MAP'!$B$5=2024,#REF!,#REF!))))</f>
        <v>0</v>
      </c>
      <c r="I15">
        <f>IF('INHERENT MAP'!$B$5=2021,'РЕЕСТР РИСКОВ_2023'!M55,IF('INHERENT MAP'!$B$5=2022,#REF!,IF('INHERENT MAP'!$B$5=2023,#REF!,IF('INHERENT MAP'!$B$5=2024,#REF!,#REF!))))</f>
        <v>0</v>
      </c>
      <c r="J15">
        <f>IF('INHERENT MAP'!$B$5=2021,'РЕЕСТР РИСКОВ_2023'!N55,IF('INHERENT MAP'!$B$5=2022,#REF!,IF('INHERENT MAP'!$B$5=2023,#REF!,IF('INHERENT MAP'!$B$5=2024,#REF!,#REF!))))</f>
        <v>0</v>
      </c>
      <c r="K15">
        <f>IF('INHERENT MAP'!$B$5=2021,'РЕЕСТР РИСКОВ_2023'!O55,IF('INHERENT MAP'!$B$5=2022,#REF!,IF('INHERENT MAP'!$B$5=2023,#REF!,IF('INHERENT MAP'!$B$5=2024,#REF!,#REF!))))</f>
        <v>0</v>
      </c>
      <c r="L15">
        <f>IF('INHERENT MAP'!$B$5=2021,'РЕЕСТР РИСКОВ_2023'!P55,IF('INHERENT MAP'!$B$5=2022,#REF!,IF('INHERENT MAP'!$B$5=2023,#REF!,IF('INHERENT MAP'!$B$5=2024,#REF!,#REF!))))</f>
        <v>0</v>
      </c>
      <c r="M15" t="str">
        <f>IF('INHERENT MAP'!$B$5=2021,IF('РЕЕСТР РИСКОВ_2023'!Q55="",M14,'РЕЕСТР РИСКОВ_2023'!Q55),IF('INHERENT MAP'!$B$5=2022,IF(#REF!="",M14,#REF!),IF('INHERENT MAP'!$B$5=2023,IF(#REF!="",M14,#REF!),IF('INHERENT MAP'!$B$5=2024,IF(#REF!="",M14,#REF!),IF('РЕЕСТР РИСКОВ_2023'!Q55="",M14,'РЕЕСТР РИСКОВ_2023'!Q55)))))</f>
        <v>(A) Интермодальная конкуренция со стороны альтернативных видов транспорта (воздушный,автомобильный, водный транспорт) (imp)</v>
      </c>
      <c r="N15" t="str">
        <f>IF('INHERENT MAP'!$B$5=2021,IF('РЕЕСТР РИСКОВ_2023'!R55="",N14,'РЕЕСТР РИСКОВ_2023'!R55),IF('INHERENT MAP'!$B$5=2022,IF(#REF!="",N14,#REF!),IF('INHERENT MAP'!$B$5=2023,IF(#REF!="",N14,#REF!),IF('INHERENT MAP'!$B$5=2024,IF(#REF!="",N14,#REF!),IF('РЕЕСТР РИСКОВ_2023'!R55="",N14,'РЕЕСТР РИСКОВ_2023'!R55)))))</f>
        <v>1. Нехватка грузовых вагонов;                                           2. Неблагоприятные тарифные условия (в т.ч. сборы за дополнительные услуги);                                                       3. Длительные процедуры по оформлению перевозочных документов;                                                                          4. Несвоевременная доставка вагонов на станцию назначения;                                                                  5. Несвоевременная подача вагонов в связи с нехваткой маневровых локомотивов на отдаленных грузовых станциях.</v>
      </c>
      <c r="O15" t="str">
        <f>'РЕЕСТР РИСКОВ_2023'!T55</f>
        <v>публикации в СМИ</v>
      </c>
      <c r="P15">
        <f>IF('РЕЕСТР РИСКОВ_2023'!U55="",P14,'РЕЕСТР РИСКОВ_2023'!U55)</f>
        <v>0</v>
      </c>
      <c r="Q15" t="str">
        <f>IF('РЕЕСТР РИСКОВ_2023'!V55="",Q14,'РЕЕСТР РИСКОВ_2023'!V55)</f>
        <v>Возможности</v>
      </c>
      <c r="R15" t="str">
        <f>IF('РЕЕСТР РИСКОВ_2023'!W55="",R14,'РЕЕСТР РИСКОВ_2023'!W55)</f>
        <v xml:space="preserve">Доля рынка грузовых перевозок 
2018-46,5%                              2019-48%
2020-51,5%
</v>
      </c>
      <c r="S15">
        <f>'РЕЕСТР РИСКОВ_2023'!X55</f>
        <v>0</v>
      </c>
      <c r="T15" s="94">
        <f>IF('INHERENT MAP'!$B$5=2021,'РЕЕСТР РИСКОВ_2023'!Y55,IF('INHERENT MAP'!$B$5=2022,#REF!,IF('INHERENT MAP'!$B$5=2023,#REF!,IF('INHERENT MAP'!$B$5=2024,#REF!,#REF!))))</f>
        <v>1</v>
      </c>
      <c r="U15">
        <f>IF('INHERENT MAP'!$B$5=2021,'РЕЕСТР РИСКОВ_2023'!Z55,IF('INHERENT MAP'!$B$5=2022,#REF!,IF('INHERENT MAP'!$B$5=2023,#REF!,IF('INHERENT MAP'!$B$5=2024,#REF!,#REF!))))</f>
        <v>2450.1866972842613</v>
      </c>
      <c r="V15">
        <f>IF('INHERENT MAP'!$B$5=2021,'РЕЕСТР РИСКОВ_2023'!AA55,IF('INHERENT MAP'!$B$5=2022,#REF!,IF('INHERENT MAP'!$B$5=2023,#REF!,IF('INHERENT MAP'!$B$5=2024,#REF!,#REF!))))</f>
        <v>4.081321644217481E-4</v>
      </c>
      <c r="W15" t="str">
        <f>IF('INHERENT MAP'!$B$5=2021,'РЕЕСТР РИСКОВ_2023'!AB55,IF('INHERENT MAP'!$B$5=2022,#REF!,IF('INHERENT MAP'!$B$5=2023,#REF!,IF('INHERENT MAP'!$B$5=2024,#REF!,#REF!))))</f>
        <v xml:space="preserve">(+2% от дохода в доле) х бюджет на 2023 г (перевозка грузов, багажа, грузобагажа в импортном сообщении).              </v>
      </c>
      <c r="X15" s="94">
        <f>IF('INHERENT MAP'!$B$5=2021,'РЕЕСТР РИСКОВ_2023'!AC55,IF('INHERENT MAP'!$B$5=2022,#REF!,IF('INHERENT MAP'!$B$5=2023,#REF!,IF('INHERENT MAP'!$B$5=2024,#REF!,#REF!))))</f>
        <v>0</v>
      </c>
      <c r="Y15">
        <f>IF('INHERENT MAP'!$B$5=2021,'РЕЕСТР РИСКОВ_2023'!AD55,IF('INHERENT MAP'!$B$5=2022,#REF!,IF('INHERENT MAP'!$B$5=2023,#REF!,IF('INHERENT MAP'!$B$5=2024,#REF!,#REF!))))</f>
        <v>0</v>
      </c>
      <c r="Z15">
        <f>IF('INHERENT MAP'!$B$5=2021,'РЕЕСТР РИСКОВ_2023'!AE55,IF('INHERENT MAP'!$B$5=2022,#REF!,IF('INHERENT MAP'!$B$5=2023,#REF!,IF('INHERENT MAP'!$B$5=2024,#REF!,#REF!))))</f>
        <v>0</v>
      </c>
      <c r="AA15">
        <f>IF('INHERENT MAP'!$B$5=2021,'РЕЕСТР РИСКОВ_2023'!AF55,IF('INHERENT MAP'!$B$5=2022,#REF!,IF('INHERENT MAP'!$B$5=2023,#REF!,IF('INHERENT MAP'!$B$5=2024,#REF!,#REF!))))</f>
        <v>0</v>
      </c>
      <c r="AB15">
        <f>IF('INHERENT MAP'!$B$5=2021,'РЕЕСТР РИСКОВ_2023'!AG55,IF('INHERENT MAP'!$B$5=2022,#REF!,IF('INHERENT MAP'!$B$5=2023,#REF!,IF('INHERENT MAP'!$B$5=2024,#REF!,#REF!))))</f>
        <v>0</v>
      </c>
      <c r="AC15">
        <f>IF('INHERENT MAP'!$B$5=2021,'РЕЕСТР РИСКОВ_2023'!AH55,IF('INHERENT MAP'!$B$5=2022,#REF!,IF('INHERENT MAP'!$B$5=2023,#REF!,IF('INHERENT MAP'!$B$5=2024,#REF!,#REF!))))</f>
        <v>0</v>
      </c>
      <c r="AD15" t="str">
        <f>IF('INHERENT MAP'!$B$5=2021,'РЕЕСТР РИСКОВ_2023'!AI55,IF('INHERENT MAP'!$B$5=2022,#REF!,IF('INHERENT MAP'!$B$5=2023,#REF!,IF('INHERENT MAP'!$B$5=2024,#REF!,#REF!))))</f>
        <v>1. Увеличение доли контейнеризации грузов путем проведения разъяснительной работы с грузоотправителями, формирование и укорению продвижения контейнерных поездов, установления понижающих коэффициенты к предельному уровню тарифов на услуги магистральной железнодорожной сети и локомотивной тяги.                                                                                                                                                                              2. Координация взаимодействия с владельцами подъездных путей, транспортно логистических центров по улучшению 3PL (услуга ответственного хранения, перевозка, упаковка, перегрузка, маркировка и т.д.).
3. Своевременная подача вагонов под погрузку, выгрузку.
4. Привлечение новых грузоотправителей путем размещения в свободном доступе информации о преимуществах перевозки грузов железнодорожным транспортом, тарифов на перевозки грузов, порядка предоставления заявки, предоставления благоприятных тарифных условий (в т.ч. сборы за дополнительные услуги)</v>
      </c>
      <c r="AE15" t="str">
        <f>IF('INHERENT MAP'!$B$5=2021,'РЕЕСТР РИСКОВ_2023'!AK55,IF('INHERENT MAP'!$B$5=2022,#REF!,IF('INHERENT MAP'!$B$5=2023,#REF!,IF('INHERENT MAP'!$B$5=2024,#REF!,#REF!))))</f>
        <v>АО "КТЖ-Грузовые перевозки"</v>
      </c>
      <c r="AF15">
        <f>IF('INHERENT MAP'!$B$5=2021,'РЕЕСТР РИСКОВ_2023'!AL55,IF('INHERENT MAP'!$B$5=2022,#REF!,IF('INHERENT MAP'!$B$5=2023,#REF!,IF('INHERENT MAP'!$B$5=2024,#REF!,#REF!))))</f>
        <v>0</v>
      </c>
      <c r="AG15" t="str">
        <f>IF('INHERENT MAP'!$B$5=2021,'РЕЕСТР РИСКОВ_2023'!AM55,IF('INHERENT MAP'!$B$5=2022,#REF!,IF('INHERENT MAP'!$B$5=2023,#REF!,IF('INHERENT MAP'!$B$5=2024,#REF!,#REF!))))</f>
        <v>средняя</v>
      </c>
      <c r="AH15">
        <f>IF('INHERENT MAP'!$B$5=2021,'РЕЕСТР РИСКОВ_2023'!AN55,IF('INHERENT MAP'!$B$5=2022,#REF!,IF('INHERENT MAP'!$B$5=2023,#REF!,IF('INHERENT MAP'!$B$5=2024,#REF!,#REF!))))</f>
        <v>1</v>
      </c>
      <c r="AI15">
        <f>IF('INHERENT MAP'!$B$5=2021,'РЕЕСТР РИСКОВ_2023'!AO55,IF('INHERENT MAP'!$B$5=2022,#REF!,IF('INHERENT MAP'!$B$5=2023,#REF!,IF('INHERENT MAP'!$B$5=2024,#REF!,#REF!))))</f>
        <v>2450.1866972842613</v>
      </c>
      <c r="AJ15">
        <f>IF('INHERENT MAP'!$B$5=2021,'РЕЕСТР РИСКОВ_2023'!AP55,IF('INHERENT MAP'!$B$5=2022,#REF!,IF('INHERENT MAP'!$B$5=2023,#REF!,IF('INHERENT MAP'!$B$5=2024,#REF!,#REF!))))</f>
        <v>2450.1866972842613</v>
      </c>
      <c r="AK15">
        <f>IF('РЕЕСТР РИСКОВ_2023'!AQ55="",AK14,'РЕЕСТР РИСКОВ_2023'!AQ55)</f>
        <v>4.081321644217481E-4</v>
      </c>
      <c r="AL15">
        <f>IF('РЕЕСТР РИСКОВ_2023'!AR55="",AL14,'РЕЕСТР РИСКОВ_2023'!AR55)</f>
        <v>0.05</v>
      </c>
      <c r="AM15">
        <f>IF('РЕЕСТР РИСКОВ_2023'!AS55="",AM14,'РЕЕСТР РИСКОВ_2023'!AS55)</f>
        <v>1715.1306880989828</v>
      </c>
      <c r="AN15">
        <f>IF('РЕЕСТР РИСКОВ_2023'!AT55="",AN14,'РЕЕСТР РИСКОВ_2023'!AT55)</f>
        <v>85.75653440494915</v>
      </c>
      <c r="AO15">
        <f>IF('РЕЕСТР РИСКОВ_2023'!AU55="",AO14,'РЕЕСТР РИСКОВ_2023'!AU55)</f>
        <v>0</v>
      </c>
    </row>
    <row r="16" spans="2:43">
      <c r="B16" t="str">
        <f>IF('INHERENT MAP'!$B$5=2021,IF('РЕЕСТР РИСКОВ_2023'!F56="",B15,'РЕЕСТР РИСКОВ_2023'!F56),IF('INHERENT MAP'!$B$5=2022,IF(#REF!="",B15,#REF!),IF('INHERENT MAP'!$B$5=2023,IF(#REF!="",B15,#REF!),IF('INHERENT MAP'!$B$5=2024,IF(#REF!="",B15,#REF!),IF('РЕЕСТР РИСКОВ_2023'!F56="",B15,'РЕЕСТР РИСКОВ_2023'!F56)))))</f>
        <v>РИСК ГРУЗООБОРОТА</v>
      </c>
      <c r="C16" t="str">
        <f>IF('INHERENT MAP'!$B$5=2021,IF('РЕЕСТР РИСКОВ_2023'!G56="",C15,'РЕЕСТР РИСКОВ_2023'!G56),IF('INHERENT MAP'!$B$5=2022,IF(#REF!="",C15,#REF!),IF('INHERENT MAP'!$B$5=2023,IF(#REF!="",C15,#REF!),IF('INHERENT MAP'!$B$5=2024,IF(#REF!="",C15,#REF!),IF('РЕЕСТР РИСКОВ_2023'!G56="",C15,'РЕЕСТР РИСКОВ_2023'!G56)))))</f>
        <v>- ХХХ млн. тенге</v>
      </c>
      <c r="D16" t="str">
        <f>IF('INHERENT MAP'!$B$5=2021,IF('РЕЕСТР РИСКОВ_2023'!H56="",D15,'РЕЕСТР РИСКОВ_2023'!H56),IF('INHERENT MAP'!$B$5=2022,IF(#REF!="",D15,#REF!),IF('INHERENT MAP'!$B$5=2023,IF(#REF!="",D15,#REF!),IF('INHERENT MAP'!$B$5=2024,IF(#REF!="",D15,#REF!),IF('РЕЕСТР РИСКОВ_2023'!H56="",D15,'РЕЕСТР РИСКОВ_2023'!H56)))))</f>
        <v>CTR-2</v>
      </c>
      <c r="E16" t="str">
        <f>IF('INHERENT MAP'!$B$5=2021,IF('РЕЕСТР РИСКОВ_2023'!I56="",E15,'РЕЕСТР РИСКОВ_2023'!I56),IF('INHERENT MAP'!$B$5=2022,IF(#REF!="",E15,#REF!),IF('INHERENT MAP'!$B$5=2023,IF(#REF!="",E15,#REF!),IF('INHERENT MAP'!$B$5=2024,IF(#REF!="",E15,#REF!),IF('РЕЕСТР РИСКОВ_2023'!I56="",E15,'РЕЕСТР РИСКОВ_2023'!I56)))))</f>
        <v>ЦЗД</v>
      </c>
      <c r="F16" t="str">
        <f>IF('INHERENT MAP'!$B$5=2021,IF('РЕЕСТР РИСКОВ_2023'!J56="",F15,'РЕЕСТР РИСКОВ_2023'!J56),IF('INHERENT MAP'!$B$5=2022,IF(#REF!="",F15,#REF!),IF('INHERENT MAP'!$B$5=2023,IF(#REF!="",F15,#REF!),IF('INHERENT MAP'!$B$5=2024,IF(#REF!="",F15,#REF!),IF('РЕЕСТР РИСКОВ_2023'!J56="",F15,'РЕЕСТР РИСКОВ_2023'!J56)))))</f>
        <v>ТОО "КТЖ-Грузовые перевозки"</v>
      </c>
      <c r="G16" t="str">
        <f>IF('INHERENT MAP'!$B$5=2021,IF('РЕЕСТР РИСКОВ_2023'!K56="",G15,'РЕЕСТР РИСКОВ_2023'!K56),IF('INHERENT MAP'!$B$5=2022,IF(#REF!="",G15,#REF!),IF('INHERENT MAP'!$B$5=2023,IF(#REF!="",G15,#REF!),IF('INHERENT MAP'!$B$5=2024,IF(#REF!="",G15,#REF!),IF('РЕЕСТР РИСКОВ_2023'!K56="",G15,'РЕЕСТР РИСКОВ_2023'!K56)))))</f>
        <v>Объем грузооборота от импорта</v>
      </c>
      <c r="H16">
        <f>IF('INHERENT MAP'!$B$5=2021,'РЕЕСТР РИСКОВ_2023'!L56,IF('INHERENT MAP'!$B$5=2022,#REF!,IF('INHERENT MAP'!$B$5=2023,#REF!,IF('INHERENT MAP'!$B$5=2024,#REF!,#REF!))))</f>
        <v>0</v>
      </c>
      <c r="I16">
        <f>IF('INHERENT MAP'!$B$5=2021,'РЕЕСТР РИСКОВ_2023'!M56,IF('INHERENT MAP'!$B$5=2022,#REF!,IF('INHERENT MAP'!$B$5=2023,#REF!,IF('INHERENT MAP'!$B$5=2024,#REF!,#REF!))))</f>
        <v>0</v>
      </c>
      <c r="J16">
        <f>IF('INHERENT MAP'!$B$5=2021,'РЕЕСТР РИСКОВ_2023'!N56,IF('INHERENT MAP'!$B$5=2022,#REF!,IF('INHERENT MAP'!$B$5=2023,#REF!,IF('INHERENT MAP'!$B$5=2024,#REF!,#REF!))))</f>
        <v>0</v>
      </c>
      <c r="K16">
        <f>IF('INHERENT MAP'!$B$5=2021,'РЕЕСТР РИСКОВ_2023'!O56,IF('INHERENT MAP'!$B$5=2022,#REF!,IF('INHERENT MAP'!$B$5=2023,#REF!,IF('INHERENT MAP'!$B$5=2024,#REF!,#REF!))))</f>
        <v>0</v>
      </c>
      <c r="L16">
        <f>IF('INHERENT MAP'!$B$5=2021,'РЕЕСТР РИСКОВ_2023'!P56,IF('INHERENT MAP'!$B$5=2022,#REF!,IF('INHERENT MAP'!$B$5=2023,#REF!,IF('INHERENT MAP'!$B$5=2024,#REF!,#REF!))))</f>
        <v>0</v>
      </c>
      <c r="M16" t="str">
        <f>IF('INHERENT MAP'!$B$5=2021,IF('РЕЕСТР РИСКОВ_2023'!Q56="",M15,'РЕЕСТР РИСКОВ_2023'!Q56),IF('INHERENT MAP'!$B$5=2022,IF(#REF!="",M15,#REF!),IF('INHERENT MAP'!$B$5=2023,IF(#REF!="",M15,#REF!),IF('INHERENT MAP'!$B$5=2024,IF(#REF!="",M15,#REF!),IF('РЕЕСТР РИСКОВ_2023'!Q56="",M15,'РЕЕСТР РИСКОВ_2023'!Q56)))))</f>
        <v>(P) Нормативная скорость доставки груза, 220 км/сут (imp)</v>
      </c>
      <c r="N16" t="str">
        <f>IF('INHERENT MAP'!$B$5=2021,IF('РЕЕСТР РИСКОВ_2023'!R56="",N15,'РЕЕСТР РИСКОВ_2023'!R56),IF('INHERENT MAP'!$B$5=2022,IF(#REF!="",N15,#REF!),IF('INHERENT MAP'!$B$5=2023,IF(#REF!="",N15,#REF!),IF('INHERENT MAP'!$B$5=2024,IF(#REF!="",N15,#REF!),IF('РЕЕСТР РИСКОВ_2023'!R56="",N15,'РЕЕСТР РИСКОВ_2023'!R56)))))</f>
        <v>1. Короткие плечи обработки поездов;</v>
      </c>
      <c r="O16">
        <f>'РЕЕСТР РИСКОВ_2023'!T56</f>
        <v>0</v>
      </c>
      <c r="P16">
        <f>IF('РЕЕСТР РИСКОВ_2023'!U56="",P15,'РЕЕСТР РИСКОВ_2023'!U56)</f>
        <v>0</v>
      </c>
      <c r="Q16" t="str">
        <f>IF('РЕЕСТР РИСКОВ_2023'!V56="",Q15,'РЕЕСТР РИСКОВ_2023'!V56)</f>
        <v>Слабые стороны</v>
      </c>
      <c r="R16" t="str">
        <f>IF('РЕЕСТР РИСКОВ_2023'!W56="",R15,'РЕЕСТР РИСКОВ_2023'!W56)</f>
        <v xml:space="preserve">Доля рынка грузовых перевозок 
2018-46,5%                              2019-48%
2020-51,5%
</v>
      </c>
      <c r="S16">
        <f>'РЕЕСТР РИСКОВ_2023'!X56</f>
        <v>0</v>
      </c>
      <c r="T16" s="94">
        <f>IF('INHERENT MAP'!$B$5=2021,'РЕЕСТР РИСКОВ_2023'!Y56,IF('INHERENT MAP'!$B$5=2022,#REF!,IF('INHERENT MAP'!$B$5=2023,#REF!,IF('INHERENT MAP'!$B$5=2024,#REF!,#REF!))))</f>
        <v>0.05</v>
      </c>
      <c r="U16">
        <f>IF('INHERENT MAP'!$B$5=2021,'РЕЕСТР РИСКОВ_2023'!Z56,IF('INHERENT MAP'!$B$5=2022,#REF!,IF('INHERENT MAP'!$B$5=2023,#REF!,IF('INHERENT MAP'!$B$5=2024,#REF!,#REF!))))</f>
        <v>0</v>
      </c>
      <c r="V16">
        <f>IF('INHERENT MAP'!$B$5=2021,'РЕЕСТР РИСКОВ_2023'!AA56,IF('INHERENT MAP'!$B$5=2022,#REF!,IF('INHERENT MAP'!$B$5=2023,#REF!,IF('INHERENT MAP'!$B$5=2024,#REF!,#REF!))))</f>
        <v>0</v>
      </c>
      <c r="W16" t="str">
        <f>IF('INHERENT MAP'!$B$5=2021,'РЕЕСТР РИСКОВ_2023'!AB56,IF('INHERENT MAP'!$B$5=2022,#REF!,IF('INHERENT MAP'!$B$5=2023,#REF!,IF('INHERENT MAP'!$B$5=2024,#REF!,#REF!))))</f>
        <v>0,6% (разница между плановой и фактической скоростью) х бюджет на 2023 г (перевозка грузов, багажа, грузобагажа в импортном сообщении).</v>
      </c>
      <c r="X16" s="94">
        <f>IF('INHERENT MAP'!$B$5=2021,'РЕЕСТР РИСКОВ_2023'!AC56,IF('INHERENT MAP'!$B$5=2022,#REF!,IF('INHERENT MAP'!$B$5=2023,#REF!,IF('INHERENT MAP'!$B$5=2024,#REF!,#REF!))))</f>
        <v>0</v>
      </c>
      <c r="Y16">
        <f>IF('INHERENT MAP'!$B$5=2021,'РЕЕСТР РИСКОВ_2023'!AD56,IF('INHERENT MAP'!$B$5=2022,#REF!,IF('INHERENT MAP'!$B$5=2023,#REF!,IF('INHERENT MAP'!$B$5=2024,#REF!,#REF!))))</f>
        <v>0</v>
      </c>
      <c r="Z16">
        <f>IF('INHERENT MAP'!$B$5=2021,'РЕЕСТР РИСКОВ_2023'!AE56,IF('INHERENT MAP'!$B$5=2022,#REF!,IF('INHERENT MAP'!$B$5=2023,#REF!,IF('INHERENT MAP'!$B$5=2024,#REF!,#REF!))))</f>
        <v>0</v>
      </c>
      <c r="AA16">
        <f>IF('INHERENT MAP'!$B$5=2021,'РЕЕСТР РИСКОВ_2023'!AF56,IF('INHERENT MAP'!$B$5=2022,#REF!,IF('INHERENT MAP'!$B$5=2023,#REF!,IF('INHERENT MAP'!$B$5=2024,#REF!,#REF!))))</f>
        <v>0</v>
      </c>
      <c r="AB16">
        <f>IF('INHERENT MAP'!$B$5=2021,'РЕЕСТР РИСКОВ_2023'!AG56,IF('INHERENT MAP'!$B$5=2022,#REF!,IF('INHERENT MAP'!$B$5=2023,#REF!,IF('INHERENT MAP'!$B$5=2024,#REF!,#REF!))))</f>
        <v>0</v>
      </c>
      <c r="AC16">
        <f>IF('INHERENT MAP'!$B$5=2021,'РЕЕСТР РИСКОВ_2023'!AH56,IF('INHERENT MAP'!$B$5=2022,#REF!,IF('INHERENT MAP'!$B$5=2023,#REF!,IF('INHERENT MAP'!$B$5=2024,#REF!,#REF!))))</f>
        <v>0</v>
      </c>
      <c r="AD16" t="str">
        <f>IF('INHERENT MAP'!$B$5=2021,'РЕЕСТР РИСКОВ_2023'!AI56,IF('INHERENT MAP'!$B$5=2022,#REF!,IF('INHERENT MAP'!$B$5=2023,#REF!,IF('INHERENT MAP'!$B$5=2024,#REF!,#REF!))))</f>
        <v xml:space="preserve">1. Оптимальное направление вагонопотока с наименьшими экономическими затратами, исключающая нарушение сроков доставки;                                                                                                                                                                                                                            2.Увеличение участковой скорости грузовых поездов;                                                                                                                                                                                     3. Создание централизованной системы технического контроля состояния подвижного состава.                                                                       4. Своевременное рассмотрение претензий причастными структурными подразделениями.                                                                                                  5. Обновление/оздоровление тягового подвижного состава;                                                                                                                                                                           6. Уменьшение времени уборки/подачи вагонов с/на фронты погрузки;                                                                                                                                         7. Уменьшение времени переработки грузовых поездов на сортировочных станциях;                                                                                                                        8. Улучшение технического состояния магистральных и станционных путей;                                                                                                                                                                                              9.Увеличение плеч обслуживания локомотивов и грузовых вагонов.                                                                                                                                                   10. Уменьшение количества станций по обработке поездов:  Восстановление предузловых станций для скрещения и обгона поездов;                                                                                                                                                                                                                                 11. Восстановление вторых путей (Никельтау-Кандыагаш);                                                                                                                                    12. Строительство 2 путей (Арыс-Сексеул, Тобол-Кандыагаш, Кандыагаш-АтырауАрыс-Сексеул, Тобол-Кандыагаш, Кандыагаш-Атырау);                                                                                                                                                                                                             13. Строительство соединительного участка Айсары – Чкалово-Кокшетау                                                                                                                   14. Удлинение премоотправочных путей на некоторых станциях;                                                                                                                                 15. Строительство и модернизация раздельных пунктов и станций;                                                                                                                        16.. Внесение изменений в правила фиормирования графика движения поездов на участках МЖС с малыми грузопотоками;  17. Увеличение тарифа на перевозку порожних вагонов:                                                                                                                                               18. Восстановление предузловых станций для скрещения и обгона поездов;                                                                                                             19. Доработка АСУ ДКР в части планирования перевозки порожних вагонов при условии наличия заявок грузоотправителей;                                                                                                                                                      20. Содержание штата путейских рабочих согласно объемов работ;                                                                                                                           21. Изменение технологии содержания пути в части проведения профилактических "окон";                                                                                    22. Разработка методики формирования графика движения поездов с учетом формирования сборных поездов в условиях малых струй;                                                                                                                                                                                                                              23. Удлинение плеч обслуживания поездов;                                                                                                                                                                        24. Формирование ускоренных и длиносоставных поездов;                                                                                                                           25. Привлечение локомотивов сторонних организаций;                                                                                                                                                 26. Применение локомобилей для подачи/уюорки групп вагонов с выставочных путей станции до горузоплучателей. </v>
      </c>
      <c r="AE16" t="str">
        <f>IF('INHERENT MAP'!$B$5=2021,'РЕЕСТР РИСКОВ_2023'!AK56,IF('INHERENT MAP'!$B$5=2022,#REF!,IF('INHERENT MAP'!$B$5=2023,#REF!,IF('INHERENT MAP'!$B$5=2024,#REF!,#REF!))))</f>
        <v>АО "КТЖ-Грузовые перевозки"</v>
      </c>
      <c r="AF16">
        <f>IF('INHERENT MAP'!$B$5=2021,'РЕЕСТР РИСКОВ_2023'!AL56,IF('INHERENT MAP'!$B$5=2022,#REF!,IF('INHERENT MAP'!$B$5=2023,#REF!,IF('INHERENT MAP'!$B$5=2024,#REF!,#REF!))))</f>
        <v>0</v>
      </c>
      <c r="AG16" t="str">
        <f>IF('INHERENT MAP'!$B$5=2021,'РЕЕСТР РИСКОВ_2023'!AM56,IF('INHERENT MAP'!$B$5=2022,#REF!,IF('INHERENT MAP'!$B$5=2023,#REF!,IF('INHERENT MAP'!$B$5=2024,#REF!,#REF!))))</f>
        <v>низкая</v>
      </c>
      <c r="AH16">
        <f>IF('INHERENT MAP'!$B$5=2021,'РЕЕСТР РИСКОВ_2023'!AN56,IF('INHERENT MAP'!$B$5=2022,#REF!,IF('INHERENT MAP'!$B$5=2023,#REF!,IF('INHERENT MAP'!$B$5=2024,#REF!,#REF!))))</f>
        <v>0.05</v>
      </c>
      <c r="AI16">
        <f>IF('INHERENT MAP'!$B$5=2021,'РЕЕСТР РИСКОВ_2023'!AO56,IF('INHERENT MAP'!$B$5=2022,#REF!,IF('INHERENT MAP'!$B$5=2023,#REF!,IF('INHERENT MAP'!$B$5=2024,#REF!,#REF!))))</f>
        <v>0</v>
      </c>
      <c r="AJ16">
        <f>IF('INHERENT MAP'!$B$5=2021,'РЕЕСТР РИСКОВ_2023'!AP56,IF('INHERENT MAP'!$B$5=2022,#REF!,IF('INHERENT MAP'!$B$5=2023,#REF!,IF('INHERENT MAP'!$B$5=2024,#REF!,#REF!))))</f>
        <v>0</v>
      </c>
      <c r="AK16">
        <f>IF('РЕЕСТР РИСКОВ_2023'!AQ56="",AK15,'РЕЕСТР РИСКОВ_2023'!AQ56)</f>
        <v>0</v>
      </c>
      <c r="AL16">
        <f>IF('РЕЕСТР РИСКОВ_2023'!AR56="",AL15,'РЕЕСТР РИСКОВ_2023'!AR56)</f>
        <v>0.05</v>
      </c>
      <c r="AM16">
        <f>IF('РЕЕСТР РИСКОВ_2023'!AS56="",AM15,'РЕЕСТР РИСКОВ_2023'!AS56)</f>
        <v>1715.1306880989828</v>
      </c>
      <c r="AN16">
        <f>IF('РЕЕСТР РИСКОВ_2023'!AT56="",AN15,'РЕЕСТР РИСКОВ_2023'!AT56)</f>
        <v>85.75653440494915</v>
      </c>
      <c r="AO16">
        <f>IF('РЕЕСТР РИСКОВ_2023'!AU56="",AO15,'РЕЕСТР РИСКОВ_2023'!AU56)</f>
        <v>0</v>
      </c>
    </row>
    <row r="17" spans="2:41">
      <c r="B17" t="str">
        <f>IF('INHERENT MAP'!$B$5=2021,IF('РЕЕСТР РИСКОВ_2023'!F60="",B16,'РЕЕСТР РИСКОВ_2023'!F60),IF('INHERENT MAP'!$B$5=2022,IF(#REF!="",B16,#REF!),IF('INHERENT MAP'!$B$5=2023,IF(#REF!="",B16,#REF!),IF('INHERENT MAP'!$B$5=2024,IF(#REF!="",B16,#REF!),IF('РЕЕСТР РИСКОВ_2023'!F60="",B16,'РЕЕСТР РИСКОВ_2023'!F60)))))</f>
        <v>РИСК ГРУЗООБОРОТА</v>
      </c>
      <c r="C17" t="str">
        <f>IF('INHERENT MAP'!$B$5=2021,IF('РЕЕСТР РИСКОВ_2023'!G60="",C16,'РЕЕСТР РИСКОВ_2023'!G60),IF('INHERENT MAP'!$B$5=2022,IF(#REF!="",C16,#REF!),IF('INHERENT MAP'!$B$5=2023,IF(#REF!="",C16,#REF!),IF('INHERENT MAP'!$B$5=2024,IF(#REF!="",C16,#REF!),IF('РЕЕСТР РИСКОВ_2023'!G60="",C16,'РЕЕСТР РИСКОВ_2023'!G60)))))</f>
        <v>- ХХХ млн. тенге</v>
      </c>
      <c r="D17" t="str">
        <f>IF('INHERENT MAP'!$B$5=2021,IF('РЕЕСТР РИСКОВ_2023'!H60="",D16,'РЕЕСТР РИСКОВ_2023'!H60),IF('INHERENT MAP'!$B$5=2022,IF(#REF!="",D16,#REF!),IF('INHERENT MAP'!$B$5=2023,IF(#REF!="",D16,#REF!),IF('INHERENT MAP'!$B$5=2024,IF(#REF!="",D16,#REF!),IF('РЕЕСТР РИСКОВ_2023'!H60="",D16,'РЕЕСТР РИСКОВ_2023'!H60)))))</f>
        <v>CTR-3</v>
      </c>
      <c r="E17" t="str">
        <f>IF('INHERENT MAP'!$B$5=2021,IF('РЕЕСТР РИСКОВ_2023'!I60="",E16,'РЕЕСТР РИСКОВ_2023'!I60),IF('INHERENT MAP'!$B$5=2022,IF(#REF!="",E16,#REF!),IF('INHERENT MAP'!$B$5=2023,IF(#REF!="",E16,#REF!),IF('INHERENT MAP'!$B$5=2024,IF(#REF!="",E16,#REF!),IF('РЕЕСТР РИСКОВ_2023'!I60="",E16,'РЕЕСТР РИСКОВ_2023'!I60)))))</f>
        <v>ЦЗД</v>
      </c>
      <c r="F17" t="str">
        <f>IF('INHERENT MAP'!$B$5=2021,IF('РЕЕСТР РИСКОВ_2023'!J60="",F16,'РЕЕСТР РИСКОВ_2023'!J60),IF('INHERENT MAP'!$B$5=2022,IF(#REF!="",F16,#REF!),IF('INHERENT MAP'!$B$5=2023,IF(#REF!="",F16,#REF!),IF('INHERENT MAP'!$B$5=2024,IF(#REF!="",F16,#REF!),IF('РЕЕСТР РИСКОВ_2023'!J60="",F16,'РЕЕСТР РИСКОВ_2023'!J60)))))</f>
        <v>ТОО "КТЖ-Грузовые перевозки"</v>
      </c>
      <c r="G17" t="str">
        <f>IF('INHERENT MAP'!$B$5=2021,IF('РЕЕСТР РИСКОВ_2023'!K60="",G16,'РЕЕСТР РИСКОВ_2023'!K60),IF('INHERENT MAP'!$B$5=2022,IF(#REF!="",G16,#REF!),IF('INHERENT MAP'!$B$5=2023,IF(#REF!="",G16,#REF!),IF('INHERENT MAP'!$B$5=2024,IF(#REF!="",G16,#REF!),IF('РЕЕСТР РИСКОВ_2023'!K60="",G16,'РЕЕСТР РИСКОВ_2023'!K60)))))</f>
        <v>Объем грузооборота от экспорта</v>
      </c>
      <c r="H17">
        <f>IF('INHERENT MAP'!$B$5=2021,'РЕЕСТР РИСКОВ_2023'!L60,IF('INHERENT MAP'!$B$5=2022,#REF!,IF('INHERENT MAP'!$B$5=2023,#REF!,IF('INHERENT MAP'!$B$5=2024,#REF!,#REF!))))</f>
        <v>150762</v>
      </c>
      <c r="I17">
        <f>IF('INHERENT MAP'!$B$5=2021,'РЕЕСТР РИСКОВ_2023'!M60,IF('INHERENT MAP'!$B$5=2022,#REF!,IF('INHERENT MAP'!$B$5=2023,#REF!,IF('INHERENT MAP'!$B$5=2024,#REF!,#REF!))))</f>
        <v>0</v>
      </c>
      <c r="J17">
        <f>IF('INHERENT MAP'!$B$5=2021,'РЕЕСТР РИСКОВ_2023'!N60,IF('INHERENT MAP'!$B$5=2022,#REF!,IF('INHERENT MAP'!$B$5=2023,#REF!,IF('INHERENT MAP'!$B$5=2024,#REF!,#REF!))))</f>
        <v>0</v>
      </c>
      <c r="K17">
        <f>IF('INHERENT MAP'!$B$5=2021,'РЕЕСТР РИСКОВ_2023'!O60,IF('INHERENT MAP'!$B$5=2022,#REF!,IF('INHERENT MAP'!$B$5=2023,#REF!,IF('INHERENT MAP'!$B$5=2024,#REF!,#REF!))))</f>
        <v>0</v>
      </c>
      <c r="L17">
        <f>IF('INHERENT MAP'!$B$5=2021,'РЕЕСТР РИСКОВ_2023'!P60,IF('INHERENT MAP'!$B$5=2022,#REF!,IF('INHERENT MAP'!$B$5=2023,#REF!,IF('INHERENT MAP'!$B$5=2024,#REF!,#REF!))))</f>
        <v>141369.5302500985</v>
      </c>
      <c r="M17" t="str">
        <f>IF('INHERENT MAP'!$B$5=2021,IF('РЕЕСТР РИСКОВ_2023'!Q60="",M16,'РЕЕСТР РИСКОВ_2023'!Q60),IF('INHERENT MAP'!$B$5=2022,IF(#REF!="",M16,#REF!),IF('INHERENT MAP'!$B$5=2023,IF(#REF!="",M16,#REF!),IF('INHERENT MAP'!$B$5=2024,IF(#REF!="",M16,#REF!),IF('РЕЕСТР РИСКОВ_2023'!Q60="",M16,'РЕЕСТР РИСКОВ_2023'!Q60)))))</f>
        <v>Снижение спроса со стороны грузоотправителей экспорта</v>
      </c>
      <c r="N17" t="str">
        <f>IF('INHERENT MAP'!$B$5=2021,IF('РЕЕСТР РИСКОВ_2023'!R60="",N16,'РЕЕСТР РИСКОВ_2023'!R60),IF('INHERENT MAP'!$B$5=2022,IF(#REF!="",N16,#REF!),IF('INHERENT MAP'!$B$5=2023,IF(#REF!="",N16,#REF!),IF('INHERENT MAP'!$B$5=2024,IF(#REF!="",N16,#REF!),IF('РЕЕСТР РИСКОВ_2023'!R60="",N16,'РЕЕСТР РИСКОВ_2023'!R60)))))</f>
        <v xml:space="preserve">Риск конкуренции из-за ухудшения качества предоставляемых услуг 
</v>
      </c>
      <c r="O17" t="str">
        <f>'РЕЕСТР РИСКОВ_2023'!T60</f>
        <v>данные маркетиноговой службы по результатам анкетирования, КПД ГП</v>
      </c>
      <c r="P17">
        <f>IF('РЕЕСТР РИСКОВ_2023'!U60="",P16,'РЕЕСТР РИСКОВ_2023'!U60)</f>
        <v>0</v>
      </c>
      <c r="Q17" t="str">
        <f>IF('РЕЕСТР РИСКОВ_2023'!V60="",Q16,'РЕЕСТР РИСКОВ_2023'!V60)</f>
        <v>Угрозы</v>
      </c>
      <c r="R17" t="str">
        <f>IF('РЕЕСТР РИСКОВ_2023'!W60="",R16,'РЕЕСТР РИСКОВ_2023'!W60)</f>
        <v>Обзор удовлетворенности клиентов 
2018-  46,8%
2019- 64,8%
2020 - 65%
2021-66%</v>
      </c>
      <c r="S17">
        <f>'РЕЕСТР РИСКОВ_2023'!X60</f>
        <v>0</v>
      </c>
      <c r="T17" s="94">
        <f>IF('INHERENT MAP'!$B$5=2021,'РЕЕСТР РИСКОВ_2023'!Y60,IF('INHERENT MAP'!$B$5=2022,#REF!,IF('INHERENT MAP'!$B$5=2023,#REF!,IF('INHERENT MAP'!$B$5=2024,#REF!,#REF!))))</f>
        <v>1</v>
      </c>
      <c r="U17">
        <f>IF('INHERENT MAP'!$B$5=2021,'РЕЕСТР РИСКОВ_2023'!Z60,IF('INHERENT MAP'!$B$5=2022,#REF!,IF('INHERENT MAP'!$B$5=2023,#REF!,IF('INHERENT MAP'!$B$5=2024,#REF!,#REF!))))</f>
        <v>0</v>
      </c>
      <c r="V17">
        <f>IF('INHERENT MAP'!$B$5=2021,'РЕЕСТР РИСКОВ_2023'!AA60,IF('INHERENT MAP'!$B$5=2022,#REF!,IF('INHERENT MAP'!$B$5=2023,#REF!,IF('INHERENT MAP'!$B$5=2024,#REF!,#REF!))))</f>
        <v>0</v>
      </c>
      <c r="W17" t="str">
        <f>IF('INHERENT MAP'!$B$5=2021,'РЕЕСТР РИСКОВ_2023'!AB60,IF('INHERENT MAP'!$B$5=2022,#REF!,IF('INHERENT MAP'!$B$5=2023,#REF!,IF('INHERENT MAP'!$B$5=2024,#REF!,#REF!))))</f>
        <v>Влияние на доход не возможно учесть, в связи с несовершненством клиентской базы</v>
      </c>
      <c r="X17" s="94">
        <f>IF('INHERENT MAP'!$B$5=2021,'РЕЕСТР РИСКОВ_2023'!AC60,IF('INHERENT MAP'!$B$5=2022,#REF!,IF('INHERENT MAP'!$B$5=2023,#REF!,IF('INHERENT MAP'!$B$5=2024,#REF!,#REF!))))</f>
        <v>0.2</v>
      </c>
      <c r="Y17">
        <f>IF('INHERENT MAP'!$B$5=2021,'РЕЕСТР РИСКОВ_2023'!AD60,IF('INHERENT MAP'!$B$5=2022,#REF!,IF('INHERENT MAP'!$B$5=2023,#REF!,IF('INHERENT MAP'!$B$5=2024,#REF!,#REF!))))</f>
        <v>-7962.3487495075733</v>
      </c>
      <c r="Z17">
        <f>IF('INHERENT MAP'!$B$5=2021,'РЕЕСТР РИСКОВ_2023'!AE60,IF('INHERENT MAP'!$B$5=2022,#REF!,IF('INHERENT MAP'!$B$5=2023,#REF!,IF('INHERENT MAP'!$B$5=2024,#REF!,#REF!))))</f>
        <v>-1592.4697499015147</v>
      </c>
      <c r="AA17" t="str">
        <f>IF('INHERENT MAP'!$B$5=2021,'РЕЕСТР РИСКОВ_2023'!AF60,IF('INHERENT MAP'!$B$5=2022,#REF!,IF('INHERENT MAP'!$B$5=2023,#REF!,IF('INHERENT MAP'!$B$5=2024,#REF!,#REF!))))</f>
        <v>2квартал</v>
      </c>
      <c r="AB17" t="str">
        <f>IF('INHERENT MAP'!$B$5=2021,'РЕЕСТР РИСКОВ_2023'!AG60,IF('INHERENT MAP'!$B$5=2022,#REF!,IF('INHERENT MAP'!$B$5=2023,#REF!,IF('INHERENT MAP'!$B$5=2024,#REF!,#REF!))))</f>
        <v>MOD</v>
      </c>
      <c r="AC17">
        <f>IF('INHERENT MAP'!$B$5=2021,'РЕЕСТР РИСКОВ_2023'!AH60,IF('INHERENT MAP'!$B$5=2022,#REF!,IF('INHERENT MAP'!$B$5=2023,#REF!,IF('INHERENT MAP'!$B$5=2024,#REF!,#REF!))))</f>
        <v>0</v>
      </c>
      <c r="AD17" t="str">
        <f>IF('INHERENT MAP'!$B$5=2021,'РЕЕСТР РИСКОВ_2023'!AI60,IF('INHERENT MAP'!$B$5=2022,#REF!,IF('INHERENT MAP'!$B$5=2023,#REF!,IF('INHERENT MAP'!$B$5=2024,#REF!,#REF!))))</f>
        <v xml:space="preserve">1.  Проведение опроса грузоотправителей для выявления проблемных вопросов по взаимодействию с участниками процесса перевозки грузов;                                                                                                                                                                                                                                                                2. Разработка и мониторинг плана мероприятий по результатам анкетирования клиентов по улучшению качества обслуживания клиентов. Информирование клиентов о реализации предложений, указанных в анкете.                                                                                                                                                                                                        
3. Улучшение программы АСУ ДКР (переход на безбумажное оформление перевозочных документов, реализация мобильного приложения АСУ ДКР);                                                                                                                                 
4. Создание роликов в социальных сетях и на сайте АО "КТЖ-Грузовые перевозки" с пошаговой инструкцией для клиентов;                                                                                                                                                                        5. Отмена повторного запроса учредительных документов у клиентов путем формирования базы по клиентам.                                                                  6. Проведение встреч (конференций с применением программ удаленного доступа) с участием грузоотправителей и грузополучателей (зерновики, угольщики) .                                                     </v>
      </c>
      <c r="AE17" t="str">
        <f>IF('INHERENT MAP'!$B$5=2021,'РЕЕСТР РИСКОВ_2023'!AK60,IF('INHERENT MAP'!$B$5=2022,#REF!,IF('INHERENT MAP'!$B$5=2023,#REF!,IF('INHERENT MAP'!$B$5=2024,#REF!,#REF!))))</f>
        <v>АО "КТЖ-Грузовые перевозки"</v>
      </c>
      <c r="AF17">
        <f>IF('INHERENT MAP'!$B$5=2021,'РЕЕСТР РИСКОВ_2023'!AL60,IF('INHERENT MAP'!$B$5=2022,#REF!,IF('INHERENT MAP'!$B$5=2023,#REF!,IF('INHERENT MAP'!$B$5=2024,#REF!,#REF!))))</f>
        <v>0</v>
      </c>
      <c r="AG17" t="str">
        <f>IF('INHERENT MAP'!$B$5=2021,'РЕЕСТР РИСКОВ_2023'!AM60,IF('INHERENT MAP'!$B$5=2022,#REF!,IF('INHERENT MAP'!$B$5=2023,#REF!,IF('INHERENT MAP'!$B$5=2024,#REF!,#REF!))))</f>
        <v>высокая</v>
      </c>
      <c r="AH17">
        <f>IF('INHERENT MAP'!$B$5=2021,'РЕЕСТР РИСКОВ_2023'!AN60,IF('INHERENT MAP'!$B$5=2022,#REF!,IF('INHERENT MAP'!$B$5=2023,#REF!,IF('INHERENT MAP'!$B$5=2024,#REF!,#REF!))))</f>
        <v>0.3</v>
      </c>
      <c r="AI17">
        <f>IF('INHERENT MAP'!$B$5=2021,'РЕЕСТР РИСКОВ_2023'!AO60,IF('INHERENT MAP'!$B$5=2022,#REF!,IF('INHERENT MAP'!$B$5=2023,#REF!,IF('INHERENT MAP'!$B$5=2024,#REF!,#REF!))))</f>
        <v>0</v>
      </c>
      <c r="AJ17">
        <f>IF('INHERENT MAP'!$B$5=2021,'РЕЕСТР РИСКОВ_2023'!AP60,IF('INHERENT MAP'!$B$5=2022,#REF!,IF('INHERENT MAP'!$B$5=2023,#REF!,IF('INHERENT MAP'!$B$5=2024,#REF!,#REF!))))</f>
        <v>0</v>
      </c>
      <c r="AK17">
        <f>IF('РЕЕСТР РИСКОВ_2023'!AQ60="",AK16,'РЕЕСТР РИСКОВ_2023'!AQ60)</f>
        <v>0</v>
      </c>
      <c r="AL17">
        <f>IF('РЕЕСТР РИСКОВ_2023'!AR60="",AL16,'РЕЕСТР РИСКОВ_2023'!AR60)</f>
        <v>-0.21314455836707827</v>
      </c>
      <c r="AM17">
        <f>IF('РЕЕСТР РИСКОВ_2023'!AS60="",AM16,'РЕЕСТР РИСКОВ_2023'!AS60)</f>
        <v>-7194.9046248522718</v>
      </c>
      <c r="AN17">
        <f>IF('РЕЕСТР РИСКОВ_2023'!AT60="",AN16,'РЕЕСТР РИСКОВ_2023'!AT60)</f>
        <v>1533.5547687573865</v>
      </c>
      <c r="AO17">
        <f>IF('РЕЕСТР РИСКОВ_2023'!AU60="",AO16,'РЕЕСТР РИСКОВ_2023'!AU60)</f>
        <v>0</v>
      </c>
    </row>
    <row r="18" spans="2:41">
      <c r="B18" t="str">
        <f>IF('INHERENT MAP'!$B$5=2021,IF('РЕЕСТР РИСКОВ_2023'!F61="",B17,'РЕЕСТР РИСКОВ_2023'!F61),IF('INHERENT MAP'!$B$5=2022,IF(#REF!="",B17,#REF!),IF('INHERENT MAP'!$B$5=2023,IF(#REF!="",B17,#REF!),IF('INHERENT MAP'!$B$5=2024,IF(#REF!="",B17,#REF!),IF('РЕЕСТР РИСКОВ_2023'!F61="",B17,'РЕЕСТР РИСКОВ_2023'!F61)))))</f>
        <v>РИСК ГРУЗООБОРОТА</v>
      </c>
      <c r="C18" t="str">
        <f>IF('INHERENT MAP'!$B$5=2021,IF('РЕЕСТР РИСКОВ_2023'!G61="",C17,'РЕЕСТР РИСКОВ_2023'!G61),IF('INHERENT MAP'!$B$5=2022,IF(#REF!="",C17,#REF!),IF('INHERENT MAP'!$B$5=2023,IF(#REF!="",C17,#REF!),IF('INHERENT MAP'!$B$5=2024,IF(#REF!="",C17,#REF!),IF('РЕЕСТР РИСКОВ_2023'!G61="",C17,'РЕЕСТР РИСКОВ_2023'!G61)))))</f>
        <v>- ХХХ млн. тенге</v>
      </c>
      <c r="D18" t="str">
        <f>IF('INHERENT MAP'!$B$5=2021,IF('РЕЕСТР РИСКОВ_2023'!H61="",D17,'РЕЕСТР РИСКОВ_2023'!H61),IF('INHERENT MAP'!$B$5=2022,IF(#REF!="",D17,#REF!),IF('INHERENT MAP'!$B$5=2023,IF(#REF!="",D17,#REF!),IF('INHERENT MAP'!$B$5=2024,IF(#REF!="",D17,#REF!),IF('РЕЕСТР РИСКОВ_2023'!H61="",D17,'РЕЕСТР РИСКОВ_2023'!H61)))))</f>
        <v>CTR-3</v>
      </c>
      <c r="E18" t="str">
        <f>IF('INHERENT MAP'!$B$5=2021,IF('РЕЕСТР РИСКОВ_2023'!I61="",E17,'РЕЕСТР РИСКОВ_2023'!I61),IF('INHERENT MAP'!$B$5=2022,IF(#REF!="",E17,#REF!),IF('INHERENT MAP'!$B$5=2023,IF(#REF!="",E17,#REF!),IF('INHERENT MAP'!$B$5=2024,IF(#REF!="",E17,#REF!),IF('РЕЕСТР РИСКОВ_2023'!I61="",E17,'РЕЕСТР РИСКОВ_2023'!I61)))))</f>
        <v>ЦЗД</v>
      </c>
      <c r="F18" t="str">
        <f>IF('INHERENT MAP'!$B$5=2021,IF('РЕЕСТР РИСКОВ_2023'!J61="",F17,'РЕЕСТР РИСКОВ_2023'!J61),IF('INHERENT MAP'!$B$5=2022,IF(#REF!="",F17,#REF!),IF('INHERENT MAP'!$B$5=2023,IF(#REF!="",F17,#REF!),IF('INHERENT MAP'!$B$5=2024,IF(#REF!="",F17,#REF!),IF('РЕЕСТР РИСКОВ_2023'!J61="",F17,'РЕЕСТР РИСКОВ_2023'!J61)))))</f>
        <v>ТОО "КТЖ-Грузовые перевозки"</v>
      </c>
      <c r="G18" t="str">
        <f>IF('INHERENT MAP'!$B$5=2021,IF('РЕЕСТР РИСКОВ_2023'!K61="",G17,'РЕЕСТР РИСКОВ_2023'!K61),IF('INHERENT MAP'!$B$5=2022,IF(#REF!="",G17,#REF!),IF('INHERENT MAP'!$B$5=2023,IF(#REF!="",G17,#REF!),IF('INHERENT MAP'!$B$5=2024,IF(#REF!="",G17,#REF!),IF('РЕЕСТР РИСКОВ_2023'!K61="",G17,'РЕЕСТР РИСКОВ_2023'!K61)))))</f>
        <v>Объем грузооборота от экспорта</v>
      </c>
      <c r="H18">
        <f>IF('INHERENT MAP'!$B$5=2021,'РЕЕСТР РИСКОВ_2023'!L61,IF('INHERENT MAP'!$B$5=2022,#REF!,IF('INHERENT MAP'!$B$5=2023,#REF!,IF('INHERENT MAP'!$B$5=2024,#REF!,#REF!))))</f>
        <v>0</v>
      </c>
      <c r="I18">
        <f>IF('INHERENT MAP'!$B$5=2021,'РЕЕСТР РИСКОВ_2023'!M61,IF('INHERENT MAP'!$B$5=2022,#REF!,IF('INHERENT MAP'!$B$5=2023,#REF!,IF('INHERENT MAP'!$B$5=2024,#REF!,#REF!))))</f>
        <v>0</v>
      </c>
      <c r="J18">
        <f>IF('INHERENT MAP'!$B$5=2021,'РЕЕСТР РИСКОВ_2023'!N61,IF('INHERENT MAP'!$B$5=2022,#REF!,IF('INHERENT MAP'!$B$5=2023,#REF!,IF('INHERENT MAP'!$B$5=2024,#REF!,#REF!))))</f>
        <v>0</v>
      </c>
      <c r="K18">
        <f>IF('INHERENT MAP'!$B$5=2021,'РЕЕСТР РИСКОВ_2023'!O61,IF('INHERENT MAP'!$B$5=2022,#REF!,IF('INHERENT MAP'!$B$5=2023,#REF!,IF('INHERENT MAP'!$B$5=2024,#REF!,#REF!))))</f>
        <v>0</v>
      </c>
      <c r="L18">
        <f>IF('INHERENT MAP'!$B$5=2021,'РЕЕСТР РИСКОВ_2023'!P61,IF('INHERENT MAP'!$B$5=2022,#REF!,IF('INHERENT MAP'!$B$5=2023,#REF!,IF('INHERENT MAP'!$B$5=2024,#REF!,#REF!))))</f>
        <v>0</v>
      </c>
      <c r="M18" t="str">
        <f>IF('INHERENT MAP'!$B$5=2021,IF('РЕЕСТР РИСКОВ_2023'!Q61="",M17,'РЕЕСТР РИСКОВ_2023'!Q61),IF('INHERENT MAP'!$B$5=2022,IF(#REF!="",M17,#REF!),IF('INHERENT MAP'!$B$5=2023,IF(#REF!="",M17,#REF!),IF('INHERENT MAP'!$B$5=2024,IF(#REF!="",M17,#REF!),IF('РЕЕСТР РИСКОВ_2023'!Q61="",M17,'РЕЕСТР РИСКОВ_2023'!Q61)))))</f>
        <v>Снижение спроса со стороны грузоотправителей экспорта</v>
      </c>
      <c r="N18" t="str">
        <f>IF('INHERENT MAP'!$B$5=2021,IF('РЕЕСТР РИСКОВ_2023'!R61="",N17,'РЕЕСТР РИСКОВ_2023'!R61),IF('INHERENT MAP'!$B$5=2022,IF(#REF!="",N17,#REF!),IF('INHERENT MAP'!$B$5=2023,IF(#REF!="",N17,#REF!),IF('INHERENT MAP'!$B$5=2024,IF(#REF!="",N17,#REF!),IF('РЕЕСТР РИСКОВ_2023'!R61="",N17,'РЕЕСТР РИСКОВ_2023'!R61)))))</f>
        <v>Эпидемиологический риск (ER)</v>
      </c>
      <c r="O18">
        <f>'РЕЕСТР РИСКОВ_2023'!T61</f>
        <v>0</v>
      </c>
      <c r="P18">
        <f>IF('РЕЕСТР РИСКОВ_2023'!U61="",P17,'РЕЕСТР РИСКОВ_2023'!U61)</f>
        <v>0</v>
      </c>
      <c r="Q18" t="str">
        <f>IF('РЕЕСТР РИСКОВ_2023'!V61="",Q17,'РЕЕСТР РИСКОВ_2023'!V61)</f>
        <v>Угрозы</v>
      </c>
      <c r="R18" t="str">
        <f>IF('РЕЕСТР РИСКОВ_2023'!W61="",R17,'РЕЕСТР РИСКОВ_2023'!W61)</f>
        <v>Динамика прироста заболевших COVID-19 в Казахстане и мире</v>
      </c>
      <c r="S18">
        <f>'РЕЕСТР РИСКОВ_2023'!X61</f>
        <v>0</v>
      </c>
      <c r="T18" s="94">
        <f>IF('INHERENT MAP'!$B$5=2021,'РЕЕСТР РИСКОВ_2023'!Y61,IF('INHERENT MAP'!$B$5=2022,#REF!,IF('INHERENT MAP'!$B$5=2023,#REF!,IF('INHERENT MAP'!$B$5=2024,#REF!,#REF!))))</f>
        <v>0</v>
      </c>
      <c r="U18">
        <f>IF('INHERENT MAP'!$B$5=2021,'РЕЕСТР РИСКОВ_2023'!Z61,IF('INHERENT MAP'!$B$5=2022,#REF!,IF('INHERENT MAP'!$B$5=2023,#REF!,IF('INHERENT MAP'!$B$5=2024,#REF!,#REF!))))</f>
        <v>0</v>
      </c>
      <c r="V18">
        <f>IF('INHERENT MAP'!$B$5=2021,'РЕЕСТР РИСКОВ_2023'!AA61,IF('INHERENT MAP'!$B$5=2022,#REF!,IF('INHERENT MAP'!$B$5=2023,#REF!,IF('INHERENT MAP'!$B$5=2024,#REF!,#REF!))))</f>
        <v>0</v>
      </c>
      <c r="W18">
        <f>IF('INHERENT MAP'!$B$5=2021,'РЕЕСТР РИСКОВ_2023'!AB61,IF('INHERENT MAP'!$B$5=2022,#REF!,IF('INHERENT MAP'!$B$5=2023,#REF!,IF('INHERENT MAP'!$B$5=2024,#REF!,#REF!))))</f>
        <v>0</v>
      </c>
      <c r="X18" s="94">
        <f>IF('INHERENT MAP'!$B$5=2021,'РЕЕСТР РИСКОВ_2023'!AC61,IF('INHERENT MAP'!$B$5=2022,#REF!,IF('INHERENT MAP'!$B$5=2023,#REF!,IF('INHERENT MAP'!$B$5=2024,#REF!,#REF!))))</f>
        <v>0</v>
      </c>
      <c r="Y18">
        <f>IF('INHERENT MAP'!$B$5=2021,'РЕЕСТР РИСКОВ_2023'!AD61,IF('INHERENT MAP'!$B$5=2022,#REF!,IF('INHERENT MAP'!$B$5=2023,#REF!,IF('INHERENT MAP'!$B$5=2024,#REF!,#REF!))))</f>
        <v>0</v>
      </c>
      <c r="Z18">
        <f>IF('INHERENT MAP'!$B$5=2021,'РЕЕСТР РИСКОВ_2023'!AE61,IF('INHERENT MAP'!$B$5=2022,#REF!,IF('INHERENT MAP'!$B$5=2023,#REF!,IF('INHERENT MAP'!$B$5=2024,#REF!,#REF!))))</f>
        <v>0</v>
      </c>
      <c r="AA18">
        <f>IF('INHERENT MAP'!$B$5=2021,'РЕЕСТР РИСКОВ_2023'!AF61,IF('INHERENT MAP'!$B$5=2022,#REF!,IF('INHERENT MAP'!$B$5=2023,#REF!,IF('INHERENT MAP'!$B$5=2024,#REF!,#REF!))))</f>
        <v>0</v>
      </c>
      <c r="AB18">
        <f>IF('INHERENT MAP'!$B$5=2021,'РЕЕСТР РИСКОВ_2023'!AG61,IF('INHERENT MAP'!$B$5=2022,#REF!,IF('INHERENT MAP'!$B$5=2023,#REF!,IF('INHERENT MAP'!$B$5=2024,#REF!,#REF!))))</f>
        <v>0</v>
      </c>
      <c r="AC18">
        <f>IF('INHERENT MAP'!$B$5=2021,'РЕЕСТР РИСКОВ_2023'!AH61,IF('INHERENT MAP'!$B$5=2022,#REF!,IF('INHERENT MAP'!$B$5=2023,#REF!,IF('INHERENT MAP'!$B$5=2024,#REF!,#REF!))))</f>
        <v>0</v>
      </c>
      <c r="AD18">
        <f>IF('INHERENT MAP'!$B$5=2021,'РЕЕСТР РИСКОВ_2023'!AI61,IF('INHERENT MAP'!$B$5=2022,#REF!,IF('INHERENT MAP'!$B$5=2023,#REF!,IF('INHERENT MAP'!$B$5=2024,#REF!,#REF!))))</f>
        <v>0</v>
      </c>
      <c r="AE18">
        <f>IF('INHERENT MAP'!$B$5=2021,'РЕЕСТР РИСКОВ_2023'!AK61,IF('INHERENT MAP'!$B$5=2022,#REF!,IF('INHERENT MAP'!$B$5=2023,#REF!,IF('INHERENT MAP'!$B$5=2024,#REF!,#REF!))))</f>
        <v>0</v>
      </c>
      <c r="AF18">
        <f>IF('INHERENT MAP'!$B$5=2021,'РЕЕСТР РИСКОВ_2023'!AL61,IF('INHERENT MAP'!$B$5=2022,#REF!,IF('INHERENT MAP'!$B$5=2023,#REF!,IF('INHERENT MAP'!$B$5=2024,#REF!,#REF!))))</f>
        <v>0</v>
      </c>
      <c r="AG18">
        <f>IF('INHERENT MAP'!$B$5=2021,'РЕЕСТР РИСКОВ_2023'!AM61,IF('INHERENT MAP'!$B$5=2022,#REF!,IF('INHERENT MAP'!$B$5=2023,#REF!,IF('INHERENT MAP'!$B$5=2024,#REF!,#REF!))))</f>
        <v>0</v>
      </c>
      <c r="AH18">
        <f>IF('INHERENT MAP'!$B$5=2021,'РЕЕСТР РИСКОВ_2023'!AN61,IF('INHERENT MAP'!$B$5=2022,#REF!,IF('INHERENT MAP'!$B$5=2023,#REF!,IF('INHERENT MAP'!$B$5=2024,#REF!,#REF!))))</f>
        <v>0</v>
      </c>
      <c r="AI18">
        <f>IF('INHERENT MAP'!$B$5=2021,'РЕЕСТР РИСКОВ_2023'!AO61,IF('INHERENT MAP'!$B$5=2022,#REF!,IF('INHERENT MAP'!$B$5=2023,#REF!,IF('INHERENT MAP'!$B$5=2024,#REF!,#REF!))))</f>
        <v>0</v>
      </c>
      <c r="AJ18">
        <f>IF('INHERENT MAP'!$B$5=2021,'РЕЕСТР РИСКОВ_2023'!AP61,IF('INHERENT MAP'!$B$5=2022,#REF!,IF('INHERENT MAP'!$B$5=2023,#REF!,IF('INHERENT MAP'!$B$5=2024,#REF!,#REF!))))</f>
        <v>0</v>
      </c>
      <c r="AK18">
        <f>IF('РЕЕСТР РИСКОВ_2023'!AQ61="",AK17,'РЕЕСТР РИСКОВ_2023'!AQ61)</f>
        <v>0</v>
      </c>
      <c r="AL18">
        <f>IF('РЕЕСТР РИСКОВ_2023'!AR61="",AL17,'РЕЕСТР РИСКОВ_2023'!AR61)</f>
        <v>-0.21314455836707827</v>
      </c>
      <c r="AM18">
        <f>IF('РЕЕСТР РИСКОВ_2023'!AS61="",AM17,'РЕЕСТР РИСКОВ_2023'!AS61)</f>
        <v>-7194.9046248522718</v>
      </c>
      <c r="AN18">
        <f>IF('РЕЕСТР РИСКОВ_2023'!AT61="",AN17,'РЕЕСТР РИСКОВ_2023'!AT61)</f>
        <v>1533.5547687573865</v>
      </c>
      <c r="AO18">
        <f>IF('РЕЕСТР РИСКОВ_2023'!AU61="",AO17,'РЕЕСТР РИСКОВ_2023'!AU61)</f>
        <v>0</v>
      </c>
    </row>
    <row r="19" spans="2:41">
      <c r="B19" t="str">
        <f>IF('INHERENT MAP'!$B$5=2021,IF('РЕЕСТР РИСКОВ_2023'!F62="",B18,'РЕЕСТР РИСКОВ_2023'!F62),IF('INHERENT MAP'!$B$5=2022,IF(#REF!="",B18,#REF!),IF('INHERENT MAP'!$B$5=2023,IF(#REF!="",B18,#REF!),IF('INHERENT MAP'!$B$5=2024,IF(#REF!="",B18,#REF!),IF('РЕЕСТР РИСКОВ_2023'!F62="",B18,'РЕЕСТР РИСКОВ_2023'!F62)))))</f>
        <v>РИСК ГРУЗООБОРОТА</v>
      </c>
      <c r="C19" t="str">
        <f>IF('INHERENT MAP'!$B$5=2021,IF('РЕЕСТР РИСКОВ_2023'!G62="",C18,'РЕЕСТР РИСКОВ_2023'!G62),IF('INHERENT MAP'!$B$5=2022,IF(#REF!="",C18,#REF!),IF('INHERENT MAP'!$B$5=2023,IF(#REF!="",C18,#REF!),IF('INHERENT MAP'!$B$5=2024,IF(#REF!="",C18,#REF!),IF('РЕЕСТР РИСКОВ_2023'!G62="",C18,'РЕЕСТР РИСКОВ_2023'!G62)))))</f>
        <v>- ХХХ млн. тенге</v>
      </c>
      <c r="D19" t="str">
        <f>IF('INHERENT MAP'!$B$5=2021,IF('РЕЕСТР РИСКОВ_2023'!H62="",D18,'РЕЕСТР РИСКОВ_2023'!H62),IF('INHERENT MAP'!$B$5=2022,IF(#REF!="",D18,#REF!),IF('INHERENT MAP'!$B$5=2023,IF(#REF!="",D18,#REF!),IF('INHERENT MAP'!$B$5=2024,IF(#REF!="",D18,#REF!),IF('РЕЕСТР РИСКОВ_2023'!H62="",D18,'РЕЕСТР РИСКОВ_2023'!H62)))))</f>
        <v>CTR-3</v>
      </c>
      <c r="E19" t="str">
        <f>IF('INHERENT MAP'!$B$5=2021,IF('РЕЕСТР РИСКОВ_2023'!I62="",E18,'РЕЕСТР РИСКОВ_2023'!I62),IF('INHERENT MAP'!$B$5=2022,IF(#REF!="",E18,#REF!),IF('INHERENT MAP'!$B$5=2023,IF(#REF!="",E18,#REF!),IF('INHERENT MAP'!$B$5=2024,IF(#REF!="",E18,#REF!),IF('РЕЕСТР РИСКОВ_2023'!I62="",E18,'РЕЕСТР РИСКОВ_2023'!I62)))))</f>
        <v>ЦЗД</v>
      </c>
      <c r="F19" t="str">
        <f>IF('INHERENT MAP'!$B$5=2021,IF('РЕЕСТР РИСКОВ_2023'!J62="",F18,'РЕЕСТР РИСКОВ_2023'!J62),IF('INHERENT MAP'!$B$5=2022,IF(#REF!="",F18,#REF!),IF('INHERENT MAP'!$B$5=2023,IF(#REF!="",F18,#REF!),IF('INHERENT MAP'!$B$5=2024,IF(#REF!="",F18,#REF!),IF('РЕЕСТР РИСКОВ_2023'!J62="",F18,'РЕЕСТР РИСКОВ_2023'!J62)))))</f>
        <v>ТОО "КТЖ-Грузовые перевозки"</v>
      </c>
      <c r="G19" t="str">
        <f>IF('INHERENT MAP'!$B$5=2021,IF('РЕЕСТР РИСКОВ_2023'!K62="",G18,'РЕЕСТР РИСКОВ_2023'!K62),IF('INHERENT MAP'!$B$5=2022,IF(#REF!="",G18,#REF!),IF('INHERENT MAP'!$B$5=2023,IF(#REF!="",G18,#REF!),IF('INHERENT MAP'!$B$5=2024,IF(#REF!="",G18,#REF!),IF('РЕЕСТР РИСКОВ_2023'!K62="",G18,'РЕЕСТР РИСКОВ_2023'!K62)))))</f>
        <v>Объем грузооборота от экспорта</v>
      </c>
      <c r="H19">
        <f>IF('INHERENT MAP'!$B$5=2021,'РЕЕСТР РИСКОВ_2023'!L62,IF('INHERENT MAP'!$B$5=2022,#REF!,IF('INHERENT MAP'!$B$5=2023,#REF!,IF('INHERENT MAP'!$B$5=2024,#REF!,#REF!))))</f>
        <v>0</v>
      </c>
      <c r="I19">
        <f>IF('INHERENT MAP'!$B$5=2021,'РЕЕСТР РИСКОВ_2023'!M62,IF('INHERENT MAP'!$B$5=2022,#REF!,IF('INHERENT MAP'!$B$5=2023,#REF!,IF('INHERENT MAP'!$B$5=2024,#REF!,#REF!))))</f>
        <v>0</v>
      </c>
      <c r="J19">
        <f>IF('INHERENT MAP'!$B$5=2021,'РЕЕСТР РИСКОВ_2023'!N62,IF('INHERENT MAP'!$B$5=2022,#REF!,IF('INHERENT MAP'!$B$5=2023,#REF!,IF('INHERENT MAP'!$B$5=2024,#REF!,#REF!))))</f>
        <v>0</v>
      </c>
      <c r="K19">
        <f>IF('INHERENT MAP'!$B$5=2021,'РЕЕСТР РИСКОВ_2023'!O62,IF('INHERENT MAP'!$B$5=2022,#REF!,IF('INHERENT MAP'!$B$5=2023,#REF!,IF('INHERENT MAP'!$B$5=2024,#REF!,#REF!))))</f>
        <v>0</v>
      </c>
      <c r="L19">
        <f>IF('INHERENT MAP'!$B$5=2021,'РЕЕСТР РИСКОВ_2023'!P62,IF('INHERENT MAP'!$B$5=2022,#REF!,IF('INHERENT MAP'!$B$5=2023,#REF!,IF('INHERENT MAP'!$B$5=2024,#REF!,#REF!))))</f>
        <v>0</v>
      </c>
      <c r="M19" t="str">
        <f>IF('INHERENT MAP'!$B$5=2021,IF('РЕЕСТР РИСКОВ_2023'!Q62="",M18,'РЕЕСТР РИСКОВ_2023'!Q62),IF('INHERENT MAP'!$B$5=2022,IF(#REF!="",M18,#REF!),IF('INHERENT MAP'!$B$5=2023,IF(#REF!="",M18,#REF!),IF('INHERENT MAP'!$B$5=2024,IF(#REF!="",M18,#REF!),IF('РЕЕСТР РИСКОВ_2023'!Q62="",M18,'РЕЕСТР РИСКОВ_2023'!Q62)))))</f>
        <v>Снижение спроса со стороны грузоотправителей экспорта</v>
      </c>
      <c r="N19" t="str">
        <f>IF('INHERENT MAP'!$B$5=2021,IF('РЕЕСТР РИСКОВ_2023'!R62="",N18,'РЕЕСТР РИСКОВ_2023'!R62),IF('INHERENT MAP'!$B$5=2022,IF(#REF!="",N18,#REF!),IF('INHERENT MAP'!$B$5=2023,IF(#REF!="",N18,#REF!),IF('INHERENT MAP'!$B$5=2024,IF(#REF!="",N18,#REF!),IF('РЕЕСТР РИСКОВ_2023'!R62="",N18,'РЕЕСТР РИСКОВ_2023'!R62)))))</f>
        <v>Макро риск</v>
      </c>
      <c r="O19">
        <f>'РЕЕСТР РИСКОВ_2023'!T62</f>
        <v>0</v>
      </c>
      <c r="P19">
        <f>IF('РЕЕСТР РИСКОВ_2023'!U62="",P18,'РЕЕСТР РИСКОВ_2023'!U62)</f>
        <v>0</v>
      </c>
      <c r="Q19" t="str">
        <f>IF('РЕЕСТР РИСКОВ_2023'!V62="",Q18,'РЕЕСТР РИСКОВ_2023'!V62)</f>
        <v>Угрозы</v>
      </c>
      <c r="R19" t="str">
        <f>IF('РЕЕСТР РИСКОВ_2023'!W62="",R18,'РЕЕСТР РИСКОВ_2023'!W62)</f>
        <v>Ухудшение политической ситуации в соседних странах</v>
      </c>
      <c r="S19">
        <f>'РЕЕСТР РИСКОВ_2023'!X62</f>
        <v>0</v>
      </c>
      <c r="T19" s="94">
        <f>IF('INHERENT MAP'!$B$5=2021,'РЕЕСТР РИСКОВ_2023'!Y62,IF('INHERENT MAP'!$B$5=2022,#REF!,IF('INHERENT MAP'!$B$5=2023,#REF!,IF('INHERENT MAP'!$B$5=2024,#REF!,#REF!))))</f>
        <v>0</v>
      </c>
      <c r="U19">
        <f>IF('INHERENT MAP'!$B$5=2021,'РЕЕСТР РИСКОВ_2023'!Z62,IF('INHERENT MAP'!$B$5=2022,#REF!,IF('INHERENT MAP'!$B$5=2023,#REF!,IF('INHERENT MAP'!$B$5=2024,#REF!,#REF!))))</f>
        <v>0</v>
      </c>
      <c r="V19">
        <f>IF('INHERENT MAP'!$B$5=2021,'РЕЕСТР РИСКОВ_2023'!AA62,IF('INHERENT MAP'!$B$5=2022,#REF!,IF('INHERENT MAP'!$B$5=2023,#REF!,IF('INHERENT MAP'!$B$5=2024,#REF!,#REF!))))</f>
        <v>0</v>
      </c>
      <c r="W19">
        <f>IF('INHERENT MAP'!$B$5=2021,'РЕЕСТР РИСКОВ_2023'!AB62,IF('INHERENT MAP'!$B$5=2022,#REF!,IF('INHERENT MAP'!$B$5=2023,#REF!,IF('INHERENT MAP'!$B$5=2024,#REF!,#REF!))))</f>
        <v>0</v>
      </c>
      <c r="X19" s="94">
        <f>IF('INHERENT MAP'!$B$5=2021,'РЕЕСТР РИСКОВ_2023'!AC62,IF('INHERENT MAP'!$B$5=2022,#REF!,IF('INHERENT MAP'!$B$5=2023,#REF!,IF('INHERENT MAP'!$B$5=2024,#REF!,#REF!))))</f>
        <v>0</v>
      </c>
      <c r="Y19">
        <f>IF('INHERENT MAP'!$B$5=2021,'РЕЕСТР РИСКОВ_2023'!AD62,IF('INHERENT MAP'!$B$5=2022,#REF!,IF('INHERENT MAP'!$B$5=2023,#REF!,IF('INHERENT MAP'!$B$5=2024,#REF!,#REF!))))</f>
        <v>0</v>
      </c>
      <c r="Z19">
        <f>IF('INHERENT MAP'!$B$5=2021,'РЕЕСТР РИСКОВ_2023'!AE62,IF('INHERENT MAP'!$B$5=2022,#REF!,IF('INHERENT MAP'!$B$5=2023,#REF!,IF('INHERENT MAP'!$B$5=2024,#REF!,#REF!))))</f>
        <v>0</v>
      </c>
      <c r="AA19">
        <f>IF('INHERENT MAP'!$B$5=2021,'РЕЕСТР РИСКОВ_2023'!AF62,IF('INHERENT MAP'!$B$5=2022,#REF!,IF('INHERENT MAP'!$B$5=2023,#REF!,IF('INHERENT MAP'!$B$5=2024,#REF!,#REF!))))</f>
        <v>0</v>
      </c>
      <c r="AB19">
        <f>IF('INHERENT MAP'!$B$5=2021,'РЕЕСТР РИСКОВ_2023'!AG62,IF('INHERENT MAP'!$B$5=2022,#REF!,IF('INHERENT MAP'!$B$5=2023,#REF!,IF('INHERENT MAP'!$B$5=2024,#REF!,#REF!))))</f>
        <v>0</v>
      </c>
      <c r="AC19">
        <f>IF('INHERENT MAP'!$B$5=2021,'РЕЕСТР РИСКОВ_2023'!AH62,IF('INHERENT MAP'!$B$5=2022,#REF!,IF('INHERENT MAP'!$B$5=2023,#REF!,IF('INHERENT MAP'!$B$5=2024,#REF!,#REF!))))</f>
        <v>0</v>
      </c>
      <c r="AD19">
        <f>IF('INHERENT MAP'!$B$5=2021,'РЕЕСТР РИСКОВ_2023'!AI62,IF('INHERENT MAP'!$B$5=2022,#REF!,IF('INHERENT MAP'!$B$5=2023,#REF!,IF('INHERENT MAP'!$B$5=2024,#REF!,#REF!))))</f>
        <v>0</v>
      </c>
      <c r="AE19">
        <f>IF('INHERENT MAP'!$B$5=2021,'РЕЕСТР РИСКОВ_2023'!AK62,IF('INHERENT MAP'!$B$5=2022,#REF!,IF('INHERENT MAP'!$B$5=2023,#REF!,IF('INHERENT MAP'!$B$5=2024,#REF!,#REF!))))</f>
        <v>0</v>
      </c>
      <c r="AF19">
        <f>IF('INHERENT MAP'!$B$5=2021,'РЕЕСТР РИСКОВ_2023'!AL62,IF('INHERENT MAP'!$B$5=2022,#REF!,IF('INHERENT MAP'!$B$5=2023,#REF!,IF('INHERENT MAP'!$B$5=2024,#REF!,#REF!))))</f>
        <v>0</v>
      </c>
      <c r="AG19">
        <f>IF('INHERENT MAP'!$B$5=2021,'РЕЕСТР РИСКОВ_2023'!AM62,IF('INHERENT MAP'!$B$5=2022,#REF!,IF('INHERENT MAP'!$B$5=2023,#REF!,IF('INHERENT MAP'!$B$5=2024,#REF!,#REF!))))</f>
        <v>0</v>
      </c>
      <c r="AH19">
        <f>IF('INHERENT MAP'!$B$5=2021,'РЕЕСТР РИСКОВ_2023'!AN62,IF('INHERENT MAP'!$B$5=2022,#REF!,IF('INHERENT MAP'!$B$5=2023,#REF!,IF('INHERENT MAP'!$B$5=2024,#REF!,#REF!))))</f>
        <v>0</v>
      </c>
      <c r="AI19">
        <f>IF('INHERENT MAP'!$B$5=2021,'РЕЕСТР РИСКОВ_2023'!AO62,IF('INHERENT MAP'!$B$5=2022,#REF!,IF('INHERENT MAP'!$B$5=2023,#REF!,IF('INHERENT MAP'!$B$5=2024,#REF!,#REF!))))</f>
        <v>0</v>
      </c>
      <c r="AJ19">
        <f>IF('INHERENT MAP'!$B$5=2021,'РЕЕСТР РИСКОВ_2023'!AP62,IF('INHERENT MAP'!$B$5=2022,#REF!,IF('INHERENT MAP'!$B$5=2023,#REF!,IF('INHERENT MAP'!$B$5=2024,#REF!,#REF!))))</f>
        <v>0</v>
      </c>
      <c r="AK19">
        <f>IF('РЕЕСТР РИСКОВ_2023'!AQ62="",AK18,'РЕЕСТР РИСКОВ_2023'!AQ62)</f>
        <v>0</v>
      </c>
      <c r="AL19">
        <f>IF('РЕЕСТР РИСКОВ_2023'!AR62="",AL18,'РЕЕСТР РИСКОВ_2023'!AR62)</f>
        <v>-0.21314455836707827</v>
      </c>
      <c r="AM19">
        <f>IF('РЕЕСТР РИСКОВ_2023'!AS62="",AM18,'РЕЕСТР РИСКОВ_2023'!AS62)</f>
        <v>-7194.9046248522718</v>
      </c>
      <c r="AN19">
        <f>IF('РЕЕСТР РИСКОВ_2023'!AT62="",AN18,'РЕЕСТР РИСКОВ_2023'!AT62)</f>
        <v>1533.5547687573865</v>
      </c>
      <c r="AO19">
        <f>IF('РЕЕСТР РИСКОВ_2023'!AU62="",AO18,'РЕЕСТР РИСКОВ_2023'!AU62)</f>
        <v>0</v>
      </c>
    </row>
    <row r="20" spans="2:41">
      <c r="B20" t="str">
        <f>IF('INHERENT MAP'!$B$5=2021,IF('РЕЕСТР РИСКОВ_2023'!F63="",B19,'РЕЕСТР РИСКОВ_2023'!F63),IF('INHERENT MAP'!$B$5=2022,IF(#REF!="",B19,#REF!),IF('INHERENT MAP'!$B$5=2023,IF(#REF!="",B19,#REF!),IF('INHERENT MAP'!$B$5=2024,IF(#REF!="",B19,#REF!),IF('РЕЕСТР РИСКОВ_2023'!F63="",B19,'РЕЕСТР РИСКОВ_2023'!F63)))))</f>
        <v>РИСК ГРУЗООБОРОТА</v>
      </c>
      <c r="C20" t="str">
        <f>IF('INHERENT MAP'!$B$5=2021,IF('РЕЕСТР РИСКОВ_2023'!G63="",C19,'РЕЕСТР РИСКОВ_2023'!G63),IF('INHERENT MAP'!$B$5=2022,IF(#REF!="",C19,#REF!),IF('INHERENT MAP'!$B$5=2023,IF(#REF!="",C19,#REF!),IF('INHERENT MAP'!$B$5=2024,IF(#REF!="",C19,#REF!),IF('РЕЕСТР РИСКОВ_2023'!G63="",C19,'РЕЕСТР РИСКОВ_2023'!G63)))))</f>
        <v>- ХХХ млн. тенге</v>
      </c>
      <c r="D20" t="str">
        <f>IF('INHERENT MAP'!$B$5=2021,IF('РЕЕСТР РИСКОВ_2023'!H63="",D19,'РЕЕСТР РИСКОВ_2023'!H63),IF('INHERENT MAP'!$B$5=2022,IF(#REF!="",D19,#REF!),IF('INHERENT MAP'!$B$5=2023,IF(#REF!="",D19,#REF!),IF('INHERENT MAP'!$B$5=2024,IF(#REF!="",D19,#REF!),IF('РЕЕСТР РИСКОВ_2023'!H63="",D19,'РЕЕСТР РИСКОВ_2023'!H63)))))</f>
        <v>CTR-3</v>
      </c>
      <c r="E20" t="str">
        <f>IF('INHERENT MAP'!$B$5=2021,IF('РЕЕСТР РИСКОВ_2023'!I63="",E19,'РЕЕСТР РИСКОВ_2023'!I63),IF('INHERENT MAP'!$B$5=2022,IF(#REF!="",E19,#REF!),IF('INHERENT MAP'!$B$5=2023,IF(#REF!="",E19,#REF!),IF('INHERENT MAP'!$B$5=2024,IF(#REF!="",E19,#REF!),IF('РЕЕСТР РИСКОВ_2023'!I63="",E19,'РЕЕСТР РИСКОВ_2023'!I63)))))</f>
        <v>ЦЗД</v>
      </c>
      <c r="F20" t="str">
        <f>IF('INHERENT MAP'!$B$5=2021,IF('РЕЕСТР РИСКОВ_2023'!J63="",F19,'РЕЕСТР РИСКОВ_2023'!J63),IF('INHERENT MAP'!$B$5=2022,IF(#REF!="",F19,#REF!),IF('INHERENT MAP'!$B$5=2023,IF(#REF!="",F19,#REF!),IF('INHERENT MAP'!$B$5=2024,IF(#REF!="",F19,#REF!),IF('РЕЕСТР РИСКОВ_2023'!J63="",F19,'РЕЕСТР РИСКОВ_2023'!J63)))))</f>
        <v>ТОО "КТЖ-Грузовые перевозки"</v>
      </c>
      <c r="G20" t="str">
        <f>IF('INHERENT MAP'!$B$5=2021,IF('РЕЕСТР РИСКОВ_2023'!K63="",G19,'РЕЕСТР РИСКОВ_2023'!K63),IF('INHERENT MAP'!$B$5=2022,IF(#REF!="",G19,#REF!),IF('INHERENT MAP'!$B$5=2023,IF(#REF!="",G19,#REF!),IF('INHERENT MAP'!$B$5=2024,IF(#REF!="",G19,#REF!),IF('РЕЕСТР РИСКОВ_2023'!K63="",G19,'РЕЕСТР РИСКОВ_2023'!K63)))))</f>
        <v>Объем грузооборота от экспорта</v>
      </c>
      <c r="H20">
        <f>IF('INHERENT MAP'!$B$5=2021,'РЕЕСТР РИСКОВ_2023'!L63,IF('INHERENT MAP'!$B$5=2022,#REF!,IF('INHERENT MAP'!$B$5=2023,#REF!,IF('INHERENT MAP'!$B$5=2024,#REF!,#REF!))))</f>
        <v>0</v>
      </c>
      <c r="I20">
        <f>IF('INHERENT MAP'!$B$5=2021,'РЕЕСТР РИСКОВ_2023'!M63,IF('INHERENT MAP'!$B$5=2022,#REF!,IF('INHERENT MAP'!$B$5=2023,#REF!,IF('INHERENT MAP'!$B$5=2024,#REF!,#REF!))))</f>
        <v>0</v>
      </c>
      <c r="J20">
        <f>IF('INHERENT MAP'!$B$5=2021,'РЕЕСТР РИСКОВ_2023'!N63,IF('INHERENT MAP'!$B$5=2022,#REF!,IF('INHERENT MAP'!$B$5=2023,#REF!,IF('INHERENT MAP'!$B$5=2024,#REF!,#REF!))))</f>
        <v>0</v>
      </c>
      <c r="K20">
        <f>IF('INHERENT MAP'!$B$5=2021,'РЕЕСТР РИСКОВ_2023'!O63,IF('INHERENT MAP'!$B$5=2022,#REF!,IF('INHERENT MAP'!$B$5=2023,#REF!,IF('INHERENT MAP'!$B$5=2024,#REF!,#REF!))))</f>
        <v>0</v>
      </c>
      <c r="L20">
        <f>IF('INHERENT MAP'!$B$5=2021,'РЕЕСТР РИСКОВ_2023'!P63,IF('INHERENT MAP'!$B$5=2022,#REF!,IF('INHERENT MAP'!$B$5=2023,#REF!,IF('INHERENT MAP'!$B$5=2024,#REF!,#REF!))))</f>
        <v>0</v>
      </c>
      <c r="M20" t="str">
        <f>IF('INHERENT MAP'!$B$5=2021,IF('РЕЕСТР РИСКОВ_2023'!Q63="",M19,'РЕЕСТР РИСКОВ_2023'!Q63),IF('INHERENT MAP'!$B$5=2022,IF(#REF!="",M19,#REF!),IF('INHERENT MAP'!$B$5=2023,IF(#REF!="",M19,#REF!),IF('INHERENT MAP'!$B$5=2024,IF(#REF!="",M19,#REF!),IF('РЕЕСТР РИСКОВ_2023'!Q63="",M19,'РЕЕСТР РИСКОВ_2023'!Q63)))))</f>
        <v>Снижение спроса со стороны грузоотправителей экспорта</v>
      </c>
      <c r="N20" t="str">
        <f>IF('INHERENT MAP'!$B$5=2021,IF('РЕЕСТР РИСКОВ_2023'!R63="",N19,'РЕЕСТР РИСКОВ_2023'!R63),IF('INHERENT MAP'!$B$5=2022,IF(#REF!="",N19,#REF!),IF('INHERENT MAP'!$B$5=2023,IF(#REF!="",N19,#REF!),IF('INHERENT MAP'!$B$5=2024,IF(#REF!="",N19,#REF!),IF('РЕЕСТР РИСКОВ_2023'!R63="",N19,'РЕЕСТР РИСКОВ_2023'!R63)))))</f>
        <v>Изменение структуры грузов</v>
      </c>
      <c r="O20">
        <f>'РЕЕСТР РИСКОВ_2023'!T63</f>
        <v>0</v>
      </c>
      <c r="P20">
        <f>IF('РЕЕСТР РИСКОВ_2023'!U63="",P19,'РЕЕСТР РИСКОВ_2023'!U63)</f>
        <v>0</v>
      </c>
      <c r="Q20" t="str">
        <f>IF('РЕЕСТР РИСКОВ_2023'!V63="",Q19,'РЕЕСТР РИСКОВ_2023'!V63)</f>
        <v>Угрозы</v>
      </c>
      <c r="R20" t="str">
        <f>IF('РЕЕСТР РИСКОВ_2023'!W63="",R19,'РЕЕСТР РИСКОВ_2023'!W63)</f>
        <v>Ухудшение политической ситуации в соседних странах</v>
      </c>
      <c r="S20">
        <f>'РЕЕСТР РИСКОВ_2023'!X63</f>
        <v>0</v>
      </c>
      <c r="T20" s="94">
        <f>IF('INHERENT MAP'!$B$5=2021,'РЕЕСТР РИСКОВ_2023'!Y63,IF('INHERENT MAP'!$B$5=2022,#REF!,IF('INHERENT MAP'!$B$5=2023,#REF!,IF('INHERENT MAP'!$B$5=2024,#REF!,#REF!))))</f>
        <v>0</v>
      </c>
      <c r="U20">
        <f>IF('INHERENT MAP'!$B$5=2021,'РЕЕСТР РИСКОВ_2023'!Z63,IF('INHERENT MAP'!$B$5=2022,#REF!,IF('INHERENT MAP'!$B$5=2023,#REF!,IF('INHERENT MAP'!$B$5=2024,#REF!,#REF!))))</f>
        <v>0</v>
      </c>
      <c r="V20">
        <f>IF('INHERENT MAP'!$B$5=2021,'РЕЕСТР РИСКОВ_2023'!AA63,IF('INHERENT MAP'!$B$5=2022,#REF!,IF('INHERENT MAP'!$B$5=2023,#REF!,IF('INHERENT MAP'!$B$5=2024,#REF!,#REF!))))</f>
        <v>0</v>
      </c>
      <c r="W20">
        <f>IF('INHERENT MAP'!$B$5=2021,'РЕЕСТР РИСКОВ_2023'!AB63,IF('INHERENT MAP'!$B$5=2022,#REF!,IF('INHERENT MAP'!$B$5=2023,#REF!,IF('INHERENT MAP'!$B$5=2024,#REF!,#REF!))))</f>
        <v>0</v>
      </c>
      <c r="X20" s="94">
        <f>IF('INHERENT MAP'!$B$5=2021,'РЕЕСТР РИСКОВ_2023'!AC63,IF('INHERENT MAP'!$B$5=2022,#REF!,IF('INHERENT MAP'!$B$5=2023,#REF!,IF('INHERENT MAP'!$B$5=2024,#REF!,#REF!))))</f>
        <v>0</v>
      </c>
      <c r="Y20">
        <f>IF('INHERENT MAP'!$B$5=2021,'РЕЕСТР РИСКОВ_2023'!AD63,IF('INHERENT MAP'!$B$5=2022,#REF!,IF('INHERENT MAP'!$B$5=2023,#REF!,IF('INHERENT MAP'!$B$5=2024,#REF!,#REF!))))</f>
        <v>0</v>
      </c>
      <c r="Z20">
        <f>IF('INHERENT MAP'!$B$5=2021,'РЕЕСТР РИСКОВ_2023'!AE63,IF('INHERENT MAP'!$B$5=2022,#REF!,IF('INHERENT MAP'!$B$5=2023,#REF!,IF('INHERENT MAP'!$B$5=2024,#REF!,#REF!))))</f>
        <v>0</v>
      </c>
      <c r="AA20">
        <f>IF('INHERENT MAP'!$B$5=2021,'РЕЕСТР РИСКОВ_2023'!AF63,IF('INHERENT MAP'!$B$5=2022,#REF!,IF('INHERENT MAP'!$B$5=2023,#REF!,IF('INHERENT MAP'!$B$5=2024,#REF!,#REF!))))</f>
        <v>0</v>
      </c>
      <c r="AB20">
        <f>IF('INHERENT MAP'!$B$5=2021,'РЕЕСТР РИСКОВ_2023'!AG63,IF('INHERENT MAP'!$B$5=2022,#REF!,IF('INHERENT MAP'!$B$5=2023,#REF!,IF('INHERENT MAP'!$B$5=2024,#REF!,#REF!))))</f>
        <v>0</v>
      </c>
      <c r="AC20">
        <f>IF('INHERENT MAP'!$B$5=2021,'РЕЕСТР РИСКОВ_2023'!AH63,IF('INHERENT MAP'!$B$5=2022,#REF!,IF('INHERENT MAP'!$B$5=2023,#REF!,IF('INHERENT MAP'!$B$5=2024,#REF!,#REF!))))</f>
        <v>0</v>
      </c>
      <c r="AD20">
        <f>IF('INHERENT MAP'!$B$5=2021,'РЕЕСТР РИСКОВ_2023'!AI63,IF('INHERENT MAP'!$B$5=2022,#REF!,IF('INHERENT MAP'!$B$5=2023,#REF!,IF('INHERENT MAP'!$B$5=2024,#REF!,#REF!))))</f>
        <v>0</v>
      </c>
      <c r="AE20">
        <f>IF('INHERENT MAP'!$B$5=2021,'РЕЕСТР РИСКОВ_2023'!AK63,IF('INHERENT MAP'!$B$5=2022,#REF!,IF('INHERENT MAP'!$B$5=2023,#REF!,IF('INHERENT MAP'!$B$5=2024,#REF!,#REF!))))</f>
        <v>0</v>
      </c>
      <c r="AF20">
        <f>IF('INHERENT MAP'!$B$5=2021,'РЕЕСТР РИСКОВ_2023'!AL63,IF('INHERENT MAP'!$B$5=2022,#REF!,IF('INHERENT MAP'!$B$5=2023,#REF!,IF('INHERENT MAP'!$B$5=2024,#REF!,#REF!))))</f>
        <v>0</v>
      </c>
      <c r="AG20">
        <f>IF('INHERENT MAP'!$B$5=2021,'РЕЕСТР РИСКОВ_2023'!AM63,IF('INHERENT MAP'!$B$5=2022,#REF!,IF('INHERENT MAP'!$B$5=2023,#REF!,IF('INHERENT MAP'!$B$5=2024,#REF!,#REF!))))</f>
        <v>0</v>
      </c>
      <c r="AH20">
        <f>IF('INHERENT MAP'!$B$5=2021,'РЕЕСТР РИСКОВ_2023'!AN63,IF('INHERENT MAP'!$B$5=2022,#REF!,IF('INHERENT MAP'!$B$5=2023,#REF!,IF('INHERENT MAP'!$B$5=2024,#REF!,#REF!))))</f>
        <v>0</v>
      </c>
      <c r="AI20">
        <f>IF('INHERENT MAP'!$B$5=2021,'РЕЕСТР РИСКОВ_2023'!AO63,IF('INHERENT MAP'!$B$5=2022,#REF!,IF('INHERENT MAP'!$B$5=2023,#REF!,IF('INHERENT MAP'!$B$5=2024,#REF!,#REF!))))</f>
        <v>0</v>
      </c>
      <c r="AJ20">
        <f>IF('INHERENT MAP'!$B$5=2021,'РЕЕСТР РИСКОВ_2023'!AP63,IF('INHERENT MAP'!$B$5=2022,#REF!,IF('INHERENT MAP'!$B$5=2023,#REF!,IF('INHERENT MAP'!$B$5=2024,#REF!,#REF!))))</f>
        <v>0</v>
      </c>
      <c r="AK20">
        <f>IF('РЕЕСТР РИСКОВ_2023'!AQ63="",AK19,'РЕЕСТР РИСКОВ_2023'!AQ63)</f>
        <v>0</v>
      </c>
      <c r="AL20">
        <f>IF('РЕЕСТР РИСКОВ_2023'!AR63="",AL19,'РЕЕСТР РИСКОВ_2023'!AR63)</f>
        <v>-0.21314455836707827</v>
      </c>
      <c r="AM20">
        <f>IF('РЕЕСТР РИСКОВ_2023'!AS63="",AM19,'РЕЕСТР РИСКОВ_2023'!AS63)</f>
        <v>-7194.9046248522718</v>
      </c>
      <c r="AN20">
        <f>IF('РЕЕСТР РИСКОВ_2023'!AT63="",AN19,'РЕЕСТР РИСКОВ_2023'!AT63)</f>
        <v>1533.5547687573865</v>
      </c>
      <c r="AO20">
        <f>IF('РЕЕСТР РИСКОВ_2023'!AU63="",AO19,'РЕЕСТР РИСКОВ_2023'!AU63)</f>
        <v>0</v>
      </c>
    </row>
    <row r="21" spans="2:41">
      <c r="B21" t="str">
        <f>IF('INHERENT MAP'!$B$5=2021,IF('РЕЕСТР РИСКОВ_2023'!F64="",B20,'РЕЕСТР РИСКОВ_2023'!F64),IF('INHERENT MAP'!$B$5=2022,IF(#REF!="",B20,#REF!),IF('INHERENT MAP'!$B$5=2023,IF(#REF!="",B20,#REF!),IF('INHERENT MAP'!$B$5=2024,IF(#REF!="",B20,#REF!),IF('РЕЕСТР РИСКОВ_2023'!F64="",B20,'РЕЕСТР РИСКОВ_2023'!F64)))))</f>
        <v>РИСК ГРУЗООБОРОТА</v>
      </c>
      <c r="C21" t="str">
        <f>IF('INHERENT MAP'!$B$5=2021,IF('РЕЕСТР РИСКОВ_2023'!G64="",C20,'РЕЕСТР РИСКОВ_2023'!G64),IF('INHERENT MAP'!$B$5=2022,IF(#REF!="",C20,#REF!),IF('INHERENT MAP'!$B$5=2023,IF(#REF!="",C20,#REF!),IF('INHERENT MAP'!$B$5=2024,IF(#REF!="",C20,#REF!),IF('РЕЕСТР РИСКОВ_2023'!G64="",C20,'РЕЕСТР РИСКОВ_2023'!G64)))))</f>
        <v>- ХХХ млн. тенге</v>
      </c>
      <c r="D21" t="str">
        <f>IF('INHERENT MAP'!$B$5=2021,IF('РЕЕСТР РИСКОВ_2023'!H64="",D20,'РЕЕСТР РИСКОВ_2023'!H64),IF('INHERENT MAP'!$B$5=2022,IF(#REF!="",D20,#REF!),IF('INHERENT MAP'!$B$5=2023,IF(#REF!="",D20,#REF!),IF('INHERENT MAP'!$B$5=2024,IF(#REF!="",D20,#REF!),IF('РЕЕСТР РИСКОВ_2023'!H64="",D20,'РЕЕСТР РИСКОВ_2023'!H64)))))</f>
        <v>CTR-3</v>
      </c>
      <c r="E21" t="str">
        <f>IF('INHERENT MAP'!$B$5=2021,IF('РЕЕСТР РИСКОВ_2023'!I64="",E20,'РЕЕСТР РИСКОВ_2023'!I64),IF('INHERENT MAP'!$B$5=2022,IF(#REF!="",E20,#REF!),IF('INHERENT MAP'!$B$5=2023,IF(#REF!="",E20,#REF!),IF('INHERENT MAP'!$B$5=2024,IF(#REF!="",E20,#REF!),IF('РЕЕСТР РИСКОВ_2023'!I64="",E20,'РЕЕСТР РИСКОВ_2023'!I64)))))</f>
        <v>ЦЗД</v>
      </c>
      <c r="F21" t="str">
        <f>IF('INHERENT MAP'!$B$5=2021,IF('РЕЕСТР РИСКОВ_2023'!J64="",F20,'РЕЕСТР РИСКОВ_2023'!J64),IF('INHERENT MAP'!$B$5=2022,IF(#REF!="",F20,#REF!),IF('INHERENT MAP'!$B$5=2023,IF(#REF!="",F20,#REF!),IF('INHERENT MAP'!$B$5=2024,IF(#REF!="",F20,#REF!),IF('РЕЕСТР РИСКОВ_2023'!J64="",F20,'РЕЕСТР РИСКОВ_2023'!J64)))))</f>
        <v>ТОО "КТЖ-Грузовые перевозки"</v>
      </c>
      <c r="G21" t="str">
        <f>IF('INHERENT MAP'!$B$5=2021,IF('РЕЕСТР РИСКОВ_2023'!K64="",G20,'РЕЕСТР РИСКОВ_2023'!K64),IF('INHERENT MAP'!$B$5=2022,IF(#REF!="",G20,#REF!),IF('INHERENT MAP'!$B$5=2023,IF(#REF!="",G20,#REF!),IF('INHERENT MAP'!$B$5=2024,IF(#REF!="",G20,#REF!),IF('РЕЕСТР РИСКОВ_2023'!K64="",G20,'РЕЕСТР РИСКОВ_2023'!K64)))))</f>
        <v>Объем грузооборота от экспорта</v>
      </c>
      <c r="H21">
        <f>IF('INHERENT MAP'!$B$5=2021,'РЕЕСТР РИСКОВ_2023'!L64,IF('INHERENT MAP'!$B$5=2022,#REF!,IF('INHERENT MAP'!$B$5=2023,#REF!,IF('INHERENT MAP'!$B$5=2024,#REF!,#REF!))))</f>
        <v>0</v>
      </c>
      <c r="I21">
        <f>IF('INHERENT MAP'!$B$5=2021,'РЕЕСТР РИСКОВ_2023'!M64,IF('INHERENT MAP'!$B$5=2022,#REF!,IF('INHERENT MAP'!$B$5=2023,#REF!,IF('INHERENT MAP'!$B$5=2024,#REF!,#REF!))))</f>
        <v>0</v>
      </c>
      <c r="J21">
        <f>IF('INHERENT MAP'!$B$5=2021,'РЕЕСТР РИСКОВ_2023'!N64,IF('INHERENT MAP'!$B$5=2022,#REF!,IF('INHERENT MAP'!$B$5=2023,#REF!,IF('INHERENT MAP'!$B$5=2024,#REF!,#REF!))))</f>
        <v>0</v>
      </c>
      <c r="K21">
        <f>IF('INHERENT MAP'!$B$5=2021,'РЕЕСТР РИСКОВ_2023'!O64,IF('INHERENT MAP'!$B$5=2022,#REF!,IF('INHERENT MAP'!$B$5=2023,#REF!,IF('INHERENT MAP'!$B$5=2024,#REF!,#REF!))))</f>
        <v>0</v>
      </c>
      <c r="L21">
        <f>IF('INHERENT MAP'!$B$5=2021,'РЕЕСТР РИСКОВ_2023'!P64,IF('INHERENT MAP'!$B$5=2022,#REF!,IF('INHERENT MAP'!$B$5=2023,#REF!,IF('INHERENT MAP'!$B$5=2024,#REF!,#REF!))))</f>
        <v>0</v>
      </c>
      <c r="M21" t="str">
        <f>IF('INHERENT MAP'!$B$5=2021,IF('РЕЕСТР РИСКОВ_2023'!Q64="",M20,'РЕЕСТР РИСКОВ_2023'!Q64),IF('INHERENT MAP'!$B$5=2022,IF(#REF!="",M20,#REF!),IF('INHERENT MAP'!$B$5=2023,IF(#REF!="",M20,#REF!),IF('INHERENT MAP'!$B$5=2024,IF(#REF!="",M20,#REF!),IF('РЕЕСТР РИСКОВ_2023'!Q64="",M20,'РЕЕСТР РИСКОВ_2023'!Q64)))))</f>
        <v>Интермодальный риск от частного сектора (основные 2 конкурента ТТТ Сервис, Дар Рэйл)</v>
      </c>
      <c r="N21" t="str">
        <f>IF('INHERENT MAP'!$B$5=2021,IF('РЕЕСТР РИСКОВ_2023'!R64="",N20,'РЕЕСТР РИСКОВ_2023'!R64),IF('INHERENT MAP'!$B$5=2022,IF(#REF!="",N20,#REF!),IF('INHERENT MAP'!$B$5=2023,IF(#REF!="",N20,#REF!),IF('INHERENT MAP'!$B$5=2024,IF(#REF!="",N20,#REF!),IF('РЕЕСТР РИСКОВ_2023'!R64="",N20,'РЕЕСТР РИСКОВ_2023'!R64)))))</f>
        <v xml:space="preserve">Риск появления на рынке новых частных перевозчиков в связи с выдачей лицензии перевозчика Министерством индустрии и инфраструктурного Развития РК более 45 организациям </v>
      </c>
      <c r="O21" t="str">
        <f>'РЕЕСТР РИСКОВ_2023'!T64</f>
        <v>расчеты экономического блока (доходники)</v>
      </c>
      <c r="P21">
        <f>IF('РЕЕСТР РИСКОВ_2023'!U64="",P20,'РЕЕСТР РИСКОВ_2023'!U64)</f>
        <v>0</v>
      </c>
      <c r="Q21" t="str">
        <f>IF('РЕЕСТР РИСКОВ_2023'!V64="",Q20,'РЕЕСТР РИСКОВ_2023'!V64)</f>
        <v>Угрозы</v>
      </c>
      <c r="R21" t="str">
        <f>IF('РЕЕСТР РИСКОВ_2023'!W64="",R20,'РЕЕСТР РИСКОВ_2023'!W64)</f>
        <v>Доля рынка грузовых перевозок 
2019-98,29%
2020-98,29%
2021-93,2%</v>
      </c>
      <c r="S21">
        <f>'РЕЕСТР РИСКОВ_2023'!X64</f>
        <v>0</v>
      </c>
      <c r="T21" s="94">
        <f>IF('INHERENT MAP'!$B$5=2021,'РЕЕСТР РИСКОВ_2023'!Y64,IF('INHERENT MAP'!$B$5=2022,#REF!,IF('INHERENT MAP'!$B$5=2023,#REF!,IF('INHERENT MAP'!$B$5=2024,#REF!,#REF!))))</f>
        <v>0.2</v>
      </c>
      <c r="U21">
        <f>IF('INHERENT MAP'!$B$5=2021,'РЕЕСТР РИСКОВ_2023'!Z64,IF('INHERENT MAP'!$B$5=2022,#REF!,IF('INHERENT MAP'!$B$5=2023,#REF!,IF('INHERENT MAP'!$B$5=2024,#REF!,#REF!))))</f>
        <v>-10520</v>
      </c>
      <c r="V21">
        <f>IF('INHERENT MAP'!$B$5=2021,'РЕЕСТР РИСКОВ_2023'!AA64,IF('INHERENT MAP'!$B$5=2022,#REF!,IF('INHERENT MAP'!$B$5=2023,#REF!,IF('INHERENT MAP'!$B$5=2024,#REF!,#REF!))))</f>
        <v>-2104</v>
      </c>
      <c r="W21" t="str">
        <f>IF('INHERENT MAP'!$B$5=2021,'РЕЕСТР РИСКОВ_2023'!AB64,IF('INHERENT MAP'!$B$5=2022,#REF!,IF('INHERENT MAP'!$B$5=2023,#REF!,IF('INHERENT MAP'!$B$5=2024,#REF!,#REF!))))</f>
        <v>Сумма дохода не учитывается в Бюджете ГП.                     Либерализация железнодорожного рынка по государственной инициативе, пилотный прект до 2025 года, расширение маршрутов с помощью электротяги</v>
      </c>
      <c r="X21" s="94">
        <f>IF('INHERENT MAP'!$B$5=2021,'РЕЕСТР РИСКОВ_2023'!AC64,IF('INHERENT MAP'!$B$5=2022,#REF!,IF('INHERENT MAP'!$B$5=2023,#REF!,IF('INHERENT MAP'!$B$5=2024,#REF!,#REF!))))</f>
        <v>0</v>
      </c>
      <c r="Y21">
        <f>IF('INHERENT MAP'!$B$5=2021,'РЕЕСТР РИСКОВ_2023'!AD64,IF('INHERENT MAP'!$B$5=2022,#REF!,IF('INHERENT MAP'!$B$5=2023,#REF!,IF('INHERENT MAP'!$B$5=2024,#REF!,#REF!))))</f>
        <v>0</v>
      </c>
      <c r="Z21">
        <f>IF('INHERENT MAP'!$B$5=2021,'РЕЕСТР РИСКОВ_2023'!AE64,IF('INHERENT MAP'!$B$5=2022,#REF!,IF('INHERENT MAP'!$B$5=2023,#REF!,IF('INHERENT MAP'!$B$5=2024,#REF!,#REF!))))</f>
        <v>0</v>
      </c>
      <c r="AA21">
        <f>IF('INHERENT MAP'!$B$5=2021,'РЕЕСТР РИСКОВ_2023'!AF64,IF('INHERENT MAP'!$B$5=2022,#REF!,IF('INHERENT MAP'!$B$5=2023,#REF!,IF('INHERENT MAP'!$B$5=2024,#REF!,#REF!))))</f>
        <v>0</v>
      </c>
      <c r="AB21">
        <f>IF('INHERENT MAP'!$B$5=2021,'РЕЕСТР РИСКОВ_2023'!AG64,IF('INHERENT MAP'!$B$5=2022,#REF!,IF('INHERENT MAP'!$B$5=2023,#REF!,IF('INHERENT MAP'!$B$5=2024,#REF!,#REF!))))</f>
        <v>0</v>
      </c>
      <c r="AC21">
        <f>IF('INHERENT MAP'!$B$5=2021,'РЕЕСТР РИСКОВ_2023'!AH64,IF('INHERENT MAP'!$B$5=2022,#REF!,IF('INHERENT MAP'!$B$5=2023,#REF!,IF('INHERENT MAP'!$B$5=2024,#REF!,#REF!))))</f>
        <v>0</v>
      </c>
      <c r="AD21" t="str">
        <f>IF('INHERENT MAP'!$B$5=2021,'РЕЕСТР РИСКОВ_2023'!AI64,IF('INHERENT MAP'!$B$5=2022,#REF!,IF('INHERENT MAP'!$B$5=2023,#REF!,IF('INHERENT MAP'!$B$5=2024,#REF!,#REF!))))</f>
        <v>1. Проведение опроса грузоотправителей для выявления проблемных вопросов;                                                                                                                                                                    2. Выявление  проблемных вопросов по исполнению плановых показатетелей (объемы перевозок, скорость перевозки, передача поездов по стыкам и другие).                                                                                                                                                                                                                                           3. Разработка новых нормативных актов, внесение именений в действующие для устранения проблемных вопросов.                                                                                                                                                                                                                                   4. Предложение благоприятных тарифных условий для грузоотправителей (работающих непосредственно с частными перевозчиками) с учетом скорейшего отправления однородного груза (вертушек) без задержки на станционных путях в ожидании накопления или других факторов препятствующих незамедлительной отправке с условием увеличения объемов перевозки грузов. 
5. Формирование шатл-поездов с ускоренной доставкой грузов.    
6. Предоставление клиентам доступа к информационной системе для приема и обработки заявок и перевозок грузов в on-line режиме с любого мобильного устройства.                                                                                                                                                                                                                                                                                            7. Мониторинг объемов, выполняемых частными перевозчиками, а также контроль запланированных объемов в среднесрочной переспективе</v>
      </c>
      <c r="AE21">
        <f>IF('INHERENT MAP'!$B$5=2021,'РЕЕСТР РИСКОВ_2023'!AK64,IF('INHERENT MAP'!$B$5=2022,#REF!,IF('INHERENT MAP'!$B$5=2023,#REF!,IF('INHERENT MAP'!$B$5=2024,#REF!,#REF!))))</f>
        <v>0</v>
      </c>
      <c r="AF21">
        <f>IF('INHERENT MAP'!$B$5=2021,'РЕЕСТР РИСКОВ_2023'!AL64,IF('INHERENT MAP'!$B$5=2022,#REF!,IF('INHERENT MAP'!$B$5=2023,#REF!,IF('INHERENT MAP'!$B$5=2024,#REF!,#REF!))))</f>
        <v>0</v>
      </c>
      <c r="AG21" t="str">
        <f>IF('INHERENT MAP'!$B$5=2021,'РЕЕСТР РИСКОВ_2023'!AM64,IF('INHERENT MAP'!$B$5=2022,#REF!,IF('INHERENT MAP'!$B$5=2023,#REF!,IF('INHERENT MAP'!$B$5=2024,#REF!,#REF!))))</f>
        <v>низкая</v>
      </c>
      <c r="AH21">
        <f>IF('INHERENT MAP'!$B$5=2021,'РЕЕСТР РИСКОВ_2023'!AN64,IF('INHERENT MAP'!$B$5=2022,#REF!,IF('INHERENT MAP'!$B$5=2023,#REF!,IF('INHERENT MAP'!$B$5=2024,#REF!,#REF!))))</f>
        <v>0.2</v>
      </c>
      <c r="AI21">
        <f>IF('INHERENT MAP'!$B$5=2021,'РЕЕСТР РИСКОВ_2023'!AO64,IF('INHERENT MAP'!$B$5=2022,#REF!,IF('INHERENT MAP'!$B$5=2023,#REF!,IF('INHERENT MAP'!$B$5=2024,#REF!,#REF!))))</f>
        <v>-10520</v>
      </c>
      <c r="AJ21">
        <f>IF('INHERENT MAP'!$B$5=2021,'РЕЕСТР РИСКОВ_2023'!AP64,IF('INHERENT MAP'!$B$5=2022,#REF!,IF('INHERENT MAP'!$B$5=2023,#REF!,IF('INHERENT MAP'!$B$5=2024,#REF!,#REF!))))</f>
        <v>-2104</v>
      </c>
      <c r="AK21">
        <f>IF('РЕЕСТР РИСКОВ_2023'!AQ64="",AK20,'РЕЕСТР РИСКОВ_2023'!AQ64)</f>
        <v>-2104</v>
      </c>
      <c r="AL21">
        <f>IF('РЕЕСТР РИСКОВ_2023'!AR64="",AL20,'РЕЕСТР РИСКОВ_2023'!AR64)</f>
        <v>-0.21314455836707827</v>
      </c>
      <c r="AM21">
        <f>IF('РЕЕСТР РИСКОВ_2023'!AS64="",AM20,'РЕЕСТР РИСКОВ_2023'!AS64)</f>
        <v>-7194.9046248522718</v>
      </c>
      <c r="AN21">
        <f>IF('РЕЕСТР РИСКОВ_2023'!AT64="",AN20,'РЕЕСТР РИСКОВ_2023'!AT64)</f>
        <v>1533.5547687573865</v>
      </c>
      <c r="AO21">
        <f>IF('РЕЕСТР РИСКОВ_2023'!AU64="",AO20,'РЕЕСТР РИСКОВ_2023'!AU64)</f>
        <v>0</v>
      </c>
    </row>
    <row r="22" spans="2:41">
      <c r="B22" t="str">
        <f>IF('INHERENT MAP'!$B$5=2021,IF('РЕЕСТР РИСКОВ_2023'!F66="",B21,'РЕЕСТР РИСКОВ_2023'!F66),IF('INHERENT MAP'!$B$5=2022,IF(#REF!="",B21,#REF!),IF('INHERENT MAP'!$B$5=2023,IF(#REF!="",B21,#REF!),IF('INHERENT MAP'!$B$5=2024,IF(#REF!="",B21,#REF!),IF('РЕЕСТР РИСКОВ_2023'!F66="",B21,'РЕЕСТР РИСКОВ_2023'!F66)))))</f>
        <v>РИСК ГРУЗООБОРОТА</v>
      </c>
      <c r="C22" t="str">
        <f>IF('INHERENT MAP'!$B$5=2021,IF('РЕЕСТР РИСКОВ_2023'!G66="",C21,'РЕЕСТР РИСКОВ_2023'!G66),IF('INHERENT MAP'!$B$5=2022,IF(#REF!="",C21,#REF!),IF('INHERENT MAP'!$B$5=2023,IF(#REF!="",C21,#REF!),IF('INHERENT MAP'!$B$5=2024,IF(#REF!="",C21,#REF!),IF('РЕЕСТР РИСКОВ_2023'!G66="",C21,'РЕЕСТР РИСКОВ_2023'!G66)))))</f>
        <v>- ХХХ млн. тенге</v>
      </c>
      <c r="D22" t="str">
        <f>IF('INHERENT MAP'!$B$5=2021,IF('РЕЕСТР РИСКОВ_2023'!H66="",D21,'РЕЕСТР РИСКОВ_2023'!H66),IF('INHERENT MAP'!$B$5=2022,IF(#REF!="",D21,#REF!),IF('INHERENT MAP'!$B$5=2023,IF(#REF!="",D21,#REF!),IF('INHERENT MAP'!$B$5=2024,IF(#REF!="",D21,#REF!),IF('РЕЕСТР РИСКОВ_2023'!H66="",D21,'РЕЕСТР РИСКОВ_2023'!H66)))))</f>
        <v>CTR-3</v>
      </c>
      <c r="E22" t="str">
        <f>IF('INHERENT MAP'!$B$5=2021,IF('РЕЕСТР РИСКОВ_2023'!I66="",E21,'РЕЕСТР РИСКОВ_2023'!I66),IF('INHERENT MAP'!$B$5=2022,IF(#REF!="",E21,#REF!),IF('INHERENT MAP'!$B$5=2023,IF(#REF!="",E21,#REF!),IF('INHERENT MAP'!$B$5=2024,IF(#REF!="",E21,#REF!),IF('РЕЕСТР РИСКОВ_2023'!I66="",E21,'РЕЕСТР РИСКОВ_2023'!I66)))))</f>
        <v>ЦЗД</v>
      </c>
      <c r="F22" t="str">
        <f>IF('INHERENT MAP'!$B$5=2021,IF('РЕЕСТР РИСКОВ_2023'!J66="",F21,'РЕЕСТР РИСКОВ_2023'!J66),IF('INHERENT MAP'!$B$5=2022,IF(#REF!="",F21,#REF!),IF('INHERENT MAP'!$B$5=2023,IF(#REF!="",F21,#REF!),IF('INHERENT MAP'!$B$5=2024,IF(#REF!="",F21,#REF!),IF('РЕЕСТР РИСКОВ_2023'!J66="",F21,'РЕЕСТР РИСКОВ_2023'!J66)))))</f>
        <v>ТОО "КТЖ-Грузовые перевозки"</v>
      </c>
      <c r="G22" t="str">
        <f>IF('INHERENT MAP'!$B$5=2021,IF('РЕЕСТР РИСКОВ_2023'!K66="",G21,'РЕЕСТР РИСКОВ_2023'!K66),IF('INHERENT MAP'!$B$5=2022,IF(#REF!="",G21,#REF!),IF('INHERENT MAP'!$B$5=2023,IF(#REF!="",G21,#REF!),IF('INHERENT MAP'!$B$5=2024,IF(#REF!="",G21,#REF!),IF('РЕЕСТР РИСКОВ_2023'!K66="",G21,'РЕЕСТР РИСКОВ_2023'!K66)))))</f>
        <v>Объем грузооборота от экспорта</v>
      </c>
      <c r="H22">
        <f>IF('INHERENT MAP'!$B$5=2021,'РЕЕСТР РИСКОВ_2023'!L66,IF('INHERENT MAP'!$B$5=2022,#REF!,IF('INHERENT MAP'!$B$5=2023,#REF!,IF('INHERENT MAP'!$B$5=2024,#REF!,#REF!))))</f>
        <v>0</v>
      </c>
      <c r="I22">
        <f>IF('INHERENT MAP'!$B$5=2021,'РЕЕСТР РИСКОВ_2023'!M66,IF('INHERENT MAP'!$B$5=2022,#REF!,IF('INHERENT MAP'!$B$5=2023,#REF!,IF('INHERENT MAP'!$B$5=2024,#REF!,#REF!))))</f>
        <v>0</v>
      </c>
      <c r="J22">
        <f>IF('INHERENT MAP'!$B$5=2021,'РЕЕСТР РИСКОВ_2023'!N66,IF('INHERENT MAP'!$B$5=2022,#REF!,IF('INHERENT MAP'!$B$5=2023,#REF!,IF('INHERENT MAP'!$B$5=2024,#REF!,#REF!))))</f>
        <v>0</v>
      </c>
      <c r="K22">
        <f>IF('INHERENT MAP'!$B$5=2021,'РЕЕСТР РИСКОВ_2023'!O66,IF('INHERENT MAP'!$B$5=2022,#REF!,IF('INHERENT MAP'!$B$5=2023,#REF!,IF('INHERENT MAP'!$B$5=2024,#REF!,#REF!))))</f>
        <v>0</v>
      </c>
      <c r="L22">
        <f>IF('INHERENT MAP'!$B$5=2021,'РЕЕСТР РИСКОВ_2023'!P66,IF('INHERENT MAP'!$B$5=2022,#REF!,IF('INHERENT MAP'!$B$5=2023,#REF!,IF('INHERENT MAP'!$B$5=2024,#REF!,#REF!))))</f>
        <v>0</v>
      </c>
      <c r="M22" t="str">
        <f>IF('INHERENT MAP'!$B$5=2021,IF('РЕЕСТР РИСКОВ_2023'!Q66="",M21,'РЕЕСТР РИСКОВ_2023'!Q66),IF('INHERENT MAP'!$B$5=2022,IF(#REF!="",M21,#REF!),IF('INHERENT MAP'!$B$5=2023,IF(#REF!="",M21,#REF!),IF('INHERENT MAP'!$B$5=2024,IF(#REF!="",M21,#REF!),IF('РЕЕСТР РИСКОВ_2023'!Q66="",M21,'РЕЕСТР РИСКОВ_2023'!Q66)))))</f>
        <v>(A) Интермодальная конкуренция со стороны альтернативных видов транспорта (воздушный,автомобильный, водный транспорт)</v>
      </c>
      <c r="N22" t="str">
        <f>IF('INHERENT MAP'!$B$5=2021,IF('РЕЕСТР РИСКОВ_2023'!R66="",N21,'РЕЕСТР РИСКОВ_2023'!R66),IF('INHERENT MAP'!$B$5=2022,IF(#REF!="",N21,#REF!),IF('INHERENT MAP'!$B$5=2023,IF(#REF!="",N21,#REF!),IF('INHERENT MAP'!$B$5=2024,IF(#REF!="",N21,#REF!),IF('РЕЕСТР РИСКОВ_2023'!R66="",N21,'РЕЕСТР РИСКОВ_2023'!R66)))))</f>
        <v>1. Нехватка грузовых вагонов;                                           2. Неблагоприятные тарифные условия (в т.ч. сборы за дополнительные услуги);                                                       3. Длительные процедуры по оформлению перевозочных документов;                                                                          4. Несвоевременная доставка вагонов на станцию назначения;                                                                  5. Несвоевременная подача вагонов в связи с нехваткой маневровых локомотивов на отдаленных грузовых станциях.</v>
      </c>
      <c r="O22" t="str">
        <f>'РЕЕСТР РИСКОВ_2023'!T66</f>
        <v>стат.данные</v>
      </c>
      <c r="P22">
        <f>IF('РЕЕСТР РИСКОВ_2023'!U66="",P21,'РЕЕСТР РИСКОВ_2023'!U66)</f>
        <v>0</v>
      </c>
      <c r="Q22" t="str">
        <f>IF('РЕЕСТР РИСКОВ_2023'!V66="",Q21,'РЕЕСТР РИСКОВ_2023'!V66)</f>
        <v>Возможности</v>
      </c>
      <c r="R22" t="str">
        <f>IF('РЕЕСТР РИСКОВ_2023'!W66="",R21,'РЕЕСТР РИСКОВ_2023'!W66)</f>
        <v>Доля рынка грузовых перевозок 
2019-98,29%
2020-98,29%
2021-93,2%</v>
      </c>
      <c r="S22">
        <f>'РЕЕСТР РИСКОВ_2023'!X66</f>
        <v>0</v>
      </c>
      <c r="T22" s="94">
        <f>IF('INHERENT MAP'!$B$5=2021,'РЕЕСТР РИСКОВ_2023'!Y66,IF('INHERENT MAP'!$B$5=2022,#REF!,IF('INHERENT MAP'!$B$5=2023,#REF!,IF('INHERENT MAP'!$B$5=2024,#REF!,#REF!))))</f>
        <v>1</v>
      </c>
      <c r="U22">
        <f>IF('INHERENT MAP'!$B$5=2021,'РЕЕСТР РИСКОВ_2023'!Z66,IF('INHERENT MAP'!$B$5=2022,#REF!,IF('INHERENT MAP'!$B$5=2023,#REF!,IF('INHERENT MAP'!$B$5=2024,#REF!,#REF!))))</f>
        <v>3654</v>
      </c>
      <c r="V22">
        <f>IF('INHERENT MAP'!$B$5=2021,'РЕЕСТР РИСКОВ_2023'!AA66,IF('INHERENT MAP'!$B$5=2022,#REF!,IF('INHERENT MAP'!$B$5=2023,#REF!,IF('INHERENT MAP'!$B$5=2024,#REF!,#REF!))))</f>
        <v>3654</v>
      </c>
      <c r="W22" t="str">
        <f>IF('INHERENT MAP'!$B$5=2021,'РЕЕСТР РИСКОВ_2023'!AB66,IF('INHERENT MAP'!$B$5=2022,#REF!,IF('INHERENT MAP'!$B$5=2023,#REF!,IF('INHERENT MAP'!$B$5=2024,#REF!,#REF!))))</f>
        <v xml:space="preserve">(+2% от дохода в доле) х бюджет на 2023 г (перевозка грузов, багажа, грузобагажа в экспортном сообщении).              </v>
      </c>
      <c r="X22" s="94">
        <f>IF('INHERENT MAP'!$B$5=2021,'РЕЕСТР РИСКОВ_2023'!AC66,IF('INHERENT MAP'!$B$5=2022,#REF!,IF('INHERENT MAP'!$B$5=2023,#REF!,IF('INHERENT MAP'!$B$5=2024,#REF!,#REF!))))</f>
        <v>0</v>
      </c>
      <c r="Y22">
        <f>IF('INHERENT MAP'!$B$5=2021,'РЕЕСТР РИСКОВ_2023'!AD66,IF('INHERENT MAP'!$B$5=2022,#REF!,IF('INHERENT MAP'!$B$5=2023,#REF!,IF('INHERENT MAP'!$B$5=2024,#REF!,#REF!))))</f>
        <v>0</v>
      </c>
      <c r="Z22">
        <f>IF('INHERENT MAP'!$B$5=2021,'РЕЕСТР РИСКОВ_2023'!AE66,IF('INHERENT MAP'!$B$5=2022,#REF!,IF('INHERENT MAP'!$B$5=2023,#REF!,IF('INHERENT MAP'!$B$5=2024,#REF!,#REF!))))</f>
        <v>0</v>
      </c>
      <c r="AA22">
        <f>IF('INHERENT MAP'!$B$5=2021,'РЕЕСТР РИСКОВ_2023'!AF66,IF('INHERENT MAP'!$B$5=2022,#REF!,IF('INHERENT MAP'!$B$5=2023,#REF!,IF('INHERENT MAP'!$B$5=2024,#REF!,#REF!))))</f>
        <v>0</v>
      </c>
      <c r="AB22">
        <f>IF('INHERENT MAP'!$B$5=2021,'РЕЕСТР РИСКОВ_2023'!AG66,IF('INHERENT MAP'!$B$5=2022,#REF!,IF('INHERENT MAP'!$B$5=2023,#REF!,IF('INHERENT MAP'!$B$5=2024,#REF!,#REF!))))</f>
        <v>0</v>
      </c>
      <c r="AC22">
        <f>IF('INHERENT MAP'!$B$5=2021,'РЕЕСТР РИСКОВ_2023'!AH66,IF('INHERENT MAP'!$B$5=2022,#REF!,IF('INHERENT MAP'!$B$5=2023,#REF!,IF('INHERENT MAP'!$B$5=2024,#REF!,#REF!))))</f>
        <v>0</v>
      </c>
      <c r="AD22" t="str">
        <f>IF('INHERENT MAP'!$B$5=2021,'РЕЕСТР РИСКОВ_2023'!AI66,IF('INHERENT MAP'!$B$5=2022,#REF!,IF('INHERENT MAP'!$B$5=2023,#REF!,IF('INHERENT MAP'!$B$5=2024,#REF!,#REF!))))</f>
        <v>1. Увеличение доли контейнеризации грузов путем проведения разъяснительной работы с грузоотправителями, формирование и укорению продвижения контейнерных поездов, установления понижающих коэффициенты к предельному уровню тарифов на услуги магистральной железнодорожной сети и локомотивной тяги.                                                                                                                                                                              2. Координация взаимодействия с владельцами подъездных путей, транспортно логистических центров по улучшению 3PL (услуга ответственного хранения, перевозка, упаковка, перегрузка, маркировка и т.д.).
3. Своевременная подача вагонов под погрузку, выгрузку.
4. Привлечение новых грузоотправителей путем размещения в свободном доступе информации о преимуществах перевозки грузов железнодорожным транспортом, тарифов на перевозки грузов, порядка предоставления заявки, предоставления благоприятных тарифных условий (в т.ч. сборы за дополнительные услуги)</v>
      </c>
      <c r="AE22" t="str">
        <f>IF('INHERENT MAP'!$B$5=2021,'РЕЕСТР РИСКОВ_2023'!AK66,IF('INHERENT MAP'!$B$5=2022,#REF!,IF('INHERENT MAP'!$B$5=2023,#REF!,IF('INHERENT MAP'!$B$5=2024,#REF!,#REF!))))</f>
        <v>АО "КТЖ-Грузовые перевозки"</v>
      </c>
      <c r="AF22">
        <f>IF('INHERENT MAP'!$B$5=2021,'РЕЕСТР РИСКОВ_2023'!AL66,IF('INHERENT MAP'!$B$5=2022,#REF!,IF('INHERENT MAP'!$B$5=2023,#REF!,IF('INHERENT MAP'!$B$5=2024,#REF!,#REF!))))</f>
        <v>0</v>
      </c>
      <c r="AG22" t="str">
        <f>IF('INHERENT MAP'!$B$5=2021,'РЕЕСТР РИСКОВ_2023'!AM66,IF('INHERENT MAP'!$B$5=2022,#REF!,IF('INHERENT MAP'!$B$5=2023,#REF!,IF('INHERENT MAP'!$B$5=2024,#REF!,#REF!))))</f>
        <v>высокая</v>
      </c>
      <c r="AH22">
        <f>IF('INHERENT MAP'!$B$5=2021,'РЕЕСТР РИСКОВ_2023'!AN66,IF('INHERENT MAP'!$B$5=2022,#REF!,IF('INHERENT MAP'!$B$5=2023,#REF!,IF('INHERENT MAP'!$B$5=2024,#REF!,#REF!))))</f>
        <v>1</v>
      </c>
      <c r="AI22">
        <f>IF('INHERENT MAP'!$B$5=2021,'РЕЕСТР РИСКОВ_2023'!AO66,IF('INHERENT MAP'!$B$5=2022,#REF!,IF('INHERENT MAP'!$B$5=2023,#REF!,IF('INHERENT MAP'!$B$5=2024,#REF!,#REF!))))</f>
        <v>3654</v>
      </c>
      <c r="AJ22">
        <f>IF('INHERENT MAP'!$B$5=2021,'РЕЕСТР РИСКОВ_2023'!AP66,IF('INHERENT MAP'!$B$5=2022,#REF!,IF('INHERENT MAP'!$B$5=2023,#REF!,IF('INHERENT MAP'!$B$5=2024,#REF!,#REF!))))</f>
        <v>3654</v>
      </c>
      <c r="AK22">
        <f>IF('РЕЕСТР РИСКОВ_2023'!AQ66="",AK21,'РЕЕСТР РИСКОВ_2023'!AQ66)</f>
        <v>3654</v>
      </c>
      <c r="AL22">
        <f>IF('РЕЕСТР РИСКОВ_2023'!AR66="",AL21,'РЕЕСТР РИСКОВ_2023'!AR66)</f>
        <v>-0.21314455836707827</v>
      </c>
      <c r="AM22">
        <f>IF('РЕЕСТР РИСКОВ_2023'!AS66="",AM21,'РЕЕСТР РИСКОВ_2023'!AS66)</f>
        <v>-7194.9046248522718</v>
      </c>
      <c r="AN22">
        <f>IF('РЕЕСТР РИСКОВ_2023'!AT66="",AN21,'РЕЕСТР РИСКОВ_2023'!AT66)</f>
        <v>1533.5547687573865</v>
      </c>
      <c r="AO22">
        <f>IF('РЕЕСТР РИСКОВ_2023'!AU66="",AO21,'РЕЕСТР РИСКОВ_2023'!AU66)</f>
        <v>0</v>
      </c>
    </row>
    <row r="23" spans="2:41">
      <c r="B23" t="str">
        <f>IF('INHERENT MAP'!$B$5=2021,IF('РЕЕСТР РИСКОВ_2023'!F67="",B22,'РЕЕСТР РИСКОВ_2023'!F67),IF('INHERENT MAP'!$B$5=2022,IF(#REF!="",B22,#REF!),IF('INHERENT MAP'!$B$5=2023,IF(#REF!="",B22,#REF!),IF('INHERENT MAP'!$B$5=2024,IF(#REF!="",B22,#REF!),IF('РЕЕСТР РИСКОВ_2023'!F67="",B22,'РЕЕСТР РИСКОВ_2023'!F67)))))</f>
        <v>РИСК ГРУЗООБОРОТА</v>
      </c>
      <c r="C23" t="str">
        <f>IF('INHERENT MAP'!$B$5=2021,IF('РЕЕСТР РИСКОВ_2023'!G67="",C22,'РЕЕСТР РИСКОВ_2023'!G67),IF('INHERENT MAP'!$B$5=2022,IF(#REF!="",C22,#REF!),IF('INHERENT MAP'!$B$5=2023,IF(#REF!="",C22,#REF!),IF('INHERENT MAP'!$B$5=2024,IF(#REF!="",C22,#REF!),IF('РЕЕСТР РИСКОВ_2023'!G67="",C22,'РЕЕСТР РИСКОВ_2023'!G67)))))</f>
        <v>- ХХХ млн. тенге</v>
      </c>
      <c r="D23" t="str">
        <f>IF('INHERENT MAP'!$B$5=2021,IF('РЕЕСТР РИСКОВ_2023'!H67="",D22,'РЕЕСТР РИСКОВ_2023'!H67),IF('INHERENT MAP'!$B$5=2022,IF(#REF!="",D22,#REF!),IF('INHERENT MAP'!$B$5=2023,IF(#REF!="",D22,#REF!),IF('INHERENT MAP'!$B$5=2024,IF(#REF!="",D22,#REF!),IF('РЕЕСТР РИСКОВ_2023'!H67="",D22,'РЕЕСТР РИСКОВ_2023'!H67)))))</f>
        <v>CTR-3</v>
      </c>
      <c r="E23" t="str">
        <f>IF('INHERENT MAP'!$B$5=2021,IF('РЕЕСТР РИСКОВ_2023'!I67="",E22,'РЕЕСТР РИСКОВ_2023'!I67),IF('INHERENT MAP'!$B$5=2022,IF(#REF!="",E22,#REF!),IF('INHERENT MAP'!$B$5=2023,IF(#REF!="",E22,#REF!),IF('INHERENT MAP'!$B$5=2024,IF(#REF!="",E22,#REF!),IF('РЕЕСТР РИСКОВ_2023'!I67="",E22,'РЕЕСТР РИСКОВ_2023'!I67)))))</f>
        <v>ЦЗД</v>
      </c>
      <c r="F23" t="str">
        <f>IF('INHERENT MAP'!$B$5=2021,IF('РЕЕСТР РИСКОВ_2023'!J67="",F22,'РЕЕСТР РИСКОВ_2023'!J67),IF('INHERENT MAP'!$B$5=2022,IF(#REF!="",F22,#REF!),IF('INHERENT MAP'!$B$5=2023,IF(#REF!="",F22,#REF!),IF('INHERENT MAP'!$B$5=2024,IF(#REF!="",F22,#REF!),IF('РЕЕСТР РИСКОВ_2023'!J67="",F22,'РЕЕСТР РИСКОВ_2023'!J67)))))</f>
        <v>ТОО "КТЖ-Грузовые перевозки"</v>
      </c>
      <c r="G23" t="str">
        <f>IF('INHERENT MAP'!$B$5=2021,IF('РЕЕСТР РИСКОВ_2023'!K67="",G22,'РЕЕСТР РИСКОВ_2023'!K67),IF('INHERENT MAP'!$B$5=2022,IF(#REF!="",G22,#REF!),IF('INHERENT MAP'!$B$5=2023,IF(#REF!="",G22,#REF!),IF('INHERENT MAP'!$B$5=2024,IF(#REF!="",G22,#REF!),IF('РЕЕСТР РИСКОВ_2023'!K67="",G22,'РЕЕСТР РИСКОВ_2023'!K67)))))</f>
        <v>Объем грузооборота от экспорта</v>
      </c>
      <c r="H23">
        <f>IF('INHERENT MAP'!$B$5=2021,'РЕЕСТР РИСКОВ_2023'!L67,IF('INHERENT MAP'!$B$5=2022,#REF!,IF('INHERENT MAP'!$B$5=2023,#REF!,IF('INHERENT MAP'!$B$5=2024,#REF!,#REF!))))</f>
        <v>0</v>
      </c>
      <c r="I23">
        <f>IF('INHERENT MAP'!$B$5=2021,'РЕЕСТР РИСКОВ_2023'!M67,IF('INHERENT MAP'!$B$5=2022,#REF!,IF('INHERENT MAP'!$B$5=2023,#REF!,IF('INHERENT MAP'!$B$5=2024,#REF!,#REF!))))</f>
        <v>0</v>
      </c>
      <c r="J23">
        <f>IF('INHERENT MAP'!$B$5=2021,'РЕЕСТР РИСКОВ_2023'!N67,IF('INHERENT MAP'!$B$5=2022,#REF!,IF('INHERENT MAP'!$B$5=2023,#REF!,IF('INHERENT MAP'!$B$5=2024,#REF!,#REF!))))</f>
        <v>0</v>
      </c>
      <c r="K23">
        <f>IF('INHERENT MAP'!$B$5=2021,'РЕЕСТР РИСКОВ_2023'!O67,IF('INHERENT MAP'!$B$5=2022,#REF!,IF('INHERENT MAP'!$B$5=2023,#REF!,IF('INHERENT MAP'!$B$5=2024,#REF!,#REF!))))</f>
        <v>0</v>
      </c>
      <c r="L23">
        <f>IF('INHERENT MAP'!$B$5=2021,'РЕЕСТР РИСКОВ_2023'!P67,IF('INHERENT MAP'!$B$5=2022,#REF!,IF('INHERENT MAP'!$B$5=2023,#REF!,IF('INHERENT MAP'!$B$5=2024,#REF!,#REF!))))</f>
        <v>0</v>
      </c>
      <c r="M23" t="str">
        <f>IF('INHERENT MAP'!$B$5=2021,IF('РЕЕСТР РИСКОВ_2023'!Q67="",M22,'РЕЕСТР РИСКОВ_2023'!Q67),IF('INHERENT MAP'!$B$5=2022,IF(#REF!="",M22,#REF!),IF('INHERENT MAP'!$B$5=2023,IF(#REF!="",M22,#REF!),IF('INHERENT MAP'!$B$5=2024,IF(#REF!="",M22,#REF!),IF('РЕЕСТР РИСКОВ_2023'!Q67="",M22,'РЕЕСТР РИСКОВ_2023'!Q67)))))</f>
        <v>Нормативная скорость доставки груза, 220 км/сут (exp)</v>
      </c>
      <c r="N23" t="str">
        <f>IF('INHERENT MAP'!$B$5=2021,IF('РЕЕСТР РИСКОВ_2023'!R67="",N22,'РЕЕСТР РИСКОВ_2023'!R67),IF('INHERENT MAP'!$B$5=2022,IF(#REF!="",N22,#REF!),IF('INHERENT MAP'!$B$5=2023,IF(#REF!="",N22,#REF!),IF('INHERENT MAP'!$B$5=2024,IF(#REF!="",N22,#REF!),IF('РЕЕСТР РИСКОВ_2023'!R67="",N22,'РЕЕСТР РИСКОВ_2023'!R67)))))</f>
        <v>1. Короткие плечи обработки поездов;</v>
      </c>
      <c r="O23">
        <f>'РЕЕСТР РИСКОВ_2023'!T67</f>
        <v>0</v>
      </c>
      <c r="P23">
        <f>IF('РЕЕСТР РИСКОВ_2023'!U67="",P22,'РЕЕСТР РИСКОВ_2023'!U67)</f>
        <v>0</v>
      </c>
      <c r="Q23" t="str">
        <f>IF('РЕЕСТР РИСКОВ_2023'!V67="",Q22,'РЕЕСТР РИСКОВ_2023'!V67)</f>
        <v>Cлабые стороны</v>
      </c>
      <c r="R23" t="str">
        <f>IF('РЕЕСТР РИСКОВ_2023'!W67="",R22,'РЕЕСТР РИСКОВ_2023'!W67)</f>
        <v>Неисполнение нормативной скорости грузового поезда 48,86 км/час</v>
      </c>
      <c r="S23">
        <f>'РЕЕСТР РИСКОВ_2023'!X67</f>
        <v>0</v>
      </c>
      <c r="T23" s="94">
        <f>IF('INHERENT MAP'!$B$5=2021,'РЕЕСТР РИСКОВ_2023'!Y67,IF('INHERENT MAP'!$B$5=2022,#REF!,IF('INHERENT MAP'!$B$5=2023,#REF!,IF('INHERENT MAP'!$B$5=2024,#REF!,#REF!))))</f>
        <v>0</v>
      </c>
      <c r="U23">
        <f>IF('INHERENT MAP'!$B$5=2021,'РЕЕСТР РИСКОВ_2023'!Z67,IF('INHERENT MAP'!$B$5=2022,#REF!,IF('INHERENT MAP'!$B$5=2023,#REF!,IF('INHERENT MAP'!$B$5=2024,#REF!,#REF!))))</f>
        <v>0</v>
      </c>
      <c r="V23">
        <f>IF('INHERENT MAP'!$B$5=2021,'РЕЕСТР РИСКОВ_2023'!AA67,IF('INHERENT MAP'!$B$5=2022,#REF!,IF('INHERENT MAP'!$B$5=2023,#REF!,IF('INHERENT MAP'!$B$5=2024,#REF!,#REF!))))</f>
        <v>0</v>
      </c>
      <c r="W23" t="str">
        <f>IF('INHERENT MAP'!$B$5=2021,'РЕЕСТР РИСКОВ_2023'!AB67,IF('INHERENT MAP'!$B$5=2022,#REF!,IF('INHERENT MAP'!$B$5=2023,#REF!,IF('INHERENT MAP'!$B$5=2024,#REF!,#REF!))))</f>
        <v>0,6% (разница между плановой и фактической скоростью) х бюджет на 2023 г (перевозка грузов, багажа, грузобагажа в экспортном сообщении).</v>
      </c>
      <c r="X23" s="94">
        <f>IF('INHERENT MAP'!$B$5=2021,'РЕЕСТР РИСКОВ_2023'!AC67,IF('INHERENT MAP'!$B$5=2022,#REF!,IF('INHERENT MAP'!$B$5=2023,#REF!,IF('INHERENT MAP'!$B$5=2024,#REF!,#REF!))))</f>
        <v>0</v>
      </c>
      <c r="Y23">
        <f>IF('INHERENT MAP'!$B$5=2021,'РЕЕСТР РИСКОВ_2023'!AD67,IF('INHERENT MAP'!$B$5=2022,#REF!,IF('INHERENT MAP'!$B$5=2023,#REF!,IF('INHERENT MAP'!$B$5=2024,#REF!,#REF!))))</f>
        <v>0</v>
      </c>
      <c r="Z23">
        <f>IF('INHERENT MAP'!$B$5=2021,'РЕЕСТР РИСКОВ_2023'!AE67,IF('INHERENT MAP'!$B$5=2022,#REF!,IF('INHERENT MAP'!$B$5=2023,#REF!,IF('INHERENT MAP'!$B$5=2024,#REF!,#REF!))))</f>
        <v>0</v>
      </c>
      <c r="AA23">
        <f>IF('INHERENT MAP'!$B$5=2021,'РЕЕСТР РИСКОВ_2023'!AF67,IF('INHERENT MAP'!$B$5=2022,#REF!,IF('INHERENT MAP'!$B$5=2023,#REF!,IF('INHERENT MAP'!$B$5=2024,#REF!,#REF!))))</f>
        <v>0</v>
      </c>
      <c r="AB23">
        <f>IF('INHERENT MAP'!$B$5=2021,'РЕЕСТР РИСКОВ_2023'!AG67,IF('INHERENT MAP'!$B$5=2022,#REF!,IF('INHERENT MAP'!$B$5=2023,#REF!,IF('INHERENT MAP'!$B$5=2024,#REF!,#REF!))))</f>
        <v>0</v>
      </c>
      <c r="AC23">
        <f>IF('INHERENT MAP'!$B$5=2021,'РЕЕСТР РИСКОВ_2023'!AH67,IF('INHERENT MAP'!$B$5=2022,#REF!,IF('INHERENT MAP'!$B$5=2023,#REF!,IF('INHERENT MAP'!$B$5=2024,#REF!,#REF!))))</f>
        <v>0</v>
      </c>
      <c r="AD23" t="str">
        <f>IF('INHERENT MAP'!$B$5=2021,'РЕЕСТР РИСКОВ_2023'!AI67,IF('INHERENT MAP'!$B$5=2022,#REF!,IF('INHERENT MAP'!$B$5=2023,#REF!,IF('INHERENT MAP'!$B$5=2024,#REF!,#REF!))))</f>
        <v>1. Оптимальное направление вагонопотока с наименьшими экономическими затратами, исключающая нарушение сроков доставки;                                                                                                                                                                                              2.Увеличение участковой скорости грузовых поездов;                                                                                                                                                                        3. Своевременное рассмотрение претензий причастными структурными подразделениями.                                                                                                  4. Обновление/оздоровление тягового подвижного состава;                                                                                                                                                                           5. Уменьшение времени уборки/подачи вагонов с/на фронты погрузки;                                                                                                                                         6. Уменьшение времени переработки грузовых поездов на сортировочных станциях;                                                                                                                        7. Улучшение технического состояния магистральных и станционных путей;                                                                                                                                                                                              8.Увеличение плеч обслуживания локомотивов.                                                                                                                                              9. Уменьшение количества станций по обработке поездов</v>
      </c>
      <c r="AE23" t="str">
        <f>IF('INHERENT MAP'!$B$5=2021,'РЕЕСТР РИСКОВ_2023'!AK67,IF('INHERENT MAP'!$B$5=2022,#REF!,IF('INHERENT MAP'!$B$5=2023,#REF!,IF('INHERENT MAP'!$B$5=2024,#REF!,#REF!))))</f>
        <v>АО "КТЖ-Грузовые перевозки"</v>
      </c>
      <c r="AF23">
        <f>IF('INHERENT MAP'!$B$5=2021,'РЕЕСТР РИСКОВ_2023'!AL67,IF('INHERENT MAP'!$B$5=2022,#REF!,IF('INHERENT MAP'!$B$5=2023,#REF!,IF('INHERENT MAP'!$B$5=2024,#REF!,#REF!))))</f>
        <v>0</v>
      </c>
      <c r="AG23" t="str">
        <f>IF('INHERENT MAP'!$B$5=2021,'РЕЕСТР РИСКОВ_2023'!AM67,IF('INHERENT MAP'!$B$5=2022,#REF!,IF('INHERENT MAP'!$B$5=2023,#REF!,IF('INHERENT MAP'!$B$5=2024,#REF!,#REF!))))</f>
        <v>высокая</v>
      </c>
      <c r="AH23">
        <f>IF('INHERENT MAP'!$B$5=2021,'РЕЕСТР РИСКОВ_2023'!AN67,IF('INHERENT MAP'!$B$5=2022,#REF!,IF('INHERENT MAP'!$B$5=2023,#REF!,IF('INHERENT MAP'!$B$5=2024,#REF!,#REF!))))</f>
        <v>0</v>
      </c>
      <c r="AI23">
        <f>IF('INHERENT MAP'!$B$5=2021,'РЕЕСТР РИСКОВ_2023'!AO67,IF('INHERENT MAP'!$B$5=2022,#REF!,IF('INHERENT MAP'!$B$5=2023,#REF!,IF('INHERENT MAP'!$B$5=2024,#REF!,#REF!))))</f>
        <v>0</v>
      </c>
      <c r="AJ23">
        <f>IF('INHERENT MAP'!$B$5=2021,'РЕЕСТР РИСКОВ_2023'!AP67,IF('INHERENT MAP'!$B$5=2022,#REF!,IF('INHERENT MAP'!$B$5=2023,#REF!,IF('INHERENT MAP'!$B$5=2024,#REF!,#REF!))))</f>
        <v>0</v>
      </c>
      <c r="AK23">
        <f>IF('РЕЕСТР РИСКОВ_2023'!AQ67="",AK22,'РЕЕСТР РИСКОВ_2023'!AQ67)</f>
        <v>0</v>
      </c>
      <c r="AL23">
        <f>IF('РЕЕСТР РИСКОВ_2023'!AR67="",AL22,'РЕЕСТР РИСКОВ_2023'!AR67)</f>
        <v>-0.21314455836707827</v>
      </c>
      <c r="AM23">
        <f>IF('РЕЕСТР РИСКОВ_2023'!AS67="",AM22,'РЕЕСТР РИСКОВ_2023'!AS67)</f>
        <v>-7194.9046248522718</v>
      </c>
      <c r="AN23">
        <f>IF('РЕЕСТР РИСКОВ_2023'!AT67="",AN22,'РЕЕСТР РИСКОВ_2023'!AT67)</f>
        <v>1533.5547687573865</v>
      </c>
      <c r="AO23">
        <f>IF('РЕЕСТР РИСКОВ_2023'!AU67="",AO22,'РЕЕСТР РИСКОВ_2023'!AU67)</f>
        <v>0</v>
      </c>
    </row>
    <row r="24" spans="2:41">
      <c r="B24" t="str">
        <f>IF('INHERENT MAP'!$B$5=2021,IF('РЕЕСТР РИСКОВ_2023'!F71="",B23,'РЕЕСТР РИСКОВ_2023'!F71),IF('INHERENT MAP'!$B$5=2022,IF(#REF!="",B23,#REF!),IF('INHERENT MAP'!$B$5=2023,IF(#REF!="",B23,#REF!),IF('INHERENT MAP'!$B$5=2024,IF(#REF!="",B23,#REF!),IF('РЕЕСТР РИСКОВ_2023'!F71="",B23,'РЕЕСТР РИСКОВ_2023'!F71)))))</f>
        <v>РИСК ГРУЗООБОРОТА</v>
      </c>
      <c r="C24" t="str">
        <f>IF('INHERENT MAP'!$B$5=2021,IF('РЕЕСТР РИСКОВ_2023'!G71="",C23,'РЕЕСТР РИСКОВ_2023'!G71),IF('INHERENT MAP'!$B$5=2022,IF(#REF!="",C23,#REF!),IF('INHERENT MAP'!$B$5=2023,IF(#REF!="",C23,#REF!),IF('INHERENT MAP'!$B$5=2024,IF(#REF!="",C23,#REF!),IF('РЕЕСТР РИСКОВ_2023'!G71="",C23,'РЕЕСТР РИСКОВ_2023'!G71)))))</f>
        <v>- ХХХ млн. тенге</v>
      </c>
      <c r="D24" t="str">
        <f>IF('INHERENT MAP'!$B$5=2021,IF('РЕЕСТР РИСКОВ_2023'!H71="",D23,'РЕЕСТР РИСКОВ_2023'!H71),IF('INHERENT MAP'!$B$5=2022,IF(#REF!="",D23,#REF!),IF('INHERENT MAP'!$B$5=2023,IF(#REF!="",D23,#REF!),IF('INHERENT MAP'!$B$5=2024,IF(#REF!="",D23,#REF!),IF('РЕЕСТР РИСКОВ_2023'!H71="",D23,'РЕЕСТР РИСКОВ_2023'!H71)))))</f>
        <v>CTR-4</v>
      </c>
      <c r="E24" t="str">
        <f>IF('INHERENT MAP'!$B$5=2021,IF('РЕЕСТР РИСКОВ_2023'!I71="",E23,'РЕЕСТР РИСКОВ_2023'!I71),IF('INHERENT MAP'!$B$5=2022,IF(#REF!="",E23,#REF!),IF('INHERENT MAP'!$B$5=2023,IF(#REF!="",E23,#REF!),IF('INHERENT MAP'!$B$5=2024,IF(#REF!="",E23,#REF!),IF('РЕЕСТР РИСКОВ_2023'!I71="",E23,'РЕЕСТР РИСКОВ_2023'!I71)))))</f>
        <v>ЦЗД, ЦЗЛ</v>
      </c>
      <c r="F24" t="str">
        <f>IF('INHERENT MAP'!$B$5=2021,IF('РЕЕСТР РИСКОВ_2023'!J71="",F23,'РЕЕСТР РИСКОВ_2023'!J71),IF('INHERENT MAP'!$B$5=2022,IF(#REF!="",F23,#REF!),IF('INHERENT MAP'!$B$5=2023,IF(#REF!="",F23,#REF!),IF('INHERENT MAP'!$B$5=2024,IF(#REF!="",F23,#REF!),IF('РЕЕСТР РИСКОВ_2023'!J71="",F23,'РЕЕСТР РИСКОВ_2023'!J71)))))</f>
        <v>ТОО "КТЖ-Грузовые перевозки", АО "KTZ Express"</v>
      </c>
      <c r="G24" t="str">
        <f>IF('INHERENT MAP'!$B$5=2021,IF('РЕЕСТР РИСКОВ_2023'!K71="",G23,'РЕЕСТР РИСКОВ_2023'!K71),IF('INHERENT MAP'!$B$5=2022,IF(#REF!="",G23,#REF!),IF('INHERENT MAP'!$B$5=2023,IF(#REF!="",G23,#REF!),IF('INHERENT MAP'!$B$5=2024,IF(#REF!="",G23,#REF!),IF('РЕЕСТР РИСКОВ_2023'!K71="",G23,'РЕЕСТР РИСКОВ_2023'!K71)))))</f>
        <v>Объем транзитного грузооборота</v>
      </c>
      <c r="H24">
        <f>IF('INHERENT MAP'!$B$5=2021,'РЕЕСТР РИСКОВ_2023'!L71,IF('INHERENT MAP'!$B$5=2022,#REF!,IF('INHERENT MAP'!$B$5=2023,#REF!,IF('INHERENT MAP'!$B$5=2024,#REF!,#REF!))))</f>
        <v>478897</v>
      </c>
      <c r="I24">
        <f>IF('INHERENT MAP'!$B$5=2021,'РЕЕСТР РИСКОВ_2023'!M71,IF('INHERENT MAP'!$B$5=2022,#REF!,IF('INHERENT MAP'!$B$5=2023,#REF!,IF('INHERENT MAP'!$B$5=2024,#REF!,#REF!))))</f>
        <v>0</v>
      </c>
      <c r="J24">
        <f>IF('INHERENT MAP'!$B$5=2021,'РЕЕСТР РИСКОВ_2023'!N71,IF('INHERENT MAP'!$B$5=2022,#REF!,IF('INHERENT MAP'!$B$5=2023,#REF!,IF('INHERENT MAP'!$B$5=2024,#REF!,#REF!))))</f>
        <v>0</v>
      </c>
      <c r="K24">
        <f>IF('INHERENT MAP'!$B$5=2021,'РЕЕСТР РИСКОВ_2023'!O71,IF('INHERENT MAP'!$B$5=2022,#REF!,IF('INHERENT MAP'!$B$5=2023,#REF!,IF('INHERENT MAP'!$B$5=2024,#REF!,#REF!))))</f>
        <v>0</v>
      </c>
      <c r="L24">
        <f>IF('INHERENT MAP'!$B$5=2021,'РЕЕСТР РИСКОВ_2023'!P71,IF('INHERENT MAP'!$B$5=2022,#REF!,IF('INHERENT MAP'!$B$5=2023,#REF!,IF('INHERENT MAP'!$B$5=2024,#REF!,#REF!))))</f>
        <v>477804.40492756461</v>
      </c>
      <c r="M24" t="str">
        <f>IF('INHERENT MAP'!$B$5=2021,IF('РЕЕСТР РИСКОВ_2023'!Q71="",M23,'РЕЕСТР РИСКОВ_2023'!Q71),IF('INHERENT MAP'!$B$5=2022,IF(#REF!="",M23,#REF!),IF('INHERENT MAP'!$B$5=2023,IF(#REF!="",M23,#REF!),IF('INHERENT MAP'!$B$5=2024,IF(#REF!="",M23,#REF!),IF('РЕЕСТР РИСКОВ_2023'!Q71="",M23,'РЕЕСТР РИСКОВ_2023'!Q71)))))</f>
        <v>(A) Интермодальная конкуренция со стороны альтернативных видов транспорта (воздушный,автомобильный, водный транспорт) (tran)</v>
      </c>
      <c r="N24" t="str">
        <f>IF('INHERENT MAP'!$B$5=2021,IF('РЕЕСТР РИСКОВ_2023'!R71="",N23,'РЕЕСТР РИСКОВ_2023'!R71),IF('INHERENT MAP'!$B$5=2022,IF(#REF!="",N23,#REF!),IF('INHERENT MAP'!$B$5=2023,IF(#REF!="",N23,#REF!),IF('INHERENT MAP'!$B$5=2024,IF(#REF!="",N23,#REF!),IF('РЕЕСТР РИСКОВ_2023'!R71="",N23,'РЕЕСТР РИСКОВ_2023'!R71)))))</f>
        <v>1. Нехватка грузовых вагонов;                                           2. Неблагоприятные тарифные условия (в т.ч. сборы за дополнительные услуги);                                                       3. Длительные процедуры по оформлению перевозочных документов;                                                                          4. Несвоевременная доставка вагонов на станцию назначения;                                                                  5. Несвоевременная подача вагонов в связи с нехваткой маневровых локомотивов на отдаленных грузовых станциях.</v>
      </c>
      <c r="O24" t="str">
        <f>'РЕЕСТР РИСКОВ_2023'!T71</f>
        <v>стат.данные</v>
      </c>
      <c r="P24">
        <f>IF('РЕЕСТР РИСКОВ_2023'!U71="",P23,'РЕЕСТР РИСКОВ_2023'!U71)</f>
        <v>0</v>
      </c>
      <c r="Q24" t="str">
        <f>IF('РЕЕСТР РИСКОВ_2023'!V71="",Q23,'РЕЕСТР РИСКОВ_2023'!V71)</f>
        <v>Возможности</v>
      </c>
      <c r="R24" t="str">
        <f>IF('РЕЕСТР РИСКОВ_2023'!W71="",R23,'РЕЕСТР РИСКОВ_2023'!W71)</f>
        <v xml:space="preserve">Доля рынка грузовых перевозок 
2018-46,5%                      2019-48%
2020-51,5%
</v>
      </c>
      <c r="S24">
        <f>'РЕЕСТР РИСКОВ_2023'!X71</f>
        <v>0</v>
      </c>
      <c r="T24" s="94">
        <f>IF('INHERENT MAP'!$B$5=2021,'РЕЕСТР РИСКОВ_2023'!Y71,IF('INHERENT MAP'!$B$5=2022,#REF!,IF('INHERENT MAP'!$B$5=2023,#REF!,IF('INHERENT MAP'!$B$5=2024,#REF!,#REF!))))</f>
        <v>1</v>
      </c>
      <c r="U24">
        <f>IF('INHERENT MAP'!$B$5=2021,'РЕЕСТР РИСКОВ_2023'!Z71,IF('INHERENT MAP'!$B$5=2022,#REF!,IF('INHERENT MAP'!$B$5=2023,#REF!,IF('INHERENT MAP'!$B$5=2024,#REF!,#REF!))))</f>
        <v>7871.6402522800081</v>
      </c>
      <c r="V24">
        <f>IF('INHERENT MAP'!$B$5=2021,'РЕЕСТР РИСКОВ_2023'!AA71,IF('INHERENT MAP'!$B$5=2022,#REF!,IF('INHERENT MAP'!$B$5=2023,#REF!,IF('INHERENT MAP'!$B$5=2024,#REF!,#REF!))))</f>
        <v>7871.6402522800081</v>
      </c>
      <c r="W24" t="str">
        <f>IF('INHERENT MAP'!$B$5=2021,'РЕЕСТР РИСКОВ_2023'!AB71,IF('INHERENT MAP'!$B$5=2022,#REF!,IF('INHERENT MAP'!$B$5=2023,#REF!,IF('INHERENT MAP'!$B$5=2024,#REF!,#REF!))))</f>
        <v xml:space="preserve">(+2% от дохода в доле) х бюджет на 2023г (перевозка грузов, багажа, грузобагажа в транзитном сообщении).              </v>
      </c>
      <c r="X24" s="94">
        <f>IF('INHERENT MAP'!$B$5=2021,'РЕЕСТР РИСКОВ_2023'!AC71,IF('INHERENT MAP'!$B$5=2022,#REF!,IF('INHERENT MAP'!$B$5=2023,#REF!,IF('INHERENT MAP'!$B$5=2024,#REF!,#REF!))))</f>
        <v>9.6875000000000003E-2</v>
      </c>
      <c r="Y24">
        <f>IF('INHERENT MAP'!$B$5=2021,'РЕЕСТР РИСКОВ_2023'!AD71,IF('INHERENT MAP'!$B$5=2022,#REF!,IF('INHERENT MAP'!$B$5=2023,#REF!,IF('INHERENT MAP'!$B$5=2024,#REF!,#REF!))))</f>
        <v>-11278.400747719992</v>
      </c>
      <c r="Z24">
        <f>IF('INHERENT MAP'!$B$5=2021,'РЕЕСТР РИСКОВ_2023'!AE71,IF('INHERENT MAP'!$B$5=2022,#REF!,IF('INHERENT MAP'!$B$5=2023,#REF!,IF('INHERENT MAP'!$B$5=2024,#REF!,#REF!))))</f>
        <v>-1092.5950724353743</v>
      </c>
      <c r="AA24">
        <f>IF('INHERENT MAP'!$B$5=2021,'РЕЕСТР РИСКОВ_2023'!AF71,IF('INHERENT MAP'!$B$5=2022,#REF!,IF('INHERENT MAP'!$B$5=2023,#REF!,IF('INHERENT MAP'!$B$5=2024,#REF!,#REF!))))</f>
        <v>0</v>
      </c>
      <c r="AB24">
        <f>IF('INHERENT MAP'!$B$5=2021,'РЕЕСТР РИСКОВ_2023'!AG71,IF('INHERENT MAP'!$B$5=2022,#REF!,IF('INHERENT MAP'!$B$5=2023,#REF!,IF('INHERENT MAP'!$B$5=2024,#REF!,#REF!))))</f>
        <v>0</v>
      </c>
      <c r="AC24">
        <f>IF('INHERENT MAP'!$B$5=2021,'РЕЕСТР РИСКОВ_2023'!AH71,IF('INHERENT MAP'!$B$5=2022,#REF!,IF('INHERENT MAP'!$B$5=2023,#REF!,IF('INHERENT MAP'!$B$5=2024,#REF!,#REF!))))</f>
        <v>0</v>
      </c>
      <c r="AD24" t="str">
        <f>IF('INHERENT MAP'!$B$5=2021,'РЕЕСТР РИСКОВ_2023'!AI71,IF('INHERENT MAP'!$B$5=2022,#REF!,IF('INHERENT MAP'!$B$5=2023,#REF!,IF('INHERENT MAP'!$B$5=2024,#REF!,#REF!))))</f>
        <v>1. Увеличение доли контейнеризации грузов путем проведения разъяснительной работы с грузоотправителями, формирование и укорению продвижения контейнерных поездов, установления понижающих коэффициенты к предельному уровню тарифов на услуги магистральной железнодорожной сети и локомотивной тяги;
2. Координация взаимодействия с владельцами подъездных путей, транспортно логистических центров по улучшению 3PL (услуга ответственного хранения, перевозка, упаковка, перегрузка, маркировка и т.д.);
3. Привлечение новых грузоотправителей путем размещения в свободном доступе информации о преимуществах перевозки грузов железнодорожным транспортом, тарифов на перевозки грузов, порядка предоставления заявки, предоставления благоприятных тарифных условий (в т.ч. сборы за дополнительные услуги)</v>
      </c>
      <c r="AE24" t="str">
        <f>IF('INHERENT MAP'!$B$5=2021,'РЕЕСТР РИСКОВ_2023'!AK71,IF('INHERENT MAP'!$B$5=2022,#REF!,IF('INHERENT MAP'!$B$5=2023,#REF!,IF('INHERENT MAP'!$B$5=2024,#REF!,#REF!))))</f>
        <v>ГППМ, ГППВ, ГПЭ, ГПВР, ГПКП, ГПМ, ГППЭ, ГППТ, ГППГ, ГПВ, ГПД, ГПАИС,  НОДГП 
АО "KTZ Express"</v>
      </c>
      <c r="AF24">
        <f>IF('INHERENT MAP'!$B$5=2021,'РЕЕСТР РИСКОВ_2023'!AL71,IF('INHERENT MAP'!$B$5=2022,#REF!,IF('INHERENT MAP'!$B$5=2023,#REF!,IF('INHERENT MAP'!$B$5=2024,#REF!,#REF!))))</f>
        <v>2021</v>
      </c>
      <c r="AG24" t="str">
        <f>IF('INHERENT MAP'!$B$5=2021,'РЕЕСТР РИСКОВ_2023'!AM71,IF('INHERENT MAP'!$B$5=2022,#REF!,IF('INHERENT MAP'!$B$5=2023,#REF!,IF('INHERENT MAP'!$B$5=2024,#REF!,#REF!))))</f>
        <v>высокая</v>
      </c>
      <c r="AH24">
        <f>IF('INHERENT MAP'!$B$5=2021,'РЕЕСТР РИСКОВ_2023'!AN71,IF('INHERENT MAP'!$B$5=2022,#REF!,IF('INHERENT MAP'!$B$5=2023,#REF!,IF('INHERENT MAP'!$B$5=2024,#REF!,#REF!))))</f>
        <v>1</v>
      </c>
      <c r="AI24">
        <f>IF('INHERENT MAP'!$B$5=2021,'РЕЕСТР РИСКОВ_2023'!AO71,IF('INHERENT MAP'!$B$5=2022,#REF!,IF('INHERENT MAP'!$B$5=2023,#REF!,IF('INHERENT MAP'!$B$5=2024,#REF!,#REF!))))</f>
        <v>7871.6402522800081</v>
      </c>
      <c r="AJ24">
        <f>IF('INHERENT MAP'!$B$5=2021,'РЕЕСТР РИСКОВ_2023'!AP71,IF('INHERENT MAP'!$B$5=2022,#REF!,IF('INHERENT MAP'!$B$5=2023,#REF!,IF('INHERENT MAP'!$B$5=2024,#REF!,#REF!))))</f>
        <v>7871.6402522800081</v>
      </c>
      <c r="AK24">
        <f>IF('РЕЕСТР РИСКОВ_2023'!AQ71="",AK23,'РЕЕСТР РИСКОВ_2023'!AQ71)</f>
        <v>7871.6402522800081</v>
      </c>
      <c r="AL24">
        <f>IF('РЕЕСТР РИСКОВ_2023'!AR71="",AL23,'РЕЕСТР РИСКОВ_2023'!AR71)</f>
        <v>9.4140625000000006E-2</v>
      </c>
      <c r="AM24">
        <f>IF('РЕЕСТР РИСКОВ_2023'!AS71="",AM23,'РЕЕСТР РИСКОВ_2023'!AS71)</f>
        <v>-10151.927747719994</v>
      </c>
      <c r="AN24">
        <f>IF('РЕЕСТР РИСКОВ_2023'!AT71="",AN23,'РЕЕСТР РИСКОВ_2023'!AT71)</f>
        <v>6125.6071022800079</v>
      </c>
      <c r="AO24">
        <f>IF('РЕЕСТР РИСКОВ_2023'!AU71="",AO23,'РЕЕСТР РИСКОВ_2023'!AU71)</f>
        <v>0</v>
      </c>
    </row>
    <row r="25" spans="2:41">
      <c r="B25" t="str">
        <f>IF('INHERENT MAP'!$B$5=2021,IF('РЕЕСТР РИСКОВ_2023'!F72="",B24,'РЕЕСТР РИСКОВ_2023'!F72),IF('INHERENT MAP'!$B$5=2022,IF(#REF!="",B24,#REF!),IF('INHERENT MAP'!$B$5=2023,IF(#REF!="",B24,#REF!),IF('INHERENT MAP'!$B$5=2024,IF(#REF!="",B24,#REF!),IF('РЕЕСТР РИСКОВ_2023'!F72="",B24,'РЕЕСТР РИСКОВ_2023'!F72)))))</f>
        <v>РИСК ГРУЗООБОРОТА</v>
      </c>
      <c r="C25" t="str">
        <f>IF('INHERENT MAP'!$B$5=2021,IF('РЕЕСТР РИСКОВ_2023'!G72="",C24,'РЕЕСТР РИСКОВ_2023'!G72),IF('INHERENT MAP'!$B$5=2022,IF(#REF!="",C24,#REF!),IF('INHERENT MAP'!$B$5=2023,IF(#REF!="",C24,#REF!),IF('INHERENT MAP'!$B$5=2024,IF(#REF!="",C24,#REF!),IF('РЕЕСТР РИСКОВ_2023'!G72="",C24,'РЕЕСТР РИСКОВ_2023'!G72)))))</f>
        <v>- ХХХ млн. тенге</v>
      </c>
      <c r="D25" t="str">
        <f>IF('INHERENT MAP'!$B$5=2021,IF('РЕЕСТР РИСКОВ_2023'!H72="",D24,'РЕЕСТР РИСКОВ_2023'!H72),IF('INHERENT MAP'!$B$5=2022,IF(#REF!="",D24,#REF!),IF('INHERENT MAP'!$B$5=2023,IF(#REF!="",D24,#REF!),IF('INHERENT MAP'!$B$5=2024,IF(#REF!="",D24,#REF!),IF('РЕЕСТР РИСКОВ_2023'!H72="",D24,'РЕЕСТР РИСКОВ_2023'!H72)))))</f>
        <v>CTR-4</v>
      </c>
      <c r="E25" t="str">
        <f>IF('INHERENT MAP'!$B$5=2021,IF('РЕЕСТР РИСКОВ_2023'!I72="",E24,'РЕЕСТР РИСКОВ_2023'!I72),IF('INHERENT MAP'!$B$5=2022,IF(#REF!="",E24,#REF!),IF('INHERENT MAP'!$B$5=2023,IF(#REF!="",E24,#REF!),IF('INHERENT MAP'!$B$5=2024,IF(#REF!="",E24,#REF!),IF('РЕЕСТР РИСКОВ_2023'!I72="",E24,'РЕЕСТР РИСКОВ_2023'!I72)))))</f>
        <v>ЦЗД, ЦЗЛ</v>
      </c>
      <c r="F25" t="str">
        <f>IF('INHERENT MAP'!$B$5=2021,IF('РЕЕСТР РИСКОВ_2023'!J72="",F24,'РЕЕСТР РИСКОВ_2023'!J72),IF('INHERENT MAP'!$B$5=2022,IF(#REF!="",F24,#REF!),IF('INHERENT MAP'!$B$5=2023,IF(#REF!="",F24,#REF!),IF('INHERENT MAP'!$B$5=2024,IF(#REF!="",F24,#REF!),IF('РЕЕСТР РИСКОВ_2023'!J72="",F24,'РЕЕСТР РИСКОВ_2023'!J72)))))</f>
        <v>ТОО "КТЖ-Грузовые перевозки", АО "KTZ Express"</v>
      </c>
      <c r="G25" t="str">
        <f>IF('INHERENT MAP'!$B$5=2021,IF('РЕЕСТР РИСКОВ_2023'!K72="",G24,'РЕЕСТР РИСКОВ_2023'!K72),IF('INHERENT MAP'!$B$5=2022,IF(#REF!="",G24,#REF!),IF('INHERENT MAP'!$B$5=2023,IF(#REF!="",G24,#REF!),IF('INHERENT MAP'!$B$5=2024,IF(#REF!="",G24,#REF!),IF('РЕЕСТР РИСКОВ_2023'!K72="",G24,'РЕЕСТР РИСКОВ_2023'!K72)))))</f>
        <v>Объем транзитного грузооборота</v>
      </c>
      <c r="H25">
        <f>IF('INHERENT MAP'!$B$5=2021,'РЕЕСТР РИСКОВ_2023'!L72,IF('INHERENT MAP'!$B$5=2022,#REF!,IF('INHERENT MAP'!$B$5=2023,#REF!,IF('INHERENT MAP'!$B$5=2024,#REF!,#REF!))))</f>
        <v>0</v>
      </c>
      <c r="I25">
        <f>IF('INHERENT MAP'!$B$5=2021,'РЕЕСТР РИСКОВ_2023'!M72,IF('INHERENT MAP'!$B$5=2022,#REF!,IF('INHERENT MAP'!$B$5=2023,#REF!,IF('INHERENT MAP'!$B$5=2024,#REF!,#REF!))))</f>
        <v>0</v>
      </c>
      <c r="J25">
        <f>IF('INHERENT MAP'!$B$5=2021,'РЕЕСТР РИСКОВ_2023'!N72,IF('INHERENT MAP'!$B$5=2022,#REF!,IF('INHERENT MAP'!$B$5=2023,#REF!,IF('INHERENT MAP'!$B$5=2024,#REF!,#REF!))))</f>
        <v>0</v>
      </c>
      <c r="K25">
        <f>IF('INHERENT MAP'!$B$5=2021,'РЕЕСТР РИСКОВ_2023'!O72,IF('INHERENT MAP'!$B$5=2022,#REF!,IF('INHERENT MAP'!$B$5=2023,#REF!,IF('INHERENT MAP'!$B$5=2024,#REF!,#REF!))))</f>
        <v>0</v>
      </c>
      <c r="L25">
        <f>IF('INHERENT MAP'!$B$5=2021,'РЕЕСТР РИСКОВ_2023'!P72,IF('INHERENT MAP'!$B$5=2022,#REF!,IF('INHERENT MAP'!$B$5=2023,#REF!,IF('INHERENT MAP'!$B$5=2024,#REF!,#REF!))))</f>
        <v>0</v>
      </c>
      <c r="M25" t="str">
        <f>IF('INHERENT MAP'!$B$5=2021,IF('РЕЕСТР РИСКОВ_2023'!Q72="",M24,'РЕЕСТР РИСКОВ_2023'!Q72),IF('INHERENT MAP'!$B$5=2022,IF(#REF!="",M24,#REF!),IF('INHERENT MAP'!$B$5=2023,IF(#REF!="",M24,#REF!),IF('INHERENT MAP'!$B$5=2024,IF(#REF!="",M24,#REF!),IF('РЕЕСТР РИСКОВ_2023'!Q72="",M24,'РЕЕСТР РИСКОВ_2023'!Q72)))))</f>
        <v>(Q) Риск конкуренции из-за ухудшения качества предоставляемых услуг</v>
      </c>
      <c r="N25" t="str">
        <f>IF('INHERENT MAP'!$B$5=2021,IF('РЕЕСТР РИСКОВ_2023'!R72="",N24,'РЕЕСТР РИСКОВ_2023'!R72),IF('INHERENT MAP'!$B$5=2022,IF(#REF!="",N24,#REF!),IF('INHERENT MAP'!$B$5=2023,IF(#REF!="",N24,#REF!),IF('INHERENT MAP'!$B$5=2024,IF(#REF!="",N24,#REF!),IF('РЕЕСТР РИСКОВ_2023'!R72="",N24,'РЕЕСТР РИСКОВ_2023'!R72)))))</f>
        <v>Риск несвоевременной подачи/уборки вагонов, риск длительного рассмотрения претензий/жалоб.</v>
      </c>
      <c r="O25" t="str">
        <f>'РЕЕСТР РИСКОВ_2023'!T72</f>
        <v>данные маркетиноговой службы по результатам анкетирования, КПД ГП</v>
      </c>
      <c r="P25">
        <f>IF('РЕЕСТР РИСКОВ_2023'!U72="",P24,'РЕЕСТР РИСКОВ_2023'!U72)</f>
        <v>0</v>
      </c>
      <c r="Q25" t="str">
        <f>IF('РЕЕСТР РИСКОВ_2023'!V72="",Q24,'РЕЕСТР РИСКОВ_2023'!V72)</f>
        <v>Cлабые стороны</v>
      </c>
      <c r="R25" t="str">
        <f>IF('РЕЕСТР РИСКОВ_2023'!W72="",R24,'РЕЕСТР РИСКОВ_2023'!W72)</f>
        <v>Обзор удовлетворенности клиентов 
2018-  46,8%
2019- 64,8%
2020 - 65%
2021-66%</v>
      </c>
      <c r="S25">
        <f>'РЕЕСТР РИСКОВ_2023'!X72</f>
        <v>0</v>
      </c>
      <c r="T25" s="94">
        <f>IF('INHERENT MAP'!$B$5=2021,'РЕЕСТР РИСКОВ_2023'!Y72,IF('INHERENT MAP'!$B$5=2022,#REF!,IF('INHERENT MAP'!$B$5=2023,#REF!,IF('INHERENT MAP'!$B$5=2024,#REF!,#REF!))))</f>
        <v>1</v>
      </c>
      <c r="U25">
        <f>IF('INHERENT MAP'!$B$5=2021,'РЕЕСТР РИСКОВ_2023'!Z72,IF('INHERENT MAP'!$B$5=2022,#REF!,IF('INHERENT MAP'!$B$5=2023,#REF!,IF('INHERENT MAP'!$B$5=2024,#REF!,#REF!))))</f>
        <v>0</v>
      </c>
      <c r="V25">
        <f>IF('INHERENT MAP'!$B$5=2021,'РЕЕСТР РИСКОВ_2023'!AA72,IF('INHERENT MAP'!$B$5=2022,#REF!,IF('INHERENT MAP'!$B$5=2023,#REF!,IF('INHERENT MAP'!$B$5=2024,#REF!,#REF!))))</f>
        <v>0</v>
      </c>
      <c r="W25" t="str">
        <f>IF('INHERENT MAP'!$B$5=2021,'РЕЕСТР РИСКОВ_2023'!AB72,IF('INHERENT MAP'!$B$5=2022,#REF!,IF('INHERENT MAP'!$B$5=2023,#REF!,IF('INHERENT MAP'!$B$5=2024,#REF!,#REF!))))</f>
        <v>Влияние на доход не возможно учесть, в связи с несовершненством клиентской базы</v>
      </c>
      <c r="X25" s="94">
        <f>IF('INHERENT MAP'!$B$5=2021,'РЕЕСТР РИСКОВ_2023'!AC72,IF('INHERENT MAP'!$B$5=2022,#REF!,IF('INHERENT MAP'!$B$5=2023,#REF!,IF('INHERENT MAP'!$B$5=2024,#REF!,#REF!))))</f>
        <v>0</v>
      </c>
      <c r="Y25">
        <f>IF('INHERENT MAP'!$B$5=2021,'РЕЕСТР РИСКОВ_2023'!AD72,IF('INHERENT MAP'!$B$5=2022,#REF!,IF('INHERENT MAP'!$B$5=2023,#REF!,IF('INHERENT MAP'!$B$5=2024,#REF!,#REF!))))</f>
        <v>0</v>
      </c>
      <c r="Z25">
        <f>IF('INHERENT MAP'!$B$5=2021,'РЕЕСТР РИСКОВ_2023'!AE72,IF('INHERENT MAP'!$B$5=2022,#REF!,IF('INHERENT MAP'!$B$5=2023,#REF!,IF('INHERENT MAP'!$B$5=2024,#REF!,#REF!))))</f>
        <v>0</v>
      </c>
      <c r="AA25">
        <f>IF('INHERENT MAP'!$B$5=2021,'РЕЕСТР РИСКОВ_2023'!AF72,IF('INHERENT MAP'!$B$5=2022,#REF!,IF('INHERENT MAP'!$B$5=2023,#REF!,IF('INHERENT MAP'!$B$5=2024,#REF!,#REF!))))</f>
        <v>0</v>
      </c>
      <c r="AB25">
        <f>IF('INHERENT MAP'!$B$5=2021,'РЕЕСТР РИСКОВ_2023'!AG72,IF('INHERENT MAP'!$B$5=2022,#REF!,IF('INHERENT MAP'!$B$5=2023,#REF!,IF('INHERENT MAP'!$B$5=2024,#REF!,#REF!))))</f>
        <v>0</v>
      </c>
      <c r="AC25">
        <f>IF('INHERENT MAP'!$B$5=2021,'РЕЕСТР РИСКОВ_2023'!AH72,IF('INHERENT MAP'!$B$5=2022,#REF!,IF('INHERENT MAP'!$B$5=2023,#REF!,IF('INHERENT MAP'!$B$5=2024,#REF!,#REF!))))</f>
        <v>0</v>
      </c>
      <c r="AD25" t="str">
        <f>IF('INHERENT MAP'!$B$5=2021,'РЕЕСТР РИСКОВ_2023'!AI72,IF('INHERENT MAP'!$B$5=2022,#REF!,IF('INHERENT MAP'!$B$5=2023,#REF!,IF('INHERENT MAP'!$B$5=2024,#REF!,#REF!))))</f>
        <v xml:space="preserve">1.  Проведение опроса грузоотправителей для выявления проблемных вопросов по взаимодействию с участниками процесса перевозки грузов;                                                                                                                                                                                                                                                                           2. Разработка и мониторинг плана мероприятий по результатам анкетирования клиентов по улучшению качества обслуживания клиентов. Информирование клиентов о реализации предложений, указанных в анкете.                                                                                                                                                                                                        
3. Улучшение программы АСУ ДКР (переход на безбумажное оформление перевозочных документов, реализация мобильного приложения АСУ ДКР);                                                                                                                                 
4. Сокращение простоя поездов, вагонов на станционных путях;
5. Создание роликов в социальных сетях и на сайте АО "КТЖ-Грузовые перевозки" с пошаговой инструкцией для клиентов;                                                                                                                                                                              6. Отмена повторного запроса учредительных документов у клиентов путем формирования базы по клиентам.                                                                                                     </v>
      </c>
      <c r="AE25" t="str">
        <f>IF('INHERENT MAP'!$B$5=2021,'РЕЕСТР РИСКОВ_2023'!AK72,IF('INHERENT MAP'!$B$5=2022,#REF!,IF('INHERENT MAP'!$B$5=2023,#REF!,IF('INHERENT MAP'!$B$5=2024,#REF!,#REF!))))</f>
        <v>ГППМ, ГППВ, ГПЭ, ГПВР, ГПКП, ГПМ, ГППЭ, ГППТ, ГППГ, ГПВ, ГПД, ГПАИС,  НОДГП 
АО "KTZ Express"</v>
      </c>
      <c r="AF25">
        <f>IF('INHERENT MAP'!$B$5=2021,'РЕЕСТР РИСКОВ_2023'!AL72,IF('INHERENT MAP'!$B$5=2022,#REF!,IF('INHERENT MAP'!$B$5=2023,#REF!,IF('INHERENT MAP'!$B$5=2024,#REF!,#REF!))))</f>
        <v>0</v>
      </c>
      <c r="AG25" t="str">
        <f>IF('INHERENT MAP'!$B$5=2021,'РЕЕСТР РИСКОВ_2023'!AM72,IF('INHERENT MAP'!$B$5=2022,#REF!,IF('INHERENT MAP'!$B$5=2023,#REF!,IF('INHERENT MAP'!$B$5=2024,#REF!,#REF!))))</f>
        <v>средняя</v>
      </c>
      <c r="AH25">
        <f>IF('INHERENT MAP'!$B$5=2021,'РЕЕСТР РИСКОВ_2023'!AN72,IF('INHERENT MAP'!$B$5=2022,#REF!,IF('INHERENT MAP'!$B$5=2023,#REF!,IF('INHERENT MAP'!$B$5=2024,#REF!,#REF!))))</f>
        <v>0.5</v>
      </c>
      <c r="AI25">
        <f>IF('INHERENT MAP'!$B$5=2021,'РЕЕСТР РИСКОВ_2023'!AO72,IF('INHERENT MAP'!$B$5=2022,#REF!,IF('INHERENT MAP'!$B$5=2023,#REF!,IF('INHERENT MAP'!$B$5=2024,#REF!,#REF!))))</f>
        <v>0</v>
      </c>
      <c r="AJ25">
        <f>IF('INHERENT MAP'!$B$5=2021,'РЕЕСТР РИСКОВ_2023'!AP72,IF('INHERENT MAP'!$B$5=2022,#REF!,IF('INHERENT MAP'!$B$5=2023,#REF!,IF('INHERENT MAP'!$B$5=2024,#REF!,#REF!))))</f>
        <v>0</v>
      </c>
      <c r="AK25">
        <f>IF('РЕЕСТР РИСКОВ_2023'!AQ72="",AK24,'РЕЕСТР РИСКОВ_2023'!AQ72)</f>
        <v>0</v>
      </c>
      <c r="AL25">
        <f>IF('РЕЕСТР РИСКОВ_2023'!AR72="",AL24,'РЕЕСТР РИСКОВ_2023'!AR72)</f>
        <v>9.4140625000000006E-2</v>
      </c>
      <c r="AM25">
        <f>IF('РЕЕСТР РИСКОВ_2023'!AS72="",AM24,'РЕЕСТР РИСКОВ_2023'!AS72)</f>
        <v>-10151.927747719994</v>
      </c>
      <c r="AN25">
        <f>IF('РЕЕСТР РИСКОВ_2023'!AT72="",AN24,'РЕЕСТР РИСКОВ_2023'!AT72)</f>
        <v>6125.6071022800079</v>
      </c>
      <c r="AO25">
        <f>IF('РЕЕСТР РИСКОВ_2023'!AU72="",AO24,'РЕЕСТР РИСКОВ_2023'!AU72)</f>
        <v>0</v>
      </c>
    </row>
    <row r="26" spans="2:41">
      <c r="B26" t="str">
        <f>IF('INHERENT MAP'!$B$5=2021,IF('РЕЕСТР РИСКОВ_2023'!F73="",B25,'РЕЕСТР РИСКОВ_2023'!F73),IF('INHERENT MAP'!$B$5=2022,IF(#REF!="",B25,#REF!),IF('INHERENT MAP'!$B$5=2023,IF(#REF!="",B25,#REF!),IF('INHERENT MAP'!$B$5=2024,IF(#REF!="",B25,#REF!),IF('РЕЕСТР РИСКОВ_2023'!F73="",B25,'РЕЕСТР РИСКОВ_2023'!F73)))))</f>
        <v>РИСК ГРУЗООБОРОТА</v>
      </c>
      <c r="C26" t="str">
        <f>IF('INHERENT MAP'!$B$5=2021,IF('РЕЕСТР РИСКОВ_2023'!G73="",C25,'РЕЕСТР РИСКОВ_2023'!G73),IF('INHERENT MAP'!$B$5=2022,IF(#REF!="",C25,#REF!),IF('INHERENT MAP'!$B$5=2023,IF(#REF!="",C25,#REF!),IF('INHERENT MAP'!$B$5=2024,IF(#REF!="",C25,#REF!),IF('РЕЕСТР РИСКОВ_2023'!G73="",C25,'РЕЕСТР РИСКОВ_2023'!G73)))))</f>
        <v>- ХХХ млн. тенге</v>
      </c>
      <c r="D26" t="str">
        <f>IF('INHERENT MAP'!$B$5=2021,IF('РЕЕСТР РИСКОВ_2023'!H73="",D25,'РЕЕСТР РИСКОВ_2023'!H73),IF('INHERENT MAP'!$B$5=2022,IF(#REF!="",D25,#REF!),IF('INHERENT MAP'!$B$5=2023,IF(#REF!="",D25,#REF!),IF('INHERENT MAP'!$B$5=2024,IF(#REF!="",D25,#REF!),IF('РЕЕСТР РИСКОВ_2023'!H73="",D25,'РЕЕСТР РИСКОВ_2023'!H73)))))</f>
        <v>CTR-4</v>
      </c>
      <c r="E26" t="str">
        <f>IF('INHERENT MAP'!$B$5=2021,IF('РЕЕСТР РИСКОВ_2023'!I73="",E25,'РЕЕСТР РИСКОВ_2023'!I73),IF('INHERENT MAP'!$B$5=2022,IF(#REF!="",E25,#REF!),IF('INHERENT MAP'!$B$5=2023,IF(#REF!="",E25,#REF!),IF('INHERENT MAP'!$B$5=2024,IF(#REF!="",E25,#REF!),IF('РЕЕСТР РИСКОВ_2023'!I73="",E25,'РЕЕСТР РИСКОВ_2023'!I73)))))</f>
        <v>ЦЗД, ЦЗЛ</v>
      </c>
      <c r="F26" t="str">
        <f>IF('INHERENT MAP'!$B$5=2021,IF('РЕЕСТР РИСКОВ_2023'!J73="",F25,'РЕЕСТР РИСКОВ_2023'!J73),IF('INHERENT MAP'!$B$5=2022,IF(#REF!="",F25,#REF!),IF('INHERENT MAP'!$B$5=2023,IF(#REF!="",F25,#REF!),IF('INHERENT MAP'!$B$5=2024,IF(#REF!="",F25,#REF!),IF('РЕЕСТР РИСКОВ_2023'!J73="",F25,'РЕЕСТР РИСКОВ_2023'!J73)))))</f>
        <v>ТОО "КТЖ-Грузовые перевозки", АО "KTZ Express"</v>
      </c>
      <c r="G26" t="str">
        <f>IF('INHERENT MAP'!$B$5=2021,IF('РЕЕСТР РИСКОВ_2023'!K73="",G25,'РЕЕСТР РИСКОВ_2023'!K73),IF('INHERENT MAP'!$B$5=2022,IF(#REF!="",G25,#REF!),IF('INHERENT MAP'!$B$5=2023,IF(#REF!="",G25,#REF!),IF('INHERENT MAP'!$B$5=2024,IF(#REF!="",G25,#REF!),IF('РЕЕСТР РИСКОВ_2023'!K73="",G25,'РЕЕСТР РИСКОВ_2023'!K73)))))</f>
        <v>Объем транзитного грузооборота</v>
      </c>
      <c r="H26">
        <f>IF('INHERENT MAP'!$B$5=2021,'РЕЕСТР РИСКОВ_2023'!L73,IF('INHERENT MAP'!$B$5=2022,#REF!,IF('INHERENT MAP'!$B$5=2023,#REF!,IF('INHERENT MAP'!$B$5=2024,#REF!,#REF!))))</f>
        <v>0</v>
      </c>
      <c r="I26">
        <f>IF('INHERENT MAP'!$B$5=2021,'РЕЕСТР РИСКОВ_2023'!M73,IF('INHERENT MAP'!$B$5=2022,#REF!,IF('INHERENT MAP'!$B$5=2023,#REF!,IF('INHERENT MAP'!$B$5=2024,#REF!,#REF!))))</f>
        <v>0</v>
      </c>
      <c r="J26">
        <f>IF('INHERENT MAP'!$B$5=2021,'РЕЕСТР РИСКОВ_2023'!N73,IF('INHERENT MAP'!$B$5=2022,#REF!,IF('INHERENT MAP'!$B$5=2023,#REF!,IF('INHERENT MAP'!$B$5=2024,#REF!,#REF!))))</f>
        <v>0</v>
      </c>
      <c r="K26">
        <f>IF('INHERENT MAP'!$B$5=2021,'РЕЕСТР РИСКОВ_2023'!O73,IF('INHERENT MAP'!$B$5=2022,#REF!,IF('INHERENT MAP'!$B$5=2023,#REF!,IF('INHERENT MAP'!$B$5=2024,#REF!,#REF!))))</f>
        <v>0</v>
      </c>
      <c r="L26">
        <f>IF('INHERENT MAP'!$B$5=2021,'РЕЕСТР РИСКОВ_2023'!P73,IF('INHERENT MAP'!$B$5=2022,#REF!,IF('INHERENT MAP'!$B$5=2023,#REF!,IF('INHERENT MAP'!$B$5=2024,#REF!,#REF!))))</f>
        <v>0</v>
      </c>
      <c r="M26" t="str">
        <f>IF('INHERENT MAP'!$B$5=2021,IF('РЕЕСТР РИСКОВ_2023'!Q73="",M25,'РЕЕСТР РИСКОВ_2023'!Q73),IF('INHERENT MAP'!$B$5=2022,IF(#REF!="",M25,#REF!),IF('INHERENT MAP'!$B$5=2023,IF(#REF!="",M25,#REF!),IF('INHERENT MAP'!$B$5=2024,IF(#REF!="",M25,#REF!),IF('РЕЕСТР РИСКОВ_2023'!Q73="",M25,'РЕЕСТР РИСКОВ_2023'!Q73)))))</f>
        <v>Риск конкуренции со стороны частного сектора вследствие отказа государства от определения КТЖ национальным оператором транзитных перевозок</v>
      </c>
      <c r="N26" t="str">
        <f>IF('INHERENT MAP'!$B$5=2021,IF('РЕЕСТР РИСКОВ_2023'!R73="",N25,'РЕЕСТР РИСКОВ_2023'!R73),IF('INHERENT MAP'!$B$5=2022,IF(#REF!="",N25,#REF!),IF('INHERENT MAP'!$B$5=2023,IF(#REF!="",N25,#REF!),IF('INHERENT MAP'!$B$5=2024,IF(#REF!="",N25,#REF!),IF('РЕЕСТР РИСКОВ_2023'!R73="",N25,'РЕЕСТР РИСКОВ_2023'!R73)))))</f>
        <v>Риск несвоевременной подачи/уборки вагонов, риск длительного рассмотрения претензий/жалоб.</v>
      </c>
      <c r="O26">
        <f>'РЕЕСТР РИСКОВ_2023'!T73</f>
        <v>0</v>
      </c>
      <c r="P26">
        <f>IF('РЕЕСТР РИСКОВ_2023'!U73="",P25,'РЕЕСТР РИСКОВ_2023'!U73)</f>
        <v>0</v>
      </c>
      <c r="Q26" t="str">
        <f>IF('РЕЕСТР РИСКОВ_2023'!V73="",Q25,'РЕЕСТР РИСКОВ_2023'!V73)</f>
        <v>Угроз</v>
      </c>
      <c r="R26" t="str">
        <f>IF('РЕЕСТР РИСКОВ_2023'!W73="",R25,'РЕЕСТР РИСКОВ_2023'!W73)</f>
        <v>Обзор удовлетворенности клиентов 
2018-  46,8%
2019- 64,8%
2020 - 65%
2021-66%</v>
      </c>
      <c r="S26">
        <f>'РЕЕСТР РИСКОВ_2023'!X73</f>
        <v>0</v>
      </c>
      <c r="T26" s="94">
        <f>IF('INHERENT MAP'!$B$5=2021,'РЕЕСТР РИСКОВ_2023'!Y73,IF('INHERENT MAP'!$B$5=2022,#REF!,IF('INHERENT MAP'!$B$5=2023,#REF!,IF('INHERENT MAP'!$B$5=2024,#REF!,#REF!))))</f>
        <v>0.3</v>
      </c>
      <c r="U26">
        <f>IF('INHERENT MAP'!$B$5=2021,'РЕЕСТР РИСКОВ_2023'!Z73,IF('INHERENT MAP'!$B$5=2022,#REF!,IF('INHERENT MAP'!$B$5=2023,#REF!,IF('INHERENT MAP'!$B$5=2024,#REF!,#REF!))))</f>
        <v>0</v>
      </c>
      <c r="V26">
        <f>IF('INHERENT MAP'!$B$5=2021,'РЕЕСТР РИСКОВ_2023'!AA73,IF('INHERENT MAP'!$B$5=2022,#REF!,IF('INHERENT MAP'!$B$5=2023,#REF!,IF('INHERENT MAP'!$B$5=2024,#REF!,#REF!))))</f>
        <v>0</v>
      </c>
      <c r="W26">
        <f>IF('INHERENT MAP'!$B$5=2021,'РЕЕСТР РИСКОВ_2023'!AB73,IF('INHERENT MAP'!$B$5=2022,#REF!,IF('INHERENT MAP'!$B$5=2023,#REF!,IF('INHERENT MAP'!$B$5=2024,#REF!,#REF!))))</f>
        <v>0</v>
      </c>
      <c r="X26" s="94">
        <f>IF('INHERENT MAP'!$B$5=2021,'РЕЕСТР РИСКОВ_2023'!AC73,IF('INHERENT MAP'!$B$5=2022,#REF!,IF('INHERENT MAP'!$B$5=2023,#REF!,IF('INHERENT MAP'!$B$5=2024,#REF!,#REF!))))</f>
        <v>0</v>
      </c>
      <c r="Y26">
        <f>IF('INHERENT MAP'!$B$5=2021,'РЕЕСТР РИСКОВ_2023'!AD73,IF('INHERENT MAP'!$B$5=2022,#REF!,IF('INHERENT MAP'!$B$5=2023,#REF!,IF('INHERENT MAP'!$B$5=2024,#REF!,#REF!))))</f>
        <v>0</v>
      </c>
      <c r="Z26">
        <f>IF('INHERENT MAP'!$B$5=2021,'РЕЕСТР РИСКОВ_2023'!AE73,IF('INHERENT MAP'!$B$5=2022,#REF!,IF('INHERENT MAP'!$B$5=2023,#REF!,IF('INHERENT MAP'!$B$5=2024,#REF!,#REF!))))</f>
        <v>0</v>
      </c>
      <c r="AA26">
        <f>IF('INHERENT MAP'!$B$5=2021,'РЕЕСТР РИСКОВ_2023'!AF73,IF('INHERENT MAP'!$B$5=2022,#REF!,IF('INHERENT MAP'!$B$5=2023,#REF!,IF('INHERENT MAP'!$B$5=2024,#REF!,#REF!))))</f>
        <v>0</v>
      </c>
      <c r="AB26">
        <f>IF('INHERENT MAP'!$B$5=2021,'РЕЕСТР РИСКОВ_2023'!AG73,IF('INHERENT MAP'!$B$5=2022,#REF!,IF('INHERENT MAP'!$B$5=2023,#REF!,IF('INHERENT MAP'!$B$5=2024,#REF!,#REF!))))</f>
        <v>0</v>
      </c>
      <c r="AC26">
        <f>IF('INHERENT MAP'!$B$5=2021,'РЕЕСТР РИСКОВ_2023'!AH73,IF('INHERENT MAP'!$B$5=2022,#REF!,IF('INHERENT MAP'!$B$5=2023,#REF!,IF('INHERENT MAP'!$B$5=2024,#REF!,#REF!))))</f>
        <v>0</v>
      </c>
      <c r="AD26">
        <f>IF('INHERENT MAP'!$B$5=2021,'РЕЕСТР РИСКОВ_2023'!AI73,IF('INHERENT MAP'!$B$5=2022,#REF!,IF('INHERENT MAP'!$B$5=2023,#REF!,IF('INHERENT MAP'!$B$5=2024,#REF!,#REF!))))</f>
        <v>0</v>
      </c>
      <c r="AE26">
        <f>IF('INHERENT MAP'!$B$5=2021,'РЕЕСТР РИСКОВ_2023'!AK73,IF('INHERENT MAP'!$B$5=2022,#REF!,IF('INHERENT MAP'!$B$5=2023,#REF!,IF('INHERENT MAP'!$B$5=2024,#REF!,#REF!))))</f>
        <v>0</v>
      </c>
      <c r="AF26">
        <f>IF('INHERENT MAP'!$B$5=2021,'РЕЕСТР РИСКОВ_2023'!AL73,IF('INHERENT MAP'!$B$5=2022,#REF!,IF('INHERENT MAP'!$B$5=2023,#REF!,IF('INHERENT MAP'!$B$5=2024,#REF!,#REF!))))</f>
        <v>0</v>
      </c>
      <c r="AG26" t="str">
        <f>IF('INHERENT MAP'!$B$5=2021,'РЕЕСТР РИСКОВ_2023'!AM73,IF('INHERENT MAP'!$B$5=2022,#REF!,IF('INHERENT MAP'!$B$5=2023,#REF!,IF('INHERENT MAP'!$B$5=2024,#REF!,#REF!))))</f>
        <v>средняя</v>
      </c>
      <c r="AH26">
        <f>IF('INHERENT MAP'!$B$5=2021,'РЕЕСТР РИСКОВ_2023'!AN73,IF('INHERENT MAP'!$B$5=2022,#REF!,IF('INHERENT MAP'!$B$5=2023,#REF!,IF('INHERENT MAP'!$B$5=2024,#REF!,#REF!))))</f>
        <v>0.15</v>
      </c>
      <c r="AI26">
        <f>IF('INHERENT MAP'!$B$5=2021,'РЕЕСТР РИСКОВ_2023'!AO73,IF('INHERENT MAP'!$B$5=2022,#REF!,IF('INHERENT MAP'!$B$5=2023,#REF!,IF('INHERENT MAP'!$B$5=2024,#REF!,#REF!))))</f>
        <v>0</v>
      </c>
      <c r="AJ26">
        <f>IF('INHERENT MAP'!$B$5=2021,'РЕЕСТР РИСКОВ_2023'!AP73,IF('INHERENT MAP'!$B$5=2022,#REF!,IF('INHERENT MAP'!$B$5=2023,#REF!,IF('INHERENT MAP'!$B$5=2024,#REF!,#REF!))))</f>
        <v>0</v>
      </c>
      <c r="AK26">
        <f>IF('РЕЕСТР РИСКОВ_2023'!AQ73="",AK25,'РЕЕСТР РИСКОВ_2023'!AQ73)</f>
        <v>0</v>
      </c>
      <c r="AL26">
        <f>IF('РЕЕСТР РИСКОВ_2023'!AR73="",AL25,'РЕЕСТР РИСКОВ_2023'!AR73)</f>
        <v>9.4140625000000006E-2</v>
      </c>
      <c r="AM26">
        <f>IF('РЕЕСТР РИСКОВ_2023'!AS73="",AM25,'РЕЕСТР РИСКОВ_2023'!AS73)</f>
        <v>-10151.927747719994</v>
      </c>
      <c r="AN26">
        <f>IF('РЕЕСТР РИСКОВ_2023'!AT73="",AN25,'РЕЕСТР РИСКОВ_2023'!AT73)</f>
        <v>6125.6071022800079</v>
      </c>
      <c r="AO26">
        <f>IF('РЕЕСТР РИСКОВ_2023'!AU73="",AO25,'РЕЕСТР РИСКОВ_2023'!AU73)</f>
        <v>0</v>
      </c>
    </row>
    <row r="27" spans="2:41">
      <c r="B27" t="str">
        <f>IF('INHERENT MAP'!$B$5=2021,IF('РЕЕСТР РИСКОВ_2023'!F74="",B26,'РЕЕСТР РИСКОВ_2023'!F74),IF('INHERENT MAP'!$B$5=2022,IF(#REF!="",B26,#REF!),IF('INHERENT MAP'!$B$5=2023,IF(#REF!="",B26,#REF!),IF('INHERENT MAP'!$B$5=2024,IF(#REF!="",B26,#REF!),IF('РЕЕСТР РИСКОВ_2023'!F74="",B26,'РЕЕСТР РИСКОВ_2023'!F74)))))</f>
        <v>РИСК ГРУЗООБОРОТА</v>
      </c>
      <c r="C27" t="str">
        <f>IF('INHERENT MAP'!$B$5=2021,IF('РЕЕСТР РИСКОВ_2023'!G74="",C26,'РЕЕСТР РИСКОВ_2023'!G74),IF('INHERENT MAP'!$B$5=2022,IF(#REF!="",C26,#REF!),IF('INHERENT MAP'!$B$5=2023,IF(#REF!="",C26,#REF!),IF('INHERENT MAP'!$B$5=2024,IF(#REF!="",C26,#REF!),IF('РЕЕСТР РИСКОВ_2023'!G74="",C26,'РЕЕСТР РИСКОВ_2023'!G74)))))</f>
        <v>- ХХХ млн. тенге</v>
      </c>
      <c r="D27" t="str">
        <f>IF('INHERENT MAP'!$B$5=2021,IF('РЕЕСТР РИСКОВ_2023'!H74="",D26,'РЕЕСТР РИСКОВ_2023'!H74),IF('INHERENT MAP'!$B$5=2022,IF(#REF!="",D26,#REF!),IF('INHERENT MAP'!$B$5=2023,IF(#REF!="",D26,#REF!),IF('INHERENT MAP'!$B$5=2024,IF(#REF!="",D26,#REF!),IF('РЕЕСТР РИСКОВ_2023'!H74="",D26,'РЕЕСТР РИСКОВ_2023'!H74)))))</f>
        <v>CTR-4</v>
      </c>
      <c r="E27" t="str">
        <f>IF('INHERENT MAP'!$B$5=2021,IF('РЕЕСТР РИСКОВ_2023'!I74="",E26,'РЕЕСТР РИСКОВ_2023'!I74),IF('INHERENT MAP'!$B$5=2022,IF(#REF!="",E26,#REF!),IF('INHERENT MAP'!$B$5=2023,IF(#REF!="",E26,#REF!),IF('INHERENT MAP'!$B$5=2024,IF(#REF!="",E26,#REF!),IF('РЕЕСТР РИСКОВ_2023'!I74="",E26,'РЕЕСТР РИСКОВ_2023'!I74)))))</f>
        <v>ЦЗД, ЦЗЛ</v>
      </c>
      <c r="F27" t="str">
        <f>IF('INHERENT MAP'!$B$5=2021,IF('РЕЕСТР РИСКОВ_2023'!J74="",F26,'РЕЕСТР РИСКОВ_2023'!J74),IF('INHERENT MAP'!$B$5=2022,IF(#REF!="",F26,#REF!),IF('INHERENT MAP'!$B$5=2023,IF(#REF!="",F26,#REF!),IF('INHERENT MAP'!$B$5=2024,IF(#REF!="",F26,#REF!),IF('РЕЕСТР РИСКОВ_2023'!J74="",F26,'РЕЕСТР РИСКОВ_2023'!J74)))))</f>
        <v>ТОО "КТЖ-Грузовые перевозки", АО "KTZ Express"</v>
      </c>
      <c r="G27" t="str">
        <f>IF('INHERENT MAP'!$B$5=2021,IF('РЕЕСТР РИСКОВ_2023'!K74="",G26,'РЕЕСТР РИСКОВ_2023'!K74),IF('INHERENT MAP'!$B$5=2022,IF(#REF!="",G26,#REF!),IF('INHERENT MAP'!$B$5=2023,IF(#REF!="",G26,#REF!),IF('INHERENT MAP'!$B$5=2024,IF(#REF!="",G26,#REF!),IF('РЕЕСТР РИСКОВ_2023'!K74="",G26,'РЕЕСТР РИСКОВ_2023'!K74)))))</f>
        <v>Объем транзитного грузооборота</v>
      </c>
      <c r="H27">
        <f>IF('INHERENT MAP'!$B$5=2021,'РЕЕСТР РИСКОВ_2023'!L74,IF('INHERENT MAP'!$B$5=2022,#REF!,IF('INHERENT MAP'!$B$5=2023,#REF!,IF('INHERENT MAP'!$B$5=2024,#REF!,#REF!))))</f>
        <v>0</v>
      </c>
      <c r="I27">
        <f>IF('INHERENT MAP'!$B$5=2021,'РЕЕСТР РИСКОВ_2023'!M74,IF('INHERENT MAP'!$B$5=2022,#REF!,IF('INHERENT MAP'!$B$5=2023,#REF!,IF('INHERENT MAP'!$B$5=2024,#REF!,#REF!))))</f>
        <v>0</v>
      </c>
      <c r="J27">
        <f>IF('INHERENT MAP'!$B$5=2021,'РЕЕСТР РИСКОВ_2023'!N74,IF('INHERENT MAP'!$B$5=2022,#REF!,IF('INHERENT MAP'!$B$5=2023,#REF!,IF('INHERENT MAP'!$B$5=2024,#REF!,#REF!))))</f>
        <v>0</v>
      </c>
      <c r="K27">
        <f>IF('INHERENT MAP'!$B$5=2021,'РЕЕСТР РИСКОВ_2023'!O74,IF('INHERENT MAP'!$B$5=2022,#REF!,IF('INHERENT MAP'!$B$5=2023,#REF!,IF('INHERENT MAP'!$B$5=2024,#REF!,#REF!))))</f>
        <v>0</v>
      </c>
      <c r="L27">
        <f>IF('INHERENT MAP'!$B$5=2021,'РЕЕСТР РИСКОВ_2023'!P74,IF('INHERENT MAP'!$B$5=2022,#REF!,IF('INHERENT MAP'!$B$5=2023,#REF!,IF('INHERENT MAP'!$B$5=2024,#REF!,#REF!))))</f>
        <v>0</v>
      </c>
      <c r="M27" t="str">
        <f>IF('INHERENT MAP'!$B$5=2021,IF('РЕЕСТР РИСКОВ_2023'!Q74="",M26,'РЕЕСТР РИСКОВ_2023'!Q74),IF('INHERENT MAP'!$B$5=2022,IF(#REF!="",M26,#REF!),IF('INHERENT MAP'!$B$5=2023,IF(#REF!="",M26,#REF!),IF('INHERENT MAP'!$B$5=2024,IF(#REF!="",M26,#REF!),IF('РЕЕСТР РИСКОВ_2023'!Q74="",M26,'РЕЕСТР РИСКОВ_2023'!Q74)))))</f>
        <v>Нормативная скорость доставки груза, 220 км/сут (tran)</v>
      </c>
      <c r="N27" t="str">
        <f>IF('INHERENT MAP'!$B$5=2021,IF('РЕЕСТР РИСКОВ_2023'!R74="",N26,'РЕЕСТР РИСКОВ_2023'!R74),IF('INHERENT MAP'!$B$5=2022,IF(#REF!="",N26,#REF!),IF('INHERENT MAP'!$B$5=2023,IF(#REF!="",N26,#REF!),IF('INHERENT MAP'!$B$5=2024,IF(#REF!="",N26,#REF!),IF('РЕЕСТР РИСКОВ_2023'!R74="",N26,'РЕЕСТР РИСКОВ_2023'!R74)))))</f>
        <v>1. Снижение времени обработки поезда на станциях.
2. Время проведения "окон".
3. Техническое состояние пути.</v>
      </c>
      <c r="O27" t="str">
        <f>'РЕЕСТР РИСКОВ_2023'!T74</f>
        <v>Согласно справки выполнения  показателей использования грузовых поездов</v>
      </c>
      <c r="P27">
        <f>IF('РЕЕСТР РИСКОВ_2023'!U74="",P26,'РЕЕСТР РИСКОВ_2023'!U74)</f>
        <v>0</v>
      </c>
      <c r="Q27" t="str">
        <f>IF('РЕЕСТР РИСКОВ_2023'!V74="",Q26,'РЕЕСТР РИСКОВ_2023'!V74)</f>
        <v>Слабые стороны</v>
      </c>
      <c r="R27" t="str">
        <f>IF('РЕЕСТР РИСКОВ_2023'!W74="",R26,'РЕЕСТР РИСКОВ_2023'!W74)</f>
        <v>Неисполнение нормативной скорости грузового поезда
2019-48,86 км/час
2020- 48,59 км/час
2021- 49,03 км/час</v>
      </c>
      <c r="S27">
        <f>'РЕЕСТР РИСКОВ_2023'!X74</f>
        <v>0</v>
      </c>
      <c r="T27" s="94">
        <f>IF('INHERENT MAP'!$B$5=2021,'РЕЕСТР РИСКОВ_2023'!Y74,IF('INHERENT MAP'!$B$5=2022,#REF!,IF('INHERENT MAP'!$B$5=2023,#REF!,IF('INHERENT MAP'!$B$5=2024,#REF!,#REF!))))</f>
        <v>0.05</v>
      </c>
      <c r="U27">
        <f>IF('INHERENT MAP'!$B$5=2021,'РЕЕСТР РИСКОВ_2023'!Z74,IF('INHERENT MAP'!$B$5=2022,#REF!,IF('INHERENT MAP'!$B$5=2023,#REF!,IF('INHERENT MAP'!$B$5=2024,#REF!,#REF!))))</f>
        <v>-2252.9459999999999</v>
      </c>
      <c r="V27">
        <f>IF('INHERENT MAP'!$B$5=2021,'РЕЕСТР РИСКОВ_2023'!AA74,IF('INHERENT MAP'!$B$5=2022,#REF!,IF('INHERENT MAP'!$B$5=2023,#REF!,IF('INHERENT MAP'!$B$5=2024,#REF!,#REF!))))</f>
        <v>-112.6473</v>
      </c>
      <c r="W27" t="str">
        <f>IF('INHERENT MAP'!$B$5=2021,'РЕЕСТР РИСКОВ_2023'!AB74,IF('INHERENT MAP'!$B$5=2022,#REF!,IF('INHERENT MAP'!$B$5=2023,#REF!,IF('INHERENT MAP'!$B$5=2024,#REF!,#REF!))))</f>
        <v>0,6% (разница между плановой и фактической скоростью) х бюджет на 2023 г (перевозка грузов, багажа, грузобагажа в транзитном сообщении).</v>
      </c>
      <c r="X27" s="94">
        <f>IF('INHERENT MAP'!$B$5=2021,'РЕЕСТР РИСКОВ_2023'!AC74,IF('INHERENT MAP'!$B$5=2022,#REF!,IF('INHERENT MAP'!$B$5=2023,#REF!,IF('INHERENT MAP'!$B$5=2024,#REF!,#REF!))))</f>
        <v>0</v>
      </c>
      <c r="Y27">
        <f>IF('INHERENT MAP'!$B$5=2021,'РЕЕСТР РИСКОВ_2023'!AD74,IF('INHERENT MAP'!$B$5=2022,#REF!,IF('INHERENT MAP'!$B$5=2023,#REF!,IF('INHERENT MAP'!$B$5=2024,#REF!,#REF!))))</f>
        <v>0</v>
      </c>
      <c r="Z27">
        <f>IF('INHERENT MAP'!$B$5=2021,'РЕЕСТР РИСКОВ_2023'!AE74,IF('INHERENT MAP'!$B$5=2022,#REF!,IF('INHERENT MAP'!$B$5=2023,#REF!,IF('INHERENT MAP'!$B$5=2024,#REF!,#REF!))))</f>
        <v>0</v>
      </c>
      <c r="AA27">
        <f>IF('INHERENT MAP'!$B$5=2021,'РЕЕСТР РИСКОВ_2023'!AF74,IF('INHERENT MAP'!$B$5=2022,#REF!,IF('INHERENT MAP'!$B$5=2023,#REF!,IF('INHERENT MAP'!$B$5=2024,#REF!,#REF!))))</f>
        <v>0</v>
      </c>
      <c r="AB27">
        <f>IF('INHERENT MAP'!$B$5=2021,'РЕЕСТР РИСКОВ_2023'!AG74,IF('INHERENT MAP'!$B$5=2022,#REF!,IF('INHERENT MAP'!$B$5=2023,#REF!,IF('INHERENT MAP'!$B$5=2024,#REF!,#REF!))))</f>
        <v>0</v>
      </c>
      <c r="AC27">
        <f>IF('INHERENT MAP'!$B$5=2021,'РЕЕСТР РИСКОВ_2023'!AH74,IF('INHERENT MAP'!$B$5=2022,#REF!,IF('INHERENT MAP'!$B$5=2023,#REF!,IF('INHERENT MAP'!$B$5=2024,#REF!,#REF!))))</f>
        <v>0</v>
      </c>
      <c r="AD27" t="str">
        <f>IF('INHERENT MAP'!$B$5=2021,'РЕЕСТР РИСКОВ_2023'!AI74,IF('INHERENT MAP'!$B$5=2022,#REF!,IF('INHERENT MAP'!$B$5=2023,#REF!,IF('INHERENT MAP'!$B$5=2024,#REF!,#REF!))))</f>
        <v>1. Оптимальное направление вагонопотока с наименьшими экономическими затратами, исключающая нарушение сроков доставки;                                                                                                                                                                                                                                    2.Увеличение участковой скорости грузовых поездов;                                                                                                                                                                        3. Своевременное рассмотрение претензий причастными структурными подразделениями.                                                                                                  4. Обновление/оздоровление тягового подвижного состава;                                                                                                                                                                           5. Уменьшение времени уборки/подачи вагонов с/на фронты погрузки;                                                                                                                                         6. Уменьшение времени переработки грузовых поездов на сортировочных станциях;                                                                                                                        7. Улучшение технического состояния магистральных и станционных путей;                                                                                                                                                                                              8.Увеличение плеч обслуживания локомотивов.                                                                                                                                                         9. Уменьшение количества станций по обработке поездов</v>
      </c>
      <c r="AE27" t="str">
        <f>IF('INHERENT MAP'!$B$5=2021,'РЕЕСТР РИСКОВ_2023'!AK74,IF('INHERENT MAP'!$B$5=2022,#REF!,IF('INHERENT MAP'!$B$5=2023,#REF!,IF('INHERENT MAP'!$B$5=2024,#REF!,#REF!))))</f>
        <v>ГППГ, ГППВ, ГПМ, ГПВР, ГПБД, ГПТ, ГПВ, Гпрасчет, ГПД, НОДГП, ЦЖС</v>
      </c>
      <c r="AF27">
        <f>IF('INHERENT MAP'!$B$5=2021,'РЕЕСТР РИСКОВ_2023'!AL74,IF('INHERENT MAP'!$B$5=2022,#REF!,IF('INHERENT MAP'!$B$5=2023,#REF!,IF('INHERENT MAP'!$B$5=2024,#REF!,#REF!))))</f>
        <v>0</v>
      </c>
      <c r="AG27" t="str">
        <f>IF('INHERENT MAP'!$B$5=2021,'РЕЕСТР РИСКОВ_2023'!AM74,IF('INHERENT MAP'!$B$5=2022,#REF!,IF('INHERENT MAP'!$B$5=2023,#REF!,IF('INHERENT MAP'!$B$5=2024,#REF!,#REF!))))</f>
        <v>средняя</v>
      </c>
      <c r="AH27">
        <f>IF('INHERENT MAP'!$B$5=2021,'РЕЕСТР РИСКОВ_2023'!AN74,IF('INHERENT MAP'!$B$5=2022,#REF!,IF('INHERENT MAP'!$B$5=2023,#REF!,IF('INHERENT MAP'!$B$5=2024,#REF!,#REF!))))</f>
        <v>2.5000000000000001E-2</v>
      </c>
      <c r="AI27">
        <f>IF('INHERENT MAP'!$B$5=2021,'РЕЕСТР РИСКОВ_2023'!AO74,IF('INHERENT MAP'!$B$5=2022,#REF!,IF('INHERENT MAP'!$B$5=2023,#REF!,IF('INHERENT MAP'!$B$5=2024,#REF!,#REF!))))</f>
        <v>-1126.473</v>
      </c>
      <c r="AJ27">
        <f>IF('INHERENT MAP'!$B$5=2021,'РЕЕСТР РИСКОВ_2023'!AP74,IF('INHERENT MAP'!$B$5=2022,#REF!,IF('INHERENT MAP'!$B$5=2023,#REF!,IF('INHERENT MAP'!$B$5=2024,#REF!,#REF!))))</f>
        <v>-28.161825</v>
      </c>
      <c r="AK27">
        <f>IF('РЕЕСТР РИСКОВ_2023'!AQ74="",AK26,'РЕЕСТР РИСКОВ_2023'!AQ74)</f>
        <v>-56.323650000000001</v>
      </c>
      <c r="AL27">
        <f>IF('РЕЕСТР РИСКОВ_2023'!AR74="",AL26,'РЕЕСТР РИСКОВ_2023'!AR74)</f>
        <v>9.4140625000000006E-2</v>
      </c>
      <c r="AM27">
        <f>IF('РЕЕСТР РИСКОВ_2023'!AS74="",AM26,'РЕЕСТР РИСКОВ_2023'!AS74)</f>
        <v>-10151.927747719994</v>
      </c>
      <c r="AN27">
        <f>IF('РЕЕСТР РИСКОВ_2023'!AT74="",AN26,'РЕЕСТР РИСКОВ_2023'!AT74)</f>
        <v>6125.6071022800079</v>
      </c>
      <c r="AO27">
        <f>IF('РЕЕСТР РИСКОВ_2023'!AU74="",AO26,'РЕЕСТР РИСКОВ_2023'!AU74)</f>
        <v>0</v>
      </c>
    </row>
    <row r="28" spans="2:41">
      <c r="B28" t="str">
        <f>IF('INHERENT MAP'!$B$5=2021,IF('РЕЕСТР РИСКОВ_2023'!F75="",B27,'РЕЕСТР РИСКОВ_2023'!F75),IF('INHERENT MAP'!$B$5=2022,IF(#REF!="",B27,#REF!),IF('INHERENT MAP'!$B$5=2023,IF(#REF!="",B27,#REF!),IF('INHERENT MAP'!$B$5=2024,IF(#REF!="",B27,#REF!),IF('РЕЕСТР РИСКОВ_2023'!F75="",B27,'РЕЕСТР РИСКОВ_2023'!F75)))))</f>
        <v>РИСК ГРУЗООБОРОТА</v>
      </c>
      <c r="C28" t="str">
        <f>IF('INHERENT MAP'!$B$5=2021,IF('РЕЕСТР РИСКОВ_2023'!G75="",C27,'РЕЕСТР РИСКОВ_2023'!G75),IF('INHERENT MAP'!$B$5=2022,IF(#REF!="",C27,#REF!),IF('INHERENT MAP'!$B$5=2023,IF(#REF!="",C27,#REF!),IF('INHERENT MAP'!$B$5=2024,IF(#REF!="",C27,#REF!),IF('РЕЕСТР РИСКОВ_2023'!G75="",C27,'РЕЕСТР РИСКОВ_2023'!G75)))))</f>
        <v>- ХХХ млн. тенге</v>
      </c>
      <c r="D28" t="str">
        <f>IF('INHERENT MAP'!$B$5=2021,IF('РЕЕСТР РИСКОВ_2023'!H75="",D27,'РЕЕСТР РИСКОВ_2023'!H75),IF('INHERENT MAP'!$B$5=2022,IF(#REF!="",D27,#REF!),IF('INHERENT MAP'!$B$5=2023,IF(#REF!="",D27,#REF!),IF('INHERENT MAP'!$B$5=2024,IF(#REF!="",D27,#REF!),IF('РЕЕСТР РИСКОВ_2023'!H75="",D27,'РЕЕСТР РИСКОВ_2023'!H75)))))</f>
        <v>CTR-4</v>
      </c>
      <c r="E28" t="str">
        <f>IF('INHERENT MAP'!$B$5=2021,IF('РЕЕСТР РИСКОВ_2023'!I75="",E27,'РЕЕСТР РИСКОВ_2023'!I75),IF('INHERENT MAP'!$B$5=2022,IF(#REF!="",E27,#REF!),IF('INHERENT MAP'!$B$5=2023,IF(#REF!="",E27,#REF!),IF('INHERENT MAP'!$B$5=2024,IF(#REF!="",E27,#REF!),IF('РЕЕСТР РИСКОВ_2023'!I75="",E27,'РЕЕСТР РИСКОВ_2023'!I75)))))</f>
        <v>ЦЗД, ЦЗЛ</v>
      </c>
      <c r="F28" t="str">
        <f>IF('INHERENT MAP'!$B$5=2021,IF('РЕЕСТР РИСКОВ_2023'!J75="",F27,'РЕЕСТР РИСКОВ_2023'!J75),IF('INHERENT MAP'!$B$5=2022,IF(#REF!="",F27,#REF!),IF('INHERENT MAP'!$B$5=2023,IF(#REF!="",F27,#REF!),IF('INHERENT MAP'!$B$5=2024,IF(#REF!="",F27,#REF!),IF('РЕЕСТР РИСКОВ_2023'!J75="",F27,'РЕЕСТР РИСКОВ_2023'!J75)))))</f>
        <v>ТОО "КТЖ-Грузовые перевозки", АО "KTZ Express"</v>
      </c>
      <c r="G28" t="str">
        <f>IF('INHERENT MAP'!$B$5=2021,IF('РЕЕСТР РИСКОВ_2023'!K75="",G27,'РЕЕСТР РИСКОВ_2023'!K75),IF('INHERENT MAP'!$B$5=2022,IF(#REF!="",G27,#REF!),IF('INHERENT MAP'!$B$5=2023,IF(#REF!="",G27,#REF!),IF('INHERENT MAP'!$B$5=2024,IF(#REF!="",G27,#REF!),IF('РЕЕСТР РИСКОВ_2023'!K75="",G27,'РЕЕСТР РИСКОВ_2023'!K75)))))</f>
        <v>Объем транзитного грузооборота</v>
      </c>
      <c r="H28">
        <f>IF('INHERENT MAP'!$B$5=2021,'РЕЕСТР РИСКОВ_2023'!L75,IF('INHERENT MAP'!$B$5=2022,#REF!,IF('INHERENT MAP'!$B$5=2023,#REF!,IF('INHERENT MAP'!$B$5=2024,#REF!,#REF!))))</f>
        <v>0</v>
      </c>
      <c r="I28">
        <f>IF('INHERENT MAP'!$B$5=2021,'РЕЕСТР РИСКОВ_2023'!M75,IF('INHERENT MAP'!$B$5=2022,#REF!,IF('INHERENT MAP'!$B$5=2023,#REF!,IF('INHERENT MAP'!$B$5=2024,#REF!,#REF!))))</f>
        <v>0</v>
      </c>
      <c r="J28">
        <f>IF('INHERENT MAP'!$B$5=2021,'РЕЕСТР РИСКОВ_2023'!N75,IF('INHERENT MAP'!$B$5=2022,#REF!,IF('INHERENT MAP'!$B$5=2023,#REF!,IF('INHERENT MAP'!$B$5=2024,#REF!,#REF!))))</f>
        <v>0</v>
      </c>
      <c r="K28">
        <f>IF('INHERENT MAP'!$B$5=2021,'РЕЕСТР РИСКОВ_2023'!O75,IF('INHERENT MAP'!$B$5=2022,#REF!,IF('INHERENT MAP'!$B$5=2023,#REF!,IF('INHERENT MAP'!$B$5=2024,#REF!,#REF!))))</f>
        <v>0</v>
      </c>
      <c r="L28">
        <f>IF('INHERENT MAP'!$B$5=2021,'РЕЕСТР РИСКОВ_2023'!P75,IF('INHERENT MAP'!$B$5=2022,#REF!,IF('INHERENT MAP'!$B$5=2023,#REF!,IF('INHERENT MAP'!$B$5=2024,#REF!,#REF!))))</f>
        <v>0</v>
      </c>
      <c r="M28" t="str">
        <f>IF('INHERENT MAP'!$B$5=2021,IF('РЕЕСТР РИСКОВ_2023'!Q75="",M27,'РЕЕСТР РИСКОВ_2023'!Q75),IF('INHERENT MAP'!$B$5=2022,IF(#REF!="",M27,#REF!),IF('INHERENT MAP'!$B$5=2023,IF(#REF!="",M27,#REF!),IF('INHERENT MAP'!$B$5=2024,IF(#REF!="",M27,#REF!),IF('РЕЕСТР РИСКОВ_2023'!Q75="",M27,'РЕЕСТР РИСКОВ_2023'!Q75)))))</f>
        <v>Неисполнение нормативной скорости грузового контейнерного поезда по направлению КНР ЕС 1150 км/сут</v>
      </c>
      <c r="N28" t="str">
        <f>IF('INHERENT MAP'!$B$5=2021,IF('РЕЕСТР РИСКОВ_2023'!R75="",N27,'РЕЕСТР РИСКОВ_2023'!R75),IF('INHERENT MAP'!$B$5=2022,IF(#REF!="",N27,#REF!),IF('INHERENT MAP'!$B$5=2023,IF(#REF!="",N27,#REF!),IF('INHERENT MAP'!$B$5=2024,IF(#REF!="",N27,#REF!),IF('РЕЕСТР РИСКОВ_2023'!R75="",N27,'РЕЕСТР РИСКОВ_2023'!R75)))))</f>
        <v>1. Снижение времени обработки поезда на станциях.
2. Время проведения "окон".
3. Техническое состояние пути.</v>
      </c>
      <c r="O28" t="str">
        <f>'РЕЕСТР РИСКОВ_2023'!T75</f>
        <v>Согласно факт. данных от деп..контейнерных перевозок ГП</v>
      </c>
      <c r="P28">
        <f>IF('РЕЕСТР РИСКОВ_2023'!U75="",P27,'РЕЕСТР РИСКОВ_2023'!U75)</f>
        <v>0</v>
      </c>
      <c r="Q28" t="str">
        <f>IF('РЕЕСТР РИСКОВ_2023'!V75="",Q27,'РЕЕСТР РИСКОВ_2023'!V75)</f>
        <v>Слабые стороны</v>
      </c>
      <c r="R28" t="str">
        <f>IF('РЕЕСТР РИСКОВ_2023'!W75="",R27,'РЕЕСТР РИСКОВ_2023'!W75)</f>
        <v>Средняя техническая скорость грузового контейнерного поезда, 2018-1014 км/сут
2019-1127км/сут
2020-1155 км/сут
2021- 1150 км/сут</v>
      </c>
      <c r="S28">
        <f>'РЕЕСТР РИСКОВ_2023'!X75</f>
        <v>0</v>
      </c>
      <c r="T28" s="94">
        <f>IF('INHERENT MAP'!$B$5=2021,'РЕЕСТР РИСКОВ_2023'!Y75,IF('INHERENT MAP'!$B$5=2022,#REF!,IF('INHERENT MAP'!$B$5=2023,#REF!,IF('INHERENT MAP'!$B$5=2024,#REF!,#REF!))))</f>
        <v>0.1</v>
      </c>
      <c r="U28">
        <f>IF('INHERENT MAP'!$B$5=2021,'РЕЕСТР РИСКОВ_2023'!Z75,IF('INHERENT MAP'!$B$5=2022,#REF!,IF('INHERENT MAP'!$B$5=2023,#REF!,IF('INHERENT MAP'!$B$5=2024,#REF!,#REF!))))</f>
        <v>-16897.095000000001</v>
      </c>
      <c r="V28">
        <f>IF('INHERENT MAP'!$B$5=2021,'РЕЕСТР РИСКОВ_2023'!AA75,IF('INHERENT MAP'!$B$5=2022,#REF!,IF('INHERENT MAP'!$B$5=2023,#REF!,IF('INHERENT MAP'!$B$5=2024,#REF!,#REF!))))</f>
        <v>-1689.7095000000002</v>
      </c>
      <c r="W28" t="str">
        <f>IF('INHERENT MAP'!$B$5=2021,'РЕЕСТР РИСКОВ_2023'!AB75,IF('INHERENT MAP'!$B$5=2022,#REF!,IF('INHERENT MAP'!$B$5=2023,#REF!,IF('INHERENT MAP'!$B$5=2024,#REF!,#REF!))))</f>
        <v>4,5% (разница между плановой и средне исторической скоростью) х бюджет на 2023 г (перевозка грузов, багажа, грузобагажа в транзитном сообщении).</v>
      </c>
      <c r="X28" s="94">
        <f>IF('INHERENT MAP'!$B$5=2021,'РЕЕСТР РИСКОВ_2023'!AC75,IF('INHERENT MAP'!$B$5=2022,#REF!,IF('INHERENT MAP'!$B$5=2023,#REF!,IF('INHERENT MAP'!$B$5=2024,#REF!,#REF!))))</f>
        <v>0</v>
      </c>
      <c r="Y28">
        <f>IF('INHERENT MAP'!$B$5=2021,'РЕЕСТР РИСКОВ_2023'!AD75,IF('INHERENT MAP'!$B$5=2022,#REF!,IF('INHERENT MAP'!$B$5=2023,#REF!,IF('INHERENT MAP'!$B$5=2024,#REF!,#REF!))))</f>
        <v>0</v>
      </c>
      <c r="Z28">
        <f>IF('INHERENT MAP'!$B$5=2021,'РЕЕСТР РИСКОВ_2023'!AE75,IF('INHERENT MAP'!$B$5=2022,#REF!,IF('INHERENT MAP'!$B$5=2023,#REF!,IF('INHERENT MAP'!$B$5=2024,#REF!,#REF!))))</f>
        <v>0</v>
      </c>
      <c r="AA28">
        <f>IF('INHERENT MAP'!$B$5=2021,'РЕЕСТР РИСКОВ_2023'!AF75,IF('INHERENT MAP'!$B$5=2022,#REF!,IF('INHERENT MAP'!$B$5=2023,#REF!,IF('INHERENT MAP'!$B$5=2024,#REF!,#REF!))))</f>
        <v>0</v>
      </c>
      <c r="AB28">
        <f>IF('INHERENT MAP'!$B$5=2021,'РЕЕСТР РИСКОВ_2023'!AG75,IF('INHERENT MAP'!$B$5=2022,#REF!,IF('INHERENT MAP'!$B$5=2023,#REF!,IF('INHERENT MAP'!$B$5=2024,#REF!,#REF!))))</f>
        <v>0</v>
      </c>
      <c r="AC28">
        <f>IF('INHERENT MAP'!$B$5=2021,'РЕЕСТР РИСКОВ_2023'!AH75,IF('INHERENT MAP'!$B$5=2022,#REF!,IF('INHERENT MAP'!$B$5=2023,#REF!,IF('INHERENT MAP'!$B$5=2024,#REF!,#REF!))))</f>
        <v>0</v>
      </c>
      <c r="AD28" t="str">
        <f>IF('INHERENT MAP'!$B$5=2021,'РЕЕСТР РИСКОВ_2023'!AI75,IF('INHERENT MAP'!$B$5=2022,#REF!,IF('INHERENT MAP'!$B$5=2023,#REF!,IF('INHERENT MAP'!$B$5=2024,#REF!,#REF!))))</f>
        <v>1. Оптимальное направление вагонопотока с наименьшими экономическими затратами, исключающая нарушение сроков доставки;
2.Увеличение участковой скорости грузовых контейнерных поездов;
3. Обновление/оздоровление тягового подвижного состава;
4. Улучшение технического состояния магистральных и станционных путей</v>
      </c>
      <c r="AE28" t="str">
        <f>IF('INHERENT MAP'!$B$5=2021,'РЕЕСТР РИСКОВ_2023'!AK75,IF('INHERENT MAP'!$B$5=2022,#REF!,IF('INHERENT MAP'!$B$5=2023,#REF!,IF('INHERENT MAP'!$B$5=2024,#REF!,#REF!))))</f>
        <v>ГППГ, ГППВ, ГПМ, ГПВР, ГПБД, ГПТ, ГПВ, Гпрасчет, ГПД, НОДГП, ЦЖС</v>
      </c>
      <c r="AF28">
        <f>IF('INHERENT MAP'!$B$5=2021,'РЕЕСТР РИСКОВ_2023'!AL75,IF('INHERENT MAP'!$B$5=2022,#REF!,IF('INHERENT MAP'!$B$5=2023,#REF!,IF('INHERENT MAP'!$B$5=2024,#REF!,#REF!))))</f>
        <v>0</v>
      </c>
      <c r="AG28" t="str">
        <f>IF('INHERENT MAP'!$B$5=2021,'РЕЕСТР РИСКОВ_2023'!AM75,IF('INHERENT MAP'!$B$5=2022,#REF!,IF('INHERENT MAP'!$B$5=2023,#REF!,IF('INHERENT MAP'!$B$5=2024,#REF!,#REF!))))</f>
        <v>низкая</v>
      </c>
      <c r="AH28">
        <f>IF('INHERENT MAP'!$B$5=2021,'РЕЕСТР РИСКОВ_2023'!AN75,IF('INHERENT MAP'!$B$5=2022,#REF!,IF('INHERENT MAP'!$B$5=2023,#REF!,IF('INHERENT MAP'!$B$5=2024,#REF!,#REF!))))</f>
        <v>0.1</v>
      </c>
      <c r="AI28">
        <f>IF('INHERENT MAP'!$B$5=2021,'РЕЕСТР РИСКОВ_2023'!AO75,IF('INHERENT MAP'!$B$5=2022,#REF!,IF('INHERENT MAP'!$B$5=2023,#REF!,IF('INHERENT MAP'!$B$5=2024,#REF!,#REF!))))</f>
        <v>-16897.095000000001</v>
      </c>
      <c r="AJ28">
        <f>IF('INHERENT MAP'!$B$5=2021,'РЕЕСТР РИСКОВ_2023'!AP75,IF('INHERENT MAP'!$B$5=2022,#REF!,IF('INHERENT MAP'!$B$5=2023,#REF!,IF('INHERENT MAP'!$B$5=2024,#REF!,#REF!))))</f>
        <v>-1689.7095000000002</v>
      </c>
      <c r="AK28">
        <f>IF('РЕЕСТР РИСКОВ_2023'!AQ75="",AK27,'РЕЕСТР РИСКОВ_2023'!AQ75)</f>
        <v>-1689.7095000000002</v>
      </c>
      <c r="AL28">
        <f>IF('РЕЕСТР РИСКОВ_2023'!AR75="",AL27,'РЕЕСТР РИСКОВ_2023'!AR75)</f>
        <v>9.4140625000000006E-2</v>
      </c>
      <c r="AM28">
        <f>IF('РЕЕСТР РИСКОВ_2023'!AS75="",AM27,'РЕЕСТР РИСКОВ_2023'!AS75)</f>
        <v>-10151.927747719994</v>
      </c>
      <c r="AN28">
        <f>IF('РЕЕСТР РИСКОВ_2023'!AT75="",AN27,'РЕЕСТР РИСКОВ_2023'!AT75)</f>
        <v>6125.6071022800079</v>
      </c>
      <c r="AO28">
        <f>IF('РЕЕСТР РИСКОВ_2023'!AU75="",AO27,'РЕЕСТР РИСКОВ_2023'!AU75)</f>
        <v>0</v>
      </c>
    </row>
    <row r="29" spans="2:41">
      <c r="B29" t="str">
        <f>IF('INHERENT MAP'!$B$5=2021,IF('РЕЕСТР РИСКОВ_2023'!F76="",B28,'РЕЕСТР РИСКОВ_2023'!F76),IF('INHERENT MAP'!$B$5=2022,IF(#REF!="",B28,#REF!),IF('INHERENT MAP'!$B$5=2023,IF(#REF!="",B28,#REF!),IF('INHERENT MAP'!$B$5=2024,IF(#REF!="",B28,#REF!),IF('РЕЕСТР РИСКОВ_2023'!F76="",B28,'РЕЕСТР РИСКОВ_2023'!F76)))))</f>
        <v>РИСК ГРУЗООБОРОТА</v>
      </c>
      <c r="C29" t="str">
        <f>IF('INHERENT MAP'!$B$5=2021,IF('РЕЕСТР РИСКОВ_2023'!G76="",C28,'РЕЕСТР РИСКОВ_2023'!G76),IF('INHERENT MAP'!$B$5=2022,IF(#REF!="",C28,#REF!),IF('INHERENT MAP'!$B$5=2023,IF(#REF!="",C28,#REF!),IF('INHERENT MAP'!$B$5=2024,IF(#REF!="",C28,#REF!),IF('РЕЕСТР РИСКОВ_2023'!G76="",C28,'РЕЕСТР РИСКОВ_2023'!G76)))))</f>
        <v>- ХХХ млн. тенге</v>
      </c>
      <c r="D29" t="str">
        <f>IF('INHERENT MAP'!$B$5=2021,IF('РЕЕСТР РИСКОВ_2023'!H76="",D28,'РЕЕСТР РИСКОВ_2023'!H76),IF('INHERENT MAP'!$B$5=2022,IF(#REF!="",D28,#REF!),IF('INHERENT MAP'!$B$5=2023,IF(#REF!="",D28,#REF!),IF('INHERENT MAP'!$B$5=2024,IF(#REF!="",D28,#REF!),IF('РЕЕСТР РИСКОВ_2023'!H76="",D28,'РЕЕСТР РИСКОВ_2023'!H76)))))</f>
        <v>CTR-4</v>
      </c>
      <c r="E29" t="str">
        <f>IF('INHERENT MAP'!$B$5=2021,IF('РЕЕСТР РИСКОВ_2023'!I76="",E28,'РЕЕСТР РИСКОВ_2023'!I76),IF('INHERENT MAP'!$B$5=2022,IF(#REF!="",E28,#REF!),IF('INHERENT MAP'!$B$5=2023,IF(#REF!="",E28,#REF!),IF('INHERENT MAP'!$B$5=2024,IF(#REF!="",E28,#REF!),IF('РЕЕСТР РИСКОВ_2023'!I76="",E28,'РЕЕСТР РИСКОВ_2023'!I76)))))</f>
        <v>ЦЗД, ЦЗЛ</v>
      </c>
      <c r="F29" t="str">
        <f>IF('INHERENT MAP'!$B$5=2021,IF('РЕЕСТР РИСКОВ_2023'!J76="",F28,'РЕЕСТР РИСКОВ_2023'!J76),IF('INHERENT MAP'!$B$5=2022,IF(#REF!="",F28,#REF!),IF('INHERENT MAP'!$B$5=2023,IF(#REF!="",F28,#REF!),IF('INHERENT MAP'!$B$5=2024,IF(#REF!="",F28,#REF!),IF('РЕЕСТР РИСКОВ_2023'!J76="",F28,'РЕЕСТР РИСКОВ_2023'!J76)))))</f>
        <v>ТОО "КТЖ-Грузовые перевозки", АО "KTZ Express"</v>
      </c>
      <c r="G29" t="str">
        <f>IF('INHERENT MAP'!$B$5=2021,IF('РЕЕСТР РИСКОВ_2023'!K76="",G28,'РЕЕСТР РИСКОВ_2023'!K76),IF('INHERENT MAP'!$B$5=2022,IF(#REF!="",G28,#REF!),IF('INHERENT MAP'!$B$5=2023,IF(#REF!="",G28,#REF!),IF('INHERENT MAP'!$B$5=2024,IF(#REF!="",G28,#REF!),IF('РЕЕСТР РИСКОВ_2023'!K76="",G28,'РЕЕСТР РИСКОВ_2023'!K76)))))</f>
        <v>Объем транзитного грузооборота</v>
      </c>
      <c r="H29">
        <f>IF('INHERENT MAP'!$B$5=2021,'РЕЕСТР РИСКОВ_2023'!L76,IF('INHERENT MAP'!$B$5=2022,#REF!,IF('INHERENT MAP'!$B$5=2023,#REF!,IF('INHERENT MAP'!$B$5=2024,#REF!,#REF!))))</f>
        <v>0</v>
      </c>
      <c r="I29">
        <f>IF('INHERENT MAP'!$B$5=2021,'РЕЕСТР РИСКОВ_2023'!M76,IF('INHERENT MAP'!$B$5=2022,#REF!,IF('INHERENT MAP'!$B$5=2023,#REF!,IF('INHERENT MAP'!$B$5=2024,#REF!,#REF!))))</f>
        <v>0</v>
      </c>
      <c r="J29">
        <f>IF('INHERENT MAP'!$B$5=2021,'РЕЕСТР РИСКОВ_2023'!N76,IF('INHERENT MAP'!$B$5=2022,#REF!,IF('INHERENT MAP'!$B$5=2023,#REF!,IF('INHERENT MAP'!$B$5=2024,#REF!,#REF!))))</f>
        <v>0</v>
      </c>
      <c r="K29">
        <f>IF('INHERENT MAP'!$B$5=2021,'РЕЕСТР РИСКОВ_2023'!O76,IF('INHERENT MAP'!$B$5=2022,#REF!,IF('INHERENT MAP'!$B$5=2023,#REF!,IF('INHERENT MAP'!$B$5=2024,#REF!,#REF!))))</f>
        <v>0</v>
      </c>
      <c r="L29">
        <f>IF('INHERENT MAP'!$B$5=2021,'РЕЕСТР РИСКОВ_2023'!P76,IF('INHERENT MAP'!$B$5=2022,#REF!,IF('INHERENT MAP'!$B$5=2023,#REF!,IF('INHERENT MAP'!$B$5=2024,#REF!,#REF!))))</f>
        <v>0</v>
      </c>
      <c r="M29" t="str">
        <f>IF('INHERENT MAP'!$B$5=2021,IF('РЕЕСТР РИСКОВ_2023'!Q76="",M28,'РЕЕСТР РИСКОВ_2023'!Q76),IF('INHERENT MAP'!$B$5=2022,IF(#REF!="",M28,#REF!),IF('INHERENT MAP'!$B$5=2023,IF(#REF!="",M28,#REF!),IF('INHERENT MAP'!$B$5=2024,IF(#REF!="",M28,#REF!),IF('РЕЕСТР РИСКОВ_2023'!Q76="",M28,'РЕЕСТР РИСКОВ_2023'!Q76)))))</f>
        <v>Применение навигационных пломб</v>
      </c>
      <c r="N29" t="str">
        <f>IF('INHERENT MAP'!$B$5=2021,IF('РЕЕСТР РИСКОВ_2023'!R76="",N28,'РЕЕСТР РИСКОВ_2023'!R76),IF('INHERENT MAP'!$B$5=2022,IF(#REF!="",N28,#REF!),IF('INHERENT MAP'!$B$5=2023,IF(#REF!="",N28,#REF!),IF('INHERENT MAP'!$B$5=2024,IF(#REF!="",N28,#REF!),IF('РЕЕСТР РИСКОВ_2023'!R76="",N28,'РЕЕСТР РИСКОВ_2023'!R76)))))</f>
        <v>Обязательное навешивание/снятие работниками перевозчика на станциях электронных навигационных пломб при перевозке грузов железнодорожным транспортом, их документальное оформление, что повлечет увеличение технологического и коммерческого времени на обработку поездов</v>
      </c>
      <c r="O29">
        <f>'РЕЕСТР РИСКОВ_2023'!T76</f>
        <v>0</v>
      </c>
      <c r="P29">
        <f>IF('РЕЕСТР РИСКОВ_2023'!U76="",P28,'РЕЕСТР РИСКОВ_2023'!U76)</f>
        <v>0</v>
      </c>
      <c r="Q29" t="str">
        <f>IF('РЕЕСТР РИСКОВ_2023'!V76="",Q28,'РЕЕСТР РИСКОВ_2023'!V76)</f>
        <v>Слабые стороны</v>
      </c>
      <c r="R29" t="str">
        <f>IF('РЕЕСТР РИСКОВ_2023'!W76="",R28,'РЕЕСТР РИСКОВ_2023'!W76)</f>
        <v>Средняя техническая скорость грузового контейнерного поезда, 2018-1014 км/сут
2019-1127км/сут
2020-1155 км/сут
2021- 1150 км/сут</v>
      </c>
      <c r="S29">
        <f>'РЕЕСТР РИСКОВ_2023'!X76</f>
        <v>0</v>
      </c>
      <c r="T29" s="94">
        <f>IF('INHERENT MAP'!$B$5=2021,'РЕЕСТР РИСКОВ_2023'!Y76,IF('INHERENT MAP'!$B$5=2022,#REF!,IF('INHERENT MAP'!$B$5=2023,#REF!,IF('INHERENT MAP'!$B$5=2024,#REF!,#REF!))))</f>
        <v>0</v>
      </c>
      <c r="U29">
        <f>IF('INHERENT MAP'!$B$5=2021,'РЕЕСТР РИСКОВ_2023'!Z76,IF('INHERENT MAP'!$B$5=2022,#REF!,IF('INHERENT MAP'!$B$5=2023,#REF!,IF('INHERENT MAP'!$B$5=2024,#REF!,#REF!))))</f>
        <v>0</v>
      </c>
      <c r="V29">
        <f>IF('INHERENT MAP'!$B$5=2021,'РЕЕСТР РИСКОВ_2023'!AA76,IF('INHERENT MAP'!$B$5=2022,#REF!,IF('INHERENT MAP'!$B$5=2023,#REF!,IF('INHERENT MAP'!$B$5=2024,#REF!,#REF!))))</f>
        <v>0</v>
      </c>
      <c r="W29">
        <f>IF('INHERENT MAP'!$B$5=2021,'РЕЕСТР РИСКОВ_2023'!AB76,IF('INHERENT MAP'!$B$5=2022,#REF!,IF('INHERENT MAP'!$B$5=2023,#REF!,IF('INHERENT MAP'!$B$5=2024,#REF!,#REF!))))</f>
        <v>0</v>
      </c>
      <c r="X29" s="94">
        <f>IF('INHERENT MAP'!$B$5=2021,'РЕЕСТР РИСКОВ_2023'!AC76,IF('INHERENT MAP'!$B$5=2022,#REF!,IF('INHERENT MAP'!$B$5=2023,#REF!,IF('INHERENT MAP'!$B$5=2024,#REF!,#REF!))))</f>
        <v>0</v>
      </c>
      <c r="Y29">
        <f>IF('INHERENT MAP'!$B$5=2021,'РЕЕСТР РИСКОВ_2023'!AD76,IF('INHERENT MAP'!$B$5=2022,#REF!,IF('INHERENT MAP'!$B$5=2023,#REF!,IF('INHERENT MAP'!$B$5=2024,#REF!,#REF!))))</f>
        <v>0</v>
      </c>
      <c r="Z29">
        <f>IF('INHERENT MAP'!$B$5=2021,'РЕЕСТР РИСКОВ_2023'!AE76,IF('INHERENT MAP'!$B$5=2022,#REF!,IF('INHERENT MAP'!$B$5=2023,#REF!,IF('INHERENT MAP'!$B$5=2024,#REF!,#REF!))))</f>
        <v>0</v>
      </c>
      <c r="AA29">
        <f>IF('INHERENT MAP'!$B$5=2021,'РЕЕСТР РИСКОВ_2023'!AF76,IF('INHERENT MAP'!$B$5=2022,#REF!,IF('INHERENT MAP'!$B$5=2023,#REF!,IF('INHERENT MAP'!$B$5=2024,#REF!,#REF!))))</f>
        <v>0</v>
      </c>
      <c r="AB29">
        <f>IF('INHERENT MAP'!$B$5=2021,'РЕЕСТР РИСКОВ_2023'!AG76,IF('INHERENT MAP'!$B$5=2022,#REF!,IF('INHERENT MAP'!$B$5=2023,#REF!,IF('INHERENT MAP'!$B$5=2024,#REF!,#REF!))))</f>
        <v>0</v>
      </c>
      <c r="AC29">
        <f>IF('INHERENT MAP'!$B$5=2021,'РЕЕСТР РИСКОВ_2023'!AH76,IF('INHERENT MAP'!$B$5=2022,#REF!,IF('INHERENT MAP'!$B$5=2023,#REF!,IF('INHERENT MAP'!$B$5=2024,#REF!,#REF!))))</f>
        <v>0</v>
      </c>
      <c r="AD29" t="str">
        <f>IF('INHERENT MAP'!$B$5=2021,'РЕЕСТР РИСКОВ_2023'!AI76,IF('INHERENT MAP'!$B$5=2022,#REF!,IF('INHERENT MAP'!$B$5=2023,#REF!,IF('INHERENT MAP'!$B$5=2024,#REF!,#REF!))))</f>
        <v>1. Подготовка и внесение в государственные органы РК предложений по проектам Соглашения о применении навигационных пломб в ЕАЭС для отслеживания перевозок, актов ЕЭК и соглашения операторов пломб, отвечающие интересам Компании, участие в переговорных процессах на площадках ЕЭК, государственных органов, НПП РК по обсуждению указанных проектов;
2. Включение расходов за использование пломб в тариф на перевозку груза (дополнительные сборы)</v>
      </c>
      <c r="AE29" t="str">
        <f>IF('INHERENT MAP'!$B$5=2021,'РЕЕСТР РИСКОВ_2023'!AK76,IF('INHERENT MAP'!$B$5=2022,#REF!,IF('INHERENT MAP'!$B$5=2023,#REF!,IF('INHERENT MAP'!$B$5=2024,#REF!,#REF!))))</f>
        <v>ЦИП, ГП</v>
      </c>
      <c r="AF29">
        <f>IF('INHERENT MAP'!$B$5=2021,'РЕЕСТР РИСКОВ_2023'!AL76,IF('INHERENT MAP'!$B$5=2022,#REF!,IF('INHERENT MAP'!$B$5=2023,#REF!,IF('INHERENT MAP'!$B$5=2024,#REF!,#REF!))))</f>
        <v>0</v>
      </c>
      <c r="AG29" t="str">
        <f>IF('INHERENT MAP'!$B$5=2021,'РЕЕСТР РИСКОВ_2023'!AM76,IF('INHERENT MAP'!$B$5=2022,#REF!,IF('INHERENT MAP'!$B$5=2023,#REF!,IF('INHERENT MAP'!$B$5=2024,#REF!,#REF!))))</f>
        <v>низкая</v>
      </c>
      <c r="AH29">
        <f>IF('INHERENT MAP'!$B$5=2021,'РЕЕСТР РИСКОВ_2023'!AN76,IF('INHERENT MAP'!$B$5=2022,#REF!,IF('INHERENT MAP'!$B$5=2023,#REF!,IF('INHERENT MAP'!$B$5=2024,#REF!,#REF!))))</f>
        <v>0</v>
      </c>
      <c r="AI29">
        <f>IF('INHERENT MAP'!$B$5=2021,'РЕЕСТР РИСКОВ_2023'!AO76,IF('INHERENT MAP'!$B$5=2022,#REF!,IF('INHERENT MAP'!$B$5=2023,#REF!,IF('INHERENT MAP'!$B$5=2024,#REF!,#REF!))))</f>
        <v>0</v>
      </c>
      <c r="AJ29">
        <f>IF('INHERENT MAP'!$B$5=2021,'РЕЕСТР РИСКОВ_2023'!AP76,IF('INHERENT MAP'!$B$5=2022,#REF!,IF('INHERENT MAP'!$B$5=2023,#REF!,IF('INHERENT MAP'!$B$5=2024,#REF!,#REF!))))</f>
        <v>0</v>
      </c>
      <c r="AK29">
        <f>IF('РЕЕСТР РИСКОВ_2023'!AQ76="",AK28,'РЕЕСТР РИСКОВ_2023'!AQ76)</f>
        <v>0</v>
      </c>
      <c r="AL29">
        <f>IF('РЕЕСТР РИСКОВ_2023'!AR76="",AL28,'РЕЕСТР РИСКОВ_2023'!AR76)</f>
        <v>9.4140625000000006E-2</v>
      </c>
      <c r="AM29">
        <f>IF('РЕЕСТР РИСКОВ_2023'!AS76="",AM28,'РЕЕСТР РИСКОВ_2023'!AS76)</f>
        <v>-10151.927747719994</v>
      </c>
      <c r="AN29">
        <f>IF('РЕЕСТР РИСКОВ_2023'!AT76="",AN28,'РЕЕСТР РИСКОВ_2023'!AT76)</f>
        <v>6125.6071022800079</v>
      </c>
      <c r="AO29">
        <f>IF('РЕЕСТР РИСКОВ_2023'!AU76="",AO28,'РЕЕСТР РИСКОВ_2023'!AU76)</f>
        <v>0</v>
      </c>
    </row>
    <row r="30" spans="2:41">
      <c r="B30" t="str">
        <f>IF('INHERENT MAP'!$B$5=2021,IF('РЕЕСТР РИСКОВ_2023'!F79="",B29,'РЕЕСТР РИСКОВ_2023'!F79),IF('INHERENT MAP'!$B$5=2022,IF(#REF!="",B29,#REF!),IF('INHERENT MAP'!$B$5=2023,IF(#REF!="",B29,#REF!),IF('INHERENT MAP'!$B$5=2024,IF(#REF!="",B29,#REF!),IF('РЕЕСТР РИСКОВ_2023'!F79="",B29,'РЕЕСТР РИСКОВ_2023'!F79)))))</f>
        <v>РИСК ГРУЗООБОРОТА</v>
      </c>
      <c r="C30" t="str">
        <f>IF('INHERENT MAP'!$B$5=2021,IF('РЕЕСТР РИСКОВ_2023'!G79="",C29,'РЕЕСТР РИСКОВ_2023'!G79),IF('INHERENT MAP'!$B$5=2022,IF(#REF!="",C29,#REF!),IF('INHERENT MAP'!$B$5=2023,IF(#REF!="",C29,#REF!),IF('INHERENT MAP'!$B$5=2024,IF(#REF!="",C29,#REF!),IF('РЕЕСТР РИСКОВ_2023'!G79="",C29,'РЕЕСТР РИСКОВ_2023'!G79)))))</f>
        <v>- ХХХ млн. тенге</v>
      </c>
      <c r="D30" t="str">
        <f>IF('INHERENT MAP'!$B$5=2021,IF('РЕЕСТР РИСКОВ_2023'!H79="",D29,'РЕЕСТР РИСКОВ_2023'!H79),IF('INHERENT MAP'!$B$5=2022,IF(#REF!="",D29,#REF!),IF('INHERENT MAP'!$B$5=2023,IF(#REF!="",D29,#REF!),IF('INHERENT MAP'!$B$5=2024,IF(#REF!="",D29,#REF!),IF('РЕЕСТР РИСКОВ_2023'!H79="",D29,'РЕЕСТР РИСКОВ_2023'!H79)))))</f>
        <v>CTR-5</v>
      </c>
      <c r="E30" t="str">
        <f>IF('INHERENT MAP'!$B$5=2021,IF('РЕЕСТР РИСКОВ_2023'!I79="",E29,'РЕЕСТР РИСКОВ_2023'!I79),IF('INHERENT MAP'!$B$5=2022,IF(#REF!="",E29,#REF!),IF('INHERENT MAP'!$B$5=2023,IF(#REF!="",E29,#REF!),IF('INHERENT MAP'!$B$5=2024,IF(#REF!="",E29,#REF!),IF('РЕЕСТР РИСКОВ_2023'!I79="",E29,'РЕЕСТР РИСКОВ_2023'!I79)))))</f>
        <v>ЦЗЛ</v>
      </c>
      <c r="F30" t="str">
        <f>IF('INHERENT MAP'!$B$5=2021,IF('РЕЕСТР РИСКОВ_2023'!J79="",F29,'РЕЕСТР РИСКОВ_2023'!J79),IF('INHERENT MAP'!$B$5=2022,IF(#REF!="",F29,#REF!),IF('INHERENT MAP'!$B$5=2023,IF(#REF!="",F29,#REF!),IF('INHERENT MAP'!$B$5=2024,IF(#REF!="",F29,#REF!),IF('РЕЕСТР РИСКОВ_2023'!J79="",F29,'РЕЕСТР РИСКОВ_2023'!J79)))))</f>
        <v>АО "Кедентранссервис"</v>
      </c>
      <c r="G30" t="str">
        <f>IF('INHERENT MAP'!$B$5=2021,IF('РЕЕСТР РИСКОВ_2023'!K79="",G29,'РЕЕСТР РИСКОВ_2023'!K79),IF('INHERENT MAP'!$B$5=2022,IF(#REF!="",G29,#REF!),IF('INHERENT MAP'!$B$5=2023,IF(#REF!="",G29,#REF!),IF('INHERENT MAP'!$B$5=2024,IF(#REF!="",G29,#REF!),IF('РЕЕСТР РИСКОВ_2023'!K79="",G29,'РЕЕСТР РИСКОВ_2023'!K79)))))</f>
        <v>Риски, связанные с  перегрузочной деятельностью на МГСП</v>
      </c>
      <c r="H30">
        <f>IF('INHERENT MAP'!$B$5=2021,'РЕЕСТР РИСКОВ_2023'!L79,IF('INHERENT MAP'!$B$5=2022,#REF!,IF('INHERENT MAP'!$B$5=2023,#REF!,IF('INHERENT MAP'!$B$5=2024,#REF!,#REF!))))</f>
        <v>0</v>
      </c>
      <c r="I30">
        <f>IF('INHERENT MAP'!$B$5=2021,'РЕЕСТР РИСКОВ_2023'!M79,IF('INHERENT MAP'!$B$5=2022,#REF!,IF('INHERENT MAP'!$B$5=2023,#REF!,IF('INHERENT MAP'!$B$5=2024,#REF!,#REF!))))</f>
        <v>0</v>
      </c>
      <c r="J30">
        <f>IF('INHERENT MAP'!$B$5=2021,'РЕЕСТР РИСКОВ_2023'!N79,IF('INHERENT MAP'!$B$5=2022,#REF!,IF('INHERENT MAP'!$B$5=2023,#REF!,IF('INHERENT MAP'!$B$5=2024,#REF!,#REF!))))</f>
        <v>0</v>
      </c>
      <c r="K30">
        <f>IF('INHERENT MAP'!$B$5=2021,'РЕЕСТР РИСКОВ_2023'!O79,IF('INHERENT MAP'!$B$5=2022,#REF!,IF('INHERENT MAP'!$B$5=2023,#REF!,IF('INHERENT MAP'!$B$5=2024,#REF!,#REF!))))</f>
        <v>10672</v>
      </c>
      <c r="L30">
        <f>IF('INHERENT MAP'!$B$5=2021,'РЕЕСТР РИСКОВ_2023'!P79,IF('INHERENT MAP'!$B$5=2022,#REF!,IF('INHERENT MAP'!$B$5=2023,#REF!,IF('INHERENT MAP'!$B$5=2024,#REF!,#REF!))))</f>
        <v>0</v>
      </c>
      <c r="M30" t="str">
        <f>IF('INHERENT MAP'!$B$5=2021,IF('РЕЕСТР РИСКОВ_2023'!Q79="",M29,'РЕЕСТР РИСКОВ_2023'!Q79),IF('INHERENT MAP'!$B$5=2022,IF(#REF!="",M29,#REF!),IF('INHERENT MAP'!$B$5=2023,IF(#REF!="",M29,#REF!),IF('INHERENT MAP'!$B$5=2024,IF(#REF!="",M29,#REF!),IF('РЕЕСТР РИСКОВ_2023'!Q79="",M29,'РЕЕСТР РИСКОВ_2023'!Q79)))))</f>
        <v>Риск конкуренции от крупных компаний и частного сектора (основные конкуренты: ТОО «KTZE-Khorgos Gateway», ТОО «Евротранзит – КТС» по ст.Алтынколь;  ТОО «Tengri Dostyk», ТОО "Достык Транс Терминал", ТОО "DOSTYK CARGO SERVICE" по ст.Достык)</v>
      </c>
      <c r="N30" t="str">
        <f>IF('INHERENT MAP'!$B$5=2021,IF('РЕЕСТР РИСКОВ_2023'!R79="",N29,'РЕЕСТР РИСКОВ_2023'!R79),IF('INHERENT MAP'!$B$5=2022,IF(#REF!="",N29,#REF!),IF('INHERENT MAP'!$B$5=2023,IF(#REF!="",N29,#REF!),IF('INHERENT MAP'!$B$5=2024,IF(#REF!="",N29,#REF!),IF('РЕЕСТР РИСКОВ_2023'!R79="",N29,'РЕЕСТР РИСКОВ_2023'!R79)))))</f>
        <v xml:space="preserve">1. На станции Достык с 10.06.2021г. начато производство перегруза грузов/контейнеров в перегрузочном терминале ТОО «ДостыкТранс Терминал». Согласно оперативным данным в июне 2021 года на перегрузочном терминале ТОО «ДостыкТранс Терминал» перегружено 2681 контейнеров, фронт ДТТ позволяет принять и перегрузить целый контейнерный поезд. 
2. Плановые показатели незначительно снизились на -2,4% за счет уменьшения доли на -13% по причине деятельности альтернативного перегрузочного терминала ТОО «Dostyk Cargo service».  Доля ТОО «Dostyk Cargo service» выросла с 10,6%  до 22,2% по сравнению с прошлым годом.                                                                                                                                                                                                                                                 а) факты недособросовестной конкуренции, ценовой демпинг со стороны третьих лиц, тарифы МТТ (международный железнодорожный транспортный тариф)
б) понижение цен на рынке аналогичных услуг:
- на перегруз грузов, перевозимые насыпью и навалом во всех типах вагонов (кроме крытых). 
- на перегруз грузов, перевозимые насыпью и навалом в крытых вагонах
- на перегруз грузов, перевозимые в пакетах
- на перегруз грузов, перевозимые в таре, в упаковке или штучные
- на перегруз грузов, в таре, в упаковке или штучные с числом мест 1000 и более
- на перегруз крупнотоннажных контейнеров                                                                                                  
3. Высокая тарифная ставка в сравнении с конкурентами                
4. Увеличение расходов соиполнителей (услугодателей)      </v>
      </c>
      <c r="O30" t="str">
        <f>'РЕЕСТР РИСКОВ_2023'!T79</f>
        <v>Маркетинг КТЖ</v>
      </c>
      <c r="P30">
        <f>IF('РЕЕСТР РИСКОВ_2023'!U79="",P29,'РЕЕСТР РИСКОВ_2023'!U79)</f>
        <v>0</v>
      </c>
      <c r="Q30" t="str">
        <f>IF('РЕЕСТР РИСКОВ_2023'!V79="",Q29,'РЕЕСТР РИСКОВ_2023'!V79)</f>
        <v>Угрозы</v>
      </c>
      <c r="R30" t="str">
        <f>IF('РЕЕСТР РИСКОВ_2023'!W79="",R29,'РЕЕСТР РИСКОВ_2023'!W79)</f>
        <v xml:space="preserve">Доля КДТС на рынке перегруза,% (влияние изменения доли на доход, импорт)           </v>
      </c>
      <c r="S30">
        <f>'РЕЕСТР РИСКОВ_2023'!X79</f>
        <v>0</v>
      </c>
      <c r="T30" s="94">
        <f>IF('INHERENT MAP'!$B$5=2021,'РЕЕСТР РИСКОВ_2023'!Y79,IF('INHERENT MAP'!$B$5=2022,#REF!,IF('INHERENT MAP'!$B$5=2023,#REF!,IF('INHERENT MAP'!$B$5=2024,#REF!,#REF!))))</f>
        <v>0.8</v>
      </c>
      <c r="U30">
        <f>IF('INHERENT MAP'!$B$5=2021,'РЕЕСТР РИСКОВ_2023'!Z79,IF('INHERENT MAP'!$B$5=2022,#REF!,IF('INHERENT MAP'!$B$5=2023,#REF!,IF('INHERENT MAP'!$B$5=2024,#REF!,#REF!))))</f>
        <v>-2186.0450000000001</v>
      </c>
      <c r="V30">
        <f>IF('INHERENT MAP'!$B$5=2021,'РЕЕСТР РИСКОВ_2023'!AA79,IF('INHERENT MAP'!$B$5=2022,#REF!,IF('INHERENT MAP'!$B$5=2023,#REF!,IF('INHERENT MAP'!$B$5=2024,#REF!,#REF!))))</f>
        <v>-1748.8360000000002</v>
      </c>
      <c r="W30" t="str">
        <f>IF('INHERENT MAP'!$B$5=2021,'РЕЕСТР РИСКОВ_2023'!AB79,IF('INHERENT MAP'!$B$5=2022,#REF!,IF('INHERENT MAP'!$B$5=2023,#REF!,IF('INHERENT MAP'!$B$5=2024,#REF!,#REF!))))</f>
        <v xml:space="preserve">1) Доля на рынке по перегрузу на ст. Достык и Алтынколь в 2 полугодии 2021г.: контейнеры - 38%, вагоны  - 47%; 2) уменьшение доли на рынке произошло по причине деятельности альтернативного перегрузочного терминала ТОО «Dostyk Cargo service». </v>
      </c>
      <c r="X30" s="94">
        <f>IF('INHERENT MAP'!$B$5=2021,'РЕЕСТР РИСКОВ_2023'!AC79,IF('INHERENT MAP'!$B$5=2022,#REF!,IF('INHERENT MAP'!$B$5=2023,#REF!,IF('INHERENT MAP'!$B$5=2024,#REF!,#REF!))))</f>
        <v>0.76364643470029581</v>
      </c>
      <c r="Y30">
        <f>IF('INHERENT MAP'!$B$5=2021,'РЕЕСТР РИСКОВ_2023'!AD79,IF('INHERENT MAP'!$B$5=2022,#REF!,IF('INHERENT MAP'!$B$5=2023,#REF!,IF('INHERENT MAP'!$B$5=2024,#REF!,#REF!))))</f>
        <v>-3613.0450100000003</v>
      </c>
      <c r="Z30">
        <f>IF('INHERENT MAP'!$B$5=2021,'РЕЕСТР РИСКОВ_2023'!AE79,IF('INHERENT MAP'!$B$5=2022,#REF!,IF('INHERENT MAP'!$B$5=2023,#REF!,IF('INHERENT MAP'!$B$5=2024,#REF!,#REF!))))</f>
        <v>-2759.0889402981948</v>
      </c>
      <c r="AA30" t="str">
        <f>IF('INHERENT MAP'!$B$5=2021,'РЕЕСТР РИСКОВ_2023'!AF79,IF('INHERENT MAP'!$B$5=2022,#REF!,IF('INHERENT MAP'!$B$5=2023,#REF!,IF('INHERENT MAP'!$B$5=2024,#REF!,#REF!))))</f>
        <v>1 год</v>
      </c>
      <c r="AB30" t="str">
        <f>IF('INHERENT MAP'!$B$5=2021,'РЕЕСТР РИСКОВ_2023'!AG79,IF('INHERENT MAP'!$B$5=2022,#REF!,IF('INHERENT MAP'!$B$5=2023,#REF!,IF('INHERENT MAP'!$B$5=2024,#REF!,#REF!))))</f>
        <v>высокий</v>
      </c>
      <c r="AC30">
        <f>IF('INHERENT MAP'!$B$5=2021,'РЕЕСТР РИСКОВ_2023'!AH79,IF('INHERENT MAP'!$B$5=2022,#REF!,IF('INHERENT MAP'!$B$5=2023,#REF!,IF('INHERENT MAP'!$B$5=2024,#REF!,#REF!))))</f>
        <v>0</v>
      </c>
      <c r="AD30" t="str">
        <f>IF('INHERENT MAP'!$B$5=2021,'РЕЕСТР РИСКОВ_2023'!AI79,IF('INHERENT MAP'!$B$5=2022,#REF!,IF('INHERENT MAP'!$B$5=2023,#REF!,IF('INHERENT MAP'!$B$5=2024,#REF!,#REF!))))</f>
        <v>1. Предложение тарифных условий в соответствии с тарифами МТТ и ЕТТ
2. Анализ изменения условий на рынке перегруза для оперативного реагирования. Мониторинг доли рынка компании
3. Поэтапное внедрение CRM (модуль "Заключение договоров")</v>
      </c>
      <c r="AE30" t="str">
        <f>IF('INHERENT MAP'!$B$5=2021,'РЕЕСТР РИСКОВ_2023'!AK79,IF('INHERENT MAP'!$B$5=2022,#REF!,IF('INHERENT MAP'!$B$5=2023,#REF!,IF('INHERENT MAP'!$B$5=2024,#REF!,#REF!))))</f>
        <v>КП,КМТП</v>
      </c>
      <c r="AF30" t="str">
        <f>IF('INHERENT MAP'!$B$5=2021,'РЕЕСТР РИСКОВ_2023'!AL79,IF('INHERENT MAP'!$B$5=2022,#REF!,IF('INHERENT MAP'!$B$5=2023,#REF!,IF('INHERENT MAP'!$B$5=2024,#REF!,#REF!))))</f>
        <v>1. На постоянной основе/в период заключения договоров
2. Ежевратально
3. 1-2 квартал 2023</v>
      </c>
      <c r="AG30" t="str">
        <f>IF('INHERENT MAP'!$B$5=2021,'РЕЕСТР РИСКОВ_2023'!AM79,IF('INHERENT MAP'!$B$5=2022,#REF!,IF('INHERENT MAP'!$B$5=2023,#REF!,IF('INHERENT MAP'!$B$5=2024,#REF!,#REF!))))</f>
        <v>средняя</v>
      </c>
      <c r="AH30">
        <f>IF('INHERENT MAP'!$B$5=2021,'РЕЕСТР РИСКОВ_2023'!AN79,IF('INHERENT MAP'!$B$5=2022,#REF!,IF('INHERENT MAP'!$B$5=2023,#REF!,IF('INHERENT MAP'!$B$5=2024,#REF!,#REF!))))</f>
        <v>0.4</v>
      </c>
      <c r="AI30">
        <f>IF('INHERENT MAP'!$B$5=2021,'РЕЕСТР РИСКОВ_2023'!AO79,IF('INHERENT MAP'!$B$5=2022,#REF!,IF('INHERENT MAP'!$B$5=2023,#REF!,IF('INHERENT MAP'!$B$5=2024,#REF!,#REF!))))</f>
        <v>-1093.0225</v>
      </c>
      <c r="AJ30">
        <f>IF('INHERENT MAP'!$B$5=2021,'РЕЕСТР РИСКОВ_2023'!AP79,IF('INHERENT MAP'!$B$5=2022,#REF!,IF('INHERENT MAP'!$B$5=2023,#REF!,IF('INHERENT MAP'!$B$5=2024,#REF!,#REF!))))</f>
        <v>-437.20900000000006</v>
      </c>
      <c r="AK30">
        <f>IF('РЕЕСТР РИСКОВ_2023'!AQ79="",AK29,'РЕЕСТР РИСКОВ_2023'!AQ79)</f>
        <v>-874.41800000000012</v>
      </c>
      <c r="AL30">
        <f>IF('РЕЕСТР РИСКОВ_2023'!AR79="",AL29,'РЕЕСТР РИСКОВ_2023'!AR79)</f>
        <v>0.76050422839874887</v>
      </c>
      <c r="AM30">
        <f>IF('РЕЕСТР РИСКОВ_2023'!AS79="",AM29,'РЕЕСТР РИСКОВ_2023'!AS79)</f>
        <v>-1806.5225050000001</v>
      </c>
      <c r="AN30">
        <f>IF('РЕЕСТР РИСКОВ_2023'!AT79="",AN29,'РЕЕСТР РИСКОВ_2023'!AT79)</f>
        <v>-1373.8680037500001</v>
      </c>
      <c r="AO30">
        <f>IF('РЕЕСТР РИСКОВ_2023'!AU79="",AO29,'РЕЕСТР РИСКОВ_2023'!AU79)</f>
        <v>0</v>
      </c>
    </row>
    <row r="31" spans="2:41">
      <c r="B31" t="str">
        <f>IF('INHERENT MAP'!$B$5=2021,IF('РЕЕСТР РИСКОВ_2023'!F80="",B30,'РЕЕСТР РИСКОВ_2023'!F80),IF('INHERENT MAP'!$B$5=2022,IF(#REF!="",B30,#REF!),IF('INHERENT MAP'!$B$5=2023,IF(#REF!="",B30,#REF!),IF('INHERENT MAP'!$B$5=2024,IF(#REF!="",B30,#REF!),IF('РЕЕСТР РИСКОВ_2023'!F80="",B30,'РЕЕСТР РИСКОВ_2023'!F80)))))</f>
        <v>РИСК ГРУЗООБОРОТА</v>
      </c>
      <c r="C31" t="str">
        <f>IF('INHERENT MAP'!$B$5=2021,IF('РЕЕСТР РИСКОВ_2023'!G80="",C30,'РЕЕСТР РИСКОВ_2023'!G80),IF('INHERENT MAP'!$B$5=2022,IF(#REF!="",C30,#REF!),IF('INHERENT MAP'!$B$5=2023,IF(#REF!="",C30,#REF!),IF('INHERENT MAP'!$B$5=2024,IF(#REF!="",C30,#REF!),IF('РЕЕСТР РИСКОВ_2023'!G80="",C30,'РЕЕСТР РИСКОВ_2023'!G80)))))</f>
        <v>- ХХХ млн. тенге</v>
      </c>
      <c r="D31" t="str">
        <f>IF('INHERENT MAP'!$B$5=2021,IF('РЕЕСТР РИСКОВ_2023'!H80="",D30,'РЕЕСТР РИСКОВ_2023'!H80),IF('INHERENT MAP'!$B$5=2022,IF(#REF!="",D30,#REF!),IF('INHERENT MAP'!$B$5=2023,IF(#REF!="",D30,#REF!),IF('INHERENT MAP'!$B$5=2024,IF(#REF!="",D30,#REF!),IF('РЕЕСТР РИСКОВ_2023'!H80="",D30,'РЕЕСТР РИСКОВ_2023'!H80)))))</f>
        <v>CTR-5</v>
      </c>
      <c r="E31" t="str">
        <f>IF('INHERENT MAP'!$B$5=2021,IF('РЕЕСТР РИСКОВ_2023'!I80="",E30,'РЕЕСТР РИСКОВ_2023'!I80),IF('INHERENT MAP'!$B$5=2022,IF(#REF!="",E30,#REF!),IF('INHERENT MAP'!$B$5=2023,IF(#REF!="",E30,#REF!),IF('INHERENT MAP'!$B$5=2024,IF(#REF!="",E30,#REF!),IF('РЕЕСТР РИСКОВ_2023'!I80="",E30,'РЕЕСТР РИСКОВ_2023'!I80)))))</f>
        <v>ЦЗЛ</v>
      </c>
      <c r="F31" t="str">
        <f>IF('INHERENT MAP'!$B$5=2021,IF('РЕЕСТР РИСКОВ_2023'!J80="",F30,'РЕЕСТР РИСКОВ_2023'!J80),IF('INHERENT MAP'!$B$5=2022,IF(#REF!="",F30,#REF!),IF('INHERENT MAP'!$B$5=2023,IF(#REF!="",F30,#REF!),IF('INHERENT MAP'!$B$5=2024,IF(#REF!="",F30,#REF!),IF('РЕЕСТР РИСКОВ_2023'!J80="",F30,'РЕЕСТР РИСКОВ_2023'!J80)))))</f>
        <v>АО "Кедентранссервис"</v>
      </c>
      <c r="G31" t="str">
        <f>IF('INHERENT MAP'!$B$5=2021,IF('РЕЕСТР РИСКОВ_2023'!K80="",G30,'РЕЕСТР РИСКОВ_2023'!K80),IF('INHERENT MAP'!$B$5=2022,IF(#REF!="",G30,#REF!),IF('INHERENT MAP'!$B$5=2023,IF(#REF!="",G30,#REF!),IF('INHERENT MAP'!$B$5=2024,IF(#REF!="",G30,#REF!),IF('РЕЕСТР РИСКОВ_2023'!K80="",G30,'РЕЕСТР РИСКОВ_2023'!K80)))))</f>
        <v>Риски, связанные с  перегрузочной деятельностью на МГСП</v>
      </c>
      <c r="H31">
        <f>IF('INHERENT MAP'!$B$5=2021,'РЕЕСТР РИСКОВ_2023'!L80,IF('INHERENT MAP'!$B$5=2022,#REF!,IF('INHERENT MAP'!$B$5=2023,#REF!,IF('INHERENT MAP'!$B$5=2024,#REF!,#REF!))))</f>
        <v>0</v>
      </c>
      <c r="I31">
        <f>IF('INHERENT MAP'!$B$5=2021,'РЕЕСТР РИСКОВ_2023'!M80,IF('INHERENT MAP'!$B$5=2022,#REF!,IF('INHERENT MAP'!$B$5=2023,#REF!,IF('INHERENT MAP'!$B$5=2024,#REF!,#REF!))))</f>
        <v>0</v>
      </c>
      <c r="J31">
        <f>IF('INHERENT MAP'!$B$5=2021,'РЕЕСТР РИСКОВ_2023'!N80,IF('INHERENT MAP'!$B$5=2022,#REF!,IF('INHERENT MAP'!$B$5=2023,#REF!,IF('INHERENT MAP'!$B$5=2024,#REF!,#REF!))))</f>
        <v>0</v>
      </c>
      <c r="K31">
        <f>IF('INHERENT MAP'!$B$5=2021,'РЕЕСТР РИСКОВ_2023'!O80,IF('INHERENT MAP'!$B$5=2022,#REF!,IF('INHERENT MAP'!$B$5=2023,#REF!,IF('INHERENT MAP'!$B$5=2024,#REF!,#REF!))))</f>
        <v>0</v>
      </c>
      <c r="L31">
        <f>IF('INHERENT MAP'!$B$5=2021,'РЕЕСТР РИСКОВ_2023'!P80,IF('INHERENT MAP'!$B$5=2022,#REF!,IF('INHERENT MAP'!$B$5=2023,#REF!,IF('INHERENT MAP'!$B$5=2024,#REF!,#REF!))))</f>
        <v>0</v>
      </c>
      <c r="M31" t="str">
        <f>IF('INHERENT MAP'!$B$5=2021,IF('РЕЕСТР РИСКОВ_2023'!Q80="",M30,'РЕЕСТР РИСКОВ_2023'!Q80),IF('INHERENT MAP'!$B$5=2022,IF(#REF!="",M30,#REF!),IF('INHERENT MAP'!$B$5=2023,IF(#REF!="",M30,#REF!),IF('INHERENT MAP'!$B$5=2024,IF(#REF!="",M30,#REF!),IF('РЕЕСТР РИСКОВ_2023'!Q80="",M30,'РЕЕСТР РИСКОВ_2023'!Q80)))))</f>
        <v>Риск конкуренции из-за ухудшения качества предоставляемых услуг</v>
      </c>
      <c r="N31" t="str">
        <f>IF('INHERENT MAP'!$B$5=2021,IF('РЕЕСТР РИСКОВ_2023'!R80="",N30,'РЕЕСТР РИСКОВ_2023'!R80),IF('INHERENT MAP'!$B$5=2022,IF(#REF!="",N30,#REF!),IF('INHERENT MAP'!$B$5=2023,IF(#REF!="",N30,#REF!),IF('INHERENT MAP'!$B$5=2024,IF(#REF!="",N30,#REF!),IF('РЕЕСТР РИСКОВ_2023'!R80="",N30,'РЕЕСТР РИСКОВ_2023'!R80)))))</f>
        <v>1. Несвоевременное обеспечение порожними вагонами по широкой колее со стороны КТТ. 
2. Дефицит фитинговых платформ с деревянными полами (по погрузке обороудования, техники)   
3. Задержка перегружаемых вагонов по техническим причинам                                                                                                                       
4. Задержка перегруза из-за несвоевременной подачи и уборки вагонов на перегрузочные места под погрузку и выгрузку                                                                                                                                                                                                                                                                       5. Нехватка погрузочно-разгрузочной техники                                                                                           
6. Неудовлетворительный клиентский сервис (порча грузов).                                                               
7. Задержка процесса во время сложных метеорологических условиях                 
8. Задержки в оформлении документов клиентов по зявкам                                                      
9. Инфраструктурное ограничение станций и терминалов                                                                                                 
10. Отсутствие вежливости работников при переговорах с клиентами                                        
11. Длительное рассмотрение обращений клиентов по проблемным вопросам          
12.Отсутствие квалифицированных кадров                 
13. Переток груза со ст. Достык на ст.Алтынколь из-за простоя             
14. Недостаточно эффективная система регулирования со стороны центрального аппарата и отсутствие долгосрочного видения по развитию Филиала, при условии ежегодного роста объемов перевозок через станцию Достык, а также отсутствие должной работы с собственником активов АО «KTZ Express» по модернизации производственных мощностей на ст. Алтынколь (контейнерная площадка-козловые краны) оказывают влияние на недополучение доходов и высокую степень износа основных средств, машин и механизмов</v>
      </c>
      <c r="O31" t="str">
        <f>'РЕЕСТР РИСКОВ_2023'!T80</f>
        <v>Недостаточно эффективная система регулирования со стороны центрального аппарата и отсутствие долгосрочного видения по развитию Филиала, при условии ежегодного роста объемов перевозок через станцию Достык, а также отсутствие должной работы с собственником активов АО «KTZ Express» по модернизации производственных мощностей Филиала повлияли на недополучение доходов и высокую степень износа основных средств, машин и механизмов, в том числе:
1) отсутствует Долгосрочный план мероприятий по обновлению производственных активов Филиала, а также ремонту и замене оборудования для перегруза;
2) капитальный ремонт и замена оборудования осуществляется только в рамках поддержки текущих мощностей терминалов в рабочем состоянии;
3) отсутствие Стратегии развития АО «Кедентранссервиса» прямо влияет на показатели долгосрочного планирования в Компании;
4) имеет место упущенная выгода и экономические потери в результате не проведённой работы по капитальному ремонту производственных мощностей Филиала</v>
      </c>
      <c r="P31">
        <f>IF('РЕЕСТР РИСКОВ_2023'!U80="",P30,'РЕЕСТР РИСКОВ_2023'!U80)</f>
        <v>0</v>
      </c>
      <c r="Q31" t="str">
        <f>IF('РЕЕСТР РИСКОВ_2023'!V80="",Q30,'РЕЕСТР РИСКОВ_2023'!V80)</f>
        <v>Возможности</v>
      </c>
      <c r="R31" t="str">
        <f>IF('РЕЕСТР РИСКОВ_2023'!W80="",R30,'РЕЕСТР РИСКОВ_2023'!W80)</f>
        <v>Выполнение плана по обьемным показателям (тыс.тонн), %
Простой (в сутках) на ПМ из-за конкурентов, влияние на доход
Процент удовлетворенности клиентов, %</v>
      </c>
      <c r="S31">
        <f>'РЕЕСТР РИСКОВ_2023'!X80</f>
        <v>0</v>
      </c>
      <c r="T31" s="94">
        <f>IF('INHERENT MAP'!$B$5=2021,'РЕЕСТР РИСКОВ_2023'!Y80,IF('INHERENT MAP'!$B$5=2022,#REF!,IF('INHERENT MAP'!$B$5=2023,#REF!,IF('INHERENT MAP'!$B$5=2024,#REF!,#REF!))))</f>
        <v>0.75</v>
      </c>
      <c r="U31">
        <f>IF('INHERENT MAP'!$B$5=2021,'РЕЕСТР РИСКОВ_2023'!Z80,IF('INHERENT MAP'!$B$5=2022,#REF!,IF('INHERENT MAP'!$B$5=2023,#REF!,IF('INHERENT MAP'!$B$5=2024,#REF!,#REF!))))</f>
        <v>-1.0000000000000001E-5</v>
      </c>
      <c r="V31">
        <f>IF('INHERENT MAP'!$B$5=2021,'РЕЕСТР РИСКОВ_2023'!AA80,IF('INHERENT MAP'!$B$5=2022,#REF!,IF('INHERENT MAP'!$B$5=2023,#REF!,IF('INHERENT MAP'!$B$5=2024,#REF!,#REF!))))</f>
        <v>-7.500000000000001E-6</v>
      </c>
      <c r="W31" t="str">
        <f>IF('INHERENT MAP'!$B$5=2021,'РЕЕСТР РИСКОВ_2023'!AB80,IF('INHERENT MAP'!$B$5=2022,#REF!,IF('INHERENT MAP'!$B$5=2023,#REF!,IF('INHERENT MAP'!$B$5=2024,#REF!,#REF!))))</f>
        <v xml:space="preserve">Плановые показатели по выручке  исполнены на 104%, план по операционной прибыли выполнен на 154%  выполнение объемов по перегрузу вагонов сложилось на уровне 362 тыс. тонн, по отношению к плану рост на +3% (за счет увеличения объема перегруза вагонов по станции Алтынколь в связи с ростом рынка вагонов), по перегрузу контейнеров объёмы выполнены на уровне планового показателя и составили 151 тыс. ДФЭ. 
Выручка по данному виду деятельности составила 5 370 млн. тенге, перевыполнение планового уровня на +4%, за счет роста объёмов в тоннаже и сезонного взимания сборов за крепление контейнеров по станции Бесколь, не предусмотренного планом продаж.
</v>
      </c>
      <c r="X31" s="94">
        <f>IF('INHERENT MAP'!$B$5=2021,'РЕЕСТР РИСКОВ_2023'!AC80,IF('INHERENT MAP'!$B$5=2022,#REF!,IF('INHERENT MAP'!$B$5=2023,#REF!,IF('INHERENT MAP'!$B$5=2024,#REF!,#REF!))))</f>
        <v>0</v>
      </c>
      <c r="Y31">
        <f>IF('INHERENT MAP'!$B$5=2021,'РЕЕСТР РИСКОВ_2023'!AD80,IF('INHERENT MAP'!$B$5=2022,#REF!,IF('INHERENT MAP'!$B$5=2023,#REF!,IF('INHERENT MAP'!$B$5=2024,#REF!,#REF!))))</f>
        <v>-7.500000000000001E-6</v>
      </c>
      <c r="Z31">
        <f>IF('INHERENT MAP'!$B$5=2021,'РЕЕСТР РИСКОВ_2023'!AE80,IF('INHERENT MAP'!$B$5=2022,#REF!,IF('INHERENT MAP'!$B$5=2023,#REF!,IF('INHERENT MAP'!$B$5=2024,#REF!,#REF!))))</f>
        <v>0</v>
      </c>
      <c r="AA31">
        <f>IF('INHERENT MAP'!$B$5=2021,'РЕЕСТР РИСКОВ_2023'!AF80,IF('INHERENT MAP'!$B$5=2022,#REF!,IF('INHERENT MAP'!$B$5=2023,#REF!,IF('INHERENT MAP'!$B$5=2024,#REF!,#REF!))))</f>
        <v>0</v>
      </c>
      <c r="AB31">
        <f>IF('INHERENT MAP'!$B$5=2021,'РЕЕСТР РИСКОВ_2023'!AG80,IF('INHERENT MAP'!$B$5=2022,#REF!,IF('INHERENT MAP'!$B$5=2023,#REF!,IF('INHERENT MAP'!$B$5=2024,#REF!,#REF!))))</f>
        <v>0</v>
      </c>
      <c r="AC31">
        <f>IF('INHERENT MAP'!$B$5=2021,'РЕЕСТР РИСКОВ_2023'!AH80,IF('INHERENT MAP'!$B$5=2022,#REF!,IF('INHERENT MAP'!$B$5=2023,#REF!,IF('INHERENT MAP'!$B$5=2024,#REF!,#REF!))))</f>
        <v>0</v>
      </c>
      <c r="AD31" t="str">
        <f>IF('INHERENT MAP'!$B$5=2021,'РЕЕСТР РИСКОВ_2023'!AI80,IF('INHERENT MAP'!$B$5=2022,#REF!,IF('INHERENT MAP'!$B$5=2023,#REF!,IF('INHERENT MAP'!$B$5=2024,#REF!,#REF!))))</f>
        <v xml:space="preserve">Обществом продолжается реализация проекта «Повышение эффективности деятельности терминалов» в рамках программы АО «НК «КТЖ» «Цифровая трансформация». В этих целях в текущем году уже внедрен «Тарифный калькулятор» (его функционал будет доработан с интеграцией CRM системой и Личным Кабинетом), запущен call-center (94-26-26), введен новый корпоративный сайт.До конца 2021 года для удобства клиентов и повышения прозрачности деятельности планируется внедрить CRM  платформу и Личный кабинет Клиента </v>
      </c>
      <c r="AE31" t="str">
        <f>IF('INHERENT MAP'!$B$5=2021,'РЕЕСТР РИСКОВ_2023'!AK80,IF('INHERENT MAP'!$B$5=2022,#REF!,IF('INHERENT MAP'!$B$5=2023,#REF!,IF('INHERENT MAP'!$B$5=2024,#REF!,#REF!))))</f>
        <v>КМТП,КМ</v>
      </c>
      <c r="AF31" t="str">
        <f>IF('INHERENT MAP'!$B$5=2021,'РЕЕСТР РИСКОВ_2023'!AL80,IF('INHERENT MAP'!$B$5=2022,#REF!,IF('INHERENT MAP'!$B$5=2023,#REF!,IF('INHERENT MAP'!$B$5=2024,#REF!,#REF!))))</f>
        <v>2023 год</v>
      </c>
      <c r="AG31" t="str">
        <f>IF('INHERENT MAP'!$B$5=2021,'РЕЕСТР РИСКОВ_2023'!AM80,IF('INHERENT MAP'!$B$5=2022,#REF!,IF('INHERENT MAP'!$B$5=2023,#REF!,IF('INHERENT MAP'!$B$5=2024,#REF!,#REF!))))</f>
        <v>средняя</v>
      </c>
      <c r="AH31">
        <f>IF('INHERENT MAP'!$B$5=2021,'РЕЕСТР РИСКОВ_2023'!AN80,IF('INHERENT MAP'!$B$5=2022,#REF!,IF('INHERENT MAP'!$B$5=2023,#REF!,IF('INHERENT MAP'!$B$5=2024,#REF!,#REF!))))</f>
        <v>0.375</v>
      </c>
      <c r="AI31">
        <f>IF('INHERENT MAP'!$B$5=2021,'РЕЕСТР РИСКОВ_2023'!AO80,IF('INHERENT MAP'!$B$5=2022,#REF!,IF('INHERENT MAP'!$B$5=2023,#REF!,IF('INHERENT MAP'!$B$5=2024,#REF!,#REF!))))</f>
        <v>-5.0000000000000004E-6</v>
      </c>
      <c r="AJ31">
        <f>IF('INHERENT MAP'!$B$5=2021,'РЕЕСТР РИСКОВ_2023'!AP80,IF('INHERENT MAP'!$B$5=2022,#REF!,IF('INHERENT MAP'!$B$5=2023,#REF!,IF('INHERENT MAP'!$B$5=2024,#REF!,#REF!))))</f>
        <v>-1.8750000000000003E-6</v>
      </c>
      <c r="AK31">
        <f>IF('РЕЕСТР РИСКОВ_2023'!AQ80="",AK30,'РЕЕСТР РИСКОВ_2023'!AQ80)</f>
        <v>-3.7500000000000005E-6</v>
      </c>
      <c r="AL31">
        <f>IF('РЕЕСТР РИСКОВ_2023'!AR80="",AL30,'РЕЕСТР РИСКОВ_2023'!AR80)</f>
        <v>0.76050422839874887</v>
      </c>
      <c r="AM31">
        <f>IF('РЕЕСТР РИСКОВ_2023'!AS80="",AM30,'РЕЕСТР РИСКОВ_2023'!AS80)</f>
        <v>-1.8750000000000003E-6</v>
      </c>
      <c r="AN31">
        <f>IF('РЕЕСТР РИСКОВ_2023'!AT80="",AN30,'РЕЕСТР РИСКОВ_2023'!AT80)</f>
        <v>-3.7500000000000005E-6</v>
      </c>
      <c r="AO31">
        <f>IF('РЕЕСТР РИСКОВ_2023'!AU80="",AO30,'РЕЕСТР РИСКОВ_2023'!AU80)</f>
        <v>0</v>
      </c>
    </row>
    <row r="32" spans="2:41">
      <c r="B32" t="str">
        <f>IF('INHERENT MAP'!$B$5=2021,IF('РЕЕСТР РИСКОВ_2023'!F81="",B31,'РЕЕСТР РИСКОВ_2023'!F81),IF('INHERENT MAP'!$B$5=2022,IF(#REF!="",B31,#REF!),IF('INHERENT MAP'!$B$5=2023,IF(#REF!="",B31,#REF!),IF('INHERENT MAP'!$B$5=2024,IF(#REF!="",B31,#REF!),IF('РЕЕСТР РИСКОВ_2023'!F81="",B31,'РЕЕСТР РИСКОВ_2023'!F81)))))</f>
        <v>РИСК ГРУЗООБОРОТА</v>
      </c>
      <c r="C32" t="str">
        <f>IF('INHERENT MAP'!$B$5=2021,IF('РЕЕСТР РИСКОВ_2023'!G81="",C31,'РЕЕСТР РИСКОВ_2023'!G81),IF('INHERENT MAP'!$B$5=2022,IF(#REF!="",C31,#REF!),IF('INHERENT MAP'!$B$5=2023,IF(#REF!="",C31,#REF!),IF('INHERENT MAP'!$B$5=2024,IF(#REF!="",C31,#REF!),IF('РЕЕСТР РИСКОВ_2023'!G81="",C31,'РЕЕСТР РИСКОВ_2023'!G81)))))</f>
        <v>- ХХХ млн. тенге</v>
      </c>
      <c r="D32" t="str">
        <f>IF('INHERENT MAP'!$B$5=2021,IF('РЕЕСТР РИСКОВ_2023'!H81="",D31,'РЕЕСТР РИСКОВ_2023'!H81),IF('INHERENT MAP'!$B$5=2022,IF(#REF!="",D31,#REF!),IF('INHERENT MAP'!$B$5=2023,IF(#REF!="",D31,#REF!),IF('INHERENT MAP'!$B$5=2024,IF(#REF!="",D31,#REF!),IF('РЕЕСТР РИСКОВ_2023'!H81="",D31,'РЕЕСТР РИСКОВ_2023'!H81)))))</f>
        <v>CTR-5</v>
      </c>
      <c r="E32" t="str">
        <f>IF('INHERENT MAP'!$B$5=2021,IF('РЕЕСТР РИСКОВ_2023'!I81="",E31,'РЕЕСТР РИСКОВ_2023'!I81),IF('INHERENT MAP'!$B$5=2022,IF(#REF!="",E31,#REF!),IF('INHERENT MAP'!$B$5=2023,IF(#REF!="",E31,#REF!),IF('INHERENT MAP'!$B$5=2024,IF(#REF!="",E31,#REF!),IF('РЕЕСТР РИСКОВ_2023'!I81="",E31,'РЕЕСТР РИСКОВ_2023'!I81)))))</f>
        <v>ЦЗЛ</v>
      </c>
      <c r="F32" t="str">
        <f>IF('INHERENT MAP'!$B$5=2021,IF('РЕЕСТР РИСКОВ_2023'!J81="",F31,'РЕЕСТР РИСКОВ_2023'!J81),IF('INHERENT MAP'!$B$5=2022,IF(#REF!="",F31,#REF!),IF('INHERENT MAP'!$B$5=2023,IF(#REF!="",F31,#REF!),IF('INHERENT MAP'!$B$5=2024,IF(#REF!="",F31,#REF!),IF('РЕЕСТР РИСКОВ_2023'!J81="",F31,'РЕЕСТР РИСКОВ_2023'!J81)))))</f>
        <v>АО "Кедентранссервис"</v>
      </c>
      <c r="G32" t="str">
        <f>IF('INHERENT MAP'!$B$5=2021,IF('РЕЕСТР РИСКОВ_2023'!K81="",G31,'РЕЕСТР РИСКОВ_2023'!K81),IF('INHERENT MAP'!$B$5=2022,IF(#REF!="",G31,#REF!),IF('INHERENT MAP'!$B$5=2023,IF(#REF!="",G31,#REF!),IF('INHERENT MAP'!$B$5=2024,IF(#REF!="",G31,#REF!),IF('РЕЕСТР РИСКОВ_2023'!K81="",G31,'РЕЕСТР РИСКОВ_2023'!K81)))))</f>
        <v>Риски, связанные с  перегрузочной деятельностью на МГСП</v>
      </c>
      <c r="H32">
        <f>IF('INHERENT MAP'!$B$5=2021,'РЕЕСТР РИСКОВ_2023'!L81,IF('INHERENT MAP'!$B$5=2022,#REF!,IF('INHERENT MAP'!$B$5=2023,#REF!,IF('INHERENT MAP'!$B$5=2024,#REF!,#REF!))))</f>
        <v>0</v>
      </c>
      <c r="I32">
        <f>IF('INHERENT MAP'!$B$5=2021,'РЕЕСТР РИСКОВ_2023'!M81,IF('INHERENT MAP'!$B$5=2022,#REF!,IF('INHERENT MAP'!$B$5=2023,#REF!,IF('INHERENT MAP'!$B$5=2024,#REF!,#REF!))))</f>
        <v>0</v>
      </c>
      <c r="J32">
        <f>IF('INHERENT MAP'!$B$5=2021,'РЕЕСТР РИСКОВ_2023'!N81,IF('INHERENT MAP'!$B$5=2022,#REF!,IF('INHERENT MAP'!$B$5=2023,#REF!,IF('INHERENT MAP'!$B$5=2024,#REF!,#REF!))))</f>
        <v>0</v>
      </c>
      <c r="K32">
        <f>IF('INHERENT MAP'!$B$5=2021,'РЕЕСТР РИСКОВ_2023'!O81,IF('INHERENT MAP'!$B$5=2022,#REF!,IF('INHERENT MAP'!$B$5=2023,#REF!,IF('INHERENT MAP'!$B$5=2024,#REF!,#REF!))))</f>
        <v>0</v>
      </c>
      <c r="L32">
        <f>IF('INHERENT MAP'!$B$5=2021,'РЕЕСТР РИСКОВ_2023'!P81,IF('INHERENT MAP'!$B$5=2022,#REF!,IF('INHERENT MAP'!$B$5=2023,#REF!,IF('INHERENT MAP'!$B$5=2024,#REF!,#REF!))))</f>
        <v>0</v>
      </c>
      <c r="M32" t="str">
        <f>IF('INHERENT MAP'!$B$5=2021,IF('РЕЕСТР РИСКОВ_2023'!Q81="",M31,'РЕЕСТР РИСКОВ_2023'!Q81),IF('INHERENT MAP'!$B$5=2022,IF(#REF!="",M31,#REF!),IF('INHERENT MAP'!$B$5=2023,IF(#REF!="",M31,#REF!),IF('INHERENT MAP'!$B$5=2024,IF(#REF!="",M31,#REF!),IF('РЕЕСТР РИСКОВ_2023'!Q81="",M31,'РЕЕСТР РИСКОВ_2023'!Q81)))))</f>
        <v>Техническая готовности техники и инфраструктуры перегрузочных терминалов</v>
      </c>
      <c r="N32" t="str">
        <f>IF('INHERENT MAP'!$B$5=2021,IF('РЕЕСТР РИСКОВ_2023'!R81="",N31,'РЕЕСТР РИСКОВ_2023'!R81),IF('INHERENT MAP'!$B$5=2022,IF(#REF!="",N31,#REF!),IF('INHERENT MAP'!$B$5=2023,IF(#REF!="",N31,#REF!),IF('INHERENT MAP'!$B$5=2024,IF(#REF!="",N31,#REF!),IF('РЕЕСТР РИСКОВ_2023'!R81="",N31,'РЕЕСТР РИСКОВ_2023'!R81)))))</f>
        <v xml:space="preserve">Необходимость увеличения перегрузочных мощностей на ст. Достык и Алтынколь (износ 51%, реконструкция перегрузочных площадок и обновление погрузочной техники)
1. Недостаточные объемы инвестиций на модернизацию/обновления перегрузочной техники и технических средств
2. Не своевременная поставка перегрузочной техники согласно инвестиционной программы.
3. Не проведение капитального ремонта перегрузочной техники с истекшим сроком службы                                                                                                                                                                                                                                                                                                                                                                                       4. Отсутствие  обеспечения необходимыми запасными частями и материалами перегрузочной техники и механизмов (простой). Несвоевременная поставка реквизитов крепления и ТМЦ.                                                                        
5. Неэффективное использование перегрузочной техники и технических средств (простой).
6.  Случаи списания техники по техническому состоянию                                                                                                                    
7. Случаи повышения закупочных цен на комплектующие, аренду, ремонт и т.д.                                                                                                         
8. Аварийное состояние зданий и сооружений перегрузочных мест.  Неисправность перегрузочной техники и механизмов;                                                                                                          
9. Низкоквалифицированный персонал;                                                                                             
10. Нарушение условий охраны труда и техники безопасности.                                                                                               
11. Несвоевременное проведение весенних и осенних комиссионных осмотров зданий и сооружений перегрузочных мест, ж/д подъездных путей;                              
12. Отсутствие постоянного контроля за выполнением технического обслуживания перегрузочной техники и механизмов;
13. Отсутствие или несвоевременное межсезонные технические обслуживания и обеспечения необходимыми запасными частями и материалами перегрузочной техники и механизмов;
14. Отсутствие технических занятий по качественному перегрузу и сохранности грузов.     
15.  Нехватка порожних вагонов под перегруз                                                                                                   
16.  Несвоевременная организация подачи/уборки вагонов с перегрузочных мест станцией                                                       
</v>
      </c>
      <c r="O32">
        <f>'РЕЕСТР РИСКОВ_2023'!T81</f>
        <v>0</v>
      </c>
      <c r="P32">
        <f>IF('РЕЕСТР РИСКОВ_2023'!U81="",P31,'РЕЕСТР РИСКОВ_2023'!U81)</f>
        <v>0</v>
      </c>
      <c r="Q32" t="str">
        <f>IF('РЕЕСТР РИСКОВ_2023'!V81="",Q31,'РЕЕСТР РИСКОВ_2023'!V81)</f>
        <v>Слабые стороны</v>
      </c>
      <c r="R32" t="str">
        <f>IF('РЕЕСТР РИСКОВ_2023'!W81="",R31,'РЕЕСТР РИСКОВ_2023'!W81)</f>
        <v>Коэффициент технической готовности, %
Процент использования ПМ, %  (влияние)</v>
      </c>
      <c r="S32">
        <f>'РЕЕСТР РИСКОВ_2023'!X81</f>
        <v>0</v>
      </c>
      <c r="T32" s="94">
        <f>IF('INHERENT MAP'!$B$5=2021,'РЕЕСТР РИСКОВ_2023'!Y81,IF('INHERENT MAP'!$B$5=2022,#REF!,IF('INHERENT MAP'!$B$5=2023,#REF!,IF('INHERENT MAP'!$B$5=2024,#REF!,#REF!))))</f>
        <v>0.7</v>
      </c>
      <c r="U32">
        <f>IF('INHERENT MAP'!$B$5=2021,'РЕЕСТР РИСКОВ_2023'!Z81,IF('INHERENT MAP'!$B$5=2022,#REF!,IF('INHERENT MAP'!$B$5=2023,#REF!,IF('INHERENT MAP'!$B$5=2024,#REF!,#REF!))))</f>
        <v>-1427</v>
      </c>
      <c r="V32">
        <f>IF('INHERENT MAP'!$B$5=2021,'РЕЕСТР РИСКОВ_2023'!AA81,IF('INHERENT MAP'!$B$5=2022,#REF!,IF('INHERENT MAP'!$B$5=2023,#REF!,IF('INHERENT MAP'!$B$5=2024,#REF!,#REF!))))</f>
        <v>-998.9</v>
      </c>
      <c r="W32" t="str">
        <f>IF('INHERENT MAP'!$B$5=2021,'РЕЕСТР РИСКОВ_2023'!AB81,IF('INHERENT MAP'!$B$5=2022,#REF!,IF('INHERENT MAP'!$B$5=2023,#REF!,IF('INHERENT MAP'!$B$5=2024,#REF!,#REF!))))</f>
        <v xml:space="preserve">Текущая загруженность перегрузочных площадок составляет по контейнерам 79% и вагонам 11% по ст. Достык и по контейнерам 11% и вагонам 8% по ст. Алтынколь.Текущая загруженность перегрузочных площадок составляет по контейнерам 79% и вагонам 11% по ст. Достык и по контейнерам 11% и вагонам 8% по ст. Алтынколь. Справочно: неиспользованные мощности площадок Общества на станции Достык превышают 12 000 ДФЭ в месяц, перегрузочная мощность ПМ 4А станции Достык составляет 1000 контейнеров (ДФЭ) в сутки при бесперебойной подаче вагонов на терминал (11 поездов\сут.).
Мощность контейнерного терминала по станции Алтынколь составляет 1500 контейнеров в ДФЭ в сутки при фактической среднесуточной загруженности - 1 поезд или 73 контейнера (при бесперебойной подаче вагонов на терминал (в сутки 15 поездов). 
В связи с прекращением эксплуатации с 07 августа 2020 года перегрузочного места ПМ4Б на станции Достык возникает риск потери дохода Общества в 2021 году оценочно в 1 313 млн. тенге. 
При этом, за счет переориентации объема перегруза контейнеров на перегрузочное место ПМ 4А (открытого типа) доход в 2020 году составил 2 724 млн. тенге, ч к 2019 году показывает рост +1 189 млн. тенге или +77%.
В случае прекращения эксплуатации перегрузочного места ПМ5 с июля 2021 года возникает риск потери дохода Общества в 2021 году оценочно в размере 114 млн. тенге.
</v>
      </c>
      <c r="X32" s="94">
        <f>IF('INHERENT MAP'!$B$5=2021,'РЕЕСТР РИСКОВ_2023'!AC81,IF('INHERENT MAP'!$B$5=2022,#REF!,IF('INHERENT MAP'!$B$5=2023,#REF!,IF('INHERENT MAP'!$B$5=2024,#REF!,#REF!))))</f>
        <v>0</v>
      </c>
      <c r="Y32">
        <f>IF('INHERENT MAP'!$B$5=2021,'РЕЕСТР РИСКОВ_2023'!AD81,IF('INHERENT MAP'!$B$5=2022,#REF!,IF('INHERENT MAP'!$B$5=2023,#REF!,IF('INHERENT MAP'!$B$5=2024,#REF!,#REF!))))</f>
        <v>-998.9</v>
      </c>
      <c r="Z32">
        <f>IF('INHERENT MAP'!$B$5=2021,'РЕЕСТР РИСКОВ_2023'!AE81,IF('INHERENT MAP'!$B$5=2022,#REF!,IF('INHERENT MAP'!$B$5=2023,#REF!,IF('INHERENT MAP'!$B$5=2024,#REF!,#REF!))))</f>
        <v>0</v>
      </c>
      <c r="AA32">
        <f>IF('INHERENT MAP'!$B$5=2021,'РЕЕСТР РИСКОВ_2023'!AF81,IF('INHERENT MAP'!$B$5=2022,#REF!,IF('INHERENT MAP'!$B$5=2023,#REF!,IF('INHERENT MAP'!$B$5=2024,#REF!,#REF!))))</f>
        <v>0</v>
      </c>
      <c r="AB32">
        <f>IF('INHERENT MAP'!$B$5=2021,'РЕЕСТР РИСКОВ_2023'!AG81,IF('INHERENT MAP'!$B$5=2022,#REF!,IF('INHERENT MAP'!$B$5=2023,#REF!,IF('INHERENT MAP'!$B$5=2024,#REF!,#REF!))))</f>
        <v>0</v>
      </c>
      <c r="AC32">
        <f>IF('INHERENT MAP'!$B$5=2021,'РЕЕСТР РИСКОВ_2023'!AH81,IF('INHERENT MAP'!$B$5=2022,#REF!,IF('INHERENT MAP'!$B$5=2023,#REF!,IF('INHERENT MAP'!$B$5=2024,#REF!,#REF!))))</f>
        <v>0</v>
      </c>
      <c r="AD32" t="str">
        <f>IF('INHERENT MAP'!$B$5=2021,'РЕЕСТР РИСКОВ_2023'!AI81,IF('INHERENT MAP'!$B$5=2022,#REF!,IF('INHERENT MAP'!$B$5=2023,#REF!,IF('INHERENT MAP'!$B$5=2024,#REF!,#REF!))))</f>
        <v>1. Капитальный ремонт крупногабаритной площадки ГУ Алтынколь                                                                                                                  1.1. Договор о закупке работ                                                                                                                     1.2. Акт выполненных работ                                                                                                                  2. Техническое обслуживание и ремонт (краны, погрузчики,  автотранспорт, спец.техника и др.)                                                                                                                          2.1. Договор о закупке работ                                                                                                                   2.2. Акт выполненных работ                                                                            3. Техническое обслуживание и ремонт трансформаторных подстанции                                                                                          3.1. Договор о закупке работ                                                                          3.2. Акт выполненных работ</v>
      </c>
      <c r="AE32" t="str">
        <f>IF('INHERENT MAP'!$B$5=2021,'РЕЕСТР РИСКОВ_2023'!AK81,IF('INHERENT MAP'!$B$5=2022,#REF!,IF('INHERENT MAP'!$B$5=2023,#REF!,IF('INHERENT MAP'!$B$5=2024,#REF!,#REF!))))</f>
        <v>Кинвест,КТ,КМТС</v>
      </c>
      <c r="AF32" t="str">
        <f>IF('INHERENT MAP'!$B$5=2021,'РЕЕСТР РИСКОВ_2023'!AL81,IF('INHERENT MAP'!$B$5=2022,#REF!,IF('INHERENT MAP'!$B$5=2023,#REF!,IF('INHERENT MAP'!$B$5=2024,#REF!,#REF!))))</f>
        <v xml:space="preserve">1.1., 2.1., 3.1. - 2 квартал 2022г.                           1.2., 2.2., 3.2. - 4 квартал 2022г.                                    </v>
      </c>
      <c r="AG32" t="str">
        <f>IF('INHERENT MAP'!$B$5=2021,'РЕЕСТР РИСКОВ_2023'!AM81,IF('INHERENT MAP'!$B$5=2022,#REF!,IF('INHERENT MAP'!$B$5=2023,#REF!,IF('INHERENT MAP'!$B$5=2024,#REF!,#REF!))))</f>
        <v>средняя</v>
      </c>
      <c r="AH32">
        <f>IF('INHERENT MAP'!$B$5=2021,'РЕЕСТР РИСКОВ_2023'!AN81,IF('INHERENT MAP'!$B$5=2022,#REF!,IF('INHERENT MAP'!$B$5=2023,#REF!,IF('INHERENT MAP'!$B$5=2024,#REF!,#REF!))))</f>
        <v>0.35</v>
      </c>
      <c r="AI32">
        <f>IF('INHERENT MAP'!$B$5=2021,'РЕЕСТР РИСКОВ_2023'!AO81,IF('INHERENT MAP'!$B$5=2022,#REF!,IF('INHERENT MAP'!$B$5=2023,#REF!,IF('INHERENT MAP'!$B$5=2024,#REF!,#REF!))))</f>
        <v>-713.5</v>
      </c>
      <c r="AJ32">
        <f>IF('INHERENT MAP'!$B$5=2021,'РЕЕСТР РИСКОВ_2023'!AP81,IF('INHERENT MAP'!$B$5=2022,#REF!,IF('INHERENT MAP'!$B$5=2023,#REF!,IF('INHERENT MAP'!$B$5=2024,#REF!,#REF!))))</f>
        <v>-249.72499999999999</v>
      </c>
      <c r="AK32">
        <f>IF('РЕЕСТР РИСКОВ_2023'!AQ81="",AK31,'РЕЕСТР РИСКОВ_2023'!AQ81)</f>
        <v>-499.45</v>
      </c>
      <c r="AL32">
        <f>IF('РЕЕСТР РИСКОВ_2023'!AR81="",AL31,'РЕЕСТР РИСКОВ_2023'!AR81)</f>
        <v>0.76050422839874887</v>
      </c>
      <c r="AM32">
        <f>IF('РЕЕСТР РИСКОВ_2023'!AS81="",AM31,'РЕЕСТР РИСКОВ_2023'!AS81)</f>
        <v>-249.72499999999999</v>
      </c>
      <c r="AN32">
        <f>IF('РЕЕСТР РИСКОВ_2023'!AT81="",AN31,'РЕЕСТР РИСКОВ_2023'!AT81)</f>
        <v>-499.45</v>
      </c>
      <c r="AO32">
        <f>IF('РЕЕСТР РИСКОВ_2023'!AU81="",AO31,'РЕЕСТР РИСКОВ_2023'!AU81)</f>
        <v>0</v>
      </c>
    </row>
    <row r="33" spans="2:41">
      <c r="B33" t="str">
        <f>IF('INHERENT MAP'!$B$5=2021,IF('РЕЕСТР РИСКОВ_2023'!F82="",B32,'РЕЕСТР РИСКОВ_2023'!F82),IF('INHERENT MAP'!$B$5=2022,IF(#REF!="",B32,#REF!),IF('INHERENT MAP'!$B$5=2023,IF(#REF!="",B32,#REF!),IF('INHERENT MAP'!$B$5=2024,IF(#REF!="",B32,#REF!),IF('РЕЕСТР РИСКОВ_2023'!F82="",B32,'РЕЕСТР РИСКОВ_2023'!F82)))))</f>
        <v>РИСК ГРУЗООБОРОТА</v>
      </c>
      <c r="C33" t="str">
        <f>IF('INHERENT MAP'!$B$5=2021,IF('РЕЕСТР РИСКОВ_2023'!G82="",C32,'РЕЕСТР РИСКОВ_2023'!G82),IF('INHERENT MAP'!$B$5=2022,IF(#REF!="",C32,#REF!),IF('INHERENT MAP'!$B$5=2023,IF(#REF!="",C32,#REF!),IF('INHERENT MAP'!$B$5=2024,IF(#REF!="",C32,#REF!),IF('РЕЕСТР РИСКОВ_2023'!G82="",C32,'РЕЕСТР РИСКОВ_2023'!G82)))))</f>
        <v>- ХХХ млн. тенге</v>
      </c>
      <c r="D33" t="str">
        <f>IF('INHERENT MAP'!$B$5=2021,IF('РЕЕСТР РИСКОВ_2023'!H82="",D32,'РЕЕСТР РИСКОВ_2023'!H82),IF('INHERENT MAP'!$B$5=2022,IF(#REF!="",D32,#REF!),IF('INHERENT MAP'!$B$5=2023,IF(#REF!="",D32,#REF!),IF('INHERENT MAP'!$B$5=2024,IF(#REF!="",D32,#REF!),IF('РЕЕСТР РИСКОВ_2023'!H82="",D32,'РЕЕСТР РИСКОВ_2023'!H82)))))</f>
        <v>CTR-6</v>
      </c>
      <c r="E33" t="str">
        <f>IF('INHERENT MAP'!$B$5=2021,IF('РЕЕСТР РИСКОВ_2023'!I82="",E32,'РЕЕСТР РИСКОВ_2023'!I82),IF('INHERENT MAP'!$B$5=2022,IF(#REF!="",E32,#REF!),IF('INHERENT MAP'!$B$5=2023,IF(#REF!="",E32,#REF!),IF('INHERENT MAP'!$B$5=2024,IF(#REF!="",E32,#REF!),IF('РЕЕСТР РИСКОВ_2023'!I82="",E32,'РЕЕСТР РИСКОВ_2023'!I82)))))</f>
        <v>ЦЗЛ</v>
      </c>
      <c r="F33" t="str">
        <f>IF('INHERENT MAP'!$B$5=2021,IF('РЕЕСТР РИСКОВ_2023'!J82="",F32,'РЕЕСТР РИСКОВ_2023'!J82),IF('INHERENT MAP'!$B$5=2022,IF(#REF!="",F32,#REF!),IF('INHERENT MAP'!$B$5=2023,IF(#REF!="",F32,#REF!),IF('INHERENT MAP'!$B$5=2024,IF(#REF!="",F32,#REF!),IF('РЕЕСТР РИСКОВ_2023'!J82="",F32,'РЕЕСТР РИСКОВ_2023'!J82)))))</f>
        <v>АО "Кедентранссервис"</v>
      </c>
      <c r="G33" t="str">
        <f>IF('INHERENT MAP'!$B$5=2021,IF('РЕЕСТР РИСКОВ_2023'!K82="",G32,'РЕЕСТР РИСКОВ_2023'!K82),IF('INHERENT MAP'!$B$5=2022,IF(#REF!="",G32,#REF!),IF('INHERENT MAP'!$B$5=2023,IF(#REF!="",G32,#REF!),IF('INHERENT MAP'!$B$5=2024,IF(#REF!="",G32,#REF!),IF('РЕЕСТР РИСКОВ_2023'!K82="",G32,'РЕЕСТР РИСКОВ_2023'!K82)))))</f>
        <v>Риски, связанные с обработкой грузов на региональных терминалах</v>
      </c>
      <c r="H33">
        <f>IF('INHERENT MAP'!$B$5=2021,'РЕЕСТР РИСКОВ_2023'!L82,IF('INHERENT MAP'!$B$5=2022,#REF!,IF('INHERENT MAP'!$B$5=2023,#REF!,IF('INHERENT MAP'!$B$5=2024,#REF!,#REF!))))</f>
        <v>0</v>
      </c>
      <c r="I33">
        <f>IF('INHERENT MAP'!$B$5=2021,'РЕЕСТР РИСКОВ_2023'!M82,IF('INHERENT MAP'!$B$5=2022,#REF!,IF('INHERENT MAP'!$B$5=2023,#REF!,IF('INHERENT MAP'!$B$5=2024,#REF!,#REF!))))</f>
        <v>4293.05</v>
      </c>
      <c r="J33">
        <f>IF('INHERENT MAP'!$B$5=2021,'РЕЕСТР РИСКОВ_2023'!N82,IF('INHERENT MAP'!$B$5=2022,#REF!,IF('INHERENT MAP'!$B$5=2023,#REF!,IF('INHERENT MAP'!$B$5=2024,#REF!,#REF!))))</f>
        <v>0</v>
      </c>
      <c r="K33">
        <f>IF('INHERENT MAP'!$B$5=2021,'РЕЕСТР РИСКОВ_2023'!O82,IF('INHERENT MAP'!$B$5=2022,#REF!,IF('INHERENT MAP'!$B$5=2023,#REF!,IF('INHERENT MAP'!$B$5=2024,#REF!,#REF!))))</f>
        <v>3882</v>
      </c>
      <c r="L33">
        <f>IF('INHERENT MAP'!$B$5=2021,'РЕЕСТР РИСКОВ_2023'!P82,IF('INHERENT MAP'!$B$5=2022,#REF!,IF('INHERENT MAP'!$B$5=2023,#REF!,IF('INHERENT MAP'!$B$5=2024,#REF!,#REF!))))</f>
        <v>4518.9999950974998</v>
      </c>
      <c r="M33" t="str">
        <f>IF('INHERENT MAP'!$B$5=2021,IF('РЕЕСТР РИСКОВ_2023'!Q82="",M32,'РЕЕСТР РИСКОВ_2023'!Q82),IF('INHERENT MAP'!$B$5=2022,IF(#REF!="",M32,#REF!),IF('INHERENT MAP'!$B$5=2023,IF(#REF!="",M32,#REF!),IF('INHERENT MAP'!$B$5=2024,IF(#REF!="",M32,#REF!),IF('РЕЕСТР РИСКОВ_2023'!Q82="",M32,'РЕЕСТР РИСКОВ_2023'!Q82)))))</f>
        <v>Риск конкуренции на рынке услуг по терминальной обработке грузов</v>
      </c>
      <c r="N33" t="str">
        <f>IF('INHERENT MAP'!$B$5=2021,IF('РЕЕСТР РИСКОВ_2023'!R82="",N32,'РЕЕСТР РИСКОВ_2023'!R82),IF('INHERENT MAP'!$B$5=2022,IF(#REF!="",N32,#REF!),IF('INHERENT MAP'!$B$5=2023,IF(#REF!="",N32,#REF!),IF('INHERENT MAP'!$B$5=2024,IF(#REF!="",N32,#REF!),IF('РЕЕСТР РИСКОВ_2023'!R82="",N32,'РЕЕСТР РИСКОВ_2023'!R82)))))</f>
        <v xml:space="preserve">                                                                                                                                                                                                                                                                                                                                                                                                                                      1. Завышенные тарифы в сравнении с конкурентами, в том числе за счет АО «Центр транспортного сервиса" по КФ Астана                                                                                                                                                                                                                                                                                                                                                                2. Отсутствие таможенного представителя, в том числе инспектора фито-санитарного осмотра                                                                                                                                                                                                                                                                                                                                                                         3. Отсутствие возможности филиалам самостоятельно предоставлять льготы  клиентам для оперативного обслуживания                                                                                                                                                                                                                                                                          4.Неудовлетворительный клиентский сервис из-за плохой инфраструктуры терминалов (склады, дороги территории).                                                                                                                                                        5. Снижение цен на рынке аналогичных услуг конкурирующими терминалами:                                                                                                                                                                                                                                                                                                                                                                                                 
- на услуги по терминальной обработке вагонов
- на услуги по терминальной обработке контейнеров  
6.    Отток клиентов к другим услугодателям                                              
7.Увеличение/уменьшение доли рынка по ПРР                                                                   
8. Увеличение расходов соиполнителей (услугодателей)                                                                              </v>
      </c>
      <c r="O33">
        <f>'РЕЕСТР РИСКОВ_2023'!T82</f>
        <v>0</v>
      </c>
      <c r="P33">
        <f>IF('РЕЕСТР РИСКОВ_2023'!U82="",P32,'РЕЕСТР РИСКОВ_2023'!U82)</f>
        <v>0</v>
      </c>
      <c r="Q33" t="str">
        <f>IF('РЕЕСТР РИСКОВ_2023'!V82="",Q32,'РЕЕСТР РИСКОВ_2023'!V82)</f>
        <v>Угроза</v>
      </c>
      <c r="R33" t="str">
        <f>IF('РЕЕСТР РИСКОВ_2023'!W82="",R32,'РЕЕСТР РИСКОВ_2023'!W82)</f>
        <v xml:space="preserve">Влияние снижения доли рынка ПРР на доходность             </v>
      </c>
      <c r="S33" t="str">
        <f>'РЕЕСТР РИСКОВ_2023'!X82</f>
        <v xml:space="preserve">Доля КДТС на рынке переработки вагонов, 4,8%   Доля КДТС на рынке переработки контейнеров, 37% </v>
      </c>
      <c r="T33" s="94">
        <f>IF('INHERENT MAP'!$B$5=2021,'РЕЕСТР РИСКОВ_2023'!Y82,IF('INHERENT MAP'!$B$5=2022,#REF!,IF('INHERENT MAP'!$B$5=2023,#REF!,IF('INHERENT MAP'!$B$5=2024,#REF!,#REF!))))</f>
        <v>0.7</v>
      </c>
      <c r="U33">
        <f>IF('INHERENT MAP'!$B$5=2021,'РЕЕСТР РИСКОВ_2023'!Z82,IF('INHERENT MAP'!$B$5=2022,#REF!,IF('INHERENT MAP'!$B$5=2023,#REF!,IF('INHERENT MAP'!$B$5=2024,#REF!,#REF!))))</f>
        <v>0</v>
      </c>
      <c r="V33">
        <f>IF('INHERENT MAP'!$B$5=2021,'РЕЕСТР РИСКОВ_2023'!AA82,IF('INHERENT MAP'!$B$5=2022,#REF!,IF('INHERENT MAP'!$B$5=2023,#REF!,IF('INHERENT MAP'!$B$5=2024,#REF!,#REF!))))</f>
        <v>0</v>
      </c>
      <c r="W33" t="str">
        <f>IF('INHERENT MAP'!$B$5=2021,'РЕЕСТР РИСКОВ_2023'!AB82,IF('INHERENT MAP'!$B$5=2022,#REF!,IF('INHERENT MAP'!$B$5=2023,#REF!,IF('INHERENT MAP'!$B$5=2024,#REF!,#REF!))))</f>
        <v>Доля на рынке по терминальным услугам в РК – 35% по контейнерам и 6,3% по вагонам. По вагонам по сравнению с 2020 годом произошло снижение доли на -6%. Объёмные показатели по переработке вагонов составили 657 тыс. тонн, неисполнение планового уровня на (-15%), также на снижение объёмов повлияло падение рынка к плану на (-41%), что отрицательно сказалось на исполнение показателей по выручке</v>
      </c>
      <c r="X33" s="94">
        <f>IF('INHERENT MAP'!$B$5=2021,'РЕЕСТР РИСКОВ_2023'!AC82,IF('INHERENT MAP'!$B$5=2022,#REF!,IF('INHERENT MAP'!$B$5=2023,#REF!,IF('INHERENT MAP'!$B$5=2024,#REF!,#REF!))))</f>
        <v>0.72499999999999998</v>
      </c>
      <c r="Y33">
        <f>IF('INHERENT MAP'!$B$5=2021,'РЕЕСТР РИСКОВ_2023'!AD82,IF('INHERENT MAP'!$B$5=2022,#REF!,IF('INHERENT MAP'!$B$5=2023,#REF!,IF('INHERENT MAP'!$B$5=2024,#REF!,#REF!))))</f>
        <v>-502</v>
      </c>
      <c r="Z33">
        <f>IF('INHERENT MAP'!$B$5=2021,'РЕЕСТР РИСКОВ_2023'!AE82,IF('INHERENT MAP'!$B$5=2022,#REF!,IF('INHERENT MAP'!$B$5=2023,#REF!,IF('INHERENT MAP'!$B$5=2024,#REF!,#REF!))))</f>
        <v>-363.95</v>
      </c>
      <c r="AA33">
        <f>IF('INHERENT MAP'!$B$5=2021,'РЕЕСТР РИСКОВ_2023'!AF82,IF('INHERENT MAP'!$B$5=2022,#REF!,IF('INHERENT MAP'!$B$5=2023,#REF!,IF('INHERENT MAP'!$B$5=2024,#REF!,#REF!))))</f>
        <v>0</v>
      </c>
      <c r="AB33">
        <f>IF('INHERENT MAP'!$B$5=2021,'РЕЕСТР РИСКОВ_2023'!AG82,IF('INHERENT MAP'!$B$5=2022,#REF!,IF('INHERENT MAP'!$B$5=2023,#REF!,IF('INHERENT MAP'!$B$5=2024,#REF!,#REF!))))</f>
        <v>0</v>
      </c>
      <c r="AC33">
        <f>IF('INHERENT MAP'!$B$5=2021,'РЕЕСТР РИСКОВ_2023'!AH82,IF('INHERENT MAP'!$B$5=2022,#REF!,IF('INHERENT MAP'!$B$5=2023,#REF!,IF('INHERENT MAP'!$B$5=2024,#REF!,#REF!))))</f>
        <v>0</v>
      </c>
      <c r="AD33" t="str">
        <f>IF('INHERENT MAP'!$B$5=2021,'РЕЕСТР РИСКОВ_2023'!AI82,IF('INHERENT MAP'!$B$5=2022,#REF!,IF('INHERENT MAP'!$B$5=2023,#REF!,IF('INHERENT MAP'!$B$5=2024,#REF!,#REF!))))</f>
        <v>1. Рассмотрение заявок клиентов на тарифном комитете по предоставлению льготных условий в соответствии с нормативными актами компании в целях увеличения объемов и доходов компании
2. Постоянный мониторинг изменения условий на рынке перегруза для оперативного реагирования. Мониторинг доли рынка
3. Поэтапное внедрение CRM (модуль "Заключение договоров")</v>
      </c>
      <c r="AE33" t="str">
        <f>IF('INHERENT MAP'!$B$5=2021,'РЕЕСТР РИСКОВ_2023'!AK82,IF('INHERENT MAP'!$B$5=2022,#REF!,IF('INHERENT MAP'!$B$5=2023,#REF!,IF('INHERENT MAP'!$B$5=2024,#REF!,#REF!))))</f>
        <v>КП,КМТП</v>
      </c>
      <c r="AF33" t="str">
        <f>IF('INHERENT MAP'!$B$5=2021,'РЕЕСТР РИСКОВ_2023'!AL82,IF('INHERENT MAP'!$B$5=2022,#REF!,IF('INHERENT MAP'!$B$5=2023,#REF!,IF('INHERENT MAP'!$B$5=2024,#REF!,#REF!))))</f>
        <v>1. По мере поступления заявок
2. Ежевратально
3. 1-2 квартал 2022</v>
      </c>
      <c r="AG33" t="str">
        <f>IF('INHERENT MAP'!$B$5=2021,'РЕЕСТР РИСКОВ_2023'!AM82,IF('INHERENT MAP'!$B$5=2022,#REF!,IF('INHERENT MAP'!$B$5=2023,#REF!,IF('INHERENT MAP'!$B$5=2024,#REF!,#REF!))))</f>
        <v>средняя</v>
      </c>
      <c r="AH33">
        <f>IF('INHERENT MAP'!$B$5=2021,'РЕЕСТР РИСКОВ_2023'!AN82,IF('INHERENT MAP'!$B$5=2022,#REF!,IF('INHERENT MAP'!$B$5=2023,#REF!,IF('INHERENT MAP'!$B$5=2024,#REF!,#REF!))))</f>
        <v>0.35</v>
      </c>
      <c r="AI33">
        <f>IF('INHERENT MAP'!$B$5=2021,'РЕЕСТР РИСКОВ_2023'!AO82,IF('INHERENT MAP'!$B$5=2022,#REF!,IF('INHERENT MAP'!$B$5=2023,#REF!,IF('INHERENT MAP'!$B$5=2024,#REF!,#REF!))))</f>
        <v>0</v>
      </c>
      <c r="AJ33">
        <f>IF('INHERENT MAP'!$B$5=2021,'РЕЕСТР РИСКОВ_2023'!AP82,IF('INHERENT MAP'!$B$5=2022,#REF!,IF('INHERENT MAP'!$B$5=2023,#REF!,IF('INHERENT MAP'!$B$5=2024,#REF!,#REF!))))</f>
        <v>0</v>
      </c>
      <c r="AK33">
        <f>IF('РЕЕСТР РИСКОВ_2023'!AQ82="",AK32,'РЕЕСТР РИСКОВ_2023'!AQ82)</f>
        <v>0</v>
      </c>
      <c r="AL33">
        <f>IF('РЕЕСТР РИСКОВ_2023'!AR82="",AL32,'РЕЕСТР РИСКОВ_2023'!AR82)</f>
        <v>0.75</v>
      </c>
      <c r="AM33">
        <f>IF('РЕЕСТР РИСКОВ_2023'!AS82="",AM32,'РЕЕСТР РИСКОВ_2023'!AS82)</f>
        <v>-251</v>
      </c>
      <c r="AN33">
        <f>IF('РЕЕСТР РИСКОВ_2023'!AT82="",AN32,'РЕЕСТР РИСКОВ_2023'!AT82)</f>
        <v>-188.25</v>
      </c>
      <c r="AO33">
        <f>IF('РЕЕСТР РИСКОВ_2023'!AU82="",AO32,'РЕЕСТР РИСКОВ_2023'!AU82)</f>
        <v>0</v>
      </c>
    </row>
    <row r="34" spans="2:41">
      <c r="B34" t="str">
        <f>IF('INHERENT MAP'!$B$5=2021,IF('РЕЕСТР РИСКОВ_2023'!F83="",B33,'РЕЕСТР РИСКОВ_2023'!F83),IF('INHERENT MAP'!$B$5=2022,IF(#REF!="",B33,#REF!),IF('INHERENT MAP'!$B$5=2023,IF(#REF!="",B33,#REF!),IF('INHERENT MAP'!$B$5=2024,IF(#REF!="",B33,#REF!),IF('РЕЕСТР РИСКОВ_2023'!F83="",B33,'РЕЕСТР РИСКОВ_2023'!F83)))))</f>
        <v>РИСК ГРУЗООБОРОТА</v>
      </c>
      <c r="C34" t="str">
        <f>IF('INHERENT MAP'!$B$5=2021,IF('РЕЕСТР РИСКОВ_2023'!G83="",C33,'РЕЕСТР РИСКОВ_2023'!G83),IF('INHERENT MAP'!$B$5=2022,IF(#REF!="",C33,#REF!),IF('INHERENT MAP'!$B$5=2023,IF(#REF!="",C33,#REF!),IF('INHERENT MAP'!$B$5=2024,IF(#REF!="",C33,#REF!),IF('РЕЕСТР РИСКОВ_2023'!G83="",C33,'РЕЕСТР РИСКОВ_2023'!G83)))))</f>
        <v>- ХХХ млн. тенге</v>
      </c>
      <c r="D34" t="str">
        <f>IF('INHERENT MAP'!$B$5=2021,IF('РЕЕСТР РИСКОВ_2023'!H83="",D33,'РЕЕСТР РИСКОВ_2023'!H83),IF('INHERENT MAP'!$B$5=2022,IF(#REF!="",D33,#REF!),IF('INHERENT MAP'!$B$5=2023,IF(#REF!="",D33,#REF!),IF('INHERENT MAP'!$B$5=2024,IF(#REF!="",D33,#REF!),IF('РЕЕСТР РИСКОВ_2023'!H83="",D33,'РЕЕСТР РИСКОВ_2023'!H83)))))</f>
        <v>CTR-6</v>
      </c>
      <c r="E34" t="str">
        <f>IF('INHERENT MAP'!$B$5=2021,IF('РЕЕСТР РИСКОВ_2023'!I83="",E33,'РЕЕСТР РИСКОВ_2023'!I83),IF('INHERENT MAP'!$B$5=2022,IF(#REF!="",E33,#REF!),IF('INHERENT MAP'!$B$5=2023,IF(#REF!="",E33,#REF!),IF('INHERENT MAP'!$B$5=2024,IF(#REF!="",E33,#REF!),IF('РЕЕСТР РИСКОВ_2023'!I83="",E33,'РЕЕСТР РИСКОВ_2023'!I83)))))</f>
        <v>ЦЗЛ</v>
      </c>
      <c r="F34" t="str">
        <f>IF('INHERENT MAP'!$B$5=2021,IF('РЕЕСТР РИСКОВ_2023'!J83="",F33,'РЕЕСТР РИСКОВ_2023'!J83),IF('INHERENT MAP'!$B$5=2022,IF(#REF!="",F33,#REF!),IF('INHERENT MAP'!$B$5=2023,IF(#REF!="",F33,#REF!),IF('INHERENT MAP'!$B$5=2024,IF(#REF!="",F33,#REF!),IF('РЕЕСТР РИСКОВ_2023'!J83="",F33,'РЕЕСТР РИСКОВ_2023'!J83)))))</f>
        <v>АО "Кедентранссервис"</v>
      </c>
      <c r="G34" t="str">
        <f>IF('INHERENT MAP'!$B$5=2021,IF('РЕЕСТР РИСКОВ_2023'!K83="",G33,'РЕЕСТР РИСКОВ_2023'!K83),IF('INHERENT MAP'!$B$5=2022,IF(#REF!="",G33,#REF!),IF('INHERENT MAP'!$B$5=2023,IF(#REF!="",G33,#REF!),IF('INHERENT MAP'!$B$5=2024,IF(#REF!="",G33,#REF!),IF('РЕЕСТР РИСКОВ_2023'!K83="",G33,'РЕЕСТР РИСКОВ_2023'!K83)))))</f>
        <v>Риски, связанные с обработкой грузов на региональных терминалах</v>
      </c>
      <c r="H34">
        <f>IF('INHERENT MAP'!$B$5=2021,'РЕЕСТР РИСКОВ_2023'!L83,IF('INHERENT MAP'!$B$5=2022,#REF!,IF('INHERENT MAP'!$B$5=2023,#REF!,IF('INHERENT MAP'!$B$5=2024,#REF!,#REF!))))</f>
        <v>0</v>
      </c>
      <c r="I34">
        <f>IF('INHERENT MAP'!$B$5=2021,'РЕЕСТР РИСКОВ_2023'!M83,IF('INHERENT MAP'!$B$5=2022,#REF!,IF('INHERENT MAP'!$B$5=2023,#REF!,IF('INHERENT MAP'!$B$5=2024,#REF!,#REF!))))</f>
        <v>0</v>
      </c>
      <c r="J34">
        <f>IF('INHERENT MAP'!$B$5=2021,'РЕЕСТР РИСКОВ_2023'!N83,IF('INHERENT MAP'!$B$5=2022,#REF!,IF('INHERENT MAP'!$B$5=2023,#REF!,IF('INHERENT MAP'!$B$5=2024,#REF!,#REF!))))</f>
        <v>0</v>
      </c>
      <c r="K34">
        <f>IF('INHERENT MAP'!$B$5=2021,'РЕЕСТР РИСКОВ_2023'!O83,IF('INHERENT MAP'!$B$5=2022,#REF!,IF('INHERENT MAP'!$B$5=2023,#REF!,IF('INHERENT MAP'!$B$5=2024,#REF!,#REF!))))</f>
        <v>0</v>
      </c>
      <c r="L34">
        <f>IF('INHERENT MAP'!$B$5=2021,'РЕЕСТР РИСКОВ_2023'!P83,IF('INHERENT MAP'!$B$5=2022,#REF!,IF('INHERENT MAP'!$B$5=2023,#REF!,IF('INHERENT MAP'!$B$5=2024,#REF!,#REF!))))</f>
        <v>0</v>
      </c>
      <c r="M34" t="str">
        <f>IF('INHERENT MAP'!$B$5=2021,IF('РЕЕСТР РИСКОВ_2023'!Q83="",M33,'РЕЕСТР РИСКОВ_2023'!Q83),IF('INHERENT MAP'!$B$5=2022,IF(#REF!="",M33,#REF!),IF('INHERENT MAP'!$B$5=2023,IF(#REF!="",M33,#REF!),IF('INHERENT MAP'!$B$5=2024,IF(#REF!="",M33,#REF!),IF('РЕЕСТР РИСКОВ_2023'!Q83="",M33,'РЕЕСТР РИСКОВ_2023'!Q83)))))</f>
        <v xml:space="preserve">Снижение объемов переработки грузов </v>
      </c>
      <c r="N34" t="str">
        <f>IF('INHERENT MAP'!$B$5=2021,IF('РЕЕСТР РИСКОВ_2023'!R83="",N33,'РЕЕСТР РИСКОВ_2023'!R83),IF('INHERENT MAP'!$B$5=2022,IF(#REF!="",N33,#REF!),IF('INHERENT MAP'!$B$5=2023,IF(#REF!="",N33,#REF!),IF('INHERENT MAP'!$B$5=2024,IF(#REF!="",N33,#REF!),IF('РЕЕСТР РИСКОВ_2023'!R83="",N33,'РЕЕСТР РИСКОВ_2023'!R83)))))</f>
        <v xml:space="preserve">По деятельности терминалов План по выручке от деятельности терминалов не исполнен на -31%, в основном, за счет снижения переработки вагонов в тоннаже на -18%, в следствии снижения обьемов рынка и доли Общества (сказалось снижение объемов импорта из КНР вследствие карантина). Также на снижение доходов и объёмов повлиял сход вагонов на КФ Алматы-1 в период с 24.02.2021 г. по 17.03.2021 г. (доля Алматы-1 в структуре доходов КДТС от терминальной деятельности составляет 21 %). Условные потери доходов на КФ Алматы-1 за период схода составили 42 млн. тенге.                                 
1. Увеличение времени обработки вагонов на станциях перед подачей на терминалы                                                                                                                                                                              
2. Уменьшение объемов прибытия вагонов, контейнеров на терминалы                                                                                                                           
3. Несвоевременная подача/уборка вагонов на терминалы, перестановка вагонов по фронтам погрузки/выгрузки                                                                                                                                      4. Увеличение прибытия вагонов с легковесными грузами (малый тоннаж).                     
5. Недостатчные объемы инвестиций на модернизацию/обновления погрузочной техники.
6. Не своевременная поставка погрузочной техники согласно инвестиционной программы.                                                                                                                                                                                                                                                                                                                                                           7. Непроведение капитального ремонта погрузочной техники с истекшим сроком службы
8. Списание техники по техническому состоянию                                                                                                                                                                                                                                                                                                                                                                                                                                                           9. Нехватка квалифицированных спецалистов                                                
10. Несоответствие СВХ требованиям таможенного кодекса РК                                                           
11. Сезонность обработки грузов                                                                                                                                                                                                                                                                                                                                                                                        </v>
      </c>
      <c r="O34">
        <f>'РЕЕСТР РИСКОВ_2023'!T83</f>
        <v>0</v>
      </c>
      <c r="P34">
        <f>IF('РЕЕСТР РИСКОВ_2023'!U83="",P33,'РЕЕСТР РИСКОВ_2023'!U83)</f>
        <v>0</v>
      </c>
      <c r="Q34" t="str">
        <f>IF('РЕЕСТР РИСКОВ_2023'!V83="",Q33,'РЕЕСТР РИСКОВ_2023'!V83)</f>
        <v>Слабые стороны</v>
      </c>
      <c r="R34" t="str">
        <f>IF('РЕЕСТР РИСКОВ_2023'!W83="",R33,'РЕЕСТР РИСКОВ_2023'!W83)</f>
        <v xml:space="preserve">Влияние увеличения объемов по ПРР на доходность             </v>
      </c>
      <c r="S34" t="str">
        <f>'РЕЕСТР РИСКОВ_2023'!X83</f>
        <v xml:space="preserve"> Процент удовлетворенности клиентов по ПРР,  % Влияние факта сезонности на объемы, %          Простой спец.техники, убытки, млн.тенге      
</v>
      </c>
      <c r="T34" s="94">
        <f>IF('INHERENT MAP'!$B$5=2021,'РЕЕСТР РИСКОВ_2023'!Y83,IF('INHERENT MAP'!$B$5=2022,#REF!,IF('INHERENT MAP'!$B$5=2023,#REF!,IF('INHERENT MAP'!$B$5=2024,#REF!,#REF!))))</f>
        <v>0.75</v>
      </c>
      <c r="U34">
        <f>IF('INHERENT MAP'!$B$5=2021,'РЕЕСТР РИСКОВ_2023'!Z83,IF('INHERENT MAP'!$B$5=2022,#REF!,IF('INHERENT MAP'!$B$5=2023,#REF!,IF('INHERENT MAP'!$B$5=2024,#REF!,#REF!))))</f>
        <v>-502</v>
      </c>
      <c r="V34">
        <f>IF('INHERENT MAP'!$B$5=2021,'РЕЕСТР РИСКОВ_2023'!AA83,IF('INHERENT MAP'!$B$5=2022,#REF!,IF('INHERENT MAP'!$B$5=2023,#REF!,IF('INHERENT MAP'!$B$5=2024,#REF!,#REF!))))</f>
        <v>-376.5</v>
      </c>
      <c r="W34" t="str">
        <f>IF('INHERENT MAP'!$B$5=2021,'РЕЕСТР РИСКОВ_2023'!AB83,IF('INHERENT MAP'!$B$5=2022,#REF!,IF('INHERENT MAP'!$B$5=2023,#REF!,IF('INHERENT MAP'!$B$5=2024,#REF!,#REF!))))</f>
        <v xml:space="preserve">Факт выручки по деятельности терминалов составил 1 779 млн. тенге, что ниже по отношению к плану на (-22%) при плане 2 281 млн.тенге . Фактическая среднесуточная загруженность терминальной сети составляет: 34% по переработке контейнеров; 45% по переработке неконтейнерных грузов (вагонов). </v>
      </c>
      <c r="X34" s="94">
        <f>IF('INHERENT MAP'!$B$5=2021,'РЕЕСТР РИСКОВ_2023'!AC83,IF('INHERENT MAP'!$B$5=2022,#REF!,IF('INHERENT MAP'!$B$5=2023,#REF!,IF('INHERENT MAP'!$B$5=2024,#REF!,#REF!))))</f>
        <v>0</v>
      </c>
      <c r="Y34">
        <f>IF('INHERENT MAP'!$B$5=2021,'РЕЕСТР РИСКОВ_2023'!AD83,IF('INHERENT MAP'!$B$5=2022,#REF!,IF('INHERENT MAP'!$B$5=2023,#REF!,IF('INHERENT MAP'!$B$5=2024,#REF!,#REF!))))</f>
        <v>0</v>
      </c>
      <c r="Z34">
        <f>IF('INHERENT MAP'!$B$5=2021,'РЕЕСТР РИСКОВ_2023'!AE83,IF('INHERENT MAP'!$B$5=2022,#REF!,IF('INHERENT MAP'!$B$5=2023,#REF!,IF('INHERENT MAP'!$B$5=2024,#REF!,#REF!))))</f>
        <v>0</v>
      </c>
      <c r="AA34">
        <f>IF('INHERENT MAP'!$B$5=2021,'РЕЕСТР РИСКОВ_2023'!AF83,IF('INHERENT MAP'!$B$5=2022,#REF!,IF('INHERENT MAP'!$B$5=2023,#REF!,IF('INHERENT MAP'!$B$5=2024,#REF!,#REF!))))</f>
        <v>0</v>
      </c>
      <c r="AB34">
        <f>IF('INHERENT MAP'!$B$5=2021,'РЕЕСТР РИСКОВ_2023'!AG83,IF('INHERENT MAP'!$B$5=2022,#REF!,IF('INHERENT MAP'!$B$5=2023,#REF!,IF('INHERENT MAP'!$B$5=2024,#REF!,#REF!))))</f>
        <v>0</v>
      </c>
      <c r="AC34">
        <f>IF('INHERENT MAP'!$B$5=2021,'РЕЕСТР РИСКОВ_2023'!AH83,IF('INHERENT MAP'!$B$5=2022,#REF!,IF('INHERENT MAP'!$B$5=2023,#REF!,IF('INHERENT MAP'!$B$5=2024,#REF!,#REF!))))</f>
        <v>0</v>
      </c>
      <c r="AD34" t="str">
        <f>IF('INHERENT MAP'!$B$5=2021,'РЕЕСТР РИСКОВ_2023'!AI83,IF('INHERENT MAP'!$B$5=2022,#REF!,IF('INHERENT MAP'!$B$5=2023,#REF!,IF('INHERENT MAP'!$B$5=2024,#REF!,#REF!))))</f>
        <v>1. Соблюдение и контроль технического состояния подъездных путей.
2. Проведение регулярного (ежемесячного) мониторинга объемных показателей погрузки и выгрузки вагонов и контейнеров (соответствие суточным нормам).
3. Ведение работы с работниками  АО "КТЖ-ГП" в части своевременной подачи вагонов под погрузку-выгрузку на подъездные пути.                                                                                                                                                                   4.Проведение инструктажей, тех. занятий ответственными работниками филиалов АО "Кедентранссервис".
5. Взаимодействие с причастными структурными подразделениями Общества по эффективной организации производственного процесса терминальной деятельности.
6.Соблюдение требований уполномоченного органа при работе с СВХ.
7. Ремонт складов и погрузочной техники</v>
      </c>
      <c r="AE34" t="str">
        <f>IF('INHERENT MAP'!$B$5=2021,'РЕЕСТР РИСКОВ_2023'!AK83,IF('INHERENT MAP'!$B$5=2022,#REF!,IF('INHERENT MAP'!$B$5=2023,#REF!,IF('INHERENT MAP'!$B$5=2024,#REF!,#REF!))))</f>
        <v>КТП,КМ</v>
      </c>
      <c r="AF34" t="str">
        <f>IF('INHERENT MAP'!$B$5=2021,'РЕЕСТР РИСКОВ_2023'!AL83,IF('INHERENT MAP'!$B$5=2022,#REF!,IF('INHERENT MAP'!$B$5=2023,#REF!,IF('INHERENT MAP'!$B$5=2024,#REF!,#REF!))))</f>
        <v>На постоянной основе</v>
      </c>
      <c r="AG34" t="str">
        <f>IF('INHERENT MAP'!$B$5=2021,'РЕЕСТР РИСКОВ_2023'!AM83,IF('INHERENT MAP'!$B$5=2022,#REF!,IF('INHERENT MAP'!$B$5=2023,#REF!,IF('INHERENT MAP'!$B$5=2024,#REF!,#REF!))))</f>
        <v>средняя</v>
      </c>
      <c r="AH34">
        <f>IF('INHERENT MAP'!$B$5=2021,'РЕЕСТР РИСКОВ_2023'!AN83,IF('INHERENT MAP'!$B$5=2022,#REF!,IF('INHERENT MAP'!$B$5=2023,#REF!,IF('INHERENT MAP'!$B$5=2024,#REF!,#REF!))))</f>
        <v>0.375</v>
      </c>
      <c r="AI34">
        <f>IF('INHERENT MAP'!$B$5=2021,'РЕЕСТР РИСКОВ_2023'!AO83,IF('INHERENT MAP'!$B$5=2022,#REF!,IF('INHERENT MAP'!$B$5=2023,#REF!,IF('INHERENT MAP'!$B$5=2024,#REF!,#REF!))))</f>
        <v>-251</v>
      </c>
      <c r="AJ34">
        <f>IF('INHERENT MAP'!$B$5=2021,'РЕЕСТР РИСКОВ_2023'!AP83,IF('INHERENT MAP'!$B$5=2022,#REF!,IF('INHERENT MAP'!$B$5=2023,#REF!,IF('INHERENT MAP'!$B$5=2024,#REF!,#REF!))))</f>
        <v>-94.125</v>
      </c>
      <c r="AK34">
        <f>IF('РЕЕСТР РИСКОВ_2023'!AQ83="",AK33,'РЕЕСТР РИСКОВ_2023'!AQ83)</f>
        <v>-188.25</v>
      </c>
      <c r="AL34">
        <f>IF('РЕЕСТР РИСКОВ_2023'!AR83="",AL33,'РЕЕСТР РИСКОВ_2023'!AR83)</f>
        <v>0.75</v>
      </c>
      <c r="AM34">
        <f>IF('РЕЕСТР РИСКОВ_2023'!AS83="",AM33,'РЕЕСТР РИСКОВ_2023'!AS83)</f>
        <v>-251</v>
      </c>
      <c r="AN34">
        <f>IF('РЕЕСТР РИСКОВ_2023'!AT83="",AN33,'РЕЕСТР РИСКОВ_2023'!AT83)</f>
        <v>-188.25</v>
      </c>
      <c r="AO34">
        <f>IF('РЕЕСТР РИСКОВ_2023'!AU83="",AO33,'РЕЕСТР РИСКОВ_2023'!AU83)</f>
        <v>0</v>
      </c>
    </row>
    <row r="35" spans="2:41">
      <c r="B35" t="str">
        <f>IF('INHERENT MAP'!$B$5=2021,IF('РЕЕСТР РИСКОВ_2023'!F84="",B34,'РЕЕСТР РИСКОВ_2023'!F84),IF('INHERENT MAP'!$B$5=2022,IF(#REF!="",B34,#REF!),IF('INHERENT MAP'!$B$5=2023,IF(#REF!="",B34,#REF!),IF('INHERENT MAP'!$B$5=2024,IF(#REF!="",B34,#REF!),IF('РЕЕСТР РИСКОВ_2023'!F84="",B34,'РЕЕСТР РИСКОВ_2023'!F84)))))</f>
        <v>РИСК ГРУЗООБОРОТА</v>
      </c>
      <c r="C35" t="str">
        <f>IF('INHERENT MAP'!$B$5=2021,IF('РЕЕСТР РИСКОВ_2023'!G84="",C34,'РЕЕСТР РИСКОВ_2023'!G84),IF('INHERENT MAP'!$B$5=2022,IF(#REF!="",C34,#REF!),IF('INHERENT MAP'!$B$5=2023,IF(#REF!="",C34,#REF!),IF('INHERENT MAP'!$B$5=2024,IF(#REF!="",C34,#REF!),IF('РЕЕСТР РИСКОВ_2023'!G84="",C34,'РЕЕСТР РИСКОВ_2023'!G84)))))</f>
        <v>- ХХХ млн. тенге</v>
      </c>
      <c r="D35" t="str">
        <f>IF('INHERENT MAP'!$B$5=2021,IF('РЕЕСТР РИСКОВ_2023'!H84="",D34,'РЕЕСТР РИСКОВ_2023'!H84),IF('INHERENT MAP'!$B$5=2022,IF(#REF!="",D34,#REF!),IF('INHERENT MAP'!$B$5=2023,IF(#REF!="",D34,#REF!),IF('INHERENT MAP'!$B$5=2024,IF(#REF!="",D34,#REF!),IF('РЕЕСТР РИСКОВ_2023'!H84="",D34,'РЕЕСТР РИСКОВ_2023'!H84)))))</f>
        <v>CTR-7</v>
      </c>
      <c r="E35" t="str">
        <f>IF('INHERENT MAP'!$B$5=2021,IF('РЕЕСТР РИСКОВ_2023'!I84="",E34,'РЕЕСТР РИСКОВ_2023'!I84),IF('INHERENT MAP'!$B$5=2022,IF(#REF!="",E34,#REF!),IF('INHERENT MAP'!$B$5=2023,IF(#REF!="",E34,#REF!),IF('INHERENT MAP'!$B$5=2024,IF(#REF!="",E34,#REF!),IF('РЕЕСТР РИСКОВ_2023'!I84="",E34,'РЕЕСТР РИСКОВ_2023'!I84)))))</f>
        <v>ЦЗ-1, ЦЗД</v>
      </c>
      <c r="F35" t="str">
        <f>IF('INHERENT MAP'!$B$5=2021,IF('РЕЕСТР РИСКОВ_2023'!J84="",F34,'РЕЕСТР РИСКОВ_2023'!J84),IF('INHERENT MAP'!$B$5=2022,IF(#REF!="",F34,#REF!),IF('INHERENT MAP'!$B$5=2023,IF(#REF!="",F34,#REF!),IF('INHERENT MAP'!$B$5=2024,IF(#REF!="",F34,#REF!),IF('РЕЕСТР РИСКОВ_2023'!J84="",F34,'РЕЕСТР РИСКОВ_2023'!J84)))))</f>
        <v>АО "Қазтеміртранс", АО "Кедентранссервис"</v>
      </c>
      <c r="G35" t="str">
        <f>IF('INHERENT MAP'!$B$5=2021,IF('РЕЕСТР РИСКОВ_2023'!K84="",G34,'РЕЕСТР РИСКОВ_2023'!K84),IF('INHERENT MAP'!$B$5=2022,IF(#REF!="",G34,#REF!),IF('INHERENT MAP'!$B$5=2023,IF(#REF!="",G34,#REF!),IF('INHERENT MAP'!$B$5=2024,IF(#REF!="",G34,#REF!),IF('РЕЕСТР РИСКОВ_2023'!K84="",G34,'РЕЕСТР РИСКОВ_2023'!K84)))))</f>
        <v>Риски, связанные с оперированием грузовыми вагонами</v>
      </c>
      <c r="H35">
        <f>IF('INHERENT MAP'!$B$5=2021,'РЕЕСТР РИСКОВ_2023'!L84,IF('INHERENT MAP'!$B$5=2022,#REF!,IF('INHERENT MAP'!$B$5=2023,#REF!,IF('INHERENT MAP'!$B$5=2024,#REF!,#REF!))))</f>
        <v>0</v>
      </c>
      <c r="I35" t="str">
        <f>IF('INHERENT MAP'!$B$5=2021,'РЕЕСТР РИСКОВ_2023'!M84,IF('INHERENT MAP'!$B$5=2022,#REF!,IF('INHERENT MAP'!$B$5=2023,#REF!,IF('INHERENT MAP'!$B$5=2024,#REF!,#REF!))))</f>
        <v>КДТС -2179млн</v>
      </c>
      <c r="J35">
        <f>IF('INHERENT MAP'!$B$5=2021,'РЕЕСТР РИСКОВ_2023'!N84,IF('INHERENT MAP'!$B$5=2022,#REF!,IF('INHERENT MAP'!$B$5=2023,#REF!,IF('INHERENT MAP'!$B$5=2024,#REF!,#REF!))))</f>
        <v>0</v>
      </c>
      <c r="K35">
        <f>IF('INHERENT MAP'!$B$5=2021,'РЕЕСТР РИСКОВ_2023'!O84,IF('INHERENT MAP'!$B$5=2022,#REF!,IF('INHERENT MAP'!$B$5=2023,#REF!,IF('INHERENT MAP'!$B$5=2024,#REF!,#REF!))))</f>
        <v>0</v>
      </c>
      <c r="L35">
        <f>IF('INHERENT MAP'!$B$5=2021,'РЕЕСТР РИСКОВ_2023'!P84,IF('INHERENT MAP'!$B$5=2022,#REF!,IF('INHERENT MAP'!$B$5=2023,#REF!,IF('INHERENT MAP'!$B$5=2024,#REF!,#REF!))))</f>
        <v>-25468.55</v>
      </c>
      <c r="M35" t="str">
        <f>IF('INHERENT MAP'!$B$5=2021,IF('РЕЕСТР РИСКОВ_2023'!Q84="",M34,'РЕЕСТР РИСКОВ_2023'!Q84),IF('INHERENT MAP'!$B$5=2022,IF(#REF!="",M34,#REF!),IF('INHERENT MAP'!$B$5=2023,IF(#REF!="",M34,#REF!),IF('INHERENT MAP'!$B$5=2024,IF(#REF!="",M34,#REF!),IF('РЕЕСТР РИСКОВ_2023'!Q84="",M34,'РЕЕСТР РИСКОВ_2023'!Q84)))))</f>
        <v>1.Интермодальная конкуренция со стороны альтернативных видов транспорта (воздушный,автомобильный, водный транспорт). 2.Конкуренция внутримодальных рисков со стороны железнодорожного сектора других государств (современные подвижные составы российских железных дорог и порожние маршруты обратного транзита)
Риск конкуренции из-за ухудшения качества предоставляемых услуг.</v>
      </c>
      <c r="N35" t="str">
        <f>IF('INHERENT MAP'!$B$5=2021,IF('РЕЕСТР РИСКОВ_2023'!R84="",N34,'РЕЕСТР РИСКОВ_2023'!R84),IF('INHERENT MAP'!$B$5=2022,IF(#REF!="",N34,#REF!),IF('INHERENT MAP'!$B$5=2023,IF(#REF!="",N34,#REF!),IF('INHERENT MAP'!$B$5=2024,IF(#REF!="",N34,#REF!),IF('РЕЕСТР РИСКОВ_2023'!R84="",N34,'РЕЕСТР РИСКОВ_2023'!R84)))))</f>
        <v>1. Конкуренция со стороны соседних государств. Ценовой демпинг со стороны других жд администраций. Профицит на территории соседних государств
2. Развитие автомобильных сетей на территории РК.Снижение тарифов на перевозки автотранспортом
3. Появление частных перевозчиков на территории РК
4. Регистрация новых авиаперевозчиков. 
5. Использование  вагонов собственников РЖД, следующих через\с территории РК из-под выгрузки</v>
      </c>
      <c r="O35">
        <f>'РЕЕСТР РИСКОВ_2023'!T84</f>
        <v>0</v>
      </c>
      <c r="P35">
        <f>IF('РЕЕСТР РИСКОВ_2023'!U84="",P34,'РЕЕСТР РИСКОВ_2023'!U84)</f>
        <v>0</v>
      </c>
      <c r="Q35" t="str">
        <f>IF('РЕЕСТР РИСКОВ_2023'!V84="",Q34,'РЕЕСТР РИСКОВ_2023'!V84)</f>
        <v>Угрозы</v>
      </c>
      <c r="R35" t="str">
        <f>IF('РЕЕСТР РИСКОВ_2023'!W84="",R34,'РЕЕСТР РИСКОВ_2023'!W84)</f>
        <v>Исполнениее плана доходности и доли КТТ на рынке; 
Увеличение погрузки чужих вагонов на КЗХ.</v>
      </c>
      <c r="S35">
        <f>'РЕЕСТР РИСКОВ_2023'!X84</f>
        <v>0</v>
      </c>
      <c r="T35" s="94">
        <f>IF('INHERENT MAP'!$B$5=2021,'РЕЕСТР РИСКОВ_2023'!Y84,IF('INHERENT MAP'!$B$5=2022,#REF!,IF('INHERENT MAP'!$B$5=2023,#REF!,IF('INHERENT MAP'!$B$5=2024,#REF!,#REF!))))</f>
        <v>0.95</v>
      </c>
      <c r="U35">
        <f>IF('INHERENT MAP'!$B$5=2021,'РЕЕСТР РИСКОВ_2023'!Z84,IF('INHERENT MAP'!$B$5=2022,#REF!,IF('INHERENT MAP'!$B$5=2023,#REF!,IF('INHERENT MAP'!$B$5=2024,#REF!,#REF!))))</f>
        <v>-26809</v>
      </c>
      <c r="V35">
        <f>IF('INHERENT MAP'!$B$5=2021,'РЕЕСТР РИСКОВ_2023'!AA84,IF('INHERENT MAP'!$B$5=2022,#REF!,IF('INHERENT MAP'!$B$5=2023,#REF!,IF('INHERENT MAP'!$B$5=2024,#REF!,#REF!))))</f>
        <v>-25468.55</v>
      </c>
      <c r="W35" t="str">
        <f>IF('INHERENT MAP'!$B$5=2021,'РЕЕСТР РИСКОВ_2023'!AB84,IF('INHERENT MAP'!$B$5=2022,#REF!,IF('INHERENT MAP'!$B$5=2023,#REF!,IF('INHERENT MAP'!$B$5=2024,#REF!,#REF!))))</f>
        <v>КТТ+КДТС+КТЖЭкспресс</v>
      </c>
      <c r="X35" s="94">
        <f>IF('INHERENT MAP'!$B$5=2021,'РЕЕСТР РИСКОВ_2023'!AC84,IF('INHERENT MAP'!$B$5=2022,#REF!,IF('INHERENT MAP'!$B$5=2023,#REF!,IF('INHERENT MAP'!$B$5=2024,#REF!,#REF!))))</f>
        <v>0.95</v>
      </c>
      <c r="Y35">
        <f>IF('INHERENT MAP'!$B$5=2021,'РЕЕСТР РИСКОВ_2023'!AD84,IF('INHERENT MAP'!$B$5=2022,#REF!,IF('INHERENT MAP'!$B$5=2023,#REF!,IF('INHERENT MAP'!$B$5=2024,#REF!,#REF!))))</f>
        <v>-26809</v>
      </c>
      <c r="Z35">
        <f>IF('INHERENT MAP'!$B$5=2021,'РЕЕСТР РИСКОВ_2023'!AE84,IF('INHERENT MAP'!$B$5=2022,#REF!,IF('INHERENT MAP'!$B$5=2023,#REF!,IF('INHERENT MAP'!$B$5=2024,#REF!,#REF!))))</f>
        <v>-25468.55</v>
      </c>
      <c r="AA35">
        <f>IF('INHERENT MAP'!$B$5=2021,'РЕЕСТР РИСКОВ_2023'!AF84,IF('INHERENT MAP'!$B$5=2022,#REF!,IF('INHERENT MAP'!$B$5=2023,#REF!,IF('INHERENT MAP'!$B$5=2024,#REF!,#REF!))))</f>
        <v>0</v>
      </c>
      <c r="AB35">
        <f>IF('INHERENT MAP'!$B$5=2021,'РЕЕСТР РИСКОВ_2023'!AG84,IF('INHERENT MAP'!$B$5=2022,#REF!,IF('INHERENT MAP'!$B$5=2023,#REF!,IF('INHERENT MAP'!$B$5=2024,#REF!,#REF!))))</f>
        <v>0</v>
      </c>
      <c r="AC35">
        <f>IF('INHERENT MAP'!$B$5=2021,'РЕЕСТР РИСКОВ_2023'!AH84,IF('INHERENT MAP'!$B$5=2022,#REF!,IF('INHERENT MAP'!$B$5=2023,#REF!,IF('INHERENT MAP'!$B$5=2024,#REF!,#REF!))))</f>
        <v>0</v>
      </c>
      <c r="AD35" t="str">
        <f>IF('INHERENT MAP'!$B$5=2021,'РЕЕСТР РИСКОВ_2023'!AI84,IF('INHERENT MAP'!$B$5=2022,#REF!,IF('INHERENT MAP'!$B$5=2023,#REF!,IF('INHERENT MAP'!$B$5=2024,#REF!,#REF!))))</f>
        <v xml:space="preserve">Мероприятия по защите внутреннего рынка от демпинга со стороны сторонних жд администраций. Запрет на погрузку порожних вагонов сторонних жд администраций. Конвекционные ограничения  </v>
      </c>
      <c r="AE35" t="str">
        <f>IF('INHERENT MAP'!$B$5=2021,'РЕЕСТР РИСКОВ_2023'!AK84,IF('INHERENT MAP'!$B$5=2022,#REF!,IF('INHERENT MAP'!$B$5=2023,#REF!,IF('INHERENT MAP'!$B$5=2024,#REF!,#REF!))))</f>
        <v>АО "Қазтеміртранс", АО "Кедентранссервис"</v>
      </c>
      <c r="AF35">
        <f>IF('INHERENT MAP'!$B$5=2021,'РЕЕСТР РИСКОВ_2023'!AL84,IF('INHERENT MAP'!$B$5=2022,#REF!,IF('INHERENT MAP'!$B$5=2023,#REF!,IF('INHERENT MAP'!$B$5=2024,#REF!,#REF!))))</f>
        <v>0</v>
      </c>
      <c r="AG35" t="str">
        <f>IF('INHERENT MAP'!$B$5=2021,'РЕЕСТР РИСКОВ_2023'!AM84,IF('INHERENT MAP'!$B$5=2022,#REF!,IF('INHERENT MAP'!$B$5=2023,#REF!,IF('INHERENT MAP'!$B$5=2024,#REF!,#REF!))))</f>
        <v>средняя</v>
      </c>
      <c r="AH35">
        <f>IF('INHERENT MAP'!$B$5=2021,'РЕЕСТР РИСКОВ_2023'!AN84,IF('INHERENT MAP'!$B$5=2022,#REF!,IF('INHERENT MAP'!$B$5=2023,#REF!,IF('INHERENT MAP'!$B$5=2024,#REF!,#REF!))))</f>
        <v>0.47499999999999998</v>
      </c>
      <c r="AI35">
        <f>IF('INHERENT MAP'!$B$5=2021,'РЕЕСТР РИСКОВ_2023'!AO84,IF('INHERENT MAP'!$B$5=2022,#REF!,IF('INHERENT MAP'!$B$5=2023,#REF!,IF('INHERENT MAP'!$B$5=2024,#REF!,#REF!))))</f>
        <v>-13404.5</v>
      </c>
      <c r="AJ35">
        <f>IF('INHERENT MAP'!$B$5=2021,'РЕЕСТР РИСКОВ_2023'!AP84,IF('INHERENT MAP'!$B$5=2022,#REF!,IF('INHERENT MAP'!$B$5=2023,#REF!,IF('INHERENT MAP'!$B$5=2024,#REF!,#REF!))))</f>
        <v>-6367.1374999999998</v>
      </c>
      <c r="AK35">
        <f>IF('РЕЕСТР РИСКОВ_2023'!AQ84="",AK34,'РЕЕСТР РИСКОВ_2023'!AQ84)</f>
        <v>-12734.275</v>
      </c>
      <c r="AL35">
        <f>IF('РЕЕСТР РИСКОВ_2023'!AR84="",AL34,'РЕЕСТР РИСКОВ_2023'!AR84)</f>
        <v>0.47499999999999998</v>
      </c>
      <c r="AM35">
        <f>IF('РЕЕСТР РИСКОВ_2023'!AS84="",AM34,'РЕЕСТР РИСКОВ_2023'!AS84)</f>
        <v>-6367.1374999999998</v>
      </c>
      <c r="AN35">
        <f>IF('РЕЕСТР РИСКОВ_2023'!AT84="",AN34,'РЕЕСТР РИСКОВ_2023'!AT84)</f>
        <v>-12754</v>
      </c>
      <c r="AO35">
        <f>IF('РЕЕСТР РИСКОВ_2023'!AU84="",AO34,'РЕЕСТР РИСКОВ_2023'!AU84)</f>
        <v>0</v>
      </c>
    </row>
    <row r="36" spans="2:41">
      <c r="B36" t="str">
        <f>IF('INHERENT MAP'!$B$5=2021,IF('РЕЕСТР РИСКОВ_2023'!F85="",B35,'РЕЕСТР РИСКОВ_2023'!F85),IF('INHERENT MAP'!$B$5=2022,IF(#REF!="",B35,#REF!),IF('INHERENT MAP'!$B$5=2023,IF(#REF!="",B35,#REF!),IF('INHERENT MAP'!$B$5=2024,IF(#REF!="",B35,#REF!),IF('РЕЕСТР РИСКОВ_2023'!F85="",B35,'РЕЕСТР РИСКОВ_2023'!F85)))))</f>
        <v>РИСК ГРУЗООБОРОТА</v>
      </c>
      <c r="C36" t="str">
        <f>IF('INHERENT MAP'!$B$5=2021,IF('РЕЕСТР РИСКОВ_2023'!G85="",C35,'РЕЕСТР РИСКОВ_2023'!G85),IF('INHERENT MAP'!$B$5=2022,IF(#REF!="",C35,#REF!),IF('INHERENT MAP'!$B$5=2023,IF(#REF!="",C35,#REF!),IF('INHERENT MAP'!$B$5=2024,IF(#REF!="",C35,#REF!),IF('РЕЕСТР РИСКОВ_2023'!G85="",C35,'РЕЕСТР РИСКОВ_2023'!G85)))))</f>
        <v>- ХХХ млн. тенге</v>
      </c>
      <c r="D36" t="str">
        <f>IF('INHERENT MAP'!$B$5=2021,IF('РЕЕСТР РИСКОВ_2023'!H85="",D35,'РЕЕСТР РИСКОВ_2023'!H85),IF('INHERENT MAP'!$B$5=2022,IF(#REF!="",D35,#REF!),IF('INHERENT MAP'!$B$5=2023,IF(#REF!="",D35,#REF!),IF('INHERENT MAP'!$B$5=2024,IF(#REF!="",D35,#REF!),IF('РЕЕСТР РИСКОВ_2023'!H85="",D35,'РЕЕСТР РИСКОВ_2023'!H85)))))</f>
        <v>CTR-7</v>
      </c>
      <c r="E36" t="str">
        <f>IF('INHERENT MAP'!$B$5=2021,IF('РЕЕСТР РИСКОВ_2023'!I85="",E35,'РЕЕСТР РИСКОВ_2023'!I85),IF('INHERENT MAP'!$B$5=2022,IF(#REF!="",E35,#REF!),IF('INHERENT MAP'!$B$5=2023,IF(#REF!="",E35,#REF!),IF('INHERENT MAP'!$B$5=2024,IF(#REF!="",E35,#REF!),IF('РЕЕСТР РИСКОВ_2023'!I85="",E35,'РЕЕСТР РИСКОВ_2023'!I85)))))</f>
        <v>ЦЗ-1, ЦЗД</v>
      </c>
      <c r="F36" t="str">
        <f>IF('INHERENT MAP'!$B$5=2021,IF('РЕЕСТР РИСКОВ_2023'!J85="",F35,'РЕЕСТР РИСКОВ_2023'!J85),IF('INHERENT MAP'!$B$5=2022,IF(#REF!="",F35,#REF!),IF('INHERENT MAP'!$B$5=2023,IF(#REF!="",F35,#REF!),IF('INHERENT MAP'!$B$5=2024,IF(#REF!="",F35,#REF!),IF('РЕЕСТР РИСКОВ_2023'!J85="",F35,'РЕЕСТР РИСКОВ_2023'!J85)))))</f>
        <v>АО "Қазтеміртранс", АО "Кедентранссервис"</v>
      </c>
      <c r="G36" t="str">
        <f>IF('INHERENT MAP'!$B$5=2021,IF('РЕЕСТР РИСКОВ_2023'!K85="",G35,'РЕЕСТР РИСКОВ_2023'!K85),IF('INHERENT MAP'!$B$5=2022,IF(#REF!="",G35,#REF!),IF('INHERENT MAP'!$B$5=2023,IF(#REF!="",G35,#REF!),IF('INHERENT MAP'!$B$5=2024,IF(#REF!="",G35,#REF!),IF('РЕЕСТР РИСКОВ_2023'!K85="",G35,'РЕЕСТР РИСКОВ_2023'!K85)))))</f>
        <v>Риски, связанные с оперированием грузовыми вагонами</v>
      </c>
      <c r="H36">
        <f>IF('INHERENT MAP'!$B$5=2021,'РЕЕСТР РИСКОВ_2023'!L85,IF('INHERENT MAP'!$B$5=2022,#REF!,IF('INHERENT MAP'!$B$5=2023,#REF!,IF('INHERENT MAP'!$B$5=2024,#REF!,#REF!))))</f>
        <v>0</v>
      </c>
      <c r="I36">
        <f>IF('INHERENT MAP'!$B$5=2021,'РЕЕСТР РИСКОВ_2023'!M85,IF('INHERENT MAP'!$B$5=2022,#REF!,IF('INHERENT MAP'!$B$5=2023,#REF!,IF('INHERENT MAP'!$B$5=2024,#REF!,#REF!))))</f>
        <v>0</v>
      </c>
      <c r="J36">
        <f>IF('INHERENT MAP'!$B$5=2021,'РЕЕСТР РИСКОВ_2023'!N85,IF('INHERENT MAP'!$B$5=2022,#REF!,IF('INHERENT MAP'!$B$5=2023,#REF!,IF('INHERENT MAP'!$B$5=2024,#REF!,#REF!))))</f>
        <v>0</v>
      </c>
      <c r="K36">
        <f>IF('INHERENT MAP'!$B$5=2021,'РЕЕСТР РИСКОВ_2023'!O85,IF('INHERENT MAP'!$B$5=2022,#REF!,IF('INHERENT MAP'!$B$5=2023,#REF!,IF('INHERENT MAP'!$B$5=2024,#REF!,#REF!))))</f>
        <v>0</v>
      </c>
      <c r="L36">
        <f>IF('INHERENT MAP'!$B$5=2021,'РЕЕСТР РИСКОВ_2023'!P85,IF('INHERENT MAP'!$B$5=2022,#REF!,IF('INHERENT MAP'!$B$5=2023,#REF!,IF('INHERENT MAP'!$B$5=2024,#REF!,#REF!))))</f>
        <v>0</v>
      </c>
      <c r="M36" t="str">
        <f>IF('INHERENT MAP'!$B$5=2021,IF('РЕЕСТР РИСКОВ_2023'!Q85="",M35,'РЕЕСТР РИСКОВ_2023'!Q85),IF('INHERENT MAP'!$B$5=2022,IF(#REF!="",M35,#REF!),IF('INHERENT MAP'!$B$5=2023,IF(#REF!="",M35,#REF!),IF('INHERENT MAP'!$B$5=2024,IF(#REF!="",M35,#REF!),IF('РЕЕСТР РИСКОВ_2023'!Q85="",M35,'РЕЕСТР РИСКОВ_2023'!Q85)))))</f>
        <v>1.Интермодальная конкуренция со стороны альтернативных видов транспорта (воздушный,автомобильный, водный транспорт). 2.Конкуренция внутримодальных рисков со стороны железнодорожного сектора других государств (современные подвижные составы российских железных дорог и порожние маршруты обратного транзита)
Риск конкуренции из-за ухудшения качества предоставляемых услуг.</v>
      </c>
      <c r="N36" t="str">
        <f>IF('INHERENT MAP'!$B$5=2021,IF('РЕЕСТР РИСКОВ_2023'!R85="",N35,'РЕЕСТР РИСКОВ_2023'!R85),IF('INHERENT MAP'!$B$5=2022,IF(#REF!="",N35,#REF!),IF('INHERENT MAP'!$B$5=2023,IF(#REF!="",N35,#REF!),IF('INHERENT MAP'!$B$5=2024,IF(#REF!="",N35,#REF!),IF('РЕЕСТР РИСКОВ_2023'!R85="",N35,'РЕЕСТР РИСКОВ_2023'!R85)))))</f>
        <v>1. Конкуренция со стороны соседних государств. Ценовой демпинг со стороны других жд администраций. Профицит на территории соседних государств
2. Развитие автомобильных сетей на территории РК.Снижение тарифов на перевозки автотранспортом
3. Появление частных перевозчиков на территории РК
4. Регистрация новых авиаперевозчиков. 
5. Использование  вагонов собственников РЖД, следующих через\с территории РК из-под выгрузки</v>
      </c>
      <c r="O36">
        <f>'РЕЕСТР РИСКОВ_2023'!T85</f>
        <v>0</v>
      </c>
      <c r="P36">
        <f>IF('РЕЕСТР РИСКОВ_2023'!U85="",P35,'РЕЕСТР РИСКОВ_2023'!U85)</f>
        <v>0</v>
      </c>
      <c r="Q36" t="str">
        <f>IF('РЕЕСТР РИСКОВ_2023'!V85="",Q35,'РЕЕСТР РИСКОВ_2023'!V85)</f>
        <v>Угрозы</v>
      </c>
      <c r="R36" t="str">
        <f>IF('РЕЕСТР РИСКОВ_2023'!W85="",R35,'РЕЕСТР РИСКОВ_2023'!W85)</f>
        <v>Исполнениее плана доходности и доли КТТ на рынке; 
Увеличение погрузки чужих вагонов на КЗХ.</v>
      </c>
      <c r="S36">
        <f>'РЕЕСТР РИСКОВ_2023'!X85</f>
        <v>0</v>
      </c>
      <c r="T36" s="94">
        <f>IF('INHERENT MAP'!$B$5=2021,'РЕЕСТР РИСКОВ_2023'!Y85,IF('INHERENT MAP'!$B$5=2022,#REF!,IF('INHERENT MAP'!$B$5=2023,#REF!,IF('INHERENT MAP'!$B$5=2024,#REF!,#REF!))))</f>
        <v>0</v>
      </c>
      <c r="U36">
        <f>IF('INHERENT MAP'!$B$5=2021,'РЕЕСТР РИСКОВ_2023'!Z85,IF('INHERENT MAP'!$B$5=2022,#REF!,IF('INHERENT MAP'!$B$5=2023,#REF!,IF('INHERENT MAP'!$B$5=2024,#REF!,#REF!))))</f>
        <v>0</v>
      </c>
      <c r="V36">
        <f>IF('INHERENT MAP'!$B$5=2021,'РЕЕСТР РИСКОВ_2023'!AA85,IF('INHERENT MAP'!$B$5=2022,#REF!,IF('INHERENT MAP'!$B$5=2023,#REF!,IF('INHERENT MAP'!$B$5=2024,#REF!,#REF!))))</f>
        <v>0</v>
      </c>
      <c r="W36">
        <f>IF('INHERENT MAP'!$B$5=2021,'РЕЕСТР РИСКОВ_2023'!AB85,IF('INHERENT MAP'!$B$5=2022,#REF!,IF('INHERENT MAP'!$B$5=2023,#REF!,IF('INHERENT MAP'!$B$5=2024,#REF!,#REF!))))</f>
        <v>0</v>
      </c>
      <c r="X36" s="94">
        <f>IF('INHERENT MAP'!$B$5=2021,'РЕЕСТР РИСКОВ_2023'!AC85,IF('INHERENT MAP'!$B$5=2022,#REF!,IF('INHERENT MAP'!$B$5=2023,#REF!,IF('INHERENT MAP'!$B$5=2024,#REF!,#REF!))))</f>
        <v>0</v>
      </c>
      <c r="Y36">
        <f>IF('INHERENT MAP'!$B$5=2021,'РЕЕСТР РИСКОВ_2023'!AD85,IF('INHERENT MAP'!$B$5=2022,#REF!,IF('INHERENT MAP'!$B$5=2023,#REF!,IF('INHERENT MAP'!$B$5=2024,#REF!,#REF!))))</f>
        <v>0</v>
      </c>
      <c r="Z36">
        <f>IF('INHERENT MAP'!$B$5=2021,'РЕЕСТР РИСКОВ_2023'!AE85,IF('INHERENT MAP'!$B$5=2022,#REF!,IF('INHERENT MAP'!$B$5=2023,#REF!,IF('INHERENT MAP'!$B$5=2024,#REF!,#REF!))))</f>
        <v>0</v>
      </c>
      <c r="AA36">
        <f>IF('INHERENT MAP'!$B$5=2021,'РЕЕСТР РИСКОВ_2023'!AF85,IF('INHERENT MAP'!$B$5=2022,#REF!,IF('INHERENT MAP'!$B$5=2023,#REF!,IF('INHERENT MAP'!$B$5=2024,#REF!,#REF!))))</f>
        <v>0</v>
      </c>
      <c r="AB36">
        <f>IF('INHERENT MAP'!$B$5=2021,'РЕЕСТР РИСКОВ_2023'!AG85,IF('INHERENT MAP'!$B$5=2022,#REF!,IF('INHERENT MAP'!$B$5=2023,#REF!,IF('INHERENT MAP'!$B$5=2024,#REF!,#REF!))))</f>
        <v>0</v>
      </c>
      <c r="AC36">
        <f>IF('INHERENT MAP'!$B$5=2021,'РЕЕСТР РИСКОВ_2023'!AH85,IF('INHERENT MAP'!$B$5=2022,#REF!,IF('INHERENT MAP'!$B$5=2023,#REF!,IF('INHERENT MAP'!$B$5=2024,#REF!,#REF!))))</f>
        <v>0</v>
      </c>
      <c r="AD36">
        <f>IF('INHERENT MAP'!$B$5=2021,'РЕЕСТР РИСКОВ_2023'!AI85,IF('INHERENT MAP'!$B$5=2022,#REF!,IF('INHERENT MAP'!$B$5=2023,#REF!,IF('INHERENT MAP'!$B$5=2024,#REF!,#REF!))))</f>
        <v>0</v>
      </c>
      <c r="AE36">
        <f>IF('INHERENT MAP'!$B$5=2021,'РЕЕСТР РИСКОВ_2023'!AK85,IF('INHERENT MAP'!$B$5=2022,#REF!,IF('INHERENT MAP'!$B$5=2023,#REF!,IF('INHERENT MAP'!$B$5=2024,#REF!,#REF!))))</f>
        <v>0</v>
      </c>
      <c r="AF36">
        <f>IF('INHERENT MAP'!$B$5=2021,'РЕЕСТР РИСКОВ_2023'!AL85,IF('INHERENT MAP'!$B$5=2022,#REF!,IF('INHERENT MAP'!$B$5=2023,#REF!,IF('INHERENT MAP'!$B$5=2024,#REF!,#REF!))))</f>
        <v>0</v>
      </c>
      <c r="AG36">
        <f>IF('INHERENT MAP'!$B$5=2021,'РЕЕСТР РИСКОВ_2023'!AM85,IF('INHERENT MAP'!$B$5=2022,#REF!,IF('INHERENT MAP'!$B$5=2023,#REF!,IF('INHERENT MAP'!$B$5=2024,#REF!,#REF!))))</f>
        <v>0</v>
      </c>
      <c r="AH36">
        <f>IF('INHERENT MAP'!$B$5=2021,'РЕЕСТР РИСКОВ_2023'!AN85,IF('INHERENT MAP'!$B$5=2022,#REF!,IF('INHERENT MAP'!$B$5=2023,#REF!,IF('INHERENT MAP'!$B$5=2024,#REF!,#REF!))))</f>
        <v>0</v>
      </c>
      <c r="AI36">
        <f>IF('INHERENT MAP'!$B$5=2021,'РЕЕСТР РИСКОВ_2023'!AO85,IF('INHERENT MAP'!$B$5=2022,#REF!,IF('INHERENT MAP'!$B$5=2023,#REF!,IF('INHERENT MAP'!$B$5=2024,#REF!,#REF!))))</f>
        <v>0</v>
      </c>
      <c r="AJ36">
        <f>IF('INHERENT MAP'!$B$5=2021,'РЕЕСТР РИСКОВ_2023'!AP85,IF('INHERENT MAP'!$B$5=2022,#REF!,IF('INHERENT MAP'!$B$5=2023,#REF!,IF('INHERENT MAP'!$B$5=2024,#REF!,#REF!))))</f>
        <v>0</v>
      </c>
      <c r="AK36">
        <f>IF('РЕЕСТР РИСКОВ_2023'!AQ85="",AK35,'РЕЕСТР РИСКОВ_2023'!AQ85)</f>
        <v>-12734.275</v>
      </c>
      <c r="AL36">
        <f>IF('РЕЕСТР РИСКОВ_2023'!AR85="",AL35,'РЕЕСТР РИСКОВ_2023'!AR85)</f>
        <v>0.47499999999999998</v>
      </c>
      <c r="AM36">
        <f>IF('РЕЕСТР РИСКОВ_2023'!AS85="",AM35,'РЕЕСТР РИСКОВ_2023'!AS85)</f>
        <v>-6367.1374999999998</v>
      </c>
      <c r="AN36">
        <f>IF('РЕЕСТР РИСКОВ_2023'!AT85="",AN35,'РЕЕСТР РИСКОВ_2023'!AT85)</f>
        <v>-12754</v>
      </c>
      <c r="AO36">
        <f>IF('РЕЕСТР РИСКОВ_2023'!AU85="",AO35,'РЕЕСТР РИСКОВ_2023'!AU85)</f>
        <v>0</v>
      </c>
    </row>
    <row r="37" spans="2:41">
      <c r="B37" t="str">
        <f>IF('INHERENT MAP'!$B$5=2021,IF('РЕЕСТР РИСКОВ_2023'!F86="",B36,'РЕЕСТР РИСКОВ_2023'!F86),IF('INHERENT MAP'!$B$5=2022,IF(#REF!="",B36,#REF!),IF('INHERENT MAP'!$B$5=2023,IF(#REF!="",B36,#REF!),IF('INHERENT MAP'!$B$5=2024,IF(#REF!="",B36,#REF!),IF('РЕЕСТР РИСКОВ_2023'!F86="",B36,'РЕЕСТР РИСКОВ_2023'!F86)))))</f>
        <v>РИСК ГРУЗООБОРОТА</v>
      </c>
      <c r="C37" t="str">
        <f>IF('INHERENT MAP'!$B$5=2021,IF('РЕЕСТР РИСКОВ_2023'!G86="",C36,'РЕЕСТР РИСКОВ_2023'!G86),IF('INHERENT MAP'!$B$5=2022,IF(#REF!="",C36,#REF!),IF('INHERENT MAP'!$B$5=2023,IF(#REF!="",C36,#REF!),IF('INHERENT MAP'!$B$5=2024,IF(#REF!="",C36,#REF!),IF('РЕЕСТР РИСКОВ_2023'!G86="",C36,'РЕЕСТР РИСКОВ_2023'!G86)))))</f>
        <v>- ХХХ млн. тенге</v>
      </c>
      <c r="D37" t="str">
        <f>IF('INHERENT MAP'!$B$5=2021,IF('РЕЕСТР РИСКОВ_2023'!H86="",D36,'РЕЕСТР РИСКОВ_2023'!H86),IF('INHERENT MAP'!$B$5=2022,IF(#REF!="",D36,#REF!),IF('INHERENT MAP'!$B$5=2023,IF(#REF!="",D36,#REF!),IF('INHERENT MAP'!$B$5=2024,IF(#REF!="",D36,#REF!),IF('РЕЕСТР РИСКОВ_2023'!H86="",D36,'РЕЕСТР РИСКОВ_2023'!H86)))))</f>
        <v>CTR-7</v>
      </c>
      <c r="E37" t="str">
        <f>IF('INHERENT MAP'!$B$5=2021,IF('РЕЕСТР РИСКОВ_2023'!I86="",E36,'РЕЕСТР РИСКОВ_2023'!I86),IF('INHERENT MAP'!$B$5=2022,IF(#REF!="",E36,#REF!),IF('INHERENT MAP'!$B$5=2023,IF(#REF!="",E36,#REF!),IF('INHERENT MAP'!$B$5=2024,IF(#REF!="",E36,#REF!),IF('РЕЕСТР РИСКОВ_2023'!I86="",E36,'РЕЕСТР РИСКОВ_2023'!I86)))))</f>
        <v>ЦЗ-1, ЦЗД</v>
      </c>
      <c r="F37" t="str">
        <f>IF('INHERENT MAP'!$B$5=2021,IF('РЕЕСТР РИСКОВ_2023'!J86="",F36,'РЕЕСТР РИСКОВ_2023'!J86),IF('INHERENT MAP'!$B$5=2022,IF(#REF!="",F36,#REF!),IF('INHERENT MAP'!$B$5=2023,IF(#REF!="",F36,#REF!),IF('INHERENT MAP'!$B$5=2024,IF(#REF!="",F36,#REF!),IF('РЕЕСТР РИСКОВ_2023'!J86="",F36,'РЕЕСТР РИСКОВ_2023'!J86)))))</f>
        <v>АО "Қазтеміртранс", АО "Кедентранссервис"</v>
      </c>
      <c r="G37" t="str">
        <f>IF('INHERENT MAP'!$B$5=2021,IF('РЕЕСТР РИСКОВ_2023'!K86="",G36,'РЕЕСТР РИСКОВ_2023'!K86),IF('INHERENT MAP'!$B$5=2022,IF(#REF!="",G36,#REF!),IF('INHERENT MAP'!$B$5=2023,IF(#REF!="",G36,#REF!),IF('INHERENT MAP'!$B$5=2024,IF(#REF!="",G36,#REF!),IF('РЕЕСТР РИСКОВ_2023'!K86="",G36,'РЕЕСТР РИСКОВ_2023'!K86)))))</f>
        <v>Риски, связанные с оперированием грузовыми вагонами</v>
      </c>
      <c r="H37">
        <f>IF('INHERENT MAP'!$B$5=2021,'РЕЕСТР РИСКОВ_2023'!L86,IF('INHERENT MAP'!$B$5=2022,#REF!,IF('INHERENT MAP'!$B$5=2023,#REF!,IF('INHERENT MAP'!$B$5=2024,#REF!,#REF!))))</f>
        <v>0</v>
      </c>
      <c r="I37">
        <f>IF('INHERENT MAP'!$B$5=2021,'РЕЕСТР РИСКОВ_2023'!M86,IF('INHERENT MAP'!$B$5=2022,#REF!,IF('INHERENT MAP'!$B$5=2023,#REF!,IF('INHERENT MAP'!$B$5=2024,#REF!,#REF!))))</f>
        <v>0</v>
      </c>
      <c r="J37">
        <f>IF('INHERENT MAP'!$B$5=2021,'РЕЕСТР РИСКОВ_2023'!N86,IF('INHERENT MAP'!$B$5=2022,#REF!,IF('INHERENT MAP'!$B$5=2023,#REF!,IF('INHERENT MAP'!$B$5=2024,#REF!,#REF!))))</f>
        <v>0</v>
      </c>
      <c r="K37">
        <f>IF('INHERENT MAP'!$B$5=2021,'РЕЕСТР РИСКОВ_2023'!O86,IF('INHERENT MAP'!$B$5=2022,#REF!,IF('INHERENT MAP'!$B$5=2023,#REF!,IF('INHERENT MAP'!$B$5=2024,#REF!,#REF!))))</f>
        <v>0</v>
      </c>
      <c r="L37">
        <f>IF('INHERENT MAP'!$B$5=2021,'РЕЕСТР РИСКОВ_2023'!P86,IF('INHERENT MAP'!$B$5=2022,#REF!,IF('INHERENT MAP'!$B$5=2023,#REF!,IF('INHERENT MAP'!$B$5=2024,#REF!,#REF!))))</f>
        <v>0</v>
      </c>
      <c r="M37" t="str">
        <f>IF('INHERENT MAP'!$B$5=2021,IF('РЕЕСТР РИСКОВ_2023'!Q86="",M36,'РЕЕСТР РИСКОВ_2023'!Q86),IF('INHERENT MAP'!$B$5=2022,IF(#REF!="",M36,#REF!),IF('INHERENT MAP'!$B$5=2023,IF(#REF!="",M36,#REF!),IF('INHERENT MAP'!$B$5=2024,IF(#REF!="",M36,#REF!),IF('РЕЕСТР РИСКОВ_2023'!Q86="",M36,'РЕЕСТР РИСКОВ_2023'!Q86)))))</f>
        <v>Снижение оборачиваемости вагонов в оперировании (Нарушения сроков доставки и подачи/уборки /превышение оборота)</v>
      </c>
      <c r="N37" t="str">
        <f>IF('INHERENT MAP'!$B$5=2021,IF('РЕЕСТР РИСКОВ_2023'!R86="",N36,'РЕЕСТР РИСКОВ_2023'!R86),IF('INHERENT MAP'!$B$5=2022,IF(#REF!="",N36,#REF!),IF('INHERENT MAP'!$B$5=2023,IF(#REF!="",N36,#REF!),IF('INHERENT MAP'!$B$5=2024,IF(#REF!="",N36,#REF!),IF('РЕЕСТР РИСКОВ_2023'!R86="",N36,'РЕЕСТР РИСКОВ_2023'!R86)))))</f>
        <v>1. Нарушение сроков доставки, несвоевременная подача/уборка с/на п/путей
2. Занятость станционных путей станций и других жда, низкая пропускная способность, техническое состояние пути
3. Время проведения "окон"
4. Несвоевременное оформление по регулировочному заданию
5. Несвоевременное оформление вагонов и выдача разрешающих телеграмм на экспорт
6. Несвоевременная передача и развоз местного груза
7. Отсутствие локомотивной тяги у перевозчика
8. Скопление груженных вагонов (грузов)</v>
      </c>
      <c r="O37">
        <f>'РЕЕСТР РИСКОВ_2023'!T86</f>
        <v>0</v>
      </c>
      <c r="P37">
        <f>IF('РЕЕСТР РИСКОВ_2023'!U86="",P36,'РЕЕСТР РИСКОВ_2023'!U86)</f>
        <v>0</v>
      </c>
      <c r="Q37" t="str">
        <f>IF('РЕЕСТР РИСКОВ_2023'!V86="",Q36,'РЕЕСТР РИСКОВ_2023'!V86)</f>
        <v>Угрозы</v>
      </c>
      <c r="R37" t="str">
        <f>IF('РЕЕСТР РИСКОВ_2023'!W86="",R36,'РЕЕСТР РИСКОВ_2023'!W86)</f>
        <v xml:space="preserve">Ежесуточная справка анализа и мониторинга по порожнему и груженному состоянию </v>
      </c>
      <c r="S37">
        <f>'РЕЕСТР РИСКОВ_2023'!X86</f>
        <v>0</v>
      </c>
      <c r="T37" s="94">
        <f>IF('INHERENT MAP'!$B$5=2021,'РЕЕСТР РИСКОВ_2023'!Y86,IF('INHERENT MAP'!$B$5=2022,#REF!,IF('INHERENT MAP'!$B$5=2023,#REF!,IF('INHERENT MAP'!$B$5=2024,#REF!,#REF!))))</f>
        <v>0</v>
      </c>
      <c r="U37">
        <f>IF('INHERENT MAP'!$B$5=2021,'РЕЕСТР РИСКОВ_2023'!Z86,IF('INHERENT MAP'!$B$5=2022,#REF!,IF('INHERENT MAP'!$B$5=2023,#REF!,IF('INHERENT MAP'!$B$5=2024,#REF!,#REF!))))</f>
        <v>0</v>
      </c>
      <c r="V37">
        <f>IF('INHERENT MAP'!$B$5=2021,'РЕЕСТР РИСКОВ_2023'!AA86,IF('INHERENT MAP'!$B$5=2022,#REF!,IF('INHERENT MAP'!$B$5=2023,#REF!,IF('INHERENT MAP'!$B$5=2024,#REF!,#REF!))))</f>
        <v>0</v>
      </c>
      <c r="W37">
        <f>IF('INHERENT MAP'!$B$5=2021,'РЕЕСТР РИСКОВ_2023'!AB86,IF('INHERENT MAP'!$B$5=2022,#REF!,IF('INHERENT MAP'!$B$5=2023,#REF!,IF('INHERENT MAP'!$B$5=2024,#REF!,#REF!))))</f>
        <v>0</v>
      </c>
      <c r="X37" s="94">
        <f>IF('INHERENT MAP'!$B$5=2021,'РЕЕСТР РИСКОВ_2023'!AC86,IF('INHERENT MAP'!$B$5=2022,#REF!,IF('INHERENT MAP'!$B$5=2023,#REF!,IF('INHERENT MAP'!$B$5=2024,#REF!,#REF!))))</f>
        <v>0</v>
      </c>
      <c r="Y37">
        <f>IF('INHERENT MAP'!$B$5=2021,'РЕЕСТР РИСКОВ_2023'!AD86,IF('INHERENT MAP'!$B$5=2022,#REF!,IF('INHERENT MAP'!$B$5=2023,#REF!,IF('INHERENT MAP'!$B$5=2024,#REF!,#REF!))))</f>
        <v>0</v>
      </c>
      <c r="Z37">
        <f>IF('INHERENT MAP'!$B$5=2021,'РЕЕСТР РИСКОВ_2023'!AE86,IF('INHERENT MAP'!$B$5=2022,#REF!,IF('INHERENT MAP'!$B$5=2023,#REF!,IF('INHERENT MAP'!$B$5=2024,#REF!,#REF!))))</f>
        <v>0</v>
      </c>
      <c r="AA37">
        <f>IF('INHERENT MAP'!$B$5=2021,'РЕЕСТР РИСКОВ_2023'!AF86,IF('INHERENT MAP'!$B$5=2022,#REF!,IF('INHERENT MAP'!$B$5=2023,#REF!,IF('INHERENT MAP'!$B$5=2024,#REF!,#REF!))))</f>
        <v>0</v>
      </c>
      <c r="AB37">
        <f>IF('INHERENT MAP'!$B$5=2021,'РЕЕСТР РИСКОВ_2023'!AG86,IF('INHERENT MAP'!$B$5=2022,#REF!,IF('INHERENT MAP'!$B$5=2023,#REF!,IF('INHERENT MAP'!$B$5=2024,#REF!,#REF!))))</f>
        <v>0</v>
      </c>
      <c r="AC37">
        <f>IF('INHERENT MAP'!$B$5=2021,'РЕЕСТР РИСКОВ_2023'!AH86,IF('INHERENT MAP'!$B$5=2022,#REF!,IF('INHERENT MAP'!$B$5=2023,#REF!,IF('INHERENT MAP'!$B$5=2024,#REF!,#REF!))))</f>
        <v>0</v>
      </c>
      <c r="AD37" t="str">
        <f>IF('INHERENT MAP'!$B$5=2021,'РЕЕСТР РИСКОВ_2023'!AI86,IF('INHERENT MAP'!$B$5=2022,#REF!,IF('INHERENT MAP'!$B$5=2023,#REF!,IF('INHERENT MAP'!$B$5=2024,#REF!,#REF!))))</f>
        <v xml:space="preserve">1.Работа с ГП и с региональными филиалами КТТ по ускорению оборота вагонов собственности КТТ.                                                                                                                                                             2.Своевременная выдача разрешающих телеграмм.                                                                                          
3. Эффективное использование вагонного парка. Ежесуточный контроль за подачей/ уборки с /на п/пути, контроль за выполнением оборота вагонов.                                                                                              
4. Проверка наличия особых условий перевозок, работы станций погрузки, наличие конвенционных запретов                     </v>
      </c>
      <c r="AE37">
        <f>IF('INHERENT MAP'!$B$5=2021,'РЕЕСТР РИСКОВ_2023'!AK86,IF('INHERENT MAP'!$B$5=2022,#REF!,IF('INHERENT MAP'!$B$5=2023,#REF!,IF('INHERENT MAP'!$B$5=2024,#REF!,#REF!))))</f>
        <v>0</v>
      </c>
      <c r="AF37">
        <f>IF('INHERENT MAP'!$B$5=2021,'РЕЕСТР РИСКОВ_2023'!AL86,IF('INHERENT MAP'!$B$5=2022,#REF!,IF('INHERENT MAP'!$B$5=2023,#REF!,IF('INHERENT MAP'!$B$5=2024,#REF!,#REF!))))</f>
        <v>0</v>
      </c>
      <c r="AG37">
        <f>IF('INHERENT MAP'!$B$5=2021,'РЕЕСТР РИСКОВ_2023'!AM86,IF('INHERENT MAP'!$B$5=2022,#REF!,IF('INHERENT MAP'!$B$5=2023,#REF!,IF('INHERENT MAP'!$B$5=2024,#REF!,#REF!))))</f>
        <v>0</v>
      </c>
      <c r="AH37">
        <f>IF('INHERENT MAP'!$B$5=2021,'РЕЕСТР РИСКОВ_2023'!AN86,IF('INHERENT MAP'!$B$5=2022,#REF!,IF('INHERENT MAP'!$B$5=2023,#REF!,IF('INHERENT MAP'!$B$5=2024,#REF!,#REF!))))</f>
        <v>0</v>
      </c>
      <c r="AI37">
        <f>IF('INHERENT MAP'!$B$5=2021,'РЕЕСТР РИСКОВ_2023'!AO86,IF('INHERENT MAP'!$B$5=2022,#REF!,IF('INHERENT MAP'!$B$5=2023,#REF!,IF('INHERENT MAP'!$B$5=2024,#REF!,#REF!))))</f>
        <v>0</v>
      </c>
      <c r="AJ37">
        <f>IF('INHERENT MAP'!$B$5=2021,'РЕЕСТР РИСКОВ_2023'!AP86,IF('INHERENT MAP'!$B$5=2022,#REF!,IF('INHERENT MAP'!$B$5=2023,#REF!,IF('INHERENT MAP'!$B$5=2024,#REF!,#REF!))))</f>
        <v>0</v>
      </c>
      <c r="AK37">
        <f>IF('РЕЕСТР РИСКОВ_2023'!AQ86="",AK36,'РЕЕСТР РИСКОВ_2023'!AQ86)</f>
        <v>-12734.275</v>
      </c>
      <c r="AL37">
        <f>IF('РЕЕСТР РИСКОВ_2023'!AR86="",AL36,'РЕЕСТР РИСКОВ_2023'!AR86)</f>
        <v>0.47499999999999998</v>
      </c>
      <c r="AM37">
        <f>IF('РЕЕСТР РИСКОВ_2023'!AS86="",AM36,'РЕЕСТР РИСКОВ_2023'!AS86)</f>
        <v>-6367.1374999999998</v>
      </c>
      <c r="AN37">
        <f>IF('РЕЕСТР РИСКОВ_2023'!AT86="",AN36,'РЕЕСТР РИСКОВ_2023'!AT86)</f>
        <v>-12754</v>
      </c>
      <c r="AO37">
        <f>IF('РЕЕСТР РИСКОВ_2023'!AU86="",AO36,'РЕЕСТР РИСКОВ_2023'!AU86)</f>
        <v>0</v>
      </c>
    </row>
    <row r="38" spans="2:41">
      <c r="B38" t="str">
        <f>IF('INHERENT MAP'!$B$5=2021,IF('РЕЕСТР РИСКОВ_2023'!F87="",B37,'РЕЕСТР РИСКОВ_2023'!F87),IF('INHERENT MAP'!$B$5=2022,IF(#REF!="",B37,#REF!),IF('INHERENT MAP'!$B$5=2023,IF(#REF!="",B37,#REF!),IF('INHERENT MAP'!$B$5=2024,IF(#REF!="",B37,#REF!),IF('РЕЕСТР РИСКОВ_2023'!F87="",B37,'РЕЕСТР РИСКОВ_2023'!F87)))))</f>
        <v>РИСК ГРУЗООБОРОТА</v>
      </c>
      <c r="C38" t="str">
        <f>IF('INHERENT MAP'!$B$5=2021,IF('РЕЕСТР РИСКОВ_2023'!G87="",C37,'РЕЕСТР РИСКОВ_2023'!G87),IF('INHERENT MAP'!$B$5=2022,IF(#REF!="",C37,#REF!),IF('INHERENT MAP'!$B$5=2023,IF(#REF!="",C37,#REF!),IF('INHERENT MAP'!$B$5=2024,IF(#REF!="",C37,#REF!),IF('РЕЕСТР РИСКОВ_2023'!G87="",C37,'РЕЕСТР РИСКОВ_2023'!G87)))))</f>
        <v>- ХХХ млн. тенге</v>
      </c>
      <c r="D38" t="str">
        <f>IF('INHERENT MAP'!$B$5=2021,IF('РЕЕСТР РИСКОВ_2023'!H87="",D37,'РЕЕСТР РИСКОВ_2023'!H87),IF('INHERENT MAP'!$B$5=2022,IF(#REF!="",D37,#REF!),IF('INHERENT MAP'!$B$5=2023,IF(#REF!="",D37,#REF!),IF('INHERENT MAP'!$B$5=2024,IF(#REF!="",D37,#REF!),IF('РЕЕСТР РИСКОВ_2023'!H87="",D37,'РЕЕСТР РИСКОВ_2023'!H87)))))</f>
        <v>CTR-7</v>
      </c>
      <c r="E38" t="str">
        <f>IF('INHERENT MAP'!$B$5=2021,IF('РЕЕСТР РИСКОВ_2023'!I87="",E37,'РЕЕСТР РИСКОВ_2023'!I87),IF('INHERENT MAP'!$B$5=2022,IF(#REF!="",E37,#REF!),IF('INHERENT MAP'!$B$5=2023,IF(#REF!="",E37,#REF!),IF('INHERENT MAP'!$B$5=2024,IF(#REF!="",E37,#REF!),IF('РЕЕСТР РИСКОВ_2023'!I87="",E37,'РЕЕСТР РИСКОВ_2023'!I87)))))</f>
        <v>ЦЗ-1, ЦЗД</v>
      </c>
      <c r="F38" t="str">
        <f>IF('INHERENT MAP'!$B$5=2021,IF('РЕЕСТР РИСКОВ_2023'!J87="",F37,'РЕЕСТР РИСКОВ_2023'!J87),IF('INHERENT MAP'!$B$5=2022,IF(#REF!="",F37,#REF!),IF('INHERENT MAP'!$B$5=2023,IF(#REF!="",F37,#REF!),IF('INHERENT MAP'!$B$5=2024,IF(#REF!="",F37,#REF!),IF('РЕЕСТР РИСКОВ_2023'!J87="",F37,'РЕЕСТР РИСКОВ_2023'!J87)))))</f>
        <v>АО "Қазтеміртранс", АО "Кедентранссервис"</v>
      </c>
      <c r="G38" t="str">
        <f>IF('INHERENT MAP'!$B$5=2021,IF('РЕЕСТР РИСКОВ_2023'!K87="",G37,'РЕЕСТР РИСКОВ_2023'!K87),IF('INHERENT MAP'!$B$5=2022,IF(#REF!="",G37,#REF!),IF('INHERENT MAP'!$B$5=2023,IF(#REF!="",G37,#REF!),IF('INHERENT MAP'!$B$5=2024,IF(#REF!="",G37,#REF!),IF('РЕЕСТР РИСКОВ_2023'!K87="",G37,'РЕЕСТР РИСКОВ_2023'!K87)))))</f>
        <v>Риски, связанные с оперированием грузовыми вагонами</v>
      </c>
      <c r="H38">
        <f>IF('INHERENT MAP'!$B$5=2021,'РЕЕСТР РИСКОВ_2023'!L87,IF('INHERENT MAP'!$B$5=2022,#REF!,IF('INHERENT MAP'!$B$5=2023,#REF!,IF('INHERENT MAP'!$B$5=2024,#REF!,#REF!))))</f>
        <v>0</v>
      </c>
      <c r="I38">
        <f>IF('INHERENT MAP'!$B$5=2021,'РЕЕСТР РИСКОВ_2023'!M87,IF('INHERENT MAP'!$B$5=2022,#REF!,IF('INHERENT MAP'!$B$5=2023,#REF!,IF('INHERENT MAP'!$B$5=2024,#REF!,#REF!))))</f>
        <v>0</v>
      </c>
      <c r="J38">
        <f>IF('INHERENT MAP'!$B$5=2021,'РЕЕСТР РИСКОВ_2023'!N87,IF('INHERENT MAP'!$B$5=2022,#REF!,IF('INHERENT MAP'!$B$5=2023,#REF!,IF('INHERENT MAP'!$B$5=2024,#REF!,#REF!))))</f>
        <v>0</v>
      </c>
      <c r="K38">
        <f>IF('INHERENT MAP'!$B$5=2021,'РЕЕСТР РИСКОВ_2023'!O87,IF('INHERENT MAP'!$B$5=2022,#REF!,IF('INHERENT MAP'!$B$5=2023,#REF!,IF('INHERENT MAP'!$B$5=2024,#REF!,#REF!))))</f>
        <v>0</v>
      </c>
      <c r="L38">
        <f>IF('INHERENT MAP'!$B$5=2021,'РЕЕСТР РИСКОВ_2023'!P87,IF('INHERENT MAP'!$B$5=2022,#REF!,IF('INHERENT MAP'!$B$5=2023,#REF!,IF('INHERENT MAP'!$B$5=2024,#REF!,#REF!))))</f>
        <v>0</v>
      </c>
      <c r="M38" t="str">
        <f>IF('INHERENT MAP'!$B$5=2021,IF('РЕЕСТР РИСКОВ_2023'!Q87="",M37,'РЕЕСТР РИСКОВ_2023'!Q87),IF('INHERENT MAP'!$B$5=2022,IF(#REF!="",M37,#REF!),IF('INHERENT MAP'!$B$5=2023,IF(#REF!="",M37,#REF!),IF('INHERENT MAP'!$B$5=2024,IF(#REF!="",M37,#REF!),IF('РЕЕСТР РИСКОВ_2023'!Q87="",M37,'РЕЕСТР РИСКОВ_2023'!Q87)))))</f>
        <v>1. Ухудшение финансово-экономической обстановки в мире. Общемировой кризис. Форс-мажор. Введение черезвычайного положения из-за распространения пандемии. (запрет на экспорт груза; ограничение погрузки; падение деловой активности из-за остановки предприятий. Закрытие производственных объектов, ограничение приема поездов КНР.
2. Аварии на объектах добычи полезных ископаемых.
3. Нарушение стандартов обслуживания. Неэффективный процесс привлечения и удержания клиентов.
4. Несвоевременное выставление финансово-расчетных документов, несвоевременная выдача разрешительных телерамм, несвоевременное рассмотрение претензий. Неотвеченные звонки.Неполное взыскание доходов от оперирования вагонами. Превышение порожнего пробега. Несоответствие технического состояния.</v>
      </c>
      <c r="N38" t="str">
        <f>IF('INHERENT MAP'!$B$5=2021,IF('РЕЕСТР РИСКОВ_2023'!R87="",N37,'РЕЕСТР РИСКОВ_2023'!R87),IF('INHERENT MAP'!$B$5=2022,IF(#REF!="",N37,#REF!),IF('INHERENT MAP'!$B$5=2023,IF(#REF!="",N37,#REF!),IF('INHERENT MAP'!$B$5=2024,IF(#REF!="",N37,#REF!),IF('РЕЕСТР РИСКОВ_2023'!R87="",N37,'РЕЕСТР РИСКОВ_2023'!R87)))))</f>
        <v xml:space="preserve">Ухудшение финансово-экономической обстановки в мире. Общемировой кризис.Форс-мажор. Введение черезвычайного положения из-за распространения пандемии. (запрет на экспорт груза; ограничение погрузки; падение деловой активности из-за остановки предприятий. Закрытие производственных объектов, ограничение приема поездов КНР. Аварии на объектах добычи полезных ископаемых.)/Нарушение стандартов обслуживания. Неэффективный процесс привлечения и удержания клиентов.  (несвоевременное выставление финансово-расчетных документов, несвоевременная выдача разрешительных телерамм, несвоевременное рассмотрение претензий. Неотвеченные звонки.) </v>
      </c>
      <c r="O38">
        <f>'РЕЕСТР РИСКОВ_2023'!T87</f>
        <v>0</v>
      </c>
      <c r="P38">
        <f>IF('РЕЕСТР РИСКОВ_2023'!U87="",P37,'РЕЕСТР РИСКОВ_2023'!U87)</f>
        <v>0</v>
      </c>
      <c r="Q38" t="str">
        <f>IF('РЕЕСТР РИСКОВ_2023'!V87="",Q37,'РЕЕСТР РИСКОВ_2023'!V87)</f>
        <v>Угрозы</v>
      </c>
      <c r="R38" t="str">
        <f>IF('РЕЕСТР РИСКОВ_2023'!W87="",R37,'РЕЕСТР РИСКОВ_2023'!W87)</f>
        <v xml:space="preserve">Исполнение Плана доходности </v>
      </c>
      <c r="S38">
        <f>'РЕЕСТР РИСКОВ_2023'!X87</f>
        <v>0</v>
      </c>
      <c r="T38" s="94">
        <f>IF('INHERENT MAP'!$B$5=2021,'РЕЕСТР РИСКОВ_2023'!Y87,IF('INHERENT MAP'!$B$5=2022,#REF!,IF('INHERENT MAP'!$B$5=2023,#REF!,IF('INHERENT MAP'!$B$5=2024,#REF!,#REF!))))</f>
        <v>0</v>
      </c>
      <c r="U38">
        <f>IF('INHERENT MAP'!$B$5=2021,'РЕЕСТР РИСКОВ_2023'!Z87,IF('INHERENT MAP'!$B$5=2022,#REF!,IF('INHERENT MAP'!$B$5=2023,#REF!,IF('INHERENT MAP'!$B$5=2024,#REF!,#REF!))))</f>
        <v>0</v>
      </c>
      <c r="V38">
        <f>IF('INHERENT MAP'!$B$5=2021,'РЕЕСТР РИСКОВ_2023'!AA87,IF('INHERENT MAP'!$B$5=2022,#REF!,IF('INHERENT MAP'!$B$5=2023,#REF!,IF('INHERENT MAP'!$B$5=2024,#REF!,#REF!))))</f>
        <v>0</v>
      </c>
      <c r="W38">
        <f>IF('INHERENT MAP'!$B$5=2021,'РЕЕСТР РИСКОВ_2023'!AB87,IF('INHERENT MAP'!$B$5=2022,#REF!,IF('INHERENT MAP'!$B$5=2023,#REF!,IF('INHERENT MAP'!$B$5=2024,#REF!,#REF!))))</f>
        <v>0</v>
      </c>
      <c r="X38" s="94">
        <f>IF('INHERENT MAP'!$B$5=2021,'РЕЕСТР РИСКОВ_2023'!AC87,IF('INHERENT MAP'!$B$5=2022,#REF!,IF('INHERENT MAP'!$B$5=2023,#REF!,IF('INHERENT MAP'!$B$5=2024,#REF!,#REF!))))</f>
        <v>0</v>
      </c>
      <c r="Y38">
        <f>IF('INHERENT MAP'!$B$5=2021,'РЕЕСТР РИСКОВ_2023'!AD87,IF('INHERENT MAP'!$B$5=2022,#REF!,IF('INHERENT MAP'!$B$5=2023,#REF!,IF('INHERENT MAP'!$B$5=2024,#REF!,#REF!))))</f>
        <v>0</v>
      </c>
      <c r="Z38">
        <f>IF('INHERENT MAP'!$B$5=2021,'РЕЕСТР РИСКОВ_2023'!AE87,IF('INHERENT MAP'!$B$5=2022,#REF!,IF('INHERENT MAP'!$B$5=2023,#REF!,IF('INHERENT MAP'!$B$5=2024,#REF!,#REF!))))</f>
        <v>0</v>
      </c>
      <c r="AA38">
        <f>IF('INHERENT MAP'!$B$5=2021,'РЕЕСТР РИСКОВ_2023'!AF87,IF('INHERENT MAP'!$B$5=2022,#REF!,IF('INHERENT MAP'!$B$5=2023,#REF!,IF('INHERENT MAP'!$B$5=2024,#REF!,#REF!))))</f>
        <v>0</v>
      </c>
      <c r="AB38">
        <f>IF('INHERENT MAP'!$B$5=2021,'РЕЕСТР РИСКОВ_2023'!AG87,IF('INHERENT MAP'!$B$5=2022,#REF!,IF('INHERENT MAP'!$B$5=2023,#REF!,IF('INHERENT MAP'!$B$5=2024,#REF!,#REF!))))</f>
        <v>0</v>
      </c>
      <c r="AC38">
        <f>IF('INHERENT MAP'!$B$5=2021,'РЕЕСТР РИСКОВ_2023'!AH87,IF('INHERENT MAP'!$B$5=2022,#REF!,IF('INHERENT MAP'!$B$5=2023,#REF!,IF('INHERENT MAP'!$B$5=2024,#REF!,#REF!))))</f>
        <v>0</v>
      </c>
      <c r="AD38" t="str">
        <f>IF('INHERENT MAP'!$B$5=2021,'РЕЕСТР РИСКОВ_2023'!AI87,IF('INHERENT MAP'!$B$5=2022,#REF!,IF('INHERENT MAP'!$B$5=2023,#REF!,IF('INHERENT MAP'!$B$5=2024,#REF!,#REF!))))</f>
        <v xml:space="preserve"> 1. Работа с грузоотправителями, экспедиторами, государственными органами (решение проблемных вопросов).                                                                                                                              
2.Заключение долгосрочных договоров. Постоянный мониторинги анализ цен на  услуги. 
3.Создание тарифной комиссии.  Предоставление конкурентоспособных тарифов. Разработка единой гибкой тарифной политики, с возможностью разработки пакетных предложений и портфельного управления клиентскими договорами.                                                                                        
4.Анкетирование клиентов.                                                                                                                                           5. Автоматизация расчетов для тарифного Комитета. Прозрачность тарифной политики.                                 6. Постоянный мониторинг и  анализ цен на услуги                                                                                             
7. Контроль расчета тарифным калькулятором. Система контроля.                                                 
8.Решение проблемных вопросов.</v>
      </c>
      <c r="AE38">
        <f>IF('INHERENT MAP'!$B$5=2021,'РЕЕСТР РИСКОВ_2023'!AK87,IF('INHERENT MAP'!$B$5=2022,#REF!,IF('INHERENT MAP'!$B$5=2023,#REF!,IF('INHERENT MAP'!$B$5=2024,#REF!,#REF!))))</f>
        <v>0</v>
      </c>
      <c r="AF38">
        <f>IF('INHERENT MAP'!$B$5=2021,'РЕЕСТР РИСКОВ_2023'!AL87,IF('INHERENT MAP'!$B$5=2022,#REF!,IF('INHERENT MAP'!$B$5=2023,#REF!,IF('INHERENT MAP'!$B$5=2024,#REF!,#REF!))))</f>
        <v>0</v>
      </c>
      <c r="AG38">
        <f>IF('INHERENT MAP'!$B$5=2021,'РЕЕСТР РИСКОВ_2023'!AM87,IF('INHERENT MAP'!$B$5=2022,#REF!,IF('INHERENT MAP'!$B$5=2023,#REF!,IF('INHERENT MAP'!$B$5=2024,#REF!,#REF!))))</f>
        <v>0</v>
      </c>
      <c r="AH38">
        <f>IF('INHERENT MAP'!$B$5=2021,'РЕЕСТР РИСКОВ_2023'!AN87,IF('INHERENT MAP'!$B$5=2022,#REF!,IF('INHERENT MAP'!$B$5=2023,#REF!,IF('INHERENT MAP'!$B$5=2024,#REF!,#REF!))))</f>
        <v>0</v>
      </c>
      <c r="AI38">
        <f>IF('INHERENT MAP'!$B$5=2021,'РЕЕСТР РИСКОВ_2023'!AO87,IF('INHERENT MAP'!$B$5=2022,#REF!,IF('INHERENT MAP'!$B$5=2023,#REF!,IF('INHERENT MAP'!$B$5=2024,#REF!,#REF!))))</f>
        <v>0</v>
      </c>
      <c r="AJ38">
        <f>IF('INHERENT MAP'!$B$5=2021,'РЕЕСТР РИСКОВ_2023'!AP87,IF('INHERENT MAP'!$B$5=2022,#REF!,IF('INHERENT MAP'!$B$5=2023,#REF!,IF('INHERENT MAP'!$B$5=2024,#REF!,#REF!))))</f>
        <v>0</v>
      </c>
      <c r="AK38">
        <f>IF('РЕЕСТР РИСКОВ_2023'!AQ87="",AK37,'РЕЕСТР РИСКОВ_2023'!AQ87)</f>
        <v>-12734.275</v>
      </c>
      <c r="AL38">
        <f>IF('РЕЕСТР РИСКОВ_2023'!AR87="",AL37,'РЕЕСТР РИСКОВ_2023'!AR87)</f>
        <v>0.47499999999999998</v>
      </c>
      <c r="AM38">
        <f>IF('РЕЕСТР РИСКОВ_2023'!AS87="",AM37,'РЕЕСТР РИСКОВ_2023'!AS87)</f>
        <v>-6367.1374999999998</v>
      </c>
      <c r="AN38">
        <f>IF('РЕЕСТР РИСКОВ_2023'!AT87="",AN37,'РЕЕСТР РИСКОВ_2023'!AT87)</f>
        <v>-12754</v>
      </c>
      <c r="AO38">
        <f>IF('РЕЕСТР РИСКОВ_2023'!AU87="",AO37,'РЕЕСТР РИСКОВ_2023'!AU87)</f>
        <v>0</v>
      </c>
    </row>
    <row r="39" spans="2:41">
      <c r="B39" t="str">
        <f>IF('INHERENT MAP'!$B$5=2021,IF('РЕЕСТР РИСКОВ_2023'!F88="",B38,'РЕЕСТР РИСКОВ_2023'!F88),IF('INHERENT MAP'!$B$5=2022,IF(#REF!="",B38,#REF!),IF('INHERENT MAP'!$B$5=2023,IF(#REF!="",B38,#REF!),IF('INHERENT MAP'!$B$5=2024,IF(#REF!="",B38,#REF!),IF('РЕЕСТР РИСКОВ_2023'!F88="",B38,'РЕЕСТР РИСКОВ_2023'!F88)))))</f>
        <v>РИСК ГРУЗООБОРОТА</v>
      </c>
      <c r="C39" t="str">
        <f>IF('INHERENT MAP'!$B$5=2021,IF('РЕЕСТР РИСКОВ_2023'!G88="",C38,'РЕЕСТР РИСКОВ_2023'!G88),IF('INHERENT MAP'!$B$5=2022,IF(#REF!="",C38,#REF!),IF('INHERENT MAP'!$B$5=2023,IF(#REF!="",C38,#REF!),IF('INHERENT MAP'!$B$5=2024,IF(#REF!="",C38,#REF!),IF('РЕЕСТР РИСКОВ_2023'!G88="",C38,'РЕЕСТР РИСКОВ_2023'!G88)))))</f>
        <v>- ХХХ млн. тенге</v>
      </c>
      <c r="D39" t="str">
        <f>IF('INHERENT MAP'!$B$5=2021,IF('РЕЕСТР РИСКОВ_2023'!H88="",D38,'РЕЕСТР РИСКОВ_2023'!H88),IF('INHERENT MAP'!$B$5=2022,IF(#REF!="",D38,#REF!),IF('INHERENT MAP'!$B$5=2023,IF(#REF!="",D38,#REF!),IF('INHERENT MAP'!$B$5=2024,IF(#REF!="",D38,#REF!),IF('РЕЕСТР РИСКОВ_2023'!H88="",D38,'РЕЕСТР РИСКОВ_2023'!H88)))))</f>
        <v>CTR-8</v>
      </c>
      <c r="E39" t="str">
        <f>IF('INHERENT MAP'!$B$5=2021,IF('РЕЕСТР РИСКОВ_2023'!I88="",E38,'РЕЕСТР РИСКОВ_2023'!I88),IF('INHERENT MAP'!$B$5=2022,IF(#REF!="",E38,#REF!),IF('INHERENT MAP'!$B$5=2023,IF(#REF!="",E38,#REF!),IF('INHERENT MAP'!$B$5=2024,IF(#REF!="",E38,#REF!),IF('РЕЕСТР РИСКОВ_2023'!I88="",E38,'РЕЕСТР РИСКОВ_2023'!I88)))))</f>
        <v>ЦЗЛ</v>
      </c>
      <c r="F39" t="str">
        <f>IF('INHERENT MAP'!$B$5=2021,IF('РЕЕСТР РИСКОВ_2023'!J88="",F38,'РЕЕСТР РИСКОВ_2023'!J88),IF('INHERENT MAP'!$B$5=2022,IF(#REF!="",F38,#REF!),IF('INHERENT MAP'!$B$5=2023,IF(#REF!="",F38,#REF!),IF('INHERENT MAP'!$B$5=2024,IF(#REF!="",F38,#REF!),IF('РЕЕСТР РИСКОВ_2023'!J88="",F38,'РЕЕСТР РИСКОВ_2023'!J88)))))</f>
        <v>КТЖЭ</v>
      </c>
      <c r="G39" t="str">
        <f>IF('INHERENT MAP'!$B$5=2021,IF('РЕЕСТР РИСКОВ_2023'!K88="",G38,'РЕЕСТР РИСКОВ_2023'!K88),IF('INHERENT MAP'!$B$5=2022,IF(#REF!="",G38,#REF!),IF('INHERENT MAP'!$B$5=2023,IF(#REF!="",G38,#REF!),IF('INHERENT MAP'!$B$5=2024,IF(#REF!="",G38,#REF!),IF('РЕЕСТР РИСКОВ_2023'!K88="",G38,'РЕЕСТР РИСКОВ_2023'!K88)))))</f>
        <v>Риски экспедирования грузов</v>
      </c>
      <c r="H39">
        <f>IF('INHERENT MAP'!$B$5=2021,'РЕЕСТР РИСКОВ_2023'!L88,IF('INHERENT MAP'!$B$5=2022,#REF!,IF('INHERENT MAP'!$B$5=2023,#REF!,IF('INHERENT MAP'!$B$5=2024,#REF!,#REF!))))</f>
        <v>0</v>
      </c>
      <c r="I39">
        <f>IF('INHERENT MAP'!$B$5=2021,'РЕЕСТР РИСКОВ_2023'!M88,IF('INHERENT MAP'!$B$5=2022,#REF!,IF('INHERENT MAP'!$B$5=2023,#REF!,IF('INHERENT MAP'!$B$5=2024,#REF!,#REF!))))</f>
        <v>0</v>
      </c>
      <c r="J39">
        <f>IF('INHERENT MAP'!$B$5=2021,'РЕЕСТР РИСКОВ_2023'!N88,IF('INHERENT MAP'!$B$5=2022,#REF!,IF('INHERENT MAP'!$B$5=2023,#REF!,IF('INHERENT MAP'!$B$5=2024,#REF!,#REF!))))</f>
        <v>0</v>
      </c>
      <c r="K39">
        <f>IF('INHERENT MAP'!$B$5=2021,'РЕЕСТР РИСКОВ_2023'!O88,IF('INHERENT MAP'!$B$5=2022,#REF!,IF('INHERENT MAP'!$B$5=2023,#REF!,IF('INHERENT MAP'!$B$5=2024,#REF!,#REF!))))</f>
        <v>0</v>
      </c>
      <c r="L39">
        <f>IF('INHERENT MAP'!$B$5=2021,'РЕЕСТР РИСКОВ_2023'!P88,IF('INHERENT MAP'!$B$5=2022,#REF!,IF('INHERENT MAP'!$B$5=2023,#REF!,IF('INHERENT MAP'!$B$5=2024,#REF!,#REF!))))</f>
        <v>0</v>
      </c>
      <c r="M39" t="str">
        <f>IF('INHERENT MAP'!$B$5=2021,IF('РЕЕСТР РИСКОВ_2023'!Q88="",M38,'РЕЕСТР РИСКОВ_2023'!Q88),IF('INHERENT MAP'!$B$5=2022,IF(#REF!="",M38,#REF!),IF('INHERENT MAP'!$B$5=2023,IF(#REF!="",M38,#REF!),IF('INHERENT MAP'!$B$5=2024,IF(#REF!="",M38,#REF!),IF('РЕЕСТР РИСКОВ_2023'!Q88="",M38,'РЕЕСТР РИСКОВ_2023'!Q88)))))</f>
        <v>Риск конкуренции</v>
      </c>
      <c r="N39" t="str">
        <f>IF('INHERENT MAP'!$B$5=2021,IF('РЕЕСТР РИСКОВ_2023'!R88="",N38,'РЕЕСТР РИСКОВ_2023'!R88),IF('INHERENT MAP'!$B$5=2022,IF(#REF!="",N38,#REF!),IF('INHERENT MAP'!$B$5=2023,IF(#REF!="",N38,#REF!),IF('INHERENT MAP'!$B$5=2024,IF(#REF!="",N38,#REF!),IF('РЕЕСТР РИСКОВ_2023'!R88="",N38,'РЕЕСТР РИСКОВ_2023'!R88)))))</f>
        <v>1. Транзитная конкурения. Комбинированный маршрут "Китай-Монголия-Россия/ЕС" 
2. Конкуренция со стороны соседних государств. 
3. Ценовой демпинг со стороны других жд администраций, частных перевозчиков. 
4. Ухудшение финансово-экономической обстановки в мире. 
5. Общемировой кризис.  
6. Задержка грузов на ст.Достык и ст.Алтынколь  
7. Отток клиентов на другие виды транспорта
8.  Отсутствие гибкой ценовой политики                                                                                                              9. Ограниченность  направлений перевозки грузов                                                                                                 10. Нехватка квалифицированных спецалистов                                                                                           11. Запрет на перевозки грузов в страны, внесенные в санкционный список                                                        12. Установление конкурентами цен ниже рыночных                                                                                       13. Внешние факторы повышения цен</v>
      </c>
      <c r="O39">
        <f>'РЕЕСТР РИСКОВ_2023'!T88</f>
        <v>0</v>
      </c>
      <c r="P39">
        <f>IF('РЕЕСТР РИСКОВ_2023'!U88="",P38,'РЕЕСТР РИСКОВ_2023'!U88)</f>
        <v>0</v>
      </c>
      <c r="Q39" t="str">
        <f>IF('РЕЕСТР РИСКОВ_2023'!V88="",Q38,'РЕЕСТР РИСКОВ_2023'!V88)</f>
        <v>Угрозы</v>
      </c>
      <c r="R39" t="str">
        <f>IF('РЕЕСТР РИСКОВ_2023'!W88="",R38,'РЕЕСТР РИСКОВ_2023'!W88)</f>
        <v>Снижение объемов ТЭО</v>
      </c>
      <c r="S39">
        <f>'РЕЕСТР РИСКОВ_2023'!X88</f>
        <v>0</v>
      </c>
      <c r="T39" s="94">
        <f>IF('INHERENT MAP'!$B$5=2021,'РЕЕСТР РИСКОВ_2023'!Y88,IF('INHERENT MAP'!$B$5=2022,#REF!,IF('INHERENT MAP'!$B$5=2023,#REF!,IF('INHERENT MAP'!$B$5=2024,#REF!,#REF!))))</f>
        <v>0.8</v>
      </c>
      <c r="U39">
        <f>IF('INHERENT MAP'!$B$5=2021,'РЕЕСТР РИСКОВ_2023'!Z88,IF('INHERENT MAP'!$B$5=2022,#REF!,IF('INHERENT MAP'!$B$5=2023,#REF!,IF('INHERENT MAP'!$B$5=2024,#REF!,#REF!))))</f>
        <v>0</v>
      </c>
      <c r="V39">
        <f>IF('INHERENT MAP'!$B$5=2021,'РЕЕСТР РИСКОВ_2023'!AA88,IF('INHERENT MAP'!$B$5=2022,#REF!,IF('INHERENT MAP'!$B$5=2023,#REF!,IF('INHERENT MAP'!$B$5=2024,#REF!,#REF!))))</f>
        <v>0</v>
      </c>
      <c r="W39">
        <f>IF('INHERENT MAP'!$B$5=2021,'РЕЕСТР РИСКОВ_2023'!AB88,IF('INHERENT MAP'!$B$5=2022,#REF!,IF('INHERENT MAP'!$B$5=2023,#REF!,IF('INHERENT MAP'!$B$5=2024,#REF!,#REF!))))</f>
        <v>0</v>
      </c>
      <c r="X39" s="94">
        <f>IF('INHERENT MAP'!$B$5=2021,'РЕЕСТР РИСКОВ_2023'!AC88,IF('INHERENT MAP'!$B$5=2022,#REF!,IF('INHERENT MAP'!$B$5=2023,#REF!,IF('INHERENT MAP'!$B$5=2024,#REF!,#REF!))))</f>
        <v>0.4</v>
      </c>
      <c r="Y39">
        <f>IF('INHERENT MAP'!$B$5=2021,'РЕЕСТР РИСКОВ_2023'!AD88,IF('INHERENT MAP'!$B$5=2022,#REF!,IF('INHERENT MAP'!$B$5=2023,#REF!,IF('INHERENT MAP'!$B$5=2024,#REF!,#REF!))))</f>
        <v>-103</v>
      </c>
      <c r="Z39">
        <f>IF('INHERENT MAP'!$B$5=2021,'РЕЕСТР РИСКОВ_2023'!AE88,IF('INHERENT MAP'!$B$5=2022,#REF!,IF('INHERENT MAP'!$B$5=2023,#REF!,IF('INHERENT MAP'!$B$5=2024,#REF!,#REF!))))</f>
        <v>-41.2</v>
      </c>
      <c r="AA39">
        <f>IF('INHERENT MAP'!$B$5=2021,'РЕЕСТР РИСКОВ_2023'!AF88,IF('INHERENT MAP'!$B$5=2022,#REF!,IF('INHERENT MAP'!$B$5=2023,#REF!,IF('INHERENT MAP'!$B$5=2024,#REF!,#REF!))))</f>
        <v>0</v>
      </c>
      <c r="AB39">
        <f>IF('INHERENT MAP'!$B$5=2021,'РЕЕСТР РИСКОВ_2023'!AG88,IF('INHERENT MAP'!$B$5=2022,#REF!,IF('INHERENT MAP'!$B$5=2023,#REF!,IF('INHERENT MAP'!$B$5=2024,#REF!,#REF!))))</f>
        <v>0</v>
      </c>
      <c r="AC39">
        <f>IF('INHERENT MAP'!$B$5=2021,'РЕЕСТР РИСКОВ_2023'!AH88,IF('INHERENT MAP'!$B$5=2022,#REF!,IF('INHERENT MAP'!$B$5=2023,#REF!,IF('INHERENT MAP'!$B$5=2024,#REF!,#REF!))))</f>
        <v>0</v>
      </c>
      <c r="AD39" t="str">
        <f>IF('INHERENT MAP'!$B$5=2021,'РЕЕСТР РИСКОВ_2023'!AI88,IF('INHERENT MAP'!$B$5=2022,#REF!,IF('INHERENT MAP'!$B$5=2023,#REF!,IF('INHERENT MAP'!$B$5=2024,#REF!,#REF!))))</f>
        <v>1. Взаимодействие с ДО АО НК КТЖ по недопущению внутрихолдинговой конкуренции 
2. Заявка на предоставление скидок к тарифу МЖС по определенным маршрутам;
3. Консолидация (сбор, хранение и анализ данных по клиентам) в информационной системе (CRM, ИРС-Перевозки, 1С Бухгалтерия) для повышения операционной эффективности маркетинга и продаж</v>
      </c>
      <c r="AE39" t="str">
        <f>IF('INHERENT MAP'!$B$5=2021,'РЕЕСТР РИСКОВ_2023'!AK88,IF('INHERENT MAP'!$B$5=2022,#REF!,IF('INHERENT MAP'!$B$5=2023,#REF!,IF('INHERENT MAP'!$B$5=2024,#REF!,#REF!))))</f>
        <v>КЛ,КП</v>
      </c>
      <c r="AF39" t="str">
        <f>IF('INHERENT MAP'!$B$5=2021,'РЕЕСТР РИСКОВ_2023'!AL88,IF('INHERENT MAP'!$B$5=2022,#REF!,IF('INHERENT MAP'!$B$5=2023,#REF!,IF('INHERENT MAP'!$B$5=2024,#REF!,#REF!))))</f>
        <v>1. По мере необходимости
2. По мере необходимости
2. На постоянной основе</v>
      </c>
      <c r="AG39" t="str">
        <f>IF('INHERENT MAP'!$B$5=2021,'РЕЕСТР РИСКОВ_2023'!AM88,IF('INHERENT MAP'!$B$5=2022,#REF!,IF('INHERENT MAP'!$B$5=2023,#REF!,IF('INHERENT MAP'!$B$5=2024,#REF!,#REF!))))</f>
        <v>средняя</v>
      </c>
      <c r="AH39">
        <f>IF('INHERENT MAP'!$B$5=2021,'РЕЕСТР РИСКОВ_2023'!AN88,IF('INHERENT MAP'!$B$5=2022,#REF!,IF('INHERENT MAP'!$B$5=2023,#REF!,IF('INHERENT MAP'!$B$5=2024,#REF!,#REF!))))</f>
        <v>0.4</v>
      </c>
      <c r="AI39">
        <f>IF('INHERENT MAP'!$B$5=2021,'РЕЕСТР РИСКОВ_2023'!AO88,IF('INHERENT MAP'!$B$5=2022,#REF!,IF('INHERENT MAP'!$B$5=2023,#REF!,IF('INHERENT MAP'!$B$5=2024,#REF!,#REF!))))</f>
        <v>0</v>
      </c>
      <c r="AJ39">
        <f>IF('INHERENT MAP'!$B$5=2021,'РЕЕСТР РИСКОВ_2023'!AP88,IF('INHERENT MAP'!$B$5=2022,#REF!,IF('INHERENT MAP'!$B$5=2023,#REF!,IF('INHERENT MAP'!$B$5=2024,#REF!,#REF!))))</f>
        <v>0</v>
      </c>
      <c r="AK39">
        <f>IF('РЕЕСТР РИСКОВ_2023'!AQ88="",AK38,'РЕЕСТР РИСКОВ_2023'!AQ88)</f>
        <v>0</v>
      </c>
      <c r="AL39">
        <f>IF('РЕЕСТР РИСКОВ_2023'!AR88="",AL38,'РЕЕСТР РИСКОВ_2023'!AR88)</f>
        <v>0.2</v>
      </c>
      <c r="AM39">
        <f>IF('РЕЕСТР РИСКОВ_2023'!AS88="",AM38,'РЕЕСТР РИСКОВ_2023'!AS88)</f>
        <v>-51.5</v>
      </c>
      <c r="AN39">
        <f>IF('РЕЕСТР РИСКОВ_2023'!AT88="",AN38,'РЕЕСТР РИСКОВ_2023'!AT88)</f>
        <v>-20.6</v>
      </c>
      <c r="AO39">
        <f>IF('РЕЕСТР РИСКОВ_2023'!AU88="",AO38,'РЕЕСТР РИСКОВ_2023'!AU88)</f>
        <v>0</v>
      </c>
    </row>
    <row r="40" spans="2:41">
      <c r="B40" t="str">
        <f>IF('INHERENT MAP'!$B$5=2021,IF('РЕЕСТР РИСКОВ_2023'!F89="",B39,'РЕЕСТР РИСКОВ_2023'!F89),IF('INHERENT MAP'!$B$5=2022,IF(#REF!="",B39,#REF!),IF('INHERENT MAP'!$B$5=2023,IF(#REF!="",B39,#REF!),IF('INHERENT MAP'!$B$5=2024,IF(#REF!="",B39,#REF!),IF('РЕЕСТР РИСКОВ_2023'!F89="",B39,'РЕЕСТР РИСКОВ_2023'!F89)))))</f>
        <v>РИСК ГРУЗООБОРОТА</v>
      </c>
      <c r="C40" t="str">
        <f>IF('INHERENT MAP'!$B$5=2021,IF('РЕЕСТР РИСКОВ_2023'!G89="",C39,'РЕЕСТР РИСКОВ_2023'!G89),IF('INHERENT MAP'!$B$5=2022,IF(#REF!="",C39,#REF!),IF('INHERENT MAP'!$B$5=2023,IF(#REF!="",C39,#REF!),IF('INHERENT MAP'!$B$5=2024,IF(#REF!="",C39,#REF!),IF('РЕЕСТР РИСКОВ_2023'!G89="",C39,'РЕЕСТР РИСКОВ_2023'!G89)))))</f>
        <v>- ХХХ млн. тенге</v>
      </c>
      <c r="D40" t="str">
        <f>IF('INHERENT MAP'!$B$5=2021,IF('РЕЕСТР РИСКОВ_2023'!H89="",D39,'РЕЕСТР РИСКОВ_2023'!H89),IF('INHERENT MAP'!$B$5=2022,IF(#REF!="",D39,#REF!),IF('INHERENT MAP'!$B$5=2023,IF(#REF!="",D39,#REF!),IF('INHERENT MAP'!$B$5=2024,IF(#REF!="",D39,#REF!),IF('РЕЕСТР РИСКОВ_2023'!H89="",D39,'РЕЕСТР РИСКОВ_2023'!H89)))))</f>
        <v>CTR-8</v>
      </c>
      <c r="E40" t="str">
        <f>IF('INHERENT MAP'!$B$5=2021,IF('РЕЕСТР РИСКОВ_2023'!I89="",E39,'РЕЕСТР РИСКОВ_2023'!I89),IF('INHERENT MAP'!$B$5=2022,IF(#REF!="",E39,#REF!),IF('INHERENT MAP'!$B$5=2023,IF(#REF!="",E39,#REF!),IF('INHERENT MAP'!$B$5=2024,IF(#REF!="",E39,#REF!),IF('РЕЕСТР РИСКОВ_2023'!I89="",E39,'РЕЕСТР РИСКОВ_2023'!I89)))))</f>
        <v>ЦЗЛ</v>
      </c>
      <c r="F40" t="str">
        <f>IF('INHERENT MAP'!$B$5=2021,IF('РЕЕСТР РИСКОВ_2023'!J89="",F39,'РЕЕСТР РИСКОВ_2023'!J89),IF('INHERENT MAP'!$B$5=2022,IF(#REF!="",F39,#REF!),IF('INHERENT MAP'!$B$5=2023,IF(#REF!="",F39,#REF!),IF('INHERENT MAP'!$B$5=2024,IF(#REF!="",F39,#REF!),IF('РЕЕСТР РИСКОВ_2023'!J89="",F39,'РЕЕСТР РИСКОВ_2023'!J89)))))</f>
        <v>КТЖЭ</v>
      </c>
      <c r="G40" t="str">
        <f>IF('INHERENT MAP'!$B$5=2021,IF('РЕЕСТР РИСКОВ_2023'!K89="",G39,'РЕЕСТР РИСКОВ_2023'!K89),IF('INHERENT MAP'!$B$5=2022,IF(#REF!="",G39,#REF!),IF('INHERENT MAP'!$B$5=2023,IF(#REF!="",G39,#REF!),IF('INHERENT MAP'!$B$5=2024,IF(#REF!="",G39,#REF!),IF('РЕЕСТР РИСКОВ_2023'!K89="",G39,'РЕЕСТР РИСКОВ_2023'!K89)))))</f>
        <v>Риски экспедирования грузов</v>
      </c>
      <c r="H40">
        <f>IF('INHERENT MAP'!$B$5=2021,'РЕЕСТР РИСКОВ_2023'!L89,IF('INHERENT MAP'!$B$5=2022,#REF!,IF('INHERENT MAP'!$B$5=2023,#REF!,IF('INHERENT MAP'!$B$5=2024,#REF!,#REF!))))</f>
        <v>0</v>
      </c>
      <c r="I40">
        <f>IF('INHERENT MAP'!$B$5=2021,'РЕЕСТР РИСКОВ_2023'!M89,IF('INHERENT MAP'!$B$5=2022,#REF!,IF('INHERENT MAP'!$B$5=2023,#REF!,IF('INHERENT MAP'!$B$5=2024,#REF!,#REF!))))</f>
        <v>0</v>
      </c>
      <c r="J40">
        <f>IF('INHERENT MAP'!$B$5=2021,'РЕЕСТР РИСКОВ_2023'!N89,IF('INHERENT MAP'!$B$5=2022,#REF!,IF('INHERENT MAP'!$B$5=2023,#REF!,IF('INHERENT MAP'!$B$5=2024,#REF!,#REF!))))</f>
        <v>0</v>
      </c>
      <c r="K40">
        <f>IF('INHERENT MAP'!$B$5=2021,'РЕЕСТР РИСКОВ_2023'!O89,IF('INHERENT MAP'!$B$5=2022,#REF!,IF('INHERENT MAP'!$B$5=2023,#REF!,IF('INHERENT MAP'!$B$5=2024,#REF!,#REF!))))</f>
        <v>0</v>
      </c>
      <c r="L40">
        <f>IF('INHERENT MAP'!$B$5=2021,'РЕЕСТР РИСКОВ_2023'!P89,IF('INHERENT MAP'!$B$5=2022,#REF!,IF('INHERENT MAP'!$B$5=2023,#REF!,IF('INHERENT MAP'!$B$5=2024,#REF!,#REF!))))</f>
        <v>0</v>
      </c>
      <c r="M40" t="str">
        <f>IF('INHERENT MAP'!$B$5=2021,IF('РЕЕСТР РИСКОВ_2023'!Q89="",M39,'РЕЕСТР РИСКОВ_2023'!Q89),IF('INHERENT MAP'!$B$5=2022,IF(#REF!="",M39,#REF!),IF('INHERENT MAP'!$B$5=2023,IF(#REF!="",M39,#REF!),IF('INHERENT MAP'!$B$5=2024,IF(#REF!="",M39,#REF!),IF('РЕЕСТР РИСКОВ_2023'!Q89="",M39,'РЕЕСТР РИСКОВ_2023'!Q89)))))</f>
        <v>Риск увеличения доли порожнего пробега</v>
      </c>
      <c r="N40" t="str">
        <f>IF('INHERENT MAP'!$B$5=2021,IF('РЕЕСТР РИСКОВ_2023'!R89="",N39,'РЕЕСТР РИСКОВ_2023'!R89),IF('INHERENT MAP'!$B$5=2022,IF(#REF!="",N39,#REF!),IF('INHERENT MAP'!$B$5=2023,IF(#REF!="",N39,#REF!),IF('INHERENT MAP'!$B$5=2024,IF(#REF!="",N39,#REF!),IF('РЕЕСТР РИСКОВ_2023'!R89="",N39,'РЕЕСТР РИСКОВ_2023'!R89)))))</f>
        <v>1.Нарушение цепи поставок        2.Неперспективные (убыточые) маршруты      
3.Не исполнение логистических маршрутов 
4.Снижение объемов груженных вагоноотправок 
5.Длительное занятие станционных путей порожними вагонами в ожидании высокодоходных перевозок                                                                                          
6.Нарушение логистических схем и увеличение порожнего пробега</v>
      </c>
      <c r="O40">
        <f>'РЕЕСТР РИСКОВ_2023'!T89</f>
        <v>0</v>
      </c>
      <c r="P40">
        <f>IF('РЕЕСТР РИСКОВ_2023'!U89="",P39,'РЕЕСТР РИСКОВ_2023'!U89)</f>
        <v>0</v>
      </c>
      <c r="Q40" t="str">
        <f>IF('РЕЕСТР РИСКОВ_2023'!V89="",Q39,'РЕЕСТР РИСКОВ_2023'!V89)</f>
        <v>Слабые стороны</v>
      </c>
      <c r="R40" t="str">
        <f>IF('РЕЕСТР РИСКОВ_2023'!W89="",R39,'РЕЕСТР РИСКОВ_2023'!W89)</f>
        <v>Доходы по порожнему пробегу, млн. тг.</v>
      </c>
      <c r="S40">
        <f>'РЕЕСТР РИСКОВ_2023'!X89</f>
        <v>0</v>
      </c>
      <c r="T40" s="94">
        <f>IF('INHERENT MAP'!$B$5=2021,'РЕЕСТР РИСКОВ_2023'!Y89,IF('INHERENT MAP'!$B$5=2022,#REF!,IF('INHERENT MAP'!$B$5=2023,#REF!,IF('INHERENT MAP'!$B$5=2024,#REF!,#REF!))))</f>
        <v>0.4</v>
      </c>
      <c r="U40">
        <f>IF('INHERENT MAP'!$B$5=2021,'РЕЕСТР РИСКОВ_2023'!Z89,IF('INHERENT MAP'!$B$5=2022,#REF!,IF('INHERENT MAP'!$B$5=2023,#REF!,IF('INHERENT MAP'!$B$5=2024,#REF!,#REF!))))</f>
        <v>-103</v>
      </c>
      <c r="V40">
        <f>IF('INHERENT MAP'!$B$5=2021,'РЕЕСТР РИСКОВ_2023'!AA89,IF('INHERENT MAP'!$B$5=2022,#REF!,IF('INHERENT MAP'!$B$5=2023,#REF!,IF('INHERENT MAP'!$B$5=2024,#REF!,#REF!))))</f>
        <v>-41.2</v>
      </c>
      <c r="W40" t="str">
        <f>IF('INHERENT MAP'!$B$5=2021,'РЕЕСТР РИСКОВ_2023'!AB89,IF('INHERENT MAP'!$B$5=2022,#REF!,IF('INHERENT MAP'!$B$5=2023,#REF!,IF('INHERENT MAP'!$B$5=2024,#REF!,#REF!))))</f>
        <v>отклонение по доле расходов по пороженному пробегу на 2% за 9 мес.</v>
      </c>
      <c r="X40" s="94">
        <f>IF('INHERENT MAP'!$B$5=2021,'РЕЕСТР РИСКОВ_2023'!AC89,IF('INHERENT MAP'!$B$5=2022,#REF!,IF('INHERENT MAP'!$B$5=2023,#REF!,IF('INHERENT MAP'!$B$5=2024,#REF!,#REF!))))</f>
        <v>0</v>
      </c>
      <c r="Y40">
        <f>IF('INHERENT MAP'!$B$5=2021,'РЕЕСТР РИСКОВ_2023'!AD89,IF('INHERENT MAP'!$B$5=2022,#REF!,IF('INHERENT MAP'!$B$5=2023,#REF!,IF('INHERENT MAP'!$B$5=2024,#REF!,#REF!))))</f>
        <v>0</v>
      </c>
      <c r="Z40">
        <f>IF('INHERENT MAP'!$B$5=2021,'РЕЕСТР РИСКОВ_2023'!AE89,IF('INHERENT MAP'!$B$5=2022,#REF!,IF('INHERENT MAP'!$B$5=2023,#REF!,IF('INHERENT MAP'!$B$5=2024,#REF!,#REF!))))</f>
        <v>0</v>
      </c>
      <c r="AA40">
        <f>IF('INHERENT MAP'!$B$5=2021,'РЕЕСТР РИСКОВ_2023'!AF89,IF('INHERENT MAP'!$B$5=2022,#REF!,IF('INHERENT MAP'!$B$5=2023,#REF!,IF('INHERENT MAP'!$B$5=2024,#REF!,#REF!))))</f>
        <v>0</v>
      </c>
      <c r="AB40">
        <f>IF('INHERENT MAP'!$B$5=2021,'РЕЕСТР РИСКОВ_2023'!AG89,IF('INHERENT MAP'!$B$5=2022,#REF!,IF('INHERENT MAP'!$B$5=2023,#REF!,IF('INHERENT MAP'!$B$5=2024,#REF!,#REF!))))</f>
        <v>0</v>
      </c>
      <c r="AC40">
        <f>IF('INHERENT MAP'!$B$5=2021,'РЕЕСТР РИСКОВ_2023'!AH89,IF('INHERENT MAP'!$B$5=2022,#REF!,IF('INHERENT MAP'!$B$5=2023,#REF!,IF('INHERENT MAP'!$B$5=2024,#REF!,#REF!))))</f>
        <v>0</v>
      </c>
      <c r="AD40" t="str">
        <f>IF('INHERENT MAP'!$B$5=2021,'РЕЕСТР РИСКОВ_2023'!AI89,IF('INHERENT MAP'!$B$5=2022,#REF!,IF('INHERENT MAP'!$B$5=2023,#REF!,IF('INHERENT MAP'!$B$5=2024,#REF!,#REF!))))</f>
        <v>1. Мониторинг порожних пробегов;                                                                                                                                                
2. Разработка эффективных логистических схем для минимизации порожнего пробега;                          
3. Организация обратной загрузки платформ.</v>
      </c>
      <c r="AE40" t="str">
        <f>IF('INHERENT MAP'!$B$5=2021,'РЕЕСТР РИСКОВ_2023'!AK89,IF('INHERENT MAP'!$B$5=2022,#REF!,IF('INHERENT MAP'!$B$5=2023,#REF!,IF('INHERENT MAP'!$B$5=2024,#REF!,#REF!))))</f>
        <v>КЛ,КТО</v>
      </c>
      <c r="AF40" t="str">
        <f>IF('INHERENT MAP'!$B$5=2021,'РЕЕСТР РИСКОВ_2023'!AL89,IF('INHERENT MAP'!$B$5=2022,#REF!,IF('INHERENT MAP'!$B$5=2023,#REF!,IF('INHERENT MAP'!$B$5=2024,#REF!,#REF!))))</f>
        <v>1. На постоянной основе
2. На постоянной основе
3. На постоянной основе</v>
      </c>
      <c r="AG40" t="str">
        <f>IF('INHERENT MAP'!$B$5=2021,'РЕЕСТР РИСКОВ_2023'!AM89,IF('INHERENT MAP'!$B$5=2022,#REF!,IF('INHERENT MAP'!$B$5=2023,#REF!,IF('INHERENT MAP'!$B$5=2024,#REF!,#REF!))))</f>
        <v>средняя</v>
      </c>
      <c r="AH40">
        <f>IF('INHERENT MAP'!$B$5=2021,'РЕЕСТР РИСКОВ_2023'!AN89,IF('INHERENT MAP'!$B$5=2022,#REF!,IF('INHERENT MAP'!$B$5=2023,#REF!,IF('INHERENT MAP'!$B$5=2024,#REF!,#REF!))))</f>
        <v>0.2</v>
      </c>
      <c r="AI40">
        <f>IF('INHERENT MAP'!$B$5=2021,'РЕЕСТР РИСКОВ_2023'!AO89,IF('INHERENT MAP'!$B$5=2022,#REF!,IF('INHERENT MAP'!$B$5=2023,#REF!,IF('INHERENT MAP'!$B$5=2024,#REF!,#REF!))))</f>
        <v>-51.5</v>
      </c>
      <c r="AJ40">
        <f>IF('INHERENT MAP'!$B$5=2021,'РЕЕСТР РИСКОВ_2023'!AP89,IF('INHERENT MAP'!$B$5=2022,#REF!,IF('INHERENT MAP'!$B$5=2023,#REF!,IF('INHERENT MAP'!$B$5=2024,#REF!,#REF!))))</f>
        <v>-10.3</v>
      </c>
      <c r="AK40">
        <f>IF('РЕЕСТР РИСКОВ_2023'!AQ89="",AK39,'РЕЕСТР РИСКОВ_2023'!AQ89)</f>
        <v>-20.6</v>
      </c>
      <c r="AL40">
        <f>IF('РЕЕСТР РИСКОВ_2023'!AR89="",AL39,'РЕЕСТР РИСКОВ_2023'!AR89)</f>
        <v>0.2</v>
      </c>
      <c r="AM40">
        <f>IF('РЕЕСТР РИСКОВ_2023'!AS89="",AM39,'РЕЕСТР РИСКОВ_2023'!AS89)</f>
        <v>-51.5</v>
      </c>
      <c r="AN40">
        <f>IF('РЕЕСТР РИСКОВ_2023'!AT89="",AN39,'РЕЕСТР РИСКОВ_2023'!AT89)</f>
        <v>-20.6</v>
      </c>
      <c r="AO40">
        <f>IF('РЕЕСТР РИСКОВ_2023'!AU89="",AO39,'РЕЕСТР РИСКОВ_2023'!AU89)</f>
        <v>0</v>
      </c>
    </row>
    <row r="41" spans="2:41">
      <c r="B41" t="str">
        <f>IF('INHERENT MAP'!$B$5=2021,IF('РЕЕСТР РИСКОВ_2023'!F90="",B40,'РЕЕСТР РИСКОВ_2023'!F90),IF('INHERENT MAP'!$B$5=2022,IF(#REF!="",B40,#REF!),IF('INHERENT MAP'!$B$5=2023,IF(#REF!="",B40,#REF!),IF('INHERENT MAP'!$B$5=2024,IF(#REF!="",B40,#REF!),IF('РЕЕСТР РИСКОВ_2023'!F90="",B40,'РЕЕСТР РИСКОВ_2023'!F90)))))</f>
        <v>РИСК ГРУЗООБОРОТА</v>
      </c>
      <c r="C41" t="str">
        <f>IF('INHERENT MAP'!$B$5=2021,IF('РЕЕСТР РИСКОВ_2023'!G90="",C40,'РЕЕСТР РИСКОВ_2023'!G90),IF('INHERENT MAP'!$B$5=2022,IF(#REF!="",C40,#REF!),IF('INHERENT MAP'!$B$5=2023,IF(#REF!="",C40,#REF!),IF('INHERENT MAP'!$B$5=2024,IF(#REF!="",C40,#REF!),IF('РЕЕСТР РИСКОВ_2023'!G90="",C40,'РЕЕСТР РИСКОВ_2023'!G90)))))</f>
        <v>- ХХХ млн. тенге</v>
      </c>
      <c r="D41" t="str">
        <f>IF('INHERENT MAP'!$B$5=2021,IF('РЕЕСТР РИСКОВ_2023'!H90="",D40,'РЕЕСТР РИСКОВ_2023'!H90),IF('INHERENT MAP'!$B$5=2022,IF(#REF!="",D40,#REF!),IF('INHERENT MAP'!$B$5=2023,IF(#REF!="",D40,#REF!),IF('INHERENT MAP'!$B$5=2024,IF(#REF!="",D40,#REF!),IF('РЕЕСТР РИСКОВ_2023'!H90="",D40,'РЕЕСТР РИСКОВ_2023'!H90)))))</f>
        <v>CTR-9</v>
      </c>
      <c r="E41" t="str">
        <f>IF('INHERENT MAP'!$B$5=2021,IF('РЕЕСТР РИСКОВ_2023'!I90="",E40,'РЕЕСТР РИСКОВ_2023'!I90),IF('INHERENT MAP'!$B$5=2022,IF(#REF!="",E40,#REF!),IF('INHERENT MAP'!$B$5=2023,IF(#REF!="",E40,#REF!),IF('INHERENT MAP'!$B$5=2024,IF(#REF!="",E40,#REF!),IF('РЕЕСТР РИСКОВ_2023'!I90="",E40,'РЕЕСТР РИСКОВ_2023'!I90)))))</f>
        <v>ЦЗЛ</v>
      </c>
      <c r="F41" t="str">
        <f>IF('INHERENT MAP'!$B$5=2021,IF('РЕЕСТР РИСКОВ_2023'!J90="",F40,'РЕЕСТР РИСКОВ_2023'!J90),IF('INHERENT MAP'!$B$5=2022,IF(#REF!="",F40,#REF!),IF('INHERENT MAP'!$B$5=2023,IF(#REF!="",F40,#REF!),IF('INHERENT MAP'!$B$5=2024,IF(#REF!="",F40,#REF!),IF('РЕЕСТР РИСКОВ_2023'!J90="",F40,'РЕЕСТР РИСКОВ_2023'!J90)))))</f>
        <v>АМТП, Порт Курык</v>
      </c>
      <c r="G41" t="str">
        <f>IF('INHERENT MAP'!$B$5=2021,IF('РЕЕСТР РИСКОВ_2023'!K90="",G40,'РЕЕСТР РИСКОВ_2023'!K90),IF('INHERENT MAP'!$B$5=2022,IF(#REF!="",G40,#REF!),IF('INHERENT MAP'!$B$5=2023,IF(#REF!="",G40,#REF!),IF('INHERENT MAP'!$B$5=2024,IF(#REF!="",G40,#REF!),IF('РЕЕСТР РИСКОВ_2023'!K90="",G40,'РЕЕСТР РИСКОВ_2023'!K90)))))</f>
        <v>Риски перевалки грузов на морских портах</v>
      </c>
      <c r="H41">
        <f>IF('INHERENT MAP'!$B$5=2021,'РЕЕСТР РИСКОВ_2023'!L90,IF('INHERENT MAP'!$B$5=2022,#REF!,IF('INHERENT MAP'!$B$5=2023,#REF!,IF('INHERENT MAP'!$B$5=2024,#REF!,#REF!))))</f>
        <v>0</v>
      </c>
      <c r="I41">
        <f>IF('INHERENT MAP'!$B$5=2021,'РЕЕСТР РИСКОВ_2023'!M90,IF('INHERENT MAP'!$B$5=2022,#REF!,IF('INHERENT MAP'!$B$5=2023,#REF!,IF('INHERENT MAP'!$B$5=2024,#REF!,#REF!))))</f>
        <v>0</v>
      </c>
      <c r="J41">
        <f>IF('INHERENT MAP'!$B$5=2021,'РЕЕСТР РИСКОВ_2023'!N90,IF('INHERENT MAP'!$B$5=2022,#REF!,IF('INHERENT MAP'!$B$5=2023,#REF!,IF('INHERENT MAP'!$B$5=2024,#REF!,#REF!))))</f>
        <v>0</v>
      </c>
      <c r="K41">
        <f>IF('INHERENT MAP'!$B$5=2021,'РЕЕСТР РИСКОВ_2023'!O90,IF('INHERENT MAP'!$B$5=2022,#REF!,IF('INHERENT MAP'!$B$5=2023,#REF!,IF('INHERENT MAP'!$B$5=2024,#REF!,#REF!))))</f>
        <v>0</v>
      </c>
      <c r="L41">
        <f>IF('INHERENT MAP'!$B$5=2021,'РЕЕСТР РИСКОВ_2023'!P90,IF('INHERENT MAP'!$B$5=2022,#REF!,IF('INHERENT MAP'!$B$5=2023,#REF!,IF('INHERENT MAP'!$B$5=2024,#REF!,#REF!))))</f>
        <v>0</v>
      </c>
      <c r="M41" t="str">
        <f>IF('INHERENT MAP'!$B$5=2021,IF('РЕЕСТР РИСКОВ_2023'!Q90="",M40,'РЕЕСТР РИСКОВ_2023'!Q90),IF('INHERENT MAP'!$B$5=2022,IF(#REF!="",M40,#REF!),IF('INHERENT MAP'!$B$5=2023,IF(#REF!="",M40,#REF!),IF('INHERENT MAP'!$B$5=2024,IF(#REF!="",M40,#REF!),IF('РЕЕСТР РИСКОВ_2023'!Q90="",M40,'РЕЕСТР РИСКОВ_2023'!Q90)))))</f>
        <v xml:space="preserve">Интермодальная конкуренция со стороны альтернативных маршрутов (железнодорожный и автомобильный транспорт)
Внутренняя конкуренция со стороны ТОО "Актауский морской северный терминал". 
Технические проблемы на АНПЗ
Увеличение времени обработки грузов в связи с требованием таможенных органов о проведении дополнительных процедур в целях снижения вероятности прохождения контрабандных грузов через государственную границу до 50 % (сканирование контейнеров с использованием МИДК) </v>
      </c>
      <c r="N41" t="str">
        <f>IF('INHERENT MAP'!$B$5=2021,IF('РЕЕСТР РИСКОВ_2023'!R90="",N40,'РЕЕСТР РИСКОВ_2023'!R90),IF('INHERENT MAP'!$B$5=2022,IF(#REF!="",N40,#REF!),IF('INHERENT MAP'!$B$5=2023,IF(#REF!="",N40,#REF!),IF('INHERENT MAP'!$B$5=2024,IF(#REF!="",N40,#REF!),IF('РЕЕСТР РИСКОВ_2023'!R90="",N40,'РЕЕСТР РИСКОВ_2023'!R90)))))</f>
        <v>1.Нарушение цепи поставок        2.Неперспективные (убыточые) маршруты      
3.Не исполнение логистических маршрутов 
4.Снижение объемов груженных вагоноотправок 
5.Длительное занятие станционных путей порожними вагонами в ожидании высокодоходных перевозок                                                                                          
6.Нарушение логистических схем и увеличение порожнего пробега</v>
      </c>
      <c r="O41">
        <f>'РЕЕСТР РИСКОВ_2023'!T90</f>
        <v>0</v>
      </c>
      <c r="P41">
        <f>IF('РЕЕСТР РИСКОВ_2023'!U90="",P40,'РЕЕСТР РИСКОВ_2023'!U90)</f>
        <v>0</v>
      </c>
      <c r="Q41" t="str">
        <f>IF('РЕЕСТР РИСКОВ_2023'!V90="",Q40,'РЕЕСТР РИСКОВ_2023'!V90)</f>
        <v>Слабые стороны</v>
      </c>
      <c r="R41" t="str">
        <f>IF('РЕЕСТР РИСКОВ_2023'!W90="",R40,'РЕЕСТР РИСКОВ_2023'!W90)</f>
        <v>Доходы по порожнему пробегу, млн. тг.</v>
      </c>
      <c r="S41">
        <f>'РЕЕСТР РИСКОВ_2023'!X90</f>
        <v>0</v>
      </c>
      <c r="T41" s="94">
        <f>IF('INHERENT MAP'!$B$5=2021,'РЕЕСТР РИСКОВ_2023'!Y90,IF('INHERENT MAP'!$B$5=2022,#REF!,IF('INHERENT MAP'!$B$5=2023,#REF!,IF('INHERENT MAP'!$B$5=2024,#REF!,#REF!))))</f>
        <v>0.6</v>
      </c>
      <c r="U41">
        <f>IF('INHERENT MAP'!$B$5=2021,'РЕЕСТР РИСКОВ_2023'!Z90,IF('INHERENT MAP'!$B$5=2022,#REF!,IF('INHERENT MAP'!$B$5=2023,#REF!,IF('INHERENT MAP'!$B$5=2024,#REF!,#REF!))))</f>
        <v>-1757.53</v>
      </c>
      <c r="V41">
        <f>IF('INHERENT MAP'!$B$5=2021,'РЕЕСТР РИСКОВ_2023'!AA90,IF('INHERENT MAP'!$B$5=2022,#REF!,IF('INHERENT MAP'!$B$5=2023,#REF!,IF('INHERENT MAP'!$B$5=2024,#REF!,#REF!))))</f>
        <v>-1054.518</v>
      </c>
      <c r="W41" t="str">
        <f>IF('INHERENT MAP'!$B$5=2021,'РЕЕСТР РИСКОВ_2023'!AB90,IF('INHERENT MAP'!$B$5=2022,#REF!,IF('INHERENT MAP'!$B$5=2023,#REF!,IF('INHERENT MAP'!$B$5=2024,#REF!,#REF!))))</f>
        <v>Влияние:(-195,53млн) Порт Курык + (-1562млн)Порт Актау
Вероятность средняя 58% и 62%</v>
      </c>
      <c r="X41" s="94">
        <f>IF('INHERENT MAP'!$B$5=2021,'РЕЕСТР РИСКОВ_2023'!AC90,IF('INHERENT MAP'!$B$5=2022,#REF!,IF('INHERENT MAP'!$B$5=2023,#REF!,IF('INHERENT MAP'!$B$5=2024,#REF!,#REF!))))</f>
        <v>0.6</v>
      </c>
      <c r="Y41">
        <f>IF('INHERENT MAP'!$B$5=2021,'РЕЕСТР РИСКОВ_2023'!AD90,IF('INHERENT MAP'!$B$5=2022,#REF!,IF('INHERENT MAP'!$B$5=2023,#REF!,IF('INHERENT MAP'!$B$5=2024,#REF!,#REF!))))</f>
        <v>-1757.53</v>
      </c>
      <c r="Z41">
        <f>IF('INHERENT MAP'!$B$5=2021,'РЕЕСТР РИСКОВ_2023'!AE90,IF('INHERENT MAP'!$B$5=2022,#REF!,IF('INHERENT MAP'!$B$5=2023,#REF!,IF('INHERENT MAP'!$B$5=2024,#REF!,#REF!))))</f>
        <v>-1054.518</v>
      </c>
      <c r="AA41">
        <f>IF('INHERENT MAP'!$B$5=2021,'РЕЕСТР РИСКОВ_2023'!AF90,IF('INHERENT MAP'!$B$5=2022,#REF!,IF('INHERENT MAP'!$B$5=2023,#REF!,IF('INHERENT MAP'!$B$5=2024,#REF!,#REF!))))</f>
        <v>0</v>
      </c>
      <c r="AB41">
        <f>IF('INHERENT MAP'!$B$5=2021,'РЕЕСТР РИСКОВ_2023'!AG90,IF('INHERENT MAP'!$B$5=2022,#REF!,IF('INHERENT MAP'!$B$5=2023,#REF!,IF('INHERENT MAP'!$B$5=2024,#REF!,#REF!))))</f>
        <v>0</v>
      </c>
      <c r="AC41">
        <f>IF('INHERENT MAP'!$B$5=2021,'РЕЕСТР РИСКОВ_2023'!AH90,IF('INHERENT MAP'!$B$5=2022,#REF!,IF('INHERENT MAP'!$B$5=2023,#REF!,IF('INHERENT MAP'!$B$5=2024,#REF!,#REF!))))</f>
        <v>0</v>
      </c>
      <c r="AD41" t="str">
        <f>IF('INHERENT MAP'!$B$5=2021,'РЕЕСТР РИСКОВ_2023'!AI90,IF('INHERENT MAP'!$B$5=2022,#REF!,IF('INHERENT MAP'!$B$5=2023,#REF!,IF('INHERENT MAP'!$B$5=2024,#REF!,#REF!))))</f>
        <v>1. Проведение мероприятий по привлечению дополнительных объемов грузов.
2. Проработка вопроса привлечения частных иранских судоходных компаний, не вошедших в черный список OFAC, в том числе, других частных судоходных компаний, имеющие суда под флагом РФ, в целях перевозки казахстанского зерна в направлении Ирана ввиду отсутствия отечественных судов на данном маршруте.
3.Проработка вопроса замещения другими видами груза</v>
      </c>
      <c r="AE41">
        <f>IF('INHERENT MAP'!$B$5=2021,'РЕЕСТР РИСКОВ_2023'!AK90,IF('INHERENT MAP'!$B$5=2022,#REF!,IF('INHERENT MAP'!$B$5=2023,#REF!,IF('INHERENT MAP'!$B$5=2024,#REF!,#REF!))))</f>
        <v>0</v>
      </c>
      <c r="AF41">
        <f>IF('INHERENT MAP'!$B$5=2021,'РЕЕСТР РИСКОВ_2023'!AL90,IF('INHERENT MAP'!$B$5=2022,#REF!,IF('INHERENT MAP'!$B$5=2023,#REF!,IF('INHERENT MAP'!$B$5=2024,#REF!,#REF!))))</f>
        <v>0</v>
      </c>
      <c r="AG41" t="str">
        <f>IF('INHERENT MAP'!$B$5=2021,'РЕЕСТР РИСКОВ_2023'!AM90,IF('INHERENT MAP'!$B$5=2022,#REF!,IF('INHERENT MAP'!$B$5=2023,#REF!,IF('INHERENT MAP'!$B$5=2024,#REF!,#REF!))))</f>
        <v>средняя</v>
      </c>
      <c r="AH41">
        <f>IF('INHERENT MAP'!$B$5=2021,'РЕЕСТР РИСКОВ_2023'!AN90,IF('INHERENT MAP'!$B$5=2022,#REF!,IF('INHERENT MAP'!$B$5=2023,#REF!,IF('INHERENT MAP'!$B$5=2024,#REF!,#REF!))))</f>
        <v>0.3</v>
      </c>
      <c r="AI41">
        <f>IF('INHERENT MAP'!$B$5=2021,'РЕЕСТР РИСКОВ_2023'!AO90,IF('INHERENT MAP'!$B$5=2022,#REF!,IF('INHERENT MAP'!$B$5=2023,#REF!,IF('INHERENT MAP'!$B$5=2024,#REF!,#REF!))))</f>
        <v>-878.76499999999999</v>
      </c>
      <c r="AJ41">
        <f>IF('INHERENT MAP'!$B$5=2021,'РЕЕСТР РИСКОВ_2023'!AP90,IF('INHERENT MAP'!$B$5=2022,#REF!,IF('INHERENT MAP'!$B$5=2023,#REF!,IF('INHERENT MAP'!$B$5=2024,#REF!,#REF!))))</f>
        <v>-263.62950000000001</v>
      </c>
      <c r="AK41">
        <f>IF('РЕЕСТР РИСКОВ_2023'!AQ90="",AK40,'РЕЕСТР РИСКОВ_2023'!AQ90)</f>
        <v>-527.25900000000001</v>
      </c>
      <c r="AL41">
        <f>IF('РЕЕСТР РИСКОВ_2023'!AR90="",AL40,'РЕЕСТР РИСКОВ_2023'!AR90)</f>
        <v>0.2</v>
      </c>
      <c r="AM41">
        <f>IF('РЕЕСТР РИСКОВ_2023'!AS90="",AM40,'РЕЕСТР РИСКОВ_2023'!AS90)</f>
        <v>-51.5</v>
      </c>
      <c r="AN41">
        <f>IF('РЕЕСТР РИСКОВ_2023'!AT90="",AN40,'РЕЕСТР РИСКОВ_2023'!AT90)</f>
        <v>-527.25900000000001</v>
      </c>
      <c r="AO41">
        <f>IF('РЕЕСТР РИСКОВ_2023'!AU90="",AO40,'РЕЕСТР РИСКОВ_2023'!AU90)</f>
        <v>0</v>
      </c>
    </row>
    <row r="42" spans="2:41">
      <c r="B42" t="str">
        <f>IF('INHERENT MAP'!$B$5=2021,IF('РЕЕСТР РИСКОВ_2023'!F91="",B41,'РЕЕСТР РИСКОВ_2023'!F91),IF('INHERENT MAP'!$B$5=2022,IF(#REF!="",B41,#REF!),IF('INHERENT MAP'!$B$5=2023,IF(#REF!="",B41,#REF!),IF('INHERENT MAP'!$B$5=2024,IF(#REF!="",B41,#REF!),IF('РЕЕСТР РИСКОВ_2023'!F91="",B41,'РЕЕСТР РИСКОВ_2023'!F91)))))</f>
        <v>РИСК ПАССАЖИРООБОРОТА</v>
      </c>
      <c r="C42" t="str">
        <f>IF('INHERENT MAP'!$B$5=2021,IF('РЕЕСТР РИСКОВ_2023'!G91="",C41,'РЕЕСТР РИСКОВ_2023'!G91),IF('INHERENT MAP'!$B$5=2022,IF(#REF!="",C41,#REF!),IF('INHERENT MAP'!$B$5=2023,IF(#REF!="",C41,#REF!),IF('INHERENT MAP'!$B$5=2024,IF(#REF!="",C41,#REF!),IF('РЕЕСТР РИСКОВ_2023'!G91="",C41,'РЕЕСТР РИСКОВ_2023'!G91)))))</f>
        <v>- ХХХ млн. тенге</v>
      </c>
      <c r="D42" t="str">
        <f>IF('INHERENT MAP'!$B$5=2021,IF('РЕЕСТР РИСКОВ_2023'!H91="",D41,'РЕЕСТР РИСКОВ_2023'!H91),IF('INHERENT MAP'!$B$5=2022,IF(#REF!="",D41,#REF!),IF('INHERENT MAP'!$B$5=2023,IF(#REF!="",D41,#REF!),IF('INHERENT MAP'!$B$5=2024,IF(#REF!="",D41,#REF!),IF('РЕЕСТР РИСКОВ_2023'!H91="",D41,'РЕЕСТР РИСКОВ_2023'!H91)))))</f>
        <v>PTR-1</v>
      </c>
      <c r="E42" t="str">
        <f>IF('INHERENT MAP'!$B$5=2021,IF('РЕЕСТР РИСКОВ_2023'!I91="",E41,'РЕЕСТР РИСКОВ_2023'!I91),IF('INHERENT MAP'!$B$5=2022,IF(#REF!="",E41,#REF!),IF('INHERENT MAP'!$B$5=2023,IF(#REF!="",E41,#REF!),IF('INHERENT MAP'!$B$5=2024,IF(#REF!="",E41,#REF!),IF('РЕЕСТР РИСКОВ_2023'!I91="",E41,'РЕЕСТР РИСКОВ_2023'!I91)))))</f>
        <v>ЦЗ-1</v>
      </c>
      <c r="F42" t="str">
        <f>IF('INHERENT MAP'!$B$5=2021,IF('РЕЕСТР РИСКОВ_2023'!J91="",F41,'РЕЕСТР РИСКОВ_2023'!J91),IF('INHERENT MAP'!$B$5=2022,IF(#REF!="",F41,#REF!),IF('INHERENT MAP'!$B$5=2023,IF(#REF!="",F41,#REF!),IF('INHERENT MAP'!$B$5=2024,IF(#REF!="",F41,#REF!),IF('РЕЕСТР РИСКОВ_2023'!J91="",F41,'РЕЕСТР РИСКОВ_2023'!J91)))))</f>
        <v>АО "Пассажирские перевозки"</v>
      </c>
      <c r="G42" t="str">
        <f>IF('INHERENT MAP'!$B$5=2021,IF('РЕЕСТР РИСКОВ_2023'!K91="",G41,'РЕЕСТР РИСКОВ_2023'!K91),IF('INHERENT MAP'!$B$5=2022,IF(#REF!="",G41,#REF!),IF('INHERENT MAP'!$B$5=2023,IF(#REF!="",G41,#REF!),IF('INHERENT MAP'!$B$5=2024,IF(#REF!="",G41,#REF!),IF('РЕЕСТР РИСКОВ_2023'!K91="",G41,'РЕЕСТР РИСКОВ_2023'!K91)))))</f>
        <v>Риск неполучения/ неполного получения государственных субсидий</v>
      </c>
      <c r="H42">
        <f>IF('INHERENT MAP'!$B$5=2021,'РЕЕСТР РИСКОВ_2023'!L91,IF('INHERENT MAP'!$B$5=2022,#REF!,IF('INHERENT MAP'!$B$5=2023,#REF!,IF('INHERENT MAP'!$B$5=2024,#REF!,#REF!))))</f>
        <v>0</v>
      </c>
      <c r="I42">
        <f>IF('INHERENT MAP'!$B$5=2021,'РЕЕСТР РИСКОВ_2023'!M91,IF('INHERENT MAP'!$B$5=2022,#REF!,IF('INHERENT MAP'!$B$5=2023,#REF!,IF('INHERENT MAP'!$B$5=2024,#REF!,#REF!))))</f>
        <v>0</v>
      </c>
      <c r="J42">
        <f>IF('INHERENT MAP'!$B$5=2021,'РЕЕСТР РИСКОВ_2023'!N91,IF('INHERENT MAP'!$B$5=2022,#REF!,IF('INHERENT MAP'!$B$5=2023,#REF!,IF('INHERENT MAP'!$B$5=2024,#REF!,#REF!))))</f>
        <v>0</v>
      </c>
      <c r="K42">
        <f>IF('INHERENT MAP'!$B$5=2021,'РЕЕСТР РИСКОВ_2023'!O91,IF('INHERENT MAP'!$B$5=2022,#REF!,IF('INHERENT MAP'!$B$5=2023,#REF!,IF('INHERENT MAP'!$B$5=2024,#REF!,#REF!))))</f>
        <v>0</v>
      </c>
      <c r="L42">
        <f>IF('INHERENT MAP'!$B$5=2021,'РЕЕСТР РИСКОВ_2023'!P91,IF('INHERENT MAP'!$B$5=2022,#REF!,IF('INHERENT MAP'!$B$5=2023,#REF!,IF('INHERENT MAP'!$B$5=2024,#REF!,#REF!))))</f>
        <v>25139.181804839001</v>
      </c>
      <c r="M42" t="str">
        <f>IF('INHERENT MAP'!$B$5=2021,IF('РЕЕСТР РИСКОВ_2023'!Q91="",M41,'РЕЕСТР РИСКОВ_2023'!Q91),IF('INHERENT MAP'!$B$5=2022,IF(#REF!="",M41,#REF!),IF('INHERENT MAP'!$B$5=2023,IF(#REF!="",M41,#REF!),IF('INHERENT MAP'!$B$5=2024,IF(#REF!="",M41,#REF!),IF('РЕЕСТР РИСКОВ_2023'!Q91="",M41,'РЕЕСТР РИСКОВ_2023'!Q91)))))</f>
        <v>Возврат субсидий в связи с неисполнением договорных обязательств</v>
      </c>
      <c r="N42" t="str">
        <f>IF('INHERENT MAP'!$B$5=2021,IF('РЕЕСТР РИСКОВ_2023'!R91="",N41,'РЕЕСТР РИСКОВ_2023'!R91),IF('INHERENT MAP'!$B$5=2022,IF(#REF!="",N41,#REF!),IF('INHERENT MAP'!$B$5=2023,IF(#REF!="",N41,#REF!),IF('INHERENT MAP'!$B$5=2024,IF(#REF!="",N41,#REF!),IF('РЕЕСТР РИСКОВ_2023'!R91="",N41,'РЕЕСТР РИСКОВ_2023'!R91)))))</f>
        <v>1.Нарушение цепи поставок        2.Неперспективные (убыточые) маршруты      
3.Не исполнение логистических маршрутов 
4.Снижение объемов груженных вагоноотправок 
5.Длительное занятие станционных путей порожними вагонами в ожидании высокодоходных перевозок                                                                                          
6.Нарушение логистических схем и увеличение порожнего пробега</v>
      </c>
      <c r="O42">
        <f>'РЕЕСТР РИСКОВ_2023'!T91</f>
        <v>0</v>
      </c>
      <c r="P42">
        <f>IF('РЕЕСТР РИСКОВ_2023'!U91="",P41,'РЕЕСТР РИСКОВ_2023'!U91)</f>
        <v>0</v>
      </c>
      <c r="Q42" t="str">
        <f>IF('РЕЕСТР РИСКОВ_2023'!V91="",Q41,'РЕЕСТР РИСКОВ_2023'!V91)</f>
        <v>Угрозы</v>
      </c>
      <c r="R42" t="str">
        <f>IF('РЕЕСТР РИСКОВ_2023'!W91="",R41,'РЕЕСТР РИСКОВ_2023'!W91)</f>
        <v>Доходы по порожнему пробегу, млн. тг.</v>
      </c>
      <c r="S42">
        <f>'РЕЕСТР РИСКОВ_2023'!X91</f>
        <v>0</v>
      </c>
      <c r="T42" s="94">
        <f>IF('INHERENT MAP'!$B$5=2021,'РЕЕСТР РИСКОВ_2023'!Y91,IF('INHERENT MAP'!$B$5=2022,#REF!,IF('INHERENT MAP'!$B$5=2023,#REF!,IF('INHERENT MAP'!$B$5=2024,#REF!,#REF!))))</f>
        <v>0.7</v>
      </c>
      <c r="U42">
        <f>IF('INHERENT MAP'!$B$5=2021,'РЕЕСТР РИСКОВ_2023'!Z91,IF('INHERENT MAP'!$B$5=2022,#REF!,IF('INHERENT MAP'!$B$5=2023,#REF!,IF('INHERENT MAP'!$B$5=2024,#REF!,#REF!))))</f>
        <v>-109.69885023000001</v>
      </c>
      <c r="V42">
        <f>IF('INHERENT MAP'!$B$5=2021,'РЕЕСТР РИСКОВ_2023'!AA91,IF('INHERENT MAP'!$B$5=2022,#REF!,IF('INHERENT MAP'!$B$5=2023,#REF!,IF('INHERENT MAP'!$B$5=2024,#REF!,#REF!))))</f>
        <v>-76.789195160999995</v>
      </c>
      <c r="W42">
        <f>IF('INHERENT MAP'!$B$5=2021,'РЕЕСТР РИСКОВ_2023'!AB91,IF('INHERENT MAP'!$B$5=2022,#REF!,IF('INHERENT MAP'!$B$5=2023,#REF!,IF('INHERENT MAP'!$B$5=2024,#REF!,#REF!))))</f>
        <v>0</v>
      </c>
      <c r="X42" s="94">
        <f>IF('INHERENT MAP'!$B$5=2021,'РЕЕСТР РИСКОВ_2023'!AC91,IF('INHERENT MAP'!$B$5=2022,#REF!,IF('INHERENT MAP'!$B$5=2023,#REF!,IF('INHERENT MAP'!$B$5=2024,#REF!,#REF!))))</f>
        <v>0.67719394122134746</v>
      </c>
      <c r="Y42">
        <f>IF('INHERENT MAP'!$B$5=2021,'РЕЕСТР РИСКОВ_2023'!AD91,IF('INHERENT MAP'!$B$5=2022,#REF!,IF('INHERENT MAP'!$B$5=2023,#REF!,IF('INHERENT MAP'!$B$5=2024,#REF!,#REF!))))</f>
        <v>-14233.101850229999</v>
      </c>
      <c r="Z42">
        <f>IF('INHERENT MAP'!$B$5=2021,'РЕЕСТР РИСКОВ_2023'!AE91,IF('INHERENT MAP'!$B$5=2022,#REF!,IF('INHERENT MAP'!$B$5=2023,#REF!,IF('INHERENT MAP'!$B$5=2024,#REF!,#REF!))))</f>
        <v>-9638.5703377621066</v>
      </c>
      <c r="AA42">
        <f>IF('INHERENT MAP'!$B$5=2021,'РЕЕСТР РИСКОВ_2023'!AF91,IF('INHERENT MAP'!$B$5=2022,#REF!,IF('INHERENT MAP'!$B$5=2023,#REF!,IF('INHERENT MAP'!$B$5=2024,#REF!,#REF!))))</f>
        <v>0</v>
      </c>
      <c r="AB42">
        <f>IF('INHERENT MAP'!$B$5=2021,'РЕЕСТР РИСКОВ_2023'!AG91,IF('INHERENT MAP'!$B$5=2022,#REF!,IF('INHERENT MAP'!$B$5=2023,#REF!,IF('INHERENT MAP'!$B$5=2024,#REF!,#REF!))))</f>
        <v>0</v>
      </c>
      <c r="AC42">
        <f>IF('INHERENT MAP'!$B$5=2021,'РЕЕСТР РИСКОВ_2023'!AH91,IF('INHERENT MAP'!$B$5=2022,#REF!,IF('INHERENT MAP'!$B$5=2023,#REF!,IF('INHERENT MAP'!$B$5=2024,#REF!,#REF!))))</f>
        <v>0</v>
      </c>
      <c r="AD42" t="str">
        <f>IF('INHERENT MAP'!$B$5=2021,'РЕЕСТР РИСКОВ_2023'!AI91,IF('INHERENT MAP'!$B$5=2022,#REF!,IF('INHERENT MAP'!$B$5=2023,#REF!,IF('INHERENT MAP'!$B$5=2024,#REF!,#REF!))))</f>
        <v>Проведением работ по заключению дополнительных соглашений к договорам субсидирования обеспечивающее снижение штрафов за неисполнение или ненадлежащее исполнение условий договоров</v>
      </c>
      <c r="AE42" t="str">
        <f>IF('INHERENT MAP'!$B$5=2021,'РЕЕСТР РИСКОВ_2023'!AK91,IF('INHERENT MAP'!$B$5=2022,#REF!,IF('INHERENT MAP'!$B$5=2023,#REF!,IF('INHERENT MAP'!$B$5=2024,#REF!,#REF!))))</f>
        <v>АО "Пассажирские перевозки"</v>
      </c>
      <c r="AF42">
        <f>IF('INHERENT MAP'!$B$5=2021,'РЕЕСТР РИСКОВ_2023'!AL91,IF('INHERENT MAP'!$B$5=2022,#REF!,IF('INHERENT MAP'!$B$5=2023,#REF!,IF('INHERENT MAP'!$B$5=2024,#REF!,#REF!))))</f>
        <v>0</v>
      </c>
      <c r="AG42" t="str">
        <f>IF('INHERENT MAP'!$B$5=2021,'РЕЕСТР РИСКОВ_2023'!AM91,IF('INHERENT MAP'!$B$5=2022,#REF!,IF('INHERENT MAP'!$B$5=2023,#REF!,IF('INHERENT MAP'!$B$5=2024,#REF!,#REF!))))</f>
        <v>низкая</v>
      </c>
      <c r="AH42">
        <f>IF('INHERENT MAP'!$B$5=2021,'РЕЕСТР РИСКОВ_2023'!AN91,IF('INHERENT MAP'!$B$5=2022,#REF!,IF('INHERENT MAP'!$B$5=2023,#REF!,IF('INHERENT MAP'!$B$5=2024,#REF!,#REF!))))</f>
        <v>0.7</v>
      </c>
      <c r="AI42">
        <f>IF('INHERENT MAP'!$B$5=2021,'РЕЕСТР РИСКОВ_2023'!AO91,IF('INHERENT MAP'!$B$5=2022,#REF!,IF('INHERENT MAP'!$B$5=2023,#REF!,IF('INHERENT MAP'!$B$5=2024,#REF!,#REF!))))</f>
        <v>-109.69885023000001</v>
      </c>
      <c r="AJ42">
        <f>IF('INHERENT MAP'!$B$5=2021,'РЕЕСТР РИСКОВ_2023'!AP91,IF('INHERENT MAP'!$B$5=2022,#REF!,IF('INHERENT MAP'!$B$5=2023,#REF!,IF('INHERENT MAP'!$B$5=2024,#REF!,#REF!))))</f>
        <v>-76.789195160999995</v>
      </c>
      <c r="AK42">
        <f>IF('РЕЕСТР РИСКОВ_2023'!AQ91="",AK41,'РЕЕСТР РИСКОВ_2023'!AQ91)</f>
        <v>-76.789195160999995</v>
      </c>
      <c r="AL42">
        <f>IF('РЕЕСТР РИСКОВ_2023'!AR91="",AL41,'РЕЕСТР РИСКОВ_2023'!AR91)</f>
        <v>0.32506094630921556</v>
      </c>
      <c r="AM42">
        <f>IF('РЕЕСТР РИСКОВ_2023'!AS91="",AM41,'РЕЕСТР РИСКОВ_2023'!AS91)</f>
        <v>-3939.1988502300001</v>
      </c>
      <c r="AN42">
        <f>IF('РЕЕСТР РИСКОВ_2023'!AT91="",AN41,'РЕЕСТР РИСКОВ_2023'!AT91)</f>
        <v>-2374.4891951609998</v>
      </c>
      <c r="AO42">
        <f>IF('РЕЕСТР РИСКОВ_2023'!AU91="",AO41,'РЕЕСТР РИСКОВ_2023'!AU91)</f>
        <v>0</v>
      </c>
    </row>
    <row r="43" spans="2:41">
      <c r="B43" t="str">
        <f>IF('INHERENT MAP'!$B$5=2021,IF('РЕЕСТР РИСКОВ_2023'!F92="",B42,'РЕЕСТР РИСКОВ_2023'!F92),IF('INHERENT MAP'!$B$5=2022,IF(#REF!="",B42,#REF!),IF('INHERENT MAP'!$B$5=2023,IF(#REF!="",B42,#REF!),IF('INHERENT MAP'!$B$5=2024,IF(#REF!="",B42,#REF!),IF('РЕЕСТР РИСКОВ_2023'!F92="",B42,'РЕЕСТР РИСКОВ_2023'!F92)))))</f>
        <v>РИСК ПАССАЖИРООБОРОТА</v>
      </c>
      <c r="C43" t="str">
        <f>IF('INHERENT MAP'!$B$5=2021,IF('РЕЕСТР РИСКОВ_2023'!G92="",C42,'РЕЕСТР РИСКОВ_2023'!G92),IF('INHERENT MAP'!$B$5=2022,IF(#REF!="",C42,#REF!),IF('INHERENT MAP'!$B$5=2023,IF(#REF!="",C42,#REF!),IF('INHERENT MAP'!$B$5=2024,IF(#REF!="",C42,#REF!),IF('РЕЕСТР РИСКОВ_2023'!G92="",C42,'РЕЕСТР РИСКОВ_2023'!G92)))))</f>
        <v>- ХХХ млн. тенге</v>
      </c>
      <c r="D43" t="str">
        <f>IF('INHERENT MAP'!$B$5=2021,IF('РЕЕСТР РИСКОВ_2023'!H92="",D42,'РЕЕСТР РИСКОВ_2023'!H92),IF('INHERENT MAP'!$B$5=2022,IF(#REF!="",D42,#REF!),IF('INHERENT MAP'!$B$5=2023,IF(#REF!="",D42,#REF!),IF('INHERENT MAP'!$B$5=2024,IF(#REF!="",D42,#REF!),IF('РЕЕСТР РИСКОВ_2023'!H92="",D42,'РЕЕСТР РИСКОВ_2023'!H92)))))</f>
        <v>PTR-1</v>
      </c>
      <c r="E43" t="str">
        <f>IF('INHERENT MAP'!$B$5=2021,IF('РЕЕСТР РИСКОВ_2023'!I92="",E42,'РЕЕСТР РИСКОВ_2023'!I92),IF('INHERENT MAP'!$B$5=2022,IF(#REF!="",E42,#REF!),IF('INHERENT MAP'!$B$5=2023,IF(#REF!="",E42,#REF!),IF('INHERENT MAP'!$B$5=2024,IF(#REF!="",E42,#REF!),IF('РЕЕСТР РИСКОВ_2023'!I92="",E42,'РЕЕСТР РИСКОВ_2023'!I92)))))</f>
        <v>ЦЗ-1</v>
      </c>
      <c r="F43" t="str">
        <f>IF('INHERENT MAP'!$B$5=2021,IF('РЕЕСТР РИСКОВ_2023'!J92="",F42,'РЕЕСТР РИСКОВ_2023'!J92),IF('INHERENT MAP'!$B$5=2022,IF(#REF!="",F42,#REF!),IF('INHERENT MAP'!$B$5=2023,IF(#REF!="",F42,#REF!),IF('INHERENT MAP'!$B$5=2024,IF(#REF!="",F42,#REF!),IF('РЕЕСТР РИСКОВ_2023'!J92="",F42,'РЕЕСТР РИСКОВ_2023'!J92)))))</f>
        <v>АО "Пассажирские перевозки"</v>
      </c>
      <c r="G43" t="str">
        <f>IF('INHERENT MAP'!$B$5=2021,IF('РЕЕСТР РИСКОВ_2023'!K92="",G42,'РЕЕСТР РИСКОВ_2023'!K92),IF('INHERENT MAP'!$B$5=2022,IF(#REF!="",G42,#REF!),IF('INHERENT MAP'!$B$5=2023,IF(#REF!="",G42,#REF!),IF('INHERENT MAP'!$B$5=2024,IF(#REF!="",G42,#REF!),IF('РЕЕСТР РИСКОВ_2023'!K92="",G42,'РЕЕСТР РИСКОВ_2023'!K92)))))</f>
        <v>Риск неполучения/ неполного получения государственных субсидий</v>
      </c>
      <c r="H43">
        <f>IF('INHERENT MAP'!$B$5=2021,'РЕЕСТР РИСКОВ_2023'!L92,IF('INHERENT MAP'!$B$5=2022,#REF!,IF('INHERENT MAP'!$B$5=2023,#REF!,IF('INHERENT MAP'!$B$5=2024,#REF!,#REF!))))</f>
        <v>39462</v>
      </c>
      <c r="I43">
        <f>IF('INHERENT MAP'!$B$5=2021,'РЕЕСТР РИСКОВ_2023'!M92,IF('INHERENT MAP'!$B$5=2022,#REF!,IF('INHERENT MAP'!$B$5=2023,#REF!,IF('INHERENT MAP'!$B$5=2024,#REF!,#REF!))))</f>
        <v>0</v>
      </c>
      <c r="J43">
        <f>IF('INHERENT MAP'!$B$5=2021,'РЕЕСТР РИСКОВ_2023'!N92,IF('INHERENT MAP'!$B$5=2022,#REF!,IF('INHERENT MAP'!$B$5=2023,#REF!,IF('INHERENT MAP'!$B$5=2024,#REF!,#REF!))))</f>
        <v>0</v>
      </c>
      <c r="K43">
        <f>IF('INHERENT MAP'!$B$5=2021,'РЕЕСТР РИСКОВ_2023'!O92,IF('INHERENT MAP'!$B$5=2022,#REF!,IF('INHERENT MAP'!$B$5=2023,#REF!,IF('INHERENT MAP'!$B$5=2024,#REF!,#REF!))))</f>
        <v>0</v>
      </c>
      <c r="L43">
        <f>IF('INHERENT MAP'!$B$5=2021,'РЕЕСТР РИСКОВ_2023'!P92,IF('INHERENT MAP'!$B$5=2022,#REF!,IF('INHERENT MAP'!$B$5=2023,#REF!,IF('INHERENT MAP'!$B$5=2024,#REF!,#REF!))))</f>
        <v>16846.11375</v>
      </c>
      <c r="M43" t="str">
        <f>IF('INHERENT MAP'!$B$5=2021,IF('РЕЕСТР РИСКОВ_2023'!Q92="",M42,'РЕЕСТР РИСКОВ_2023'!Q92),IF('INHERENT MAP'!$B$5=2022,IF(#REF!="",M42,#REF!),IF('INHERENT MAP'!$B$5=2023,IF(#REF!="",M42,#REF!),IF('INHERENT MAP'!$B$5=2024,IF(#REF!="",M42,#REF!),IF('РЕЕСТР РИСКОВ_2023'!Q92="",M42,'РЕЕСТР РИСКОВ_2023'!Q92)))))</f>
        <v>Риск невыделения потребных дополнительных субсидий предусмотренных программой 015 "Субсидирование железнодорожных пассажирских перевозок по социально значимым межобластным сообщениям"</v>
      </c>
      <c r="N43" t="str">
        <f>IF('INHERENT MAP'!$B$5=2021,IF('РЕЕСТР РИСКОВ_2023'!R92="",N42,'РЕЕСТР РИСКОВ_2023'!R92),IF('INHERENT MAP'!$B$5=2022,IF(#REF!="",N42,#REF!),IF('INHERENT MAP'!$B$5=2023,IF(#REF!="",N42,#REF!),IF('INHERENT MAP'!$B$5=2024,IF(#REF!="",N42,#REF!),IF('РЕЕСТР РИСКОВ_2023'!R92="",N42,'РЕЕСТР РИСКОВ_2023'!R92)))))</f>
        <v>Дефицит средств в Республиканском бюджете</v>
      </c>
      <c r="O43">
        <f>'РЕЕСТР РИСКОВ_2023'!T92</f>
        <v>0</v>
      </c>
      <c r="P43">
        <f>IF('РЕЕСТР РИСКОВ_2023'!U92="",P42,'РЕЕСТР РИСКОВ_2023'!U92)</f>
        <v>0</v>
      </c>
      <c r="Q43" t="str">
        <f>IF('РЕЕСТР РИСКОВ_2023'!V92="",Q42,'РЕЕСТР РИСКОВ_2023'!V92)</f>
        <v>Угрозы</v>
      </c>
      <c r="R43" t="str">
        <f>IF('РЕЕСТР РИСКОВ_2023'!W92="",R42,'РЕЕСТР РИСКОВ_2023'!W92)</f>
        <v>Доходы по порожнему пробегу, млн. тг.</v>
      </c>
      <c r="S43">
        <f>'РЕЕСТР РИСКОВ_2023'!X92</f>
        <v>0</v>
      </c>
      <c r="T43" s="94">
        <f>IF('INHERENT MAP'!$B$5=2021,'РЕЕСТР РИСКОВ_2023'!Y92,IF('INHERENT MAP'!$B$5=2022,#REF!,IF('INHERENT MAP'!$B$5=2023,#REF!,IF('INHERENT MAP'!$B$5=2024,#REF!,#REF!))))</f>
        <v>0.75</v>
      </c>
      <c r="U43">
        <f>IF('INHERENT MAP'!$B$5=2021,'РЕЕСТР РИСКОВ_2023'!Z92,IF('INHERENT MAP'!$B$5=2022,#REF!,IF('INHERENT MAP'!$B$5=2023,#REF!,IF('INHERENT MAP'!$B$5=2024,#REF!,#REF!))))</f>
        <v>-6464.4030000000002</v>
      </c>
      <c r="V43">
        <f>IF('INHERENT MAP'!$B$5=2021,'РЕЕСТР РИСКОВ_2023'!AA92,IF('INHERENT MAP'!$B$5=2022,#REF!,IF('INHERENT MAP'!$B$5=2023,#REF!,IF('INHERENT MAP'!$B$5=2024,#REF!,#REF!))))</f>
        <v>-4848.3022500000006</v>
      </c>
      <c r="W43">
        <f>IF('INHERENT MAP'!$B$5=2021,'РЕЕСТР РИСКОВ_2023'!AB92,IF('INHERENT MAP'!$B$5=2022,#REF!,IF('INHERENT MAP'!$B$5=2023,#REF!,IF('INHERENT MAP'!$B$5=2024,#REF!,#REF!))))</f>
        <v>0</v>
      </c>
      <c r="X43" s="94">
        <f>IF('INHERENT MAP'!$B$5=2021,'РЕЕСТР РИСКОВ_2023'!AC92,IF('INHERENT MAP'!$B$5=2022,#REF!,IF('INHERENT MAP'!$B$5=2023,#REF!,IF('INHERENT MAP'!$B$5=2024,#REF!,#REF!))))</f>
        <v>0</v>
      </c>
      <c r="Y43">
        <f>IF('INHERENT MAP'!$B$5=2021,'РЕЕСТР РИСКОВ_2023'!AD92,IF('INHERENT MAP'!$B$5=2022,#REF!,IF('INHERENT MAP'!$B$5=2023,#REF!,IF('INHERENT MAP'!$B$5=2024,#REF!,#REF!))))</f>
        <v>0</v>
      </c>
      <c r="Z43">
        <f>IF('INHERENT MAP'!$B$5=2021,'РЕЕСТР РИСКОВ_2023'!AE92,IF('INHERENT MAP'!$B$5=2022,#REF!,IF('INHERENT MAP'!$B$5=2023,#REF!,IF('INHERENT MAP'!$B$5=2024,#REF!,#REF!))))</f>
        <v>0</v>
      </c>
      <c r="AA43">
        <f>IF('INHERENT MAP'!$B$5=2021,'РЕЕСТР РИСКОВ_2023'!AF92,IF('INHERENT MAP'!$B$5=2022,#REF!,IF('INHERENT MAP'!$B$5=2023,#REF!,IF('INHERENT MAP'!$B$5=2024,#REF!,#REF!))))</f>
        <v>0</v>
      </c>
      <c r="AB43">
        <f>IF('INHERENT MAP'!$B$5=2021,'РЕЕСТР РИСКОВ_2023'!AG92,IF('INHERENT MAP'!$B$5=2022,#REF!,IF('INHERENT MAP'!$B$5=2023,#REF!,IF('INHERENT MAP'!$B$5=2024,#REF!,#REF!))))</f>
        <v>0</v>
      </c>
      <c r="AC43">
        <f>IF('INHERENT MAP'!$B$5=2021,'РЕЕСТР РИСКОВ_2023'!AH92,IF('INHERENT MAP'!$B$5=2022,#REF!,IF('INHERENT MAP'!$B$5=2023,#REF!,IF('INHERENT MAP'!$B$5=2024,#REF!,#REF!))))</f>
        <v>0</v>
      </c>
      <c r="AD43">
        <f>IF('INHERENT MAP'!$B$5=2021,'РЕЕСТР РИСКОВ_2023'!AI92,IF('INHERENT MAP'!$B$5=2022,#REF!,IF('INHERENT MAP'!$B$5=2023,#REF!,IF('INHERENT MAP'!$B$5=2024,#REF!,#REF!))))</f>
        <v>0</v>
      </c>
      <c r="AE43">
        <f>IF('INHERENT MAP'!$B$5=2021,'РЕЕСТР РИСКОВ_2023'!AK92,IF('INHERENT MAP'!$B$5=2022,#REF!,IF('INHERENT MAP'!$B$5=2023,#REF!,IF('INHERENT MAP'!$B$5=2024,#REF!,#REF!))))</f>
        <v>0</v>
      </c>
      <c r="AF43">
        <f>IF('INHERENT MAP'!$B$5=2021,'РЕЕСТР РИСКОВ_2023'!AL92,IF('INHERENT MAP'!$B$5=2022,#REF!,IF('INHERENT MAP'!$B$5=2023,#REF!,IF('INHERENT MAP'!$B$5=2024,#REF!,#REF!))))</f>
        <v>0</v>
      </c>
      <c r="AG43">
        <f>IF('INHERENT MAP'!$B$5=2021,'РЕЕСТР РИСКОВ_2023'!AM92,IF('INHERENT MAP'!$B$5=2022,#REF!,IF('INHERENT MAP'!$B$5=2023,#REF!,IF('INHERENT MAP'!$B$5=2024,#REF!,#REF!))))</f>
        <v>0</v>
      </c>
      <c r="AH43">
        <f>IF('INHERENT MAP'!$B$5=2021,'РЕЕСТР РИСКОВ_2023'!AN92,IF('INHERENT MAP'!$B$5=2022,#REF!,IF('INHERENT MAP'!$B$5=2023,#REF!,IF('INHERENT MAP'!$B$5=2024,#REF!,#REF!))))</f>
        <v>0</v>
      </c>
      <c r="AI43">
        <f>IF('INHERENT MAP'!$B$5=2021,'РЕЕСТР РИСКОВ_2023'!AO92,IF('INHERENT MAP'!$B$5=2022,#REF!,IF('INHERENT MAP'!$B$5=2023,#REF!,IF('INHERENT MAP'!$B$5=2024,#REF!,#REF!))))</f>
        <v>0</v>
      </c>
      <c r="AJ43">
        <f>IF('INHERENT MAP'!$B$5=2021,'РЕЕСТР РИСКОВ_2023'!AP92,IF('INHERENT MAP'!$B$5=2022,#REF!,IF('INHERENT MAP'!$B$5=2023,#REF!,IF('INHERENT MAP'!$B$5=2024,#REF!,#REF!))))</f>
        <v>0</v>
      </c>
      <c r="AK43">
        <f>IF('РЕЕСТР РИСКОВ_2023'!AQ92="",AK42,'РЕЕСТР РИСКОВ_2023'!AQ92)</f>
        <v>-76.789195160999995</v>
      </c>
      <c r="AL43">
        <f>IF('РЕЕСТР РИСКОВ_2023'!AR92="",AL42,'РЕЕСТР РИСКОВ_2023'!AR92)</f>
        <v>0.32506094630921556</v>
      </c>
      <c r="AM43">
        <f>IF('РЕЕСТР РИСКОВ_2023'!AS92="",AM42,'РЕЕСТР РИСКОВ_2023'!AS92)</f>
        <v>-3939.1988502300001</v>
      </c>
      <c r="AN43">
        <f>IF('РЕЕСТР РИСКОВ_2023'!AT92="",AN42,'РЕЕСТР РИСКОВ_2023'!AT92)</f>
        <v>-2374.4891951609998</v>
      </c>
      <c r="AO43">
        <f>IF('РЕЕСТР РИСКОВ_2023'!AU92="",AO42,'РЕЕСТР РИСКОВ_2023'!AU92)</f>
        <v>0</v>
      </c>
    </row>
    <row r="44" spans="2:41">
      <c r="B44" t="str">
        <f>IF('INHERENT MAP'!$B$5=2021,IF('РЕЕСТР РИСКОВ_2023'!F93="",B43,'РЕЕСТР РИСКОВ_2023'!F93),IF('INHERENT MAP'!$B$5=2022,IF(#REF!="",B43,#REF!),IF('INHERENT MAP'!$B$5=2023,IF(#REF!="",B43,#REF!),IF('INHERENT MAP'!$B$5=2024,IF(#REF!="",B43,#REF!),IF('РЕЕСТР РИСКОВ_2023'!F93="",B43,'РЕЕСТР РИСКОВ_2023'!F93)))))</f>
        <v>РИСК ПАССАЖИРООБОРОТА</v>
      </c>
      <c r="C44" t="str">
        <f>IF('INHERENT MAP'!$B$5=2021,IF('РЕЕСТР РИСКОВ_2023'!G93="",C43,'РЕЕСТР РИСКОВ_2023'!G93),IF('INHERENT MAP'!$B$5=2022,IF(#REF!="",C43,#REF!),IF('INHERENT MAP'!$B$5=2023,IF(#REF!="",C43,#REF!),IF('INHERENT MAP'!$B$5=2024,IF(#REF!="",C43,#REF!),IF('РЕЕСТР РИСКОВ_2023'!G93="",C43,'РЕЕСТР РИСКОВ_2023'!G93)))))</f>
        <v>- ХХХ млн. тенге</v>
      </c>
      <c r="D44" t="str">
        <f>IF('INHERENT MAP'!$B$5=2021,IF('РЕЕСТР РИСКОВ_2023'!H93="",D43,'РЕЕСТР РИСКОВ_2023'!H93),IF('INHERENT MAP'!$B$5=2022,IF(#REF!="",D43,#REF!),IF('INHERENT MAP'!$B$5=2023,IF(#REF!="",D43,#REF!),IF('INHERENT MAP'!$B$5=2024,IF(#REF!="",D43,#REF!),IF('РЕЕСТР РИСКОВ_2023'!H93="",D43,'РЕЕСТР РИСКОВ_2023'!H93)))))</f>
        <v>PTR-2</v>
      </c>
      <c r="E44" t="str">
        <f>IF('INHERENT MAP'!$B$5=2021,IF('РЕЕСТР РИСКОВ_2023'!I93="",E43,'РЕЕСТР РИСКОВ_2023'!I93),IF('INHERENT MAP'!$B$5=2022,IF(#REF!="",E43,#REF!),IF('INHERENT MAP'!$B$5=2023,IF(#REF!="",E43,#REF!),IF('INHERENT MAP'!$B$5=2024,IF(#REF!="",E43,#REF!),IF('РЕЕСТР РИСКОВ_2023'!I93="",E43,'РЕЕСТР РИСКОВ_2023'!I93)))))</f>
        <v>ЦЗ-1</v>
      </c>
      <c r="F44" t="str">
        <f>IF('INHERENT MAP'!$B$5=2021,IF('РЕЕСТР РИСКОВ_2023'!J93="",F43,'РЕЕСТР РИСКОВ_2023'!J93),IF('INHERENT MAP'!$B$5=2022,IF(#REF!="",F43,#REF!),IF('INHERENT MAP'!$B$5=2023,IF(#REF!="",F43,#REF!),IF('INHERENT MAP'!$B$5=2024,IF(#REF!="",F43,#REF!),IF('РЕЕСТР РИСКОВ_2023'!J93="",F43,'РЕЕСТР РИСКОВ_2023'!J93)))))</f>
        <v>АО "Пассажирские перевозки"</v>
      </c>
      <c r="G44" t="str">
        <f>IF('INHERENT MAP'!$B$5=2021,IF('РЕЕСТР РИСКОВ_2023'!K93="",G43,'РЕЕСТР РИСКОВ_2023'!K93),IF('INHERENT MAP'!$B$5=2022,IF(#REF!="",G43,#REF!),IF('INHERENT MAP'!$B$5=2023,IF(#REF!="",G43,#REF!),IF('INHERENT MAP'!$B$5=2024,IF(#REF!="",G43,#REF!),IF('РЕЕСТР РИСКОВ_2023'!K93="",G43,'РЕЕСТР РИСКОВ_2023'!K93)))))</f>
        <v>Снижение пассажиропотока</v>
      </c>
      <c r="H44">
        <f>IF('INHERENT MAP'!$B$5=2021,'РЕЕСТР РИСКОВ_2023'!L93,IF('INHERENT MAP'!$B$5=2022,#REF!,IF('INHERENT MAP'!$B$5=2023,#REF!,IF('INHERENT MAP'!$B$5=2024,#REF!,#REF!))))</f>
        <v>107405</v>
      </c>
      <c r="I44">
        <f>IF('INHERENT MAP'!$B$5=2021,'РЕЕСТР РИСКОВ_2023'!M93,IF('INHERENT MAP'!$B$5=2022,#REF!,IF('INHERENT MAP'!$B$5=2023,#REF!,IF('INHERENT MAP'!$B$5=2024,#REF!,#REF!))))</f>
        <v>0</v>
      </c>
      <c r="J44">
        <f>IF('INHERENT MAP'!$B$5=2021,'РЕЕСТР РИСКОВ_2023'!N93,IF('INHERENT MAP'!$B$5=2022,#REF!,IF('INHERENT MAP'!$B$5=2023,#REF!,IF('INHERENT MAP'!$B$5=2024,#REF!,#REF!))))</f>
        <v>0</v>
      </c>
      <c r="K44">
        <f>IF('INHERENT MAP'!$B$5=2021,'РЕЕСТР РИСКОВ_2023'!O93,IF('INHERENT MAP'!$B$5=2022,#REF!,IF('INHERENT MAP'!$B$5=2023,#REF!,IF('INHERENT MAP'!$B$5=2024,#REF!,#REF!))))</f>
        <v>0</v>
      </c>
      <c r="L44">
        <f>IF('INHERENT MAP'!$B$5=2021,'РЕЕСТР РИСКОВ_2023'!P93,IF('INHERENT MAP'!$B$5=2022,#REF!,IF('INHERENT MAP'!$B$5=2023,#REF!,IF('INHERENT MAP'!$B$5=2024,#REF!,#REF!))))</f>
        <v>102177.1</v>
      </c>
      <c r="M44" t="str">
        <f>IF('INHERENT MAP'!$B$5=2021,IF('РЕЕСТР РИСКОВ_2023'!Q93="",M43,'РЕЕСТР РИСКОВ_2023'!Q93),IF('INHERENT MAP'!$B$5=2022,IF(#REF!="",M43,#REF!),IF('INHERENT MAP'!$B$5=2023,IF(#REF!="",M43,#REF!),IF('INHERENT MAP'!$B$5=2024,IF(#REF!="",M43,#REF!),IF('РЕЕСТР РИСКОВ_2023'!Q93="",M43,'РЕЕСТР РИСКОВ_2023'!Q93)))))</f>
        <v>Переток клиентов на автотранспорт: а) строительство и модернизация автодорог; б) развитие рынка автотранспортных услуг; в) приобретение населением собственного автотранспорта.</v>
      </c>
      <c r="N44" t="str">
        <f>IF('INHERENT MAP'!$B$5=2021,IF('РЕЕСТР РИСКОВ_2023'!R93="",N43,'РЕЕСТР РИСКОВ_2023'!R93),IF('INHERENT MAP'!$B$5=2022,IF(#REF!="",N43,#REF!),IF('INHERENT MAP'!$B$5=2023,IF(#REF!="",N43,#REF!),IF('INHERENT MAP'!$B$5=2024,IF(#REF!="",N43,#REF!),IF('РЕЕСТР РИСКОВ_2023'!R93="",N43,'РЕЕСТР РИСКОВ_2023'!R93)))))</f>
        <v>Дефицит средств в Республиканском бюджете</v>
      </c>
      <c r="O44">
        <f>'РЕЕСТР РИСКОВ_2023'!T93</f>
        <v>0</v>
      </c>
      <c r="P44">
        <f>IF('РЕЕСТР РИСКОВ_2023'!U93="",P43,'РЕЕСТР РИСКОВ_2023'!U93)</f>
        <v>0</v>
      </c>
      <c r="Q44" t="str">
        <f>IF('РЕЕСТР РИСКОВ_2023'!V93="",Q43,'РЕЕСТР РИСКОВ_2023'!V93)</f>
        <v>Угрозы</v>
      </c>
      <c r="R44" t="str">
        <f>IF('РЕЕСТР РИСКОВ_2023'!W93="",R43,'РЕЕСТР РИСКОВ_2023'!W93)</f>
        <v>Доходы по порожнему пробегу, млн. тг.</v>
      </c>
      <c r="S44">
        <f>'РЕЕСТР РИСКОВ_2023'!X93</f>
        <v>0</v>
      </c>
      <c r="T44" s="94">
        <f>IF('INHERENT MAP'!$B$5=2021,'РЕЕСТР РИСКОВ_2023'!Y93,IF('INHERENT MAP'!$B$5=2022,#REF!,IF('INHERENT MAP'!$B$5=2023,#REF!,IF('INHERENT MAP'!$B$5=2024,#REF!,#REF!))))</f>
        <v>0.6</v>
      </c>
      <c r="U44">
        <f>IF('INHERENT MAP'!$B$5=2021,'РЕЕСТР РИСКОВ_2023'!Z93,IF('INHERENT MAP'!$B$5=2022,#REF!,IF('INHERENT MAP'!$B$5=2023,#REF!,IF('INHERENT MAP'!$B$5=2024,#REF!,#REF!))))</f>
        <v>-7659</v>
      </c>
      <c r="V44">
        <f>IF('INHERENT MAP'!$B$5=2021,'РЕЕСТР РИСКОВ_2023'!AA93,IF('INHERENT MAP'!$B$5=2022,#REF!,IF('INHERENT MAP'!$B$5=2023,#REF!,IF('INHERENT MAP'!$B$5=2024,#REF!,#REF!))))</f>
        <v>-4595.3999999999996</v>
      </c>
      <c r="W44">
        <f>IF('INHERENT MAP'!$B$5=2021,'РЕЕСТР РИСКОВ_2023'!AB93,IF('INHERENT MAP'!$B$5=2022,#REF!,IF('INHERENT MAP'!$B$5=2023,#REF!,IF('INHERENT MAP'!$B$5=2024,#REF!,#REF!))))</f>
        <v>0</v>
      </c>
      <c r="X44" s="94">
        <f>IF('INHERENT MAP'!$B$5=2021,'РЕЕСТР РИСКОВ_2023'!AC93,IF('INHERENT MAP'!$B$5=2022,#REF!,IF('INHERENT MAP'!$B$5=2023,#REF!,IF('INHERENT MAP'!$B$5=2024,#REF!,#REF!))))</f>
        <v>0</v>
      </c>
      <c r="Y44">
        <f>IF('INHERENT MAP'!$B$5=2021,'РЕЕСТР РИСКОВ_2023'!AD93,IF('INHERENT MAP'!$B$5=2022,#REF!,IF('INHERENT MAP'!$B$5=2023,#REF!,IF('INHERENT MAP'!$B$5=2024,#REF!,#REF!))))</f>
        <v>0</v>
      </c>
      <c r="Z44">
        <f>IF('INHERENT MAP'!$B$5=2021,'РЕЕСТР РИСКОВ_2023'!AE93,IF('INHERENT MAP'!$B$5=2022,#REF!,IF('INHERENT MAP'!$B$5=2023,#REF!,IF('INHERENT MAP'!$B$5=2024,#REF!,#REF!))))</f>
        <v>0</v>
      </c>
      <c r="AA44">
        <f>IF('INHERENT MAP'!$B$5=2021,'РЕЕСТР РИСКОВ_2023'!AF93,IF('INHERENT MAP'!$B$5=2022,#REF!,IF('INHERENT MAP'!$B$5=2023,#REF!,IF('INHERENT MAP'!$B$5=2024,#REF!,#REF!))))</f>
        <v>0</v>
      </c>
      <c r="AB44">
        <f>IF('INHERENT MAP'!$B$5=2021,'РЕЕСТР РИСКОВ_2023'!AG93,IF('INHERENT MAP'!$B$5=2022,#REF!,IF('INHERENT MAP'!$B$5=2023,#REF!,IF('INHERENT MAP'!$B$5=2024,#REF!,#REF!))))</f>
        <v>0</v>
      </c>
      <c r="AC44">
        <f>IF('INHERENT MAP'!$B$5=2021,'РЕЕСТР РИСКОВ_2023'!AH93,IF('INHERENT MAP'!$B$5=2022,#REF!,IF('INHERENT MAP'!$B$5=2023,#REF!,IF('INHERENT MAP'!$B$5=2024,#REF!,#REF!))))</f>
        <v>0</v>
      </c>
      <c r="AD44" t="str">
        <f>IF('INHERENT MAP'!$B$5=2021,'РЕЕСТР РИСКОВ_2023'!AI93,IF('INHERENT MAP'!$B$5=2022,#REF!,IF('INHERENT MAP'!$B$5=2023,#REF!,IF('INHERENT MAP'!$B$5=2024,#REF!,#REF!))))</f>
        <v>1. Выработка и внедрение новой сети маршрутов, в т.ч. организация эффективных маршрутов, снижение времени в пути поездов дальнего следования, организация подвязки пригородными поездами, формирование удобного графика движения поездов, обезличивание вагонов - их эффективное использование;
2. Максимальное снижение задержек поездов, в т.ч. исключение задержек, связанных с плановыми видами ремонта МЖС и станций;
3. Рассмотрение вопроса организации мультимодальных перевозок - ж/д, авто (при реализации 1 пункта);
4. Повышение качества обслуживания населения (продажа билетов, условия на вокзалах, санитарно-техническое состояние вагонов, экипировка поездов, сервисный персонал и сервисные услуги в поездах);
5. Эффективное регулирование подвижным составом, режимами продажи, тарифами, расходами и финансовым результатом на организацию маршрутов;
6. Организация коммуникации с Заказчиком - МИИР РК.</v>
      </c>
      <c r="AE44">
        <f>IF('INHERENT MAP'!$B$5=2021,'РЕЕСТР РИСКОВ_2023'!AK93,IF('INHERENT MAP'!$B$5=2022,#REF!,IF('INHERENT MAP'!$B$5=2023,#REF!,IF('INHERENT MAP'!$B$5=2024,#REF!,#REF!))))</f>
        <v>0</v>
      </c>
      <c r="AF44">
        <f>IF('INHERENT MAP'!$B$5=2021,'РЕЕСТР РИСКОВ_2023'!AL93,IF('INHERENT MAP'!$B$5=2022,#REF!,IF('INHERENT MAP'!$B$5=2023,#REF!,IF('INHERENT MAP'!$B$5=2024,#REF!,#REF!))))</f>
        <v>0</v>
      </c>
      <c r="AG44" t="str">
        <f>IF('INHERENT MAP'!$B$5=2021,'РЕЕСТР РИСКОВ_2023'!AM93,IF('INHERENT MAP'!$B$5=2022,#REF!,IF('INHERENT MAP'!$B$5=2023,#REF!,IF('INHERENT MAP'!$B$5=2024,#REF!,#REF!))))</f>
        <v>средняя</v>
      </c>
      <c r="AH44">
        <f>IF('INHERENT MAP'!$B$5=2021,'РЕЕСТР РИСКОВ_2023'!AN93,IF('INHERENT MAP'!$B$5=2022,#REF!,IF('INHERENT MAP'!$B$5=2023,#REF!,IF('INHERENT MAP'!$B$5=2024,#REF!,#REF!))))</f>
        <v>0.3</v>
      </c>
      <c r="AI44">
        <f>IF('INHERENT MAP'!$B$5=2021,'РЕЕСТР РИСКОВ_2023'!AO93,IF('INHERENT MAP'!$B$5=2022,#REF!,IF('INHERENT MAP'!$B$5=2023,#REF!,IF('INHERENT MAP'!$B$5=2024,#REF!,#REF!))))</f>
        <v>-3829.5</v>
      </c>
      <c r="AJ44">
        <f>IF('INHERENT MAP'!$B$5=2021,'РЕЕСТР РИСКОВ_2023'!AP93,IF('INHERENT MAP'!$B$5=2022,#REF!,IF('INHERENT MAP'!$B$5=2023,#REF!,IF('INHERENT MAP'!$B$5=2024,#REF!,#REF!))))</f>
        <v>-1148.8499999999999</v>
      </c>
      <c r="AK44">
        <f>IF('РЕЕСТР РИСКОВ_2023'!AQ93="",AK43,'РЕЕСТР РИСКОВ_2023'!AQ93)</f>
        <v>-2297.6999999999998</v>
      </c>
      <c r="AL44">
        <f>IF('РЕЕСТР РИСКОВ_2023'!AR93="",AL43,'РЕЕСТР РИСКОВ_2023'!AR93)</f>
        <v>0.32506094630921556</v>
      </c>
      <c r="AM44">
        <f>IF('РЕЕСТР РИСКОВ_2023'!AS93="",AM43,'РЕЕСТР РИСКОВ_2023'!AS93)</f>
        <v>-3939.1988502300001</v>
      </c>
      <c r="AN44">
        <f>IF('РЕЕСТР РИСКОВ_2023'!AT93="",AN43,'РЕЕСТР РИСКОВ_2023'!AT93)</f>
        <v>-2374.4891951609998</v>
      </c>
      <c r="AO44">
        <f>IF('РЕЕСТР РИСКОВ_2023'!AU93="",AO43,'РЕЕСТР РИСКОВ_2023'!AU93)</f>
        <v>0</v>
      </c>
    </row>
    <row r="45" spans="2:41">
      <c r="B45" t="str">
        <f>IF('INHERENT MAP'!$B$5=2021,IF('РЕЕСТР РИСКОВ_2023'!F94="",B44,'РЕЕСТР РИСКОВ_2023'!F94),IF('INHERENT MAP'!$B$5=2022,IF(#REF!="",B44,#REF!),IF('INHERENT MAP'!$B$5=2023,IF(#REF!="",B44,#REF!),IF('INHERENT MAP'!$B$5=2024,IF(#REF!="",B44,#REF!),IF('РЕЕСТР РИСКОВ_2023'!F94="",B44,'РЕЕСТР РИСКОВ_2023'!F94)))))</f>
        <v>РИСК ПАССАЖИРООБОРОТА</v>
      </c>
      <c r="C45" t="str">
        <f>IF('INHERENT MAP'!$B$5=2021,IF('РЕЕСТР РИСКОВ_2023'!G94="",C44,'РЕЕСТР РИСКОВ_2023'!G94),IF('INHERENT MAP'!$B$5=2022,IF(#REF!="",C44,#REF!),IF('INHERENT MAP'!$B$5=2023,IF(#REF!="",C44,#REF!),IF('INHERENT MAP'!$B$5=2024,IF(#REF!="",C44,#REF!),IF('РЕЕСТР РИСКОВ_2023'!G94="",C44,'РЕЕСТР РИСКОВ_2023'!G94)))))</f>
        <v>- ХХХ млн. тенге</v>
      </c>
      <c r="D45" t="str">
        <f>IF('INHERENT MAP'!$B$5=2021,IF('РЕЕСТР РИСКОВ_2023'!H94="",D44,'РЕЕСТР РИСКОВ_2023'!H94),IF('INHERENT MAP'!$B$5=2022,IF(#REF!="",D44,#REF!),IF('INHERENT MAP'!$B$5=2023,IF(#REF!="",D44,#REF!),IF('INHERENT MAP'!$B$5=2024,IF(#REF!="",D44,#REF!),IF('РЕЕСТР РИСКОВ_2023'!H94="",D44,'РЕЕСТР РИСКОВ_2023'!H94)))))</f>
        <v>PTR-2</v>
      </c>
      <c r="E45" t="str">
        <f>IF('INHERENT MAP'!$B$5=2021,IF('РЕЕСТР РИСКОВ_2023'!I94="",E44,'РЕЕСТР РИСКОВ_2023'!I94),IF('INHERENT MAP'!$B$5=2022,IF(#REF!="",E44,#REF!),IF('INHERENT MAP'!$B$5=2023,IF(#REF!="",E44,#REF!),IF('INHERENT MAP'!$B$5=2024,IF(#REF!="",E44,#REF!),IF('РЕЕСТР РИСКОВ_2023'!I94="",E44,'РЕЕСТР РИСКОВ_2023'!I94)))))</f>
        <v>ЦЗ-1</v>
      </c>
      <c r="F45" t="str">
        <f>IF('INHERENT MAP'!$B$5=2021,IF('РЕЕСТР РИСКОВ_2023'!J94="",F44,'РЕЕСТР РИСКОВ_2023'!J94),IF('INHERENT MAP'!$B$5=2022,IF(#REF!="",F44,#REF!),IF('INHERENT MAP'!$B$5=2023,IF(#REF!="",F44,#REF!),IF('INHERENT MAP'!$B$5=2024,IF(#REF!="",F44,#REF!),IF('РЕЕСТР РИСКОВ_2023'!J94="",F44,'РЕЕСТР РИСКОВ_2023'!J94)))))</f>
        <v>АО "Пассажирские перевозки"</v>
      </c>
      <c r="G45" t="str">
        <f>IF('INHERENT MAP'!$B$5=2021,IF('РЕЕСТР РИСКОВ_2023'!K94="",G44,'РЕЕСТР РИСКОВ_2023'!K94),IF('INHERENT MAP'!$B$5=2022,IF(#REF!="",G44,#REF!),IF('INHERENT MAP'!$B$5=2023,IF(#REF!="",G44,#REF!),IF('INHERENT MAP'!$B$5=2024,IF(#REF!="",G44,#REF!),IF('РЕЕСТР РИСКОВ_2023'!K94="",G44,'РЕЕСТР РИСКОВ_2023'!K94)))))</f>
        <v>Снижение пассажиропотока</v>
      </c>
      <c r="H45">
        <f>IF('INHERENT MAP'!$B$5=2021,'РЕЕСТР РИСКОВ_2023'!L94,IF('INHERENT MAP'!$B$5=2022,#REF!,IF('INHERENT MAP'!$B$5=2023,#REF!,IF('INHERENT MAP'!$B$5=2024,#REF!,#REF!))))</f>
        <v>0</v>
      </c>
      <c r="I45">
        <f>IF('INHERENT MAP'!$B$5=2021,'РЕЕСТР РИСКОВ_2023'!M94,IF('INHERENT MAP'!$B$5=2022,#REF!,IF('INHERENT MAP'!$B$5=2023,#REF!,IF('INHERENT MAP'!$B$5=2024,#REF!,#REF!))))</f>
        <v>0</v>
      </c>
      <c r="J45">
        <f>IF('INHERENT MAP'!$B$5=2021,'РЕЕСТР РИСКОВ_2023'!N94,IF('INHERENT MAP'!$B$5=2022,#REF!,IF('INHERENT MAP'!$B$5=2023,#REF!,IF('INHERENT MAP'!$B$5=2024,#REF!,#REF!))))</f>
        <v>0</v>
      </c>
      <c r="K45">
        <f>IF('INHERENT MAP'!$B$5=2021,'РЕЕСТР РИСКОВ_2023'!O94,IF('INHERENT MAP'!$B$5=2022,#REF!,IF('INHERENT MAP'!$B$5=2023,#REF!,IF('INHERENT MAP'!$B$5=2024,#REF!,#REF!))))</f>
        <v>0</v>
      </c>
      <c r="L45">
        <f>IF('INHERENT MAP'!$B$5=2021,'РЕЕСТР РИСКОВ_2023'!P94,IF('INHERENT MAP'!$B$5=2022,#REF!,IF('INHERENT MAP'!$B$5=2023,#REF!,IF('INHERENT MAP'!$B$5=2024,#REF!,#REF!))))</f>
        <v>0</v>
      </c>
      <c r="M45" t="str">
        <f>IF('INHERENT MAP'!$B$5=2021,IF('РЕЕСТР РИСКОВ_2023'!Q94="",M44,'РЕЕСТР РИСКОВ_2023'!Q94),IF('INHERENT MAP'!$B$5=2022,IF(#REF!="",M44,#REF!),IF('INHERENT MAP'!$B$5=2023,IF(#REF!="",M44,#REF!),IF('INHERENT MAP'!$B$5=2024,IF(#REF!="",M44,#REF!),IF('РЕЕСТР РИСКОВ_2023'!Q94="",M44,'РЕЕСТР РИСКОВ_2023'!Q94)))))</f>
        <v>Переток клиентов на авиатранспорт: а) развитие рынка и сети авиамаршрутов.</v>
      </c>
      <c r="N45" t="str">
        <f>IF('INHERENT MAP'!$B$5=2021,IF('РЕЕСТР РИСКОВ_2023'!R94="",N44,'РЕЕСТР РИСКОВ_2023'!R94),IF('INHERENT MAP'!$B$5=2022,IF(#REF!="",N44,#REF!),IF('INHERENT MAP'!$B$5=2023,IF(#REF!="",N44,#REF!),IF('INHERENT MAP'!$B$5=2024,IF(#REF!="",N44,#REF!),IF('РЕЕСТР РИСКОВ_2023'!R94="",N44,'РЕЕСТР РИСКОВ_2023'!R94)))))</f>
        <v>Дефицит средств в Республиканском бюджете</v>
      </c>
      <c r="O45">
        <f>'РЕЕСТР РИСКОВ_2023'!T94</f>
        <v>0</v>
      </c>
      <c r="P45">
        <f>IF('РЕЕСТР РИСКОВ_2023'!U94="",P44,'РЕЕСТР РИСКОВ_2023'!U94)</f>
        <v>0</v>
      </c>
      <c r="Q45" t="str">
        <f>IF('РЕЕСТР РИСКОВ_2023'!V94="",Q44,'РЕЕСТР РИСКОВ_2023'!V94)</f>
        <v>Угрозы</v>
      </c>
      <c r="R45" t="str">
        <f>IF('РЕЕСТР РИСКОВ_2023'!W94="",R44,'РЕЕСТР РИСКОВ_2023'!W94)</f>
        <v>Доходы по порожнему пробегу, млн. тг.</v>
      </c>
      <c r="S45">
        <f>'РЕЕСТР РИСКОВ_2023'!X94</f>
        <v>0</v>
      </c>
      <c r="T45" s="94">
        <f>IF('INHERENT MAP'!$B$5=2021,'РЕЕСТР РИСКОВ_2023'!Y94,IF('INHERENT MAP'!$B$5=2022,#REF!,IF('INHERENT MAP'!$B$5=2023,#REF!,IF('INHERENT MAP'!$B$5=2024,#REF!,#REF!))))</f>
        <v>0</v>
      </c>
      <c r="U45">
        <f>IF('INHERENT MAP'!$B$5=2021,'РЕЕСТР РИСКОВ_2023'!Z94,IF('INHERENT MAP'!$B$5=2022,#REF!,IF('INHERENT MAP'!$B$5=2023,#REF!,IF('INHERENT MAP'!$B$5=2024,#REF!,#REF!))))</f>
        <v>0</v>
      </c>
      <c r="V45">
        <f>IF('INHERENT MAP'!$B$5=2021,'РЕЕСТР РИСКОВ_2023'!AA94,IF('INHERENT MAP'!$B$5=2022,#REF!,IF('INHERENT MAP'!$B$5=2023,#REF!,IF('INHERENT MAP'!$B$5=2024,#REF!,#REF!))))</f>
        <v>0</v>
      </c>
      <c r="W45">
        <f>IF('INHERENT MAP'!$B$5=2021,'РЕЕСТР РИСКОВ_2023'!AB94,IF('INHERENT MAP'!$B$5=2022,#REF!,IF('INHERENT MAP'!$B$5=2023,#REF!,IF('INHERENT MAP'!$B$5=2024,#REF!,#REF!))))</f>
        <v>0</v>
      </c>
      <c r="X45" s="94">
        <f>IF('INHERENT MAP'!$B$5=2021,'РЕЕСТР РИСКОВ_2023'!AC94,IF('INHERENT MAP'!$B$5=2022,#REF!,IF('INHERENT MAP'!$B$5=2023,#REF!,IF('INHERENT MAP'!$B$5=2024,#REF!,#REF!))))</f>
        <v>0</v>
      </c>
      <c r="Y45">
        <f>IF('INHERENT MAP'!$B$5=2021,'РЕЕСТР РИСКОВ_2023'!AD94,IF('INHERENT MAP'!$B$5=2022,#REF!,IF('INHERENT MAP'!$B$5=2023,#REF!,IF('INHERENT MAP'!$B$5=2024,#REF!,#REF!))))</f>
        <v>0</v>
      </c>
      <c r="Z45">
        <f>IF('INHERENT MAP'!$B$5=2021,'РЕЕСТР РИСКОВ_2023'!AE94,IF('INHERENT MAP'!$B$5=2022,#REF!,IF('INHERENT MAP'!$B$5=2023,#REF!,IF('INHERENT MAP'!$B$5=2024,#REF!,#REF!))))</f>
        <v>0</v>
      </c>
      <c r="AA45">
        <f>IF('INHERENT MAP'!$B$5=2021,'РЕЕСТР РИСКОВ_2023'!AF94,IF('INHERENT MAP'!$B$5=2022,#REF!,IF('INHERENT MAP'!$B$5=2023,#REF!,IF('INHERENT MAP'!$B$5=2024,#REF!,#REF!))))</f>
        <v>0</v>
      </c>
      <c r="AB45">
        <f>IF('INHERENT MAP'!$B$5=2021,'РЕЕСТР РИСКОВ_2023'!AG94,IF('INHERENT MAP'!$B$5=2022,#REF!,IF('INHERENT MAP'!$B$5=2023,#REF!,IF('INHERENT MAP'!$B$5=2024,#REF!,#REF!))))</f>
        <v>0</v>
      </c>
      <c r="AC45">
        <f>IF('INHERENT MAP'!$B$5=2021,'РЕЕСТР РИСКОВ_2023'!AH94,IF('INHERENT MAP'!$B$5=2022,#REF!,IF('INHERENT MAP'!$B$5=2023,#REF!,IF('INHERENT MAP'!$B$5=2024,#REF!,#REF!))))</f>
        <v>0</v>
      </c>
      <c r="AD45">
        <f>IF('INHERENT MAP'!$B$5=2021,'РЕЕСТР РИСКОВ_2023'!AI94,IF('INHERENT MAP'!$B$5=2022,#REF!,IF('INHERENT MAP'!$B$5=2023,#REF!,IF('INHERENT MAP'!$B$5=2024,#REF!,#REF!))))</f>
        <v>0</v>
      </c>
      <c r="AE45">
        <f>IF('INHERENT MAP'!$B$5=2021,'РЕЕСТР РИСКОВ_2023'!AK94,IF('INHERENT MAP'!$B$5=2022,#REF!,IF('INHERENT MAP'!$B$5=2023,#REF!,IF('INHERENT MAP'!$B$5=2024,#REF!,#REF!))))</f>
        <v>0</v>
      </c>
      <c r="AF45">
        <f>IF('INHERENT MAP'!$B$5=2021,'РЕЕСТР РИСКОВ_2023'!AL94,IF('INHERENT MAP'!$B$5=2022,#REF!,IF('INHERENT MAP'!$B$5=2023,#REF!,IF('INHERENT MAP'!$B$5=2024,#REF!,#REF!))))</f>
        <v>0</v>
      </c>
      <c r="AG45">
        <f>IF('INHERENT MAP'!$B$5=2021,'РЕЕСТР РИСКОВ_2023'!AM94,IF('INHERENT MAP'!$B$5=2022,#REF!,IF('INHERENT MAP'!$B$5=2023,#REF!,IF('INHERENT MAP'!$B$5=2024,#REF!,#REF!))))</f>
        <v>0</v>
      </c>
      <c r="AH45">
        <f>IF('INHERENT MAP'!$B$5=2021,'РЕЕСТР РИСКОВ_2023'!AN94,IF('INHERENT MAP'!$B$5=2022,#REF!,IF('INHERENT MAP'!$B$5=2023,#REF!,IF('INHERENT MAP'!$B$5=2024,#REF!,#REF!))))</f>
        <v>0</v>
      </c>
      <c r="AI45">
        <f>IF('INHERENT MAP'!$B$5=2021,'РЕЕСТР РИСКОВ_2023'!AO94,IF('INHERENT MAP'!$B$5=2022,#REF!,IF('INHERENT MAP'!$B$5=2023,#REF!,IF('INHERENT MAP'!$B$5=2024,#REF!,#REF!))))</f>
        <v>0</v>
      </c>
      <c r="AJ45">
        <f>IF('INHERENT MAP'!$B$5=2021,'РЕЕСТР РИСКОВ_2023'!AP94,IF('INHERENT MAP'!$B$5=2022,#REF!,IF('INHERENT MAP'!$B$5=2023,#REF!,IF('INHERENT MAP'!$B$5=2024,#REF!,#REF!))))</f>
        <v>0</v>
      </c>
      <c r="AK45">
        <f>IF('РЕЕСТР РИСКОВ_2023'!AQ94="",AK44,'РЕЕСТР РИСКОВ_2023'!AQ94)</f>
        <v>-2297.6999999999998</v>
      </c>
      <c r="AL45">
        <f>IF('РЕЕСТР РИСКОВ_2023'!AR94="",AL44,'РЕЕСТР РИСКОВ_2023'!AR94)</f>
        <v>0.32506094630921556</v>
      </c>
      <c r="AM45">
        <f>IF('РЕЕСТР РИСКОВ_2023'!AS94="",AM44,'РЕЕСТР РИСКОВ_2023'!AS94)</f>
        <v>-3939.1988502300001</v>
      </c>
      <c r="AN45">
        <f>IF('РЕЕСТР РИСКОВ_2023'!AT94="",AN44,'РЕЕСТР РИСКОВ_2023'!AT94)</f>
        <v>-2374.4891951609998</v>
      </c>
      <c r="AO45">
        <f>IF('РЕЕСТР РИСКОВ_2023'!AU94="",AO44,'РЕЕСТР РИСКОВ_2023'!AU94)</f>
        <v>0</v>
      </c>
    </row>
    <row r="46" spans="2:41">
      <c r="B46" t="str">
        <f>IF('INHERENT MAP'!$B$5=2021,IF('РЕЕСТР РИСКОВ_2023'!F95="",B45,'РЕЕСТР РИСКОВ_2023'!F95),IF('INHERENT MAP'!$B$5=2022,IF(#REF!="",B45,#REF!),IF('INHERENT MAP'!$B$5=2023,IF(#REF!="",B45,#REF!),IF('INHERENT MAP'!$B$5=2024,IF(#REF!="",B45,#REF!),IF('РЕЕСТР РИСКОВ_2023'!F95="",B45,'РЕЕСТР РИСКОВ_2023'!F95)))))</f>
        <v>РИСК ПАССАЖИРООБОРОТА</v>
      </c>
      <c r="C46" t="str">
        <f>IF('INHERENT MAP'!$B$5=2021,IF('РЕЕСТР РИСКОВ_2023'!G95="",C45,'РЕЕСТР РИСКОВ_2023'!G95),IF('INHERENT MAP'!$B$5=2022,IF(#REF!="",C45,#REF!),IF('INHERENT MAP'!$B$5=2023,IF(#REF!="",C45,#REF!),IF('INHERENT MAP'!$B$5=2024,IF(#REF!="",C45,#REF!),IF('РЕЕСТР РИСКОВ_2023'!G95="",C45,'РЕЕСТР РИСКОВ_2023'!G95)))))</f>
        <v>- ХХХ млн. тенге</v>
      </c>
      <c r="D46" t="str">
        <f>IF('INHERENT MAP'!$B$5=2021,IF('РЕЕСТР РИСКОВ_2023'!H95="",D45,'РЕЕСТР РИСКОВ_2023'!H95),IF('INHERENT MAP'!$B$5=2022,IF(#REF!="",D45,#REF!),IF('INHERENT MAP'!$B$5=2023,IF(#REF!="",D45,#REF!),IF('INHERENT MAP'!$B$5=2024,IF(#REF!="",D45,#REF!),IF('РЕЕСТР РИСКОВ_2023'!H95="",D45,'РЕЕСТР РИСКОВ_2023'!H95)))))</f>
        <v>PTR-2</v>
      </c>
      <c r="E46" t="str">
        <f>IF('INHERENT MAP'!$B$5=2021,IF('РЕЕСТР РИСКОВ_2023'!I95="",E45,'РЕЕСТР РИСКОВ_2023'!I95),IF('INHERENT MAP'!$B$5=2022,IF(#REF!="",E45,#REF!),IF('INHERENT MAP'!$B$5=2023,IF(#REF!="",E45,#REF!),IF('INHERENT MAP'!$B$5=2024,IF(#REF!="",E45,#REF!),IF('РЕЕСТР РИСКОВ_2023'!I95="",E45,'РЕЕСТР РИСКОВ_2023'!I95)))))</f>
        <v>ЦЗ-1</v>
      </c>
      <c r="F46" t="str">
        <f>IF('INHERENT MAP'!$B$5=2021,IF('РЕЕСТР РИСКОВ_2023'!J95="",F45,'РЕЕСТР РИСКОВ_2023'!J95),IF('INHERENT MAP'!$B$5=2022,IF(#REF!="",F45,#REF!),IF('INHERENT MAP'!$B$5=2023,IF(#REF!="",F45,#REF!),IF('INHERENT MAP'!$B$5=2024,IF(#REF!="",F45,#REF!),IF('РЕЕСТР РИСКОВ_2023'!J95="",F45,'РЕЕСТР РИСКОВ_2023'!J95)))))</f>
        <v>АО "Пассажирские перевозки"</v>
      </c>
      <c r="G46" t="str">
        <f>IF('INHERENT MAP'!$B$5=2021,IF('РЕЕСТР РИСКОВ_2023'!K95="",G45,'РЕЕСТР РИСКОВ_2023'!K95),IF('INHERENT MAP'!$B$5=2022,IF(#REF!="",G45,#REF!),IF('INHERENT MAP'!$B$5=2023,IF(#REF!="",G45,#REF!),IF('INHERENT MAP'!$B$5=2024,IF(#REF!="",G45,#REF!),IF('РЕЕСТР РИСКОВ_2023'!K95="",G45,'РЕЕСТР РИСКОВ_2023'!K95)))))</f>
        <v>Снижение пассажиропотока</v>
      </c>
      <c r="H46">
        <f>IF('INHERENT MAP'!$B$5=2021,'РЕЕСТР РИСКОВ_2023'!L95,IF('INHERENT MAP'!$B$5=2022,#REF!,IF('INHERENT MAP'!$B$5=2023,#REF!,IF('INHERENT MAP'!$B$5=2024,#REF!,#REF!))))</f>
        <v>0</v>
      </c>
      <c r="I46">
        <f>IF('INHERENT MAP'!$B$5=2021,'РЕЕСТР РИСКОВ_2023'!M95,IF('INHERENT MAP'!$B$5=2022,#REF!,IF('INHERENT MAP'!$B$5=2023,#REF!,IF('INHERENT MAP'!$B$5=2024,#REF!,#REF!))))</f>
        <v>0</v>
      </c>
      <c r="J46">
        <f>IF('INHERENT MAP'!$B$5=2021,'РЕЕСТР РИСКОВ_2023'!N95,IF('INHERENT MAP'!$B$5=2022,#REF!,IF('INHERENT MAP'!$B$5=2023,#REF!,IF('INHERENT MAP'!$B$5=2024,#REF!,#REF!))))</f>
        <v>0</v>
      </c>
      <c r="K46">
        <f>IF('INHERENT MAP'!$B$5=2021,'РЕЕСТР РИСКОВ_2023'!O95,IF('INHERENT MAP'!$B$5=2022,#REF!,IF('INHERENT MAP'!$B$5=2023,#REF!,IF('INHERENT MAP'!$B$5=2024,#REF!,#REF!))))</f>
        <v>0</v>
      </c>
      <c r="L46">
        <f>IF('INHERENT MAP'!$B$5=2021,'РЕЕСТР РИСКОВ_2023'!P95,IF('INHERENT MAP'!$B$5=2022,#REF!,IF('INHERENT MAP'!$B$5=2023,#REF!,IF('INHERENT MAP'!$B$5=2024,#REF!,#REF!))))</f>
        <v>0</v>
      </c>
      <c r="M46" t="str">
        <f>IF('INHERENT MAP'!$B$5=2021,IF('РЕЕСТР РИСКОВ_2023'!Q95="",M45,'РЕЕСТР РИСКОВ_2023'!Q95),IF('INHERENT MAP'!$B$5=2022,IF(#REF!="",M45,#REF!),IF('INHERENT MAP'!$B$5=2023,IF(#REF!="",M45,#REF!),IF('INHERENT MAP'!$B$5=2024,IF(#REF!="",M45,#REF!),IF('РЕЕСТР РИСКОВ_2023'!Q95="",M45,'РЕЕСТР РИСКОВ_2023'!Q95)))))</f>
        <v>Переток клиентов на других ж/д пассажирских перевозчиков: а) появление новых маршрутов; б) повышение ими качества обслуживания.</v>
      </c>
      <c r="N46" t="str">
        <f>IF('INHERENT MAP'!$B$5=2021,IF('РЕЕСТР РИСКОВ_2023'!R95="",N45,'РЕЕСТР РИСКОВ_2023'!R95),IF('INHERENT MAP'!$B$5=2022,IF(#REF!="",N45,#REF!),IF('INHERENT MAP'!$B$5=2023,IF(#REF!="",N45,#REF!),IF('INHERENT MAP'!$B$5=2024,IF(#REF!="",N45,#REF!),IF('РЕЕСТР РИСКОВ_2023'!R95="",N45,'РЕЕСТР РИСКОВ_2023'!R95)))))</f>
        <v>Дефицит средств в Республиканском бюджете</v>
      </c>
      <c r="O46">
        <f>'РЕЕСТР РИСКОВ_2023'!T95</f>
        <v>0</v>
      </c>
      <c r="P46">
        <f>IF('РЕЕСТР РИСКОВ_2023'!U95="",P45,'РЕЕСТР РИСКОВ_2023'!U95)</f>
        <v>0</v>
      </c>
      <c r="Q46" t="str">
        <f>IF('РЕЕСТР РИСКОВ_2023'!V95="",Q45,'РЕЕСТР РИСКОВ_2023'!V95)</f>
        <v>Угрозы</v>
      </c>
      <c r="R46" t="str">
        <f>IF('РЕЕСТР РИСКОВ_2023'!W95="",R45,'РЕЕСТР РИСКОВ_2023'!W95)</f>
        <v>Доходы по порожнему пробегу, млн. тг.</v>
      </c>
      <c r="S46">
        <f>'РЕЕСТР РИСКОВ_2023'!X95</f>
        <v>0</v>
      </c>
      <c r="T46" s="94">
        <f>IF('INHERENT MAP'!$B$5=2021,'РЕЕСТР РИСКОВ_2023'!Y95,IF('INHERENT MAP'!$B$5=2022,#REF!,IF('INHERENT MAP'!$B$5=2023,#REF!,IF('INHERENT MAP'!$B$5=2024,#REF!,#REF!))))</f>
        <v>0</v>
      </c>
      <c r="U46">
        <f>IF('INHERENT MAP'!$B$5=2021,'РЕЕСТР РИСКОВ_2023'!Z95,IF('INHERENT MAP'!$B$5=2022,#REF!,IF('INHERENT MAP'!$B$5=2023,#REF!,IF('INHERENT MAP'!$B$5=2024,#REF!,#REF!))))</f>
        <v>0</v>
      </c>
      <c r="V46">
        <f>IF('INHERENT MAP'!$B$5=2021,'РЕЕСТР РИСКОВ_2023'!AA95,IF('INHERENT MAP'!$B$5=2022,#REF!,IF('INHERENT MAP'!$B$5=2023,#REF!,IF('INHERENT MAP'!$B$5=2024,#REF!,#REF!))))</f>
        <v>0</v>
      </c>
      <c r="W46">
        <f>IF('INHERENT MAP'!$B$5=2021,'РЕЕСТР РИСКОВ_2023'!AB95,IF('INHERENT MAP'!$B$5=2022,#REF!,IF('INHERENT MAP'!$B$5=2023,#REF!,IF('INHERENT MAP'!$B$5=2024,#REF!,#REF!))))</f>
        <v>0</v>
      </c>
      <c r="X46" s="94">
        <f>IF('INHERENT MAP'!$B$5=2021,'РЕЕСТР РИСКОВ_2023'!AC95,IF('INHERENT MAP'!$B$5=2022,#REF!,IF('INHERENT MAP'!$B$5=2023,#REF!,IF('INHERENT MAP'!$B$5=2024,#REF!,#REF!))))</f>
        <v>0</v>
      </c>
      <c r="Y46">
        <f>IF('INHERENT MAP'!$B$5=2021,'РЕЕСТР РИСКОВ_2023'!AD95,IF('INHERENT MAP'!$B$5=2022,#REF!,IF('INHERENT MAP'!$B$5=2023,#REF!,IF('INHERENT MAP'!$B$5=2024,#REF!,#REF!))))</f>
        <v>0</v>
      </c>
      <c r="Z46">
        <f>IF('INHERENT MAP'!$B$5=2021,'РЕЕСТР РИСКОВ_2023'!AE95,IF('INHERENT MAP'!$B$5=2022,#REF!,IF('INHERENT MAP'!$B$5=2023,#REF!,IF('INHERENT MAP'!$B$5=2024,#REF!,#REF!))))</f>
        <v>0</v>
      </c>
      <c r="AA46">
        <f>IF('INHERENT MAP'!$B$5=2021,'РЕЕСТР РИСКОВ_2023'!AF95,IF('INHERENT MAP'!$B$5=2022,#REF!,IF('INHERENT MAP'!$B$5=2023,#REF!,IF('INHERENT MAP'!$B$5=2024,#REF!,#REF!))))</f>
        <v>0</v>
      </c>
      <c r="AB46">
        <f>IF('INHERENT MAP'!$B$5=2021,'РЕЕСТР РИСКОВ_2023'!AG95,IF('INHERENT MAP'!$B$5=2022,#REF!,IF('INHERENT MAP'!$B$5=2023,#REF!,IF('INHERENT MAP'!$B$5=2024,#REF!,#REF!))))</f>
        <v>0</v>
      </c>
      <c r="AC46">
        <f>IF('INHERENT MAP'!$B$5=2021,'РЕЕСТР РИСКОВ_2023'!AH95,IF('INHERENT MAP'!$B$5=2022,#REF!,IF('INHERENT MAP'!$B$5=2023,#REF!,IF('INHERENT MAP'!$B$5=2024,#REF!,#REF!))))</f>
        <v>0</v>
      </c>
      <c r="AD46">
        <f>IF('INHERENT MAP'!$B$5=2021,'РЕЕСТР РИСКОВ_2023'!AI95,IF('INHERENT MAP'!$B$5=2022,#REF!,IF('INHERENT MAP'!$B$5=2023,#REF!,IF('INHERENT MAP'!$B$5=2024,#REF!,#REF!))))</f>
        <v>0</v>
      </c>
      <c r="AE46">
        <f>IF('INHERENT MAP'!$B$5=2021,'РЕЕСТР РИСКОВ_2023'!AK95,IF('INHERENT MAP'!$B$5=2022,#REF!,IF('INHERENT MAP'!$B$5=2023,#REF!,IF('INHERENT MAP'!$B$5=2024,#REF!,#REF!))))</f>
        <v>0</v>
      </c>
      <c r="AF46">
        <f>IF('INHERENT MAP'!$B$5=2021,'РЕЕСТР РИСКОВ_2023'!AL95,IF('INHERENT MAP'!$B$5=2022,#REF!,IF('INHERENT MAP'!$B$5=2023,#REF!,IF('INHERENT MAP'!$B$5=2024,#REF!,#REF!))))</f>
        <v>0</v>
      </c>
      <c r="AG46">
        <f>IF('INHERENT MAP'!$B$5=2021,'РЕЕСТР РИСКОВ_2023'!AM95,IF('INHERENT MAP'!$B$5=2022,#REF!,IF('INHERENT MAP'!$B$5=2023,#REF!,IF('INHERENT MAP'!$B$5=2024,#REF!,#REF!))))</f>
        <v>0</v>
      </c>
      <c r="AH46">
        <f>IF('INHERENT MAP'!$B$5=2021,'РЕЕСТР РИСКОВ_2023'!AN95,IF('INHERENT MAP'!$B$5=2022,#REF!,IF('INHERENT MAP'!$B$5=2023,#REF!,IF('INHERENT MAP'!$B$5=2024,#REF!,#REF!))))</f>
        <v>0</v>
      </c>
      <c r="AI46">
        <f>IF('INHERENT MAP'!$B$5=2021,'РЕЕСТР РИСКОВ_2023'!AO95,IF('INHERENT MAP'!$B$5=2022,#REF!,IF('INHERENT MAP'!$B$5=2023,#REF!,IF('INHERENT MAP'!$B$5=2024,#REF!,#REF!))))</f>
        <v>0</v>
      </c>
      <c r="AJ46">
        <f>IF('INHERENT MAP'!$B$5=2021,'РЕЕСТР РИСКОВ_2023'!AP95,IF('INHERENT MAP'!$B$5=2022,#REF!,IF('INHERENT MAP'!$B$5=2023,#REF!,IF('INHERENT MAP'!$B$5=2024,#REF!,#REF!))))</f>
        <v>0</v>
      </c>
      <c r="AK46">
        <f>IF('РЕЕСТР РИСКОВ_2023'!AQ95="",AK45,'РЕЕСТР РИСКОВ_2023'!AQ95)</f>
        <v>-2297.6999999999998</v>
      </c>
      <c r="AL46">
        <f>IF('РЕЕСТР РИСКОВ_2023'!AR95="",AL45,'РЕЕСТР РИСКОВ_2023'!AR95)</f>
        <v>0.32506094630921556</v>
      </c>
      <c r="AM46">
        <f>IF('РЕЕСТР РИСКОВ_2023'!AS95="",AM45,'РЕЕСТР РИСКОВ_2023'!AS95)</f>
        <v>-3939.1988502300001</v>
      </c>
      <c r="AN46">
        <f>IF('РЕЕСТР РИСКОВ_2023'!AT95="",AN45,'РЕЕСТР РИСКОВ_2023'!AT95)</f>
        <v>-2374.4891951609998</v>
      </c>
      <c r="AO46">
        <f>IF('РЕЕСТР РИСКОВ_2023'!AU95="",AO45,'РЕЕСТР РИСКОВ_2023'!AU95)</f>
        <v>0</v>
      </c>
    </row>
    <row r="47" spans="2:41">
      <c r="B47" t="str">
        <f>IF('INHERENT MAP'!$B$5=2021,IF('РЕЕСТР РИСКОВ_2023'!F96="",B46,'РЕЕСТР РИСКОВ_2023'!F96),IF('INHERENT MAP'!$B$5=2022,IF(#REF!="",B46,#REF!),IF('INHERENT MAP'!$B$5=2023,IF(#REF!="",B46,#REF!),IF('INHERENT MAP'!$B$5=2024,IF(#REF!="",B46,#REF!),IF('РЕЕСТР РИСКОВ_2023'!F96="",B46,'РЕЕСТР РИСКОВ_2023'!F96)))))</f>
        <v>РИСК ПАССАЖИРООБОРОТА</v>
      </c>
      <c r="C47" t="str">
        <f>IF('INHERENT MAP'!$B$5=2021,IF('РЕЕСТР РИСКОВ_2023'!G96="",C46,'РЕЕСТР РИСКОВ_2023'!G96),IF('INHERENT MAP'!$B$5=2022,IF(#REF!="",C46,#REF!),IF('INHERENT MAP'!$B$5=2023,IF(#REF!="",C46,#REF!),IF('INHERENT MAP'!$B$5=2024,IF(#REF!="",C46,#REF!),IF('РЕЕСТР РИСКОВ_2023'!G96="",C46,'РЕЕСТР РИСКОВ_2023'!G96)))))</f>
        <v>- ХХХ млн. тенге</v>
      </c>
      <c r="D47" t="str">
        <f>IF('INHERENT MAP'!$B$5=2021,IF('РЕЕСТР РИСКОВ_2023'!H96="",D46,'РЕЕСТР РИСКОВ_2023'!H96),IF('INHERENT MAP'!$B$5=2022,IF(#REF!="",D46,#REF!),IF('INHERENT MAP'!$B$5=2023,IF(#REF!="",D46,#REF!),IF('INHERENT MAP'!$B$5=2024,IF(#REF!="",D46,#REF!),IF('РЕЕСТР РИСКОВ_2023'!H96="",D46,'РЕЕСТР РИСКОВ_2023'!H96)))))</f>
        <v>PTR-2</v>
      </c>
      <c r="E47" t="str">
        <f>IF('INHERENT MAP'!$B$5=2021,IF('РЕЕСТР РИСКОВ_2023'!I96="",E46,'РЕЕСТР РИСКОВ_2023'!I96),IF('INHERENT MAP'!$B$5=2022,IF(#REF!="",E46,#REF!),IF('INHERENT MAP'!$B$5=2023,IF(#REF!="",E46,#REF!),IF('INHERENT MAP'!$B$5=2024,IF(#REF!="",E46,#REF!),IF('РЕЕСТР РИСКОВ_2023'!I96="",E46,'РЕЕСТР РИСКОВ_2023'!I96)))))</f>
        <v>ЦЗ-1</v>
      </c>
      <c r="F47" t="str">
        <f>IF('INHERENT MAP'!$B$5=2021,IF('РЕЕСТР РИСКОВ_2023'!J96="",F46,'РЕЕСТР РИСКОВ_2023'!J96),IF('INHERENT MAP'!$B$5=2022,IF(#REF!="",F46,#REF!),IF('INHERENT MAP'!$B$5=2023,IF(#REF!="",F46,#REF!),IF('INHERENT MAP'!$B$5=2024,IF(#REF!="",F46,#REF!),IF('РЕЕСТР РИСКОВ_2023'!J96="",F46,'РЕЕСТР РИСКОВ_2023'!J96)))))</f>
        <v>АО "Пассажирские перевозки"</v>
      </c>
      <c r="G47" t="str">
        <f>IF('INHERENT MAP'!$B$5=2021,IF('РЕЕСТР РИСКОВ_2023'!K96="",G46,'РЕЕСТР РИСКОВ_2023'!K96),IF('INHERENT MAP'!$B$5=2022,IF(#REF!="",G46,#REF!),IF('INHERENT MAP'!$B$5=2023,IF(#REF!="",G46,#REF!),IF('INHERENT MAP'!$B$5=2024,IF(#REF!="",G46,#REF!),IF('РЕЕСТР РИСКОВ_2023'!K96="",G46,'РЕЕСТР РИСКОВ_2023'!K96)))))</f>
        <v>Снижение пассажиропотока</v>
      </c>
      <c r="H47">
        <f>IF('INHERENT MAP'!$B$5=2021,'РЕЕСТР РИСКОВ_2023'!L96,IF('INHERENT MAP'!$B$5=2022,#REF!,IF('INHERENT MAP'!$B$5=2023,#REF!,IF('INHERENT MAP'!$B$5=2024,#REF!,#REF!))))</f>
        <v>0</v>
      </c>
      <c r="I47">
        <f>IF('INHERENT MAP'!$B$5=2021,'РЕЕСТР РИСКОВ_2023'!M96,IF('INHERENT MAP'!$B$5=2022,#REF!,IF('INHERENT MAP'!$B$5=2023,#REF!,IF('INHERENT MAP'!$B$5=2024,#REF!,#REF!))))</f>
        <v>0</v>
      </c>
      <c r="J47">
        <f>IF('INHERENT MAP'!$B$5=2021,'РЕЕСТР РИСКОВ_2023'!N96,IF('INHERENT MAP'!$B$5=2022,#REF!,IF('INHERENT MAP'!$B$5=2023,#REF!,IF('INHERENT MAP'!$B$5=2024,#REF!,#REF!))))</f>
        <v>0</v>
      </c>
      <c r="K47">
        <f>IF('INHERENT MAP'!$B$5=2021,'РЕЕСТР РИСКОВ_2023'!O96,IF('INHERENT MAP'!$B$5=2022,#REF!,IF('INHERENT MAP'!$B$5=2023,#REF!,IF('INHERENT MAP'!$B$5=2024,#REF!,#REF!))))</f>
        <v>0</v>
      </c>
      <c r="L47">
        <f>IF('INHERENT MAP'!$B$5=2021,'РЕЕСТР РИСКОВ_2023'!P96,IF('INHERENT MAP'!$B$5=2022,#REF!,IF('INHERENT MAP'!$B$5=2023,#REF!,IF('INHERENT MAP'!$B$5=2024,#REF!,#REF!))))</f>
        <v>0</v>
      </c>
      <c r="M47" t="str">
        <f>IF('INHERENT MAP'!$B$5=2021,IF('РЕЕСТР РИСКОВ_2023'!Q96="",M46,'РЕЕСТР РИСКОВ_2023'!Q96),IF('INHERENT MAP'!$B$5=2022,IF(#REF!="",M46,#REF!),IF('INHERENT MAP'!$B$5=2023,IF(#REF!="",M46,#REF!),IF('INHERENT MAP'!$B$5=2024,IF(#REF!="",M46,#REF!),IF('РЕЕСТР РИСКОВ_2023'!Q96="",M46,'РЕЕСТР РИСКОВ_2023'!Q96)))))</f>
        <v>Снижение качества обслуживания клиентов АО "Пассажирские перевозки".</v>
      </c>
      <c r="N47" t="str">
        <f>IF('INHERENT MAP'!$B$5=2021,IF('РЕЕСТР РИСКОВ_2023'!R96="",N46,'РЕЕСТР РИСКОВ_2023'!R96),IF('INHERENT MAP'!$B$5=2022,IF(#REF!="",N46,#REF!),IF('INHERENT MAP'!$B$5=2023,IF(#REF!="",N46,#REF!),IF('INHERENT MAP'!$B$5=2024,IF(#REF!="",N46,#REF!),IF('РЕЕСТР РИСКОВ_2023'!R96="",N46,'РЕЕСТР РИСКОВ_2023'!R96)))))</f>
        <v>Дефицит средств в Республиканском бюджете</v>
      </c>
      <c r="O47">
        <f>'РЕЕСТР РИСКОВ_2023'!T96</f>
        <v>0</v>
      </c>
      <c r="P47">
        <f>IF('РЕЕСТР РИСКОВ_2023'!U96="",P46,'РЕЕСТР РИСКОВ_2023'!U96)</f>
        <v>0</v>
      </c>
      <c r="Q47" t="str">
        <f>IF('РЕЕСТР РИСКОВ_2023'!V96="",Q46,'РЕЕСТР РИСКОВ_2023'!V96)</f>
        <v>Угрозы</v>
      </c>
      <c r="R47" t="str">
        <f>IF('РЕЕСТР РИСКОВ_2023'!W96="",R46,'РЕЕСТР РИСКОВ_2023'!W96)</f>
        <v>Доходы по порожнему пробегу, млн. тг.</v>
      </c>
      <c r="S47">
        <f>'РЕЕСТР РИСКОВ_2023'!X96</f>
        <v>0</v>
      </c>
      <c r="T47" s="94">
        <f>IF('INHERENT MAP'!$B$5=2021,'РЕЕСТР РИСКОВ_2023'!Y96,IF('INHERENT MAP'!$B$5=2022,#REF!,IF('INHERENT MAP'!$B$5=2023,#REF!,IF('INHERENT MAP'!$B$5=2024,#REF!,#REF!))))</f>
        <v>0</v>
      </c>
      <c r="U47">
        <f>IF('INHERENT MAP'!$B$5=2021,'РЕЕСТР РИСКОВ_2023'!Z96,IF('INHERENT MAP'!$B$5=2022,#REF!,IF('INHERENT MAP'!$B$5=2023,#REF!,IF('INHERENT MAP'!$B$5=2024,#REF!,#REF!))))</f>
        <v>0</v>
      </c>
      <c r="V47">
        <f>IF('INHERENT MAP'!$B$5=2021,'РЕЕСТР РИСКОВ_2023'!AA96,IF('INHERENT MAP'!$B$5=2022,#REF!,IF('INHERENT MAP'!$B$5=2023,#REF!,IF('INHERENT MAP'!$B$5=2024,#REF!,#REF!))))</f>
        <v>0</v>
      </c>
      <c r="W47">
        <f>IF('INHERENT MAP'!$B$5=2021,'РЕЕСТР РИСКОВ_2023'!AB96,IF('INHERENT MAP'!$B$5=2022,#REF!,IF('INHERENT MAP'!$B$5=2023,#REF!,IF('INHERENT MAP'!$B$5=2024,#REF!,#REF!))))</f>
        <v>0</v>
      </c>
      <c r="X47" s="94">
        <f>IF('INHERENT MAP'!$B$5=2021,'РЕЕСТР РИСКОВ_2023'!AC96,IF('INHERENT MAP'!$B$5=2022,#REF!,IF('INHERENT MAP'!$B$5=2023,#REF!,IF('INHERENT MAP'!$B$5=2024,#REF!,#REF!))))</f>
        <v>0</v>
      </c>
      <c r="Y47">
        <f>IF('INHERENT MAP'!$B$5=2021,'РЕЕСТР РИСКОВ_2023'!AD96,IF('INHERENT MAP'!$B$5=2022,#REF!,IF('INHERENT MAP'!$B$5=2023,#REF!,IF('INHERENT MAP'!$B$5=2024,#REF!,#REF!))))</f>
        <v>0</v>
      </c>
      <c r="Z47">
        <f>IF('INHERENT MAP'!$B$5=2021,'РЕЕСТР РИСКОВ_2023'!AE96,IF('INHERENT MAP'!$B$5=2022,#REF!,IF('INHERENT MAP'!$B$5=2023,#REF!,IF('INHERENT MAP'!$B$5=2024,#REF!,#REF!))))</f>
        <v>0</v>
      </c>
      <c r="AA47">
        <f>IF('INHERENT MAP'!$B$5=2021,'РЕЕСТР РИСКОВ_2023'!AF96,IF('INHERENT MAP'!$B$5=2022,#REF!,IF('INHERENT MAP'!$B$5=2023,#REF!,IF('INHERENT MAP'!$B$5=2024,#REF!,#REF!))))</f>
        <v>0</v>
      </c>
      <c r="AB47">
        <f>IF('INHERENT MAP'!$B$5=2021,'РЕЕСТР РИСКОВ_2023'!AG96,IF('INHERENT MAP'!$B$5=2022,#REF!,IF('INHERENT MAP'!$B$5=2023,#REF!,IF('INHERENT MAP'!$B$5=2024,#REF!,#REF!))))</f>
        <v>0</v>
      </c>
      <c r="AC47">
        <f>IF('INHERENT MAP'!$B$5=2021,'РЕЕСТР РИСКОВ_2023'!AH96,IF('INHERENT MAP'!$B$5=2022,#REF!,IF('INHERENT MAP'!$B$5=2023,#REF!,IF('INHERENT MAP'!$B$5=2024,#REF!,#REF!))))</f>
        <v>0</v>
      </c>
      <c r="AD47">
        <f>IF('INHERENT MAP'!$B$5=2021,'РЕЕСТР РИСКОВ_2023'!AI96,IF('INHERENT MAP'!$B$5=2022,#REF!,IF('INHERENT MAP'!$B$5=2023,#REF!,IF('INHERENT MAP'!$B$5=2024,#REF!,#REF!))))</f>
        <v>0</v>
      </c>
      <c r="AE47">
        <f>IF('INHERENT MAP'!$B$5=2021,'РЕЕСТР РИСКОВ_2023'!AK96,IF('INHERENT MAP'!$B$5=2022,#REF!,IF('INHERENT MAP'!$B$5=2023,#REF!,IF('INHERENT MAP'!$B$5=2024,#REF!,#REF!))))</f>
        <v>0</v>
      </c>
      <c r="AF47">
        <f>IF('INHERENT MAP'!$B$5=2021,'РЕЕСТР РИСКОВ_2023'!AL96,IF('INHERENT MAP'!$B$5=2022,#REF!,IF('INHERENT MAP'!$B$5=2023,#REF!,IF('INHERENT MAP'!$B$5=2024,#REF!,#REF!))))</f>
        <v>0</v>
      </c>
      <c r="AG47">
        <f>IF('INHERENT MAP'!$B$5=2021,'РЕЕСТР РИСКОВ_2023'!AM96,IF('INHERENT MAP'!$B$5=2022,#REF!,IF('INHERENT MAP'!$B$5=2023,#REF!,IF('INHERENT MAP'!$B$5=2024,#REF!,#REF!))))</f>
        <v>0</v>
      </c>
      <c r="AH47">
        <f>IF('INHERENT MAP'!$B$5=2021,'РЕЕСТР РИСКОВ_2023'!AN96,IF('INHERENT MAP'!$B$5=2022,#REF!,IF('INHERENT MAP'!$B$5=2023,#REF!,IF('INHERENT MAP'!$B$5=2024,#REF!,#REF!))))</f>
        <v>0</v>
      </c>
      <c r="AI47">
        <f>IF('INHERENT MAP'!$B$5=2021,'РЕЕСТР РИСКОВ_2023'!AO96,IF('INHERENT MAP'!$B$5=2022,#REF!,IF('INHERENT MAP'!$B$5=2023,#REF!,IF('INHERENT MAP'!$B$5=2024,#REF!,#REF!))))</f>
        <v>0</v>
      </c>
      <c r="AJ47">
        <f>IF('INHERENT MAP'!$B$5=2021,'РЕЕСТР РИСКОВ_2023'!AP96,IF('INHERENT MAP'!$B$5=2022,#REF!,IF('INHERENT MAP'!$B$5=2023,#REF!,IF('INHERENT MAP'!$B$5=2024,#REF!,#REF!))))</f>
        <v>0</v>
      </c>
      <c r="AK47">
        <f>IF('РЕЕСТР РИСКОВ_2023'!AQ96="",AK46,'РЕЕСТР РИСКОВ_2023'!AQ96)</f>
        <v>-2297.6999999999998</v>
      </c>
      <c r="AL47">
        <f>IF('РЕЕСТР РИСКОВ_2023'!AR96="",AL46,'РЕЕСТР РИСКОВ_2023'!AR96)</f>
        <v>0.32506094630921556</v>
      </c>
      <c r="AM47">
        <f>IF('РЕЕСТР РИСКОВ_2023'!AS96="",AM46,'РЕЕСТР РИСКОВ_2023'!AS96)</f>
        <v>-3939.1988502300001</v>
      </c>
      <c r="AN47">
        <f>IF('РЕЕСТР РИСКОВ_2023'!AT96="",AN46,'РЕЕСТР РИСКОВ_2023'!AT96)</f>
        <v>-2374.4891951609998</v>
      </c>
      <c r="AO47">
        <f>IF('РЕЕСТР РИСКОВ_2023'!AU96="",AO46,'РЕЕСТР РИСКОВ_2023'!AU96)</f>
        <v>0</v>
      </c>
    </row>
    <row r="48" spans="2:41">
      <c r="B48" t="str">
        <f>IF('INHERENT MAP'!$B$5=2021,IF('РЕЕСТР РИСКОВ_2023'!F97="",B47,'РЕЕСТР РИСКОВ_2023'!F97),IF('INHERENT MAP'!$B$5=2022,IF(#REF!="",B47,#REF!),IF('INHERENT MAP'!$B$5=2023,IF(#REF!="",B47,#REF!),IF('INHERENT MAP'!$B$5=2024,IF(#REF!="",B47,#REF!),IF('РЕЕСТР РИСКОВ_2023'!F97="",B47,'РЕЕСТР РИСКОВ_2023'!F97)))))</f>
        <v>РИСК ПАССАЖИРООБОРОТА</v>
      </c>
      <c r="C48" t="str">
        <f>IF('INHERENT MAP'!$B$5=2021,IF('РЕЕСТР РИСКОВ_2023'!G97="",C47,'РЕЕСТР РИСКОВ_2023'!G97),IF('INHERENT MAP'!$B$5=2022,IF(#REF!="",C47,#REF!),IF('INHERENT MAP'!$B$5=2023,IF(#REF!="",C47,#REF!),IF('INHERENT MAP'!$B$5=2024,IF(#REF!="",C47,#REF!),IF('РЕЕСТР РИСКОВ_2023'!G97="",C47,'РЕЕСТР РИСКОВ_2023'!G97)))))</f>
        <v>- ХХХ млн. тенге</v>
      </c>
      <c r="D48" t="str">
        <f>IF('INHERENT MAP'!$B$5=2021,IF('РЕЕСТР РИСКОВ_2023'!H97="",D47,'РЕЕСТР РИСКОВ_2023'!H97),IF('INHERENT MAP'!$B$5=2022,IF(#REF!="",D47,#REF!),IF('INHERENT MAP'!$B$5=2023,IF(#REF!="",D47,#REF!),IF('INHERENT MAP'!$B$5=2024,IF(#REF!="",D47,#REF!),IF('РЕЕСТР РИСКОВ_2023'!H97="",D47,'РЕЕСТР РИСКОВ_2023'!H97)))))</f>
        <v>PTR-2</v>
      </c>
      <c r="E48" t="str">
        <f>IF('INHERENT MAP'!$B$5=2021,IF('РЕЕСТР РИСКОВ_2023'!I97="",E47,'РЕЕСТР РИСКОВ_2023'!I97),IF('INHERENT MAP'!$B$5=2022,IF(#REF!="",E47,#REF!),IF('INHERENT MAP'!$B$5=2023,IF(#REF!="",E47,#REF!),IF('INHERENT MAP'!$B$5=2024,IF(#REF!="",E47,#REF!),IF('РЕЕСТР РИСКОВ_2023'!I97="",E47,'РЕЕСТР РИСКОВ_2023'!I97)))))</f>
        <v>ЦЗ-1</v>
      </c>
      <c r="F48" t="str">
        <f>IF('INHERENT MAP'!$B$5=2021,IF('РЕЕСТР РИСКОВ_2023'!J97="",F47,'РЕЕСТР РИСКОВ_2023'!J97),IF('INHERENT MAP'!$B$5=2022,IF(#REF!="",F47,#REF!),IF('INHERENT MAP'!$B$5=2023,IF(#REF!="",F47,#REF!),IF('INHERENT MAP'!$B$5=2024,IF(#REF!="",F47,#REF!),IF('РЕЕСТР РИСКОВ_2023'!J97="",F47,'РЕЕСТР РИСКОВ_2023'!J97)))))</f>
        <v>АО "Пассажирские перевозки"</v>
      </c>
      <c r="G48" t="str">
        <f>IF('INHERENT MAP'!$B$5=2021,IF('РЕЕСТР РИСКОВ_2023'!K97="",G47,'РЕЕСТР РИСКОВ_2023'!K97),IF('INHERENT MAP'!$B$5=2022,IF(#REF!="",G47,#REF!),IF('INHERENT MAP'!$B$5=2023,IF(#REF!="",G47,#REF!),IF('INHERENT MAP'!$B$5=2024,IF(#REF!="",G47,#REF!),IF('РЕЕСТР РИСКОВ_2023'!K97="",G47,'РЕЕСТР РИСКОВ_2023'!K97)))))</f>
        <v>Снижение пассажиропотока</v>
      </c>
      <c r="H48">
        <f>IF('INHERENT MAP'!$B$5=2021,'РЕЕСТР РИСКОВ_2023'!L97,IF('INHERENT MAP'!$B$5=2022,#REF!,IF('INHERENT MAP'!$B$5=2023,#REF!,IF('INHERENT MAP'!$B$5=2024,#REF!,#REF!))))</f>
        <v>0</v>
      </c>
      <c r="I48">
        <f>IF('INHERENT MAP'!$B$5=2021,'РЕЕСТР РИСКОВ_2023'!M97,IF('INHERENT MAP'!$B$5=2022,#REF!,IF('INHERENT MAP'!$B$5=2023,#REF!,IF('INHERENT MAP'!$B$5=2024,#REF!,#REF!))))</f>
        <v>0</v>
      </c>
      <c r="J48">
        <f>IF('INHERENT MAP'!$B$5=2021,'РЕЕСТР РИСКОВ_2023'!N97,IF('INHERENT MAP'!$B$5=2022,#REF!,IF('INHERENT MAP'!$B$5=2023,#REF!,IF('INHERENT MAP'!$B$5=2024,#REF!,#REF!))))</f>
        <v>0</v>
      </c>
      <c r="K48">
        <f>IF('INHERENT MAP'!$B$5=2021,'РЕЕСТР РИСКОВ_2023'!O97,IF('INHERENT MAP'!$B$5=2022,#REF!,IF('INHERENT MAP'!$B$5=2023,#REF!,IF('INHERENT MAP'!$B$5=2024,#REF!,#REF!))))</f>
        <v>0</v>
      </c>
      <c r="L48">
        <f>IF('INHERENT MAP'!$B$5=2021,'РЕЕСТР РИСКОВ_2023'!P97,IF('INHERENT MAP'!$B$5=2022,#REF!,IF('INHERENT MAP'!$B$5=2023,#REF!,IF('INHERENT MAP'!$B$5=2024,#REF!,#REF!))))</f>
        <v>0</v>
      </c>
      <c r="M48" t="str">
        <f>IF('INHERENT MAP'!$B$5=2021,IF('РЕЕСТР РИСКОВ_2023'!Q97="",M47,'РЕЕСТР РИСКОВ_2023'!Q97),IF('INHERENT MAP'!$B$5=2022,IF(#REF!="",M47,#REF!),IF('INHERENT MAP'!$B$5=2023,IF(#REF!="",M47,#REF!),IF('INHERENT MAP'!$B$5=2024,IF(#REF!="",M47,#REF!),IF('РЕЕСТР РИСКОВ_2023'!Q97="",M47,'РЕЕСТР РИСКОВ_2023'!Q97)))))</f>
        <v>Постоянные опоздания поездов.</v>
      </c>
      <c r="N48" t="str">
        <f>IF('INHERENT MAP'!$B$5=2021,IF('РЕЕСТР РИСКОВ_2023'!R97="",N47,'РЕЕСТР РИСКОВ_2023'!R97),IF('INHERENT MAP'!$B$5=2022,IF(#REF!="",N47,#REF!),IF('INHERENT MAP'!$B$5=2023,IF(#REF!="",N47,#REF!),IF('INHERENT MAP'!$B$5=2024,IF(#REF!="",N47,#REF!),IF('РЕЕСТР РИСКОВ_2023'!R97="",N47,'РЕЕСТР РИСКОВ_2023'!R97)))))</f>
        <v>Дефицит средств в Республиканском бюджете</v>
      </c>
      <c r="O48">
        <f>'РЕЕСТР РИСКОВ_2023'!T97</f>
        <v>0</v>
      </c>
      <c r="P48">
        <f>IF('РЕЕСТР РИСКОВ_2023'!U97="",P47,'РЕЕСТР РИСКОВ_2023'!U97)</f>
        <v>0</v>
      </c>
      <c r="Q48" t="str">
        <f>IF('РЕЕСТР РИСКОВ_2023'!V97="",Q47,'РЕЕСТР РИСКОВ_2023'!V97)</f>
        <v>Угрозы</v>
      </c>
      <c r="R48" t="str">
        <f>IF('РЕЕСТР РИСКОВ_2023'!W97="",R47,'РЕЕСТР РИСКОВ_2023'!W97)</f>
        <v>Доходы по порожнему пробегу, млн. тг.</v>
      </c>
      <c r="S48">
        <f>'РЕЕСТР РИСКОВ_2023'!X97</f>
        <v>0</v>
      </c>
      <c r="T48" s="94">
        <f>IF('INHERENT MAP'!$B$5=2021,'РЕЕСТР РИСКОВ_2023'!Y97,IF('INHERENT MAP'!$B$5=2022,#REF!,IF('INHERENT MAP'!$B$5=2023,#REF!,IF('INHERENT MAP'!$B$5=2024,#REF!,#REF!))))</f>
        <v>0</v>
      </c>
      <c r="U48">
        <f>IF('INHERENT MAP'!$B$5=2021,'РЕЕСТР РИСКОВ_2023'!Z97,IF('INHERENT MAP'!$B$5=2022,#REF!,IF('INHERENT MAP'!$B$5=2023,#REF!,IF('INHERENT MAP'!$B$5=2024,#REF!,#REF!))))</f>
        <v>0</v>
      </c>
      <c r="V48">
        <f>IF('INHERENT MAP'!$B$5=2021,'РЕЕСТР РИСКОВ_2023'!AA97,IF('INHERENT MAP'!$B$5=2022,#REF!,IF('INHERENT MAP'!$B$5=2023,#REF!,IF('INHERENT MAP'!$B$5=2024,#REF!,#REF!))))</f>
        <v>0</v>
      </c>
      <c r="W48">
        <f>IF('INHERENT MAP'!$B$5=2021,'РЕЕСТР РИСКОВ_2023'!AB97,IF('INHERENT MAP'!$B$5=2022,#REF!,IF('INHERENT MAP'!$B$5=2023,#REF!,IF('INHERENT MAP'!$B$5=2024,#REF!,#REF!))))</f>
        <v>0</v>
      </c>
      <c r="X48" s="94">
        <f>IF('INHERENT MAP'!$B$5=2021,'РЕЕСТР РИСКОВ_2023'!AC97,IF('INHERENT MAP'!$B$5=2022,#REF!,IF('INHERENT MAP'!$B$5=2023,#REF!,IF('INHERENT MAP'!$B$5=2024,#REF!,#REF!))))</f>
        <v>0</v>
      </c>
      <c r="Y48">
        <f>IF('INHERENT MAP'!$B$5=2021,'РЕЕСТР РИСКОВ_2023'!AD97,IF('INHERENT MAP'!$B$5=2022,#REF!,IF('INHERENT MAP'!$B$5=2023,#REF!,IF('INHERENT MAP'!$B$5=2024,#REF!,#REF!))))</f>
        <v>0</v>
      </c>
      <c r="Z48">
        <f>IF('INHERENT MAP'!$B$5=2021,'РЕЕСТР РИСКОВ_2023'!AE97,IF('INHERENT MAP'!$B$5=2022,#REF!,IF('INHERENT MAP'!$B$5=2023,#REF!,IF('INHERENT MAP'!$B$5=2024,#REF!,#REF!))))</f>
        <v>0</v>
      </c>
      <c r="AA48">
        <f>IF('INHERENT MAP'!$B$5=2021,'РЕЕСТР РИСКОВ_2023'!AF97,IF('INHERENT MAP'!$B$5=2022,#REF!,IF('INHERENT MAP'!$B$5=2023,#REF!,IF('INHERENT MAP'!$B$5=2024,#REF!,#REF!))))</f>
        <v>0</v>
      </c>
      <c r="AB48">
        <f>IF('INHERENT MAP'!$B$5=2021,'РЕЕСТР РИСКОВ_2023'!AG97,IF('INHERENT MAP'!$B$5=2022,#REF!,IF('INHERENT MAP'!$B$5=2023,#REF!,IF('INHERENT MAP'!$B$5=2024,#REF!,#REF!))))</f>
        <v>0</v>
      </c>
      <c r="AC48">
        <f>IF('INHERENT MAP'!$B$5=2021,'РЕЕСТР РИСКОВ_2023'!AH97,IF('INHERENT MAP'!$B$5=2022,#REF!,IF('INHERENT MAP'!$B$5=2023,#REF!,IF('INHERENT MAP'!$B$5=2024,#REF!,#REF!))))</f>
        <v>0</v>
      </c>
      <c r="AD48">
        <f>IF('INHERENT MAP'!$B$5=2021,'РЕЕСТР РИСКОВ_2023'!AI97,IF('INHERENT MAP'!$B$5=2022,#REF!,IF('INHERENT MAP'!$B$5=2023,#REF!,IF('INHERENT MAP'!$B$5=2024,#REF!,#REF!))))</f>
        <v>0</v>
      </c>
      <c r="AE48">
        <f>IF('INHERENT MAP'!$B$5=2021,'РЕЕСТР РИСКОВ_2023'!AK97,IF('INHERENT MAP'!$B$5=2022,#REF!,IF('INHERENT MAP'!$B$5=2023,#REF!,IF('INHERENT MAP'!$B$5=2024,#REF!,#REF!))))</f>
        <v>0</v>
      </c>
      <c r="AF48">
        <f>IF('INHERENT MAP'!$B$5=2021,'РЕЕСТР РИСКОВ_2023'!AL97,IF('INHERENT MAP'!$B$5=2022,#REF!,IF('INHERENT MAP'!$B$5=2023,#REF!,IF('INHERENT MAP'!$B$5=2024,#REF!,#REF!))))</f>
        <v>0</v>
      </c>
      <c r="AG48">
        <f>IF('INHERENT MAP'!$B$5=2021,'РЕЕСТР РИСКОВ_2023'!AM97,IF('INHERENT MAP'!$B$5=2022,#REF!,IF('INHERENT MAP'!$B$5=2023,#REF!,IF('INHERENT MAP'!$B$5=2024,#REF!,#REF!))))</f>
        <v>0</v>
      </c>
      <c r="AH48">
        <f>IF('INHERENT MAP'!$B$5=2021,'РЕЕСТР РИСКОВ_2023'!AN97,IF('INHERENT MAP'!$B$5=2022,#REF!,IF('INHERENT MAP'!$B$5=2023,#REF!,IF('INHERENT MAP'!$B$5=2024,#REF!,#REF!))))</f>
        <v>0</v>
      </c>
      <c r="AI48">
        <f>IF('INHERENT MAP'!$B$5=2021,'РЕЕСТР РИСКОВ_2023'!AO97,IF('INHERENT MAP'!$B$5=2022,#REF!,IF('INHERENT MAP'!$B$5=2023,#REF!,IF('INHERENT MAP'!$B$5=2024,#REF!,#REF!))))</f>
        <v>0</v>
      </c>
      <c r="AJ48">
        <f>IF('INHERENT MAP'!$B$5=2021,'РЕЕСТР РИСКОВ_2023'!AP97,IF('INHERENT MAP'!$B$5=2022,#REF!,IF('INHERENT MAP'!$B$5=2023,#REF!,IF('INHERENT MAP'!$B$5=2024,#REF!,#REF!))))</f>
        <v>0</v>
      </c>
      <c r="AK48">
        <f>IF('РЕЕСТР РИСКОВ_2023'!AQ97="",AK47,'РЕЕСТР РИСКОВ_2023'!AQ97)</f>
        <v>-2297.6999999999998</v>
      </c>
      <c r="AL48">
        <f>IF('РЕЕСТР РИСКОВ_2023'!AR97="",AL47,'РЕЕСТР РИСКОВ_2023'!AR97)</f>
        <v>0.32506094630921556</v>
      </c>
      <c r="AM48">
        <f>IF('РЕЕСТР РИСКОВ_2023'!AS97="",AM47,'РЕЕСТР РИСКОВ_2023'!AS97)</f>
        <v>-3939.1988502300001</v>
      </c>
      <c r="AN48">
        <f>IF('РЕЕСТР РИСКОВ_2023'!AT97="",AN47,'РЕЕСТР РИСКОВ_2023'!AT97)</f>
        <v>-2374.4891951609998</v>
      </c>
      <c r="AO48">
        <f>IF('РЕЕСТР РИСКОВ_2023'!AU97="",AO47,'РЕЕСТР РИСКОВ_2023'!AU97)</f>
        <v>0</v>
      </c>
    </row>
    <row r="49" spans="2:41">
      <c r="B49" t="str">
        <f>IF('INHERENT MAP'!$B$5=2021,IF('РЕЕСТР РИСКОВ_2023'!F103="",B48,'РЕЕСТР РИСКОВ_2023'!F103),IF('INHERENT MAP'!$B$5=2022,IF(#REF!="",B48,#REF!),IF('INHERENT MAP'!$B$5=2023,IF(#REF!="",B48,#REF!),IF('INHERENT MAP'!$B$5=2024,IF(#REF!="",B48,#REF!),IF('РЕЕСТР РИСКОВ_2023'!F103="",B48,'РЕЕСТР РИСКОВ_2023'!F103)))))</f>
        <v>ЭПИДЕМИОЛОГИЧЕСКИЙ РИСК 
(Super Risk)</v>
      </c>
      <c r="C49" t="str">
        <f>IF('INHERENT MAP'!$B$5=2021,IF('РЕЕСТР РИСКОВ_2023'!G103="",C48,'РЕЕСТР РИСКОВ_2023'!G103),IF('INHERENT MAP'!$B$5=2022,IF(#REF!="",C48,#REF!),IF('INHERENT MAP'!$B$5=2023,IF(#REF!="",C48,#REF!),IF('INHERENT MAP'!$B$5=2024,IF(#REF!="",C48,#REF!),IF('РЕЕСТР РИСКОВ_2023'!G103="",C48,'РЕЕСТР РИСКОВ_2023'!G103)))))</f>
        <v>- ХХХ млн. тенге</v>
      </c>
      <c r="D49" t="str">
        <f>IF('INHERENT MAP'!$B$5=2021,IF('РЕЕСТР РИСКОВ_2023'!H103="",D48,'РЕЕСТР РИСКОВ_2023'!H103),IF('INHERENT MAP'!$B$5=2022,IF(#REF!="",D48,#REF!),IF('INHERENT MAP'!$B$5=2023,IF(#REF!="",D48,#REF!),IF('INHERENT MAP'!$B$5=2024,IF(#REF!="",D48,#REF!),IF('РЕЕСТР РИСКОВ_2023'!H103="",D48,'РЕЕСТР РИСКОВ_2023'!H103)))))</f>
        <v>ER-1</v>
      </c>
      <c r="E49" t="str">
        <f>IF('INHERENT MAP'!$B$5=2021,IF('РЕЕСТР РИСКОВ_2023'!I103="",E48,'РЕЕСТР РИСКОВ_2023'!I103),IF('INHERENT MAP'!$B$5=2022,IF(#REF!="",E48,#REF!),IF('INHERENT MAP'!$B$5=2023,IF(#REF!="",E48,#REF!),IF('INHERENT MAP'!$B$5=2024,IF(#REF!="",E48,#REF!),IF('РЕЕСТР РИСКОВ_2023'!I103="",E48,'РЕЕСТР РИСКОВ_2023'!I103)))))</f>
        <v>ЦЗ-1</v>
      </c>
      <c r="F49" t="str">
        <f>IF('INHERENT MAP'!$B$5=2021,IF('РЕЕСТР РИСКОВ_2023'!J103="",F48,'РЕЕСТР РИСКОВ_2023'!J103),IF('INHERENT MAP'!$B$5=2022,IF(#REF!="",F48,#REF!),IF('INHERENT MAP'!$B$5=2023,IF(#REF!="",F48,#REF!),IF('INHERENT MAP'!$B$5=2024,IF(#REF!="",F48,#REF!),IF('РЕЕСТР РИСКОВ_2023'!J103="",F48,'РЕЕСТР РИСКОВ_2023'!J103)))))</f>
        <v>АО "Қазтеміртранс"</v>
      </c>
      <c r="G49" t="str">
        <f>IF('INHERENT MAP'!$B$5=2021,IF('РЕЕСТР РИСКОВ_2023'!K103="",G48,'РЕЕСТР РИСКОВ_2023'!K103),IF('INHERENT MAP'!$B$5=2022,IF(#REF!="",G48,#REF!),IF('INHERENT MAP'!$B$5=2023,IF(#REF!="",G48,#REF!),IF('INHERENT MAP'!$B$5=2024,IF(#REF!="",G48,#REF!),IF('РЕЕСТР РИСКОВ_2023'!K103="",G48,'РЕЕСТР РИСКОВ_2023'!K103)))))</f>
        <v>Оперирование вагонами, фитинговых платформ</v>
      </c>
      <c r="H49">
        <f>IF('INHERENT MAP'!$B$5=2021,'РЕЕСТР РИСКОВ_2023'!L103,IF('INHERENT MAP'!$B$5=2022,#REF!,IF('INHERENT MAP'!$B$5=2023,#REF!,IF('INHERENT MAP'!$B$5=2024,#REF!,#REF!))))</f>
        <v>0</v>
      </c>
      <c r="I49">
        <f>IF('INHERENT MAP'!$B$5=2021,'РЕЕСТР РИСКОВ_2023'!M103,IF('INHERENT MAP'!$B$5=2022,#REF!,IF('INHERENT MAP'!$B$5=2023,#REF!,IF('INHERENT MAP'!$B$5=2024,#REF!,#REF!))))</f>
        <v>0</v>
      </c>
      <c r="J49">
        <f>IF('INHERENT MAP'!$B$5=2021,'РЕЕСТР РИСКОВ_2023'!N103,IF('INHERENT MAP'!$B$5=2022,#REF!,IF('INHERENT MAP'!$B$5=2023,#REF!,IF('INHERENT MAP'!$B$5=2024,#REF!,#REF!))))</f>
        <v>0</v>
      </c>
      <c r="K49">
        <f>IF('INHERENT MAP'!$B$5=2021,'РЕЕСТР РИСКОВ_2023'!O103,IF('INHERENT MAP'!$B$5=2022,#REF!,IF('INHERENT MAP'!$B$5=2023,#REF!,IF('INHERENT MAP'!$B$5=2024,#REF!,#REF!))))</f>
        <v>0</v>
      </c>
      <c r="L49">
        <f>IF('INHERENT MAP'!$B$5=2021,'РЕЕСТР РИСКОВ_2023'!P103,IF('INHERENT MAP'!$B$5=2022,#REF!,IF('INHERENT MAP'!$B$5=2023,#REF!,IF('INHERENT MAP'!$B$5=2024,#REF!,#REF!))))</f>
        <v>0</v>
      </c>
      <c r="M49" t="str">
        <f>IF('INHERENT MAP'!$B$5=2021,IF('РЕЕСТР РИСКОВ_2023'!Q103="",M48,'РЕЕСТР РИСКОВ_2023'!Q103),IF('INHERENT MAP'!$B$5=2022,IF(#REF!="",M48,#REF!),IF('INHERENT MAP'!$B$5=2023,IF(#REF!="",M48,#REF!),IF('INHERENT MAP'!$B$5=2024,IF(#REF!="",M48,#REF!),IF('РЕЕСТР РИСКОВ_2023'!Q103="",M48,'РЕЕСТР РИСКОВ_2023'!Q103)))))</f>
        <v xml:space="preserve"> - запрет на экспорт груза «Лом черных металлов», ограничение погрузки на Достык в связи с большим скоплением вагонов на стыковой станции;
-падение деловой активности из-за остановки предприятий во всех сферах деятельности, связанного с распространением пандемии вируса COVID-19;
- запрет на экспорт на прием к перевозке продовольственных товаров и сельскохозяйственных товаров (гречка, сахар, картофель, лук, семена подсолнечника, масло подсолнечное, крупа гречневая мука, капуста, морковь, мягкая пшеница и мн.др), запрещённых к вывозу с территории РК.
Падение внешнеторговых оборотов ввиду закрытия границ КНР  в рамках борьбы с коронавирусом COVID-19  </v>
      </c>
      <c r="N49" t="str">
        <f>IF('INHERENT MAP'!$B$5=2021,IF('РЕЕСТР РИСКОВ_2023'!R103="",N48,'РЕЕСТР РИСКОВ_2023'!R103),IF('INHERENT MAP'!$B$5=2022,IF(#REF!="",N48,#REF!),IF('INHERENT MAP'!$B$5=2023,IF(#REF!="",N48,#REF!),IF('INHERENT MAP'!$B$5=2024,IF(#REF!="",N48,#REF!),IF('РЕЕСТР РИСКОВ_2023'!R103="",N48,'РЕЕСТР РИСКОВ_2023'!R103)))))</f>
        <v>Дефицит средств в Республиканском бюджете</v>
      </c>
      <c r="O49">
        <f>'РЕЕСТР РИСКОВ_2023'!T103</f>
        <v>0</v>
      </c>
      <c r="P49">
        <f>IF('РЕЕСТР РИСКОВ_2023'!U103="",P48,'РЕЕСТР РИСКОВ_2023'!U103)</f>
        <v>0</v>
      </c>
      <c r="Q49" t="str">
        <f>IF('РЕЕСТР РИСКОВ_2023'!V103="",Q48,'РЕЕСТР РИСКОВ_2023'!V103)</f>
        <v>Угрозы</v>
      </c>
      <c r="R49" t="str">
        <f>IF('РЕЕСТР РИСКОВ_2023'!W103="",R48,'РЕЕСТР РИСКОВ_2023'!W103)</f>
        <v>Сумма недополученного дохода, млн.тенге</v>
      </c>
      <c r="S49">
        <f>'РЕЕСТР РИСКОВ_2023'!X103</f>
        <v>0</v>
      </c>
      <c r="T49" s="94">
        <f>IF('INHERENT MAP'!$B$5=2021,'РЕЕСТР РИСКОВ_2023'!Y103,IF('INHERENT MAP'!$B$5=2022,#REF!,IF('INHERENT MAP'!$B$5=2023,#REF!,IF('INHERENT MAP'!$B$5=2024,#REF!,#REF!))))</f>
        <v>0.3</v>
      </c>
      <c r="U49">
        <f>IF('INHERENT MAP'!$B$5=2021,'РЕЕСТР РИСКОВ_2023'!Z103,IF('INHERENT MAP'!$B$5=2022,#REF!,IF('INHERENT MAP'!$B$5=2023,#REF!,IF('INHERENT MAP'!$B$5=2024,#REF!,#REF!))))</f>
        <v>-5705</v>
      </c>
      <c r="V49">
        <f>IF('INHERENT MAP'!$B$5=2021,'РЕЕСТР РИСКОВ_2023'!AA103,IF('INHERENT MAP'!$B$5=2022,#REF!,IF('INHERENT MAP'!$B$5=2023,#REF!,IF('INHERENT MAP'!$B$5=2024,#REF!,#REF!))))</f>
        <v>-1711.5</v>
      </c>
      <c r="W49">
        <f>IF('INHERENT MAP'!$B$5=2021,'РЕЕСТР РИСКОВ_2023'!AB103,IF('INHERENT MAP'!$B$5=2022,#REF!,IF('INHERENT MAP'!$B$5=2023,#REF!,IF('INHERENT MAP'!$B$5=2024,#REF!,#REF!))))</f>
        <v>0</v>
      </c>
      <c r="X49" s="94">
        <f>IF('INHERENT MAP'!$B$5=2021,'РЕЕСТР РИСКОВ_2023'!AC103,IF('INHERENT MAP'!$B$5=2022,#REF!,IF('INHERENT MAP'!$B$5=2023,#REF!,IF('INHERENT MAP'!$B$5=2024,#REF!,#REF!))))</f>
        <v>0.22545055529693422</v>
      </c>
      <c r="Y49">
        <f>IF('INHERENT MAP'!$B$5=2021,'РЕЕСТР РИСКОВ_2023'!AD103,IF('INHERENT MAP'!$B$5=2022,#REF!,IF('INHERENT MAP'!$B$5=2023,#REF!,IF('INHERENT MAP'!$B$5=2024,#REF!,#REF!))))</f>
        <v>-37457</v>
      </c>
      <c r="Z49">
        <f>IF('INHERENT MAP'!$B$5=2021,'РЕЕСТР РИСКОВ_2023'!AE103,IF('INHERENT MAP'!$B$5=2022,#REF!,IF('INHERENT MAP'!$B$5=2023,#REF!,IF('INHERENT MAP'!$B$5=2024,#REF!,#REF!))))</f>
        <v>-8444.7014497572654</v>
      </c>
      <c r="AA49">
        <f>IF('INHERENT MAP'!$B$5=2021,'РЕЕСТР РИСКОВ_2023'!AF103,IF('INHERENT MAP'!$B$5=2022,#REF!,IF('INHERENT MAP'!$B$5=2023,#REF!,IF('INHERENT MAP'!$B$5=2024,#REF!,#REF!))))</f>
        <v>0</v>
      </c>
      <c r="AB49">
        <f>IF('INHERENT MAP'!$B$5=2021,'РЕЕСТР РИСКОВ_2023'!AG103,IF('INHERENT MAP'!$B$5=2022,#REF!,IF('INHERENT MAP'!$B$5=2023,#REF!,IF('INHERENT MAP'!$B$5=2024,#REF!,#REF!))))</f>
        <v>0</v>
      </c>
      <c r="AC49">
        <f>IF('INHERENT MAP'!$B$5=2021,'РЕЕСТР РИСКОВ_2023'!AH103,IF('INHERENT MAP'!$B$5=2022,#REF!,IF('INHERENT MAP'!$B$5=2023,#REF!,IF('INHERENT MAP'!$B$5=2024,#REF!,#REF!))))</f>
        <v>0</v>
      </c>
      <c r="AD49" t="str">
        <f>IF('INHERENT MAP'!$B$5=2021,'РЕЕСТР РИСКОВ_2023'!AI103,IF('INHERENT MAP'!$B$5=2022,#REF!,IF('INHERENT MAP'!$B$5=2023,#REF!,IF('INHERENT MAP'!$B$5=2024,#REF!,#REF!))))</f>
        <v>6. Организация коммуникации с Заказчиком - МИИР РК.</v>
      </c>
      <c r="AE49" t="str">
        <f>IF('INHERENT MAP'!$B$5=2021,'РЕЕСТР РИСКОВ_2023'!AK103,IF('INHERENT MAP'!$B$5=2022,#REF!,IF('INHERENT MAP'!$B$5=2023,#REF!,IF('INHERENT MAP'!$B$5=2024,#REF!,#REF!))))</f>
        <v>АО "Қазтеміртранс"</v>
      </c>
      <c r="AF49">
        <f>IF('INHERENT MAP'!$B$5=2021,'РЕЕСТР РИСКОВ_2023'!AL103,IF('INHERENT MAP'!$B$5=2022,#REF!,IF('INHERENT MAP'!$B$5=2023,#REF!,IF('INHERENT MAP'!$B$5=2024,#REF!,#REF!))))</f>
        <v>0</v>
      </c>
      <c r="AG49" t="str">
        <f>IF('INHERENT MAP'!$B$5=2021,'РЕЕСТР РИСКОВ_2023'!AM103,IF('INHERENT MAP'!$B$5=2022,#REF!,IF('INHERENT MAP'!$B$5=2023,#REF!,IF('INHERENT MAP'!$B$5=2024,#REF!,#REF!))))</f>
        <v>низкая</v>
      </c>
      <c r="AH49">
        <f>IF('INHERENT MAP'!$B$5=2021,'РЕЕСТР РИСКОВ_2023'!AN103,IF('INHERENT MAP'!$B$5=2022,#REF!,IF('INHERENT MAP'!$B$5=2023,#REF!,IF('INHERENT MAP'!$B$5=2024,#REF!,#REF!))))</f>
        <v>0.3</v>
      </c>
      <c r="AI49">
        <f>IF('INHERENT MAP'!$B$5=2021,'РЕЕСТР РИСКОВ_2023'!AO103,IF('INHERENT MAP'!$B$5=2022,#REF!,IF('INHERENT MAP'!$B$5=2023,#REF!,IF('INHERENT MAP'!$B$5=2024,#REF!,#REF!))))</f>
        <v>-5705</v>
      </c>
      <c r="AJ49">
        <f>IF('INHERENT MAP'!$B$5=2021,'РЕЕСТР РИСКОВ_2023'!AP103,IF('INHERENT MAP'!$B$5=2022,#REF!,IF('INHERENT MAP'!$B$5=2023,#REF!,IF('INHERENT MAP'!$B$5=2024,#REF!,#REF!))))</f>
        <v>-1711.5</v>
      </c>
      <c r="AK49">
        <f>IF('РЕЕСТР РИСКОВ_2023'!AQ103="",AK48,'РЕЕСТР РИСКОВ_2023'!AQ103)</f>
        <v>-1711.5</v>
      </c>
      <c r="AL49">
        <f>IF('РЕЕСТР РИСКОВ_2023'!AR103="",AL48,'РЕЕСТР РИСКОВ_2023'!AR103)</f>
        <v>0.21755115160382169</v>
      </c>
      <c r="AM49">
        <f>IF('РЕЕСТР РИСКОВ_2023'!AS103="",AM48,'РЕЕСТР РИСКОВ_2023'!AS103)</f>
        <v>-3798.3999999999996</v>
      </c>
      <c r="AN49">
        <f>IF('РЕЕСТР РИСКОВ_2023'!AT103="",AN48,'РЕЕСТР РИСКОВ_2023'!AT103)</f>
        <v>-4511.0999999999995</v>
      </c>
      <c r="AO49">
        <f>IF('РЕЕСТР РИСКОВ_2023'!AU103="",AO48,'РЕЕСТР РИСКОВ_2023'!AU103)</f>
        <v>0</v>
      </c>
    </row>
    <row r="50" spans="2:41">
      <c r="B50" t="str">
        <f>IF('INHERENT MAP'!$B$5=2021,IF('РЕЕСТР РИСКОВ_2023'!F104="",B49,'РЕЕСТР РИСКОВ_2023'!F104),IF('INHERENT MAP'!$B$5=2022,IF(#REF!="",B49,#REF!),IF('INHERENT MAP'!$B$5=2023,IF(#REF!="",B49,#REF!),IF('INHERENT MAP'!$B$5=2024,IF(#REF!="",B49,#REF!),IF('РЕЕСТР РИСКОВ_2023'!F104="",B49,'РЕЕСТР РИСКОВ_2023'!F104)))))</f>
        <v>ЭПИДЕМИОЛОГИЧЕСКИЙ РИСК 
(Super Risk)</v>
      </c>
      <c r="C50" t="str">
        <f>IF('INHERENT MAP'!$B$5=2021,IF('РЕЕСТР РИСКОВ_2023'!G104="",C49,'РЕЕСТР РИСКОВ_2023'!G104),IF('INHERENT MAP'!$B$5=2022,IF(#REF!="",C49,#REF!),IF('INHERENT MAP'!$B$5=2023,IF(#REF!="",C49,#REF!),IF('INHERENT MAP'!$B$5=2024,IF(#REF!="",C49,#REF!),IF('РЕЕСТР РИСКОВ_2023'!G104="",C49,'РЕЕСТР РИСКОВ_2023'!G104)))))</f>
        <v>- ХХХ млн. тенге</v>
      </c>
      <c r="D50" t="str">
        <f>IF('INHERENT MAP'!$B$5=2021,IF('РЕЕСТР РИСКОВ_2023'!H104="",D49,'РЕЕСТР РИСКОВ_2023'!H104),IF('INHERENT MAP'!$B$5=2022,IF(#REF!="",D49,#REF!),IF('INHERENT MAP'!$B$5=2023,IF(#REF!="",D49,#REF!),IF('INHERENT MAP'!$B$5=2024,IF(#REF!="",D49,#REF!),IF('РЕЕСТР РИСКОВ_2023'!H104="",D49,'РЕЕСТР РИСКОВ_2023'!H104)))))</f>
        <v>ER-2</v>
      </c>
      <c r="E50" t="str">
        <f>IF('INHERENT MAP'!$B$5=2021,IF('РЕЕСТР РИСКОВ_2023'!I104="",E49,'РЕЕСТР РИСКОВ_2023'!I104),IF('INHERENT MAP'!$B$5=2022,IF(#REF!="",E49,#REF!),IF('INHERENT MAP'!$B$5=2023,IF(#REF!="",E49,#REF!),IF('INHERENT MAP'!$B$5=2024,IF(#REF!="",E49,#REF!),IF('РЕЕСТР РИСКОВ_2023'!I104="",E49,'РЕЕСТР РИСКОВ_2023'!I104)))))</f>
        <v>ЦЗ-1</v>
      </c>
      <c r="F50" t="str">
        <f>IF('INHERENT MAP'!$B$5=2021,IF('РЕЕСТР РИСКОВ_2023'!J104="",F49,'РЕЕСТР РИСКОВ_2023'!J104),IF('INHERENT MAP'!$B$5=2022,IF(#REF!="",F49,#REF!),IF('INHERENT MAP'!$B$5=2023,IF(#REF!="",F49,#REF!),IF('INHERENT MAP'!$B$5=2024,IF(#REF!="",F49,#REF!),IF('РЕЕСТР РИСКОВ_2023'!J104="",F49,'РЕЕСТР РИСКОВ_2023'!J104)))))</f>
        <v>АО "Пассажирские перевозки"</v>
      </c>
      <c r="G50" t="str">
        <f>IF('INHERENT MAP'!$B$5=2021,IF('РЕЕСТР РИСКОВ_2023'!K104="",G49,'РЕЕСТР РИСКОВ_2023'!K104),IF('INHERENT MAP'!$B$5=2022,IF(#REF!="",G49,#REF!),IF('INHERENT MAP'!$B$5=2023,IF(#REF!="",G49,#REF!),IF('INHERENT MAP'!$B$5=2024,IF(#REF!="",G49,#REF!),IF('РЕЕСТР РИСКОВ_2023'!K104="",G49,'РЕЕСТР РИСКОВ_2023'!K104)))))</f>
        <v>Снижение доходов в связи со снижением пассажирооборота из-за введения карантинных мер</v>
      </c>
      <c r="H50">
        <f>IF('INHERENT MAP'!$B$5=2021,'РЕЕСТР РИСКОВ_2023'!L104,IF('INHERENT MAP'!$B$5=2022,#REF!,IF('INHERENT MAP'!$B$5=2023,#REF!,IF('INHERENT MAP'!$B$5=2024,#REF!,#REF!))))</f>
        <v>0</v>
      </c>
      <c r="I50">
        <f>IF('INHERENT MAP'!$B$5=2021,'РЕЕСТР РИСКОВ_2023'!M104,IF('INHERENT MAP'!$B$5=2022,#REF!,IF('INHERENT MAP'!$B$5=2023,#REF!,IF('INHERENT MAP'!$B$5=2024,#REF!,#REF!))))</f>
        <v>0</v>
      </c>
      <c r="J50">
        <f>IF('INHERENT MAP'!$B$5=2021,'РЕЕСТР РИСКОВ_2023'!N104,IF('INHERENT MAP'!$B$5=2022,#REF!,IF('INHERENT MAP'!$B$5=2023,#REF!,IF('INHERENT MAP'!$B$5=2024,#REF!,#REF!))))</f>
        <v>0</v>
      </c>
      <c r="K50">
        <f>IF('INHERENT MAP'!$B$5=2021,'РЕЕСТР РИСКОВ_2023'!O104,IF('INHERENT MAP'!$B$5=2022,#REF!,IF('INHERENT MAP'!$B$5=2023,#REF!,IF('INHERENT MAP'!$B$5=2024,#REF!,#REF!))))</f>
        <v>0</v>
      </c>
      <c r="L50">
        <f>IF('INHERENT MAP'!$B$5=2021,'РЕЕСТР РИСКОВ_2023'!P104,IF('INHERENT MAP'!$B$5=2022,#REF!,IF('INHERENT MAP'!$B$5=2023,#REF!,IF('INHERENT MAP'!$B$5=2024,#REF!,#REF!))))</f>
        <v>0</v>
      </c>
      <c r="M50" t="str">
        <f>IF('INHERENT MAP'!$B$5=2021,IF('РЕЕСТР РИСКОВ_2023'!Q104="",M49,'РЕЕСТР РИСКОВ_2023'!Q104),IF('INHERENT MAP'!$B$5=2022,IF(#REF!="",M49,#REF!),IF('INHERENT MAP'!$B$5=2023,IF(#REF!="",M49,#REF!),IF('INHERENT MAP'!$B$5=2024,IF(#REF!="",M49,#REF!),IF('РЕЕСТР РИСКОВ_2023'!Q104="",M49,'РЕЕСТР РИСКОВ_2023'!Q104)))))</f>
        <v>Внутриреспубликанские пассажирские перевозки</v>
      </c>
      <c r="N50" t="str">
        <f>IF('INHERENT MAP'!$B$5=2021,IF('РЕЕСТР РИСКОВ_2023'!R104="",N49,'РЕЕСТР РИСКОВ_2023'!R104),IF('INHERENT MAP'!$B$5=2022,IF(#REF!="",N49,#REF!),IF('INHERENT MAP'!$B$5=2023,IF(#REF!="",N49,#REF!),IF('INHERENT MAP'!$B$5=2024,IF(#REF!="",N49,#REF!),IF('РЕЕСТР РИСКОВ_2023'!R104="",N49,'РЕЕСТР РИСКОВ_2023'!R104)))))</f>
        <v>Дефицит средств в Республиканском бюджете</v>
      </c>
      <c r="O50">
        <f>'РЕЕСТР РИСКОВ_2023'!T104</f>
        <v>0</v>
      </c>
      <c r="P50">
        <f>IF('РЕЕСТР РИСКОВ_2023'!U104="",P49,'РЕЕСТР РИСКОВ_2023'!U104)</f>
        <v>0</v>
      </c>
      <c r="Q50" t="str">
        <f>IF('РЕЕСТР РИСКОВ_2023'!V104="",Q49,'РЕЕСТР РИСКОВ_2023'!V104)</f>
        <v>Угрозы</v>
      </c>
      <c r="R50" t="str">
        <f>IF('РЕЕСТР РИСКОВ_2023'!W104="",R49,'РЕЕСТР РИСКОВ_2023'!W104)</f>
        <v>Сумма недополученного дохода, млн.тенге</v>
      </c>
      <c r="S50">
        <f>'РЕЕСТР РИСКОВ_2023'!X104</f>
        <v>0</v>
      </c>
      <c r="T50" s="94">
        <f>IF('INHERENT MAP'!$B$5=2021,'РЕЕСТР РИСКОВ_2023'!Y104,IF('INHERENT MAP'!$B$5=2022,#REF!,IF('INHERENT MAP'!$B$5=2023,#REF!,IF('INHERENT MAP'!$B$5=2024,#REF!,#REF!))))</f>
        <v>0.05</v>
      </c>
      <c r="U50">
        <f>IF('INHERENT MAP'!$B$5=2021,'РЕЕСТР РИСКОВ_2023'!Z104,IF('INHERENT MAP'!$B$5=2022,#REF!,IF('INHERENT MAP'!$B$5=2023,#REF!,IF('INHERENT MAP'!$B$5=2024,#REF!,#REF!))))</f>
        <v>-12650</v>
      </c>
      <c r="V50">
        <f>IF('INHERENT MAP'!$B$5=2021,'РЕЕСТР РИСКОВ_2023'!AA104,IF('INHERENT MAP'!$B$5=2022,#REF!,IF('INHERENT MAP'!$B$5=2023,#REF!,IF('INHERENT MAP'!$B$5=2024,#REF!,#REF!))))</f>
        <v>-632.5</v>
      </c>
      <c r="W50">
        <f>IF('INHERENT MAP'!$B$5=2021,'РЕЕСТР РИСКОВ_2023'!AB104,IF('INHERENT MAP'!$B$5=2022,#REF!,IF('INHERENT MAP'!$B$5=2023,#REF!,IF('INHERENT MAP'!$B$5=2024,#REF!,#REF!))))</f>
        <v>0</v>
      </c>
      <c r="X50" s="94">
        <f>IF('INHERENT MAP'!$B$5=2021,'РЕЕСТР РИСКОВ_2023'!AC104,IF('INHERENT MAP'!$B$5=2022,#REF!,IF('INHERENT MAP'!$B$5=2023,#REF!,IF('INHERENT MAP'!$B$5=2024,#REF!,#REF!))))</f>
        <v>0</v>
      </c>
      <c r="Y50">
        <f>IF('INHERENT MAP'!$B$5=2021,'РЕЕСТР РИСКОВ_2023'!AD104,IF('INHERENT MAP'!$B$5=2022,#REF!,IF('INHERENT MAP'!$B$5=2023,#REF!,IF('INHERENT MAP'!$B$5=2024,#REF!,#REF!))))</f>
        <v>0</v>
      </c>
      <c r="Z50">
        <f>IF('INHERENT MAP'!$B$5=2021,'РЕЕСТР РИСКОВ_2023'!AE104,IF('INHERENT MAP'!$B$5=2022,#REF!,IF('INHERENT MAP'!$B$5=2023,#REF!,IF('INHERENT MAP'!$B$5=2024,#REF!,#REF!))))</f>
        <v>0</v>
      </c>
      <c r="AA50">
        <f>IF('INHERENT MAP'!$B$5=2021,'РЕЕСТР РИСКОВ_2023'!AF104,IF('INHERENT MAP'!$B$5=2022,#REF!,IF('INHERENT MAP'!$B$5=2023,#REF!,IF('INHERENT MAP'!$B$5=2024,#REF!,#REF!))))</f>
        <v>0</v>
      </c>
      <c r="AB50">
        <f>IF('INHERENT MAP'!$B$5=2021,'РЕЕСТР РИСКОВ_2023'!AG104,IF('INHERENT MAP'!$B$5=2022,#REF!,IF('INHERENT MAP'!$B$5=2023,#REF!,IF('INHERENT MAP'!$B$5=2024,#REF!,#REF!))))</f>
        <v>0</v>
      </c>
      <c r="AC50">
        <f>IF('INHERENT MAP'!$B$5=2021,'РЕЕСТР РИСКОВ_2023'!AH104,IF('INHERENT MAP'!$B$5=2022,#REF!,IF('INHERENT MAP'!$B$5=2023,#REF!,IF('INHERENT MAP'!$B$5=2024,#REF!,#REF!))))</f>
        <v>0</v>
      </c>
      <c r="AD50" t="str">
        <f>IF('INHERENT MAP'!$B$5=2021,'РЕЕСТР РИСКОВ_2023'!AI104,IF('INHERENT MAP'!$B$5=2022,#REF!,IF('INHERENT MAP'!$B$5=2023,#REF!,IF('INHERENT MAP'!$B$5=2024,#REF!,#REF!))))</f>
        <v xml:space="preserve">Меры по оптимизации схем курсирования оставшихся поездов, в рамках заключенных договоров, проводится работа с поставщиками по минимизации оказанных услуг и оплаты, причитающейся за их услуги. </v>
      </c>
      <c r="AE50" t="str">
        <f>IF('INHERENT MAP'!$B$5=2021,'РЕЕСТР РИСКОВ_2023'!AK104,IF('INHERENT MAP'!$B$5=2022,#REF!,IF('INHERENT MAP'!$B$5=2023,#REF!,IF('INHERENT MAP'!$B$5=2024,#REF!,#REF!))))</f>
        <v>АО "Пассажирские перевозки"</v>
      </c>
      <c r="AF50">
        <f>IF('INHERENT MAP'!$B$5=2021,'РЕЕСТР РИСКОВ_2023'!AL104,IF('INHERENT MAP'!$B$5=2022,#REF!,IF('INHERENT MAP'!$B$5=2023,#REF!,IF('INHERENT MAP'!$B$5=2024,#REF!,#REF!))))</f>
        <v>0</v>
      </c>
      <c r="AG50" t="str">
        <f>IF('INHERENT MAP'!$B$5=2021,'РЕЕСТР РИСКОВ_2023'!AM104,IF('INHERENT MAP'!$B$5=2022,#REF!,IF('INHERENT MAP'!$B$5=2023,#REF!,IF('INHERENT MAP'!$B$5=2024,#REF!,#REF!))))</f>
        <v>низкая</v>
      </c>
      <c r="AH50">
        <f>IF('INHERENT MAP'!$B$5=2021,'РЕЕСТР РИСКОВ_2023'!AN104,IF('INHERENT MAP'!$B$5=2022,#REF!,IF('INHERENT MAP'!$B$5=2023,#REF!,IF('INHERENT MAP'!$B$5=2024,#REF!,#REF!))))</f>
        <v>0.05</v>
      </c>
      <c r="AI50">
        <f>IF('INHERENT MAP'!$B$5=2021,'РЕЕСТР РИСКОВ_2023'!AO104,IF('INHERENT MAP'!$B$5=2022,#REF!,IF('INHERENT MAP'!$B$5=2023,#REF!,IF('INHERENT MAP'!$B$5=2024,#REF!,#REF!))))</f>
        <v>-12650</v>
      </c>
      <c r="AJ50">
        <f>IF('INHERENT MAP'!$B$5=2021,'РЕЕСТР РИСКОВ_2023'!AP104,IF('INHERENT MAP'!$B$5=2022,#REF!,IF('INHERENT MAP'!$B$5=2023,#REF!,IF('INHERENT MAP'!$B$5=2024,#REF!,#REF!))))</f>
        <v>-632.5</v>
      </c>
      <c r="AK50">
        <f>IF('РЕЕСТР РИСКОВ_2023'!AQ104="",AK49,'РЕЕСТР РИСКОВ_2023'!AQ104)</f>
        <v>-632.5</v>
      </c>
      <c r="AL50">
        <f>IF('РЕЕСТР РИСКОВ_2023'!AR104="",AL49,'РЕЕСТР РИСКОВ_2023'!AR104)</f>
        <v>0.21755115160382169</v>
      </c>
      <c r="AM50">
        <f>IF('РЕЕСТР РИСКОВ_2023'!AS104="",AM49,'РЕЕСТР РИСКОВ_2023'!AS104)</f>
        <v>-3798.3999999999996</v>
      </c>
      <c r="AN50">
        <f>IF('РЕЕСТР РИСКОВ_2023'!AT104="",AN49,'РЕЕСТР РИСКОВ_2023'!AT104)</f>
        <v>-4511.0999999999995</v>
      </c>
      <c r="AO50">
        <f>IF('РЕЕСТР РИСКОВ_2023'!AU104="",AO49,'РЕЕСТР РИСКОВ_2023'!AU104)</f>
        <v>0</v>
      </c>
    </row>
    <row r="51" spans="2:41">
      <c r="B51" t="str">
        <f>IF('INHERENT MAP'!$B$5=2021,IF('РЕЕСТР РИСКОВ_2023'!F105="",B50,'РЕЕСТР РИСКОВ_2023'!F105),IF('INHERENT MAP'!$B$5=2022,IF(#REF!="",B50,#REF!),IF('INHERENT MAP'!$B$5=2023,IF(#REF!="",B50,#REF!),IF('INHERENT MAP'!$B$5=2024,IF(#REF!="",B50,#REF!),IF('РЕЕСТР РИСКОВ_2023'!F105="",B50,'РЕЕСТР РИСКОВ_2023'!F105)))))</f>
        <v>ЭПИДЕМИОЛОГИЧЕСКИЙ РИСК 
(Super Risk)</v>
      </c>
      <c r="C51" t="str">
        <f>IF('INHERENT MAP'!$B$5=2021,IF('РЕЕСТР РИСКОВ_2023'!G105="",C50,'РЕЕСТР РИСКОВ_2023'!G105),IF('INHERENT MAP'!$B$5=2022,IF(#REF!="",C50,#REF!),IF('INHERENT MAP'!$B$5=2023,IF(#REF!="",C50,#REF!),IF('INHERENT MAP'!$B$5=2024,IF(#REF!="",C50,#REF!),IF('РЕЕСТР РИСКОВ_2023'!G105="",C50,'РЕЕСТР РИСКОВ_2023'!G105)))))</f>
        <v>- ХХХ млн. тенге</v>
      </c>
      <c r="D51" t="str">
        <f>IF('INHERENT MAP'!$B$5=2021,IF('РЕЕСТР РИСКОВ_2023'!H105="",D50,'РЕЕСТР РИСКОВ_2023'!H105),IF('INHERENT MAP'!$B$5=2022,IF(#REF!="",D50,#REF!),IF('INHERENT MAP'!$B$5=2023,IF(#REF!="",D50,#REF!),IF('INHERENT MAP'!$B$5=2024,IF(#REF!="",D50,#REF!),IF('РЕЕСТР РИСКОВ_2023'!H105="",D50,'РЕЕСТР РИСКОВ_2023'!H105)))))</f>
        <v>ER-2</v>
      </c>
      <c r="E51" t="str">
        <f>IF('INHERENT MAP'!$B$5=2021,IF('РЕЕСТР РИСКОВ_2023'!I105="",E50,'РЕЕСТР РИСКОВ_2023'!I105),IF('INHERENT MAP'!$B$5=2022,IF(#REF!="",E50,#REF!),IF('INHERENT MAP'!$B$5=2023,IF(#REF!="",E50,#REF!),IF('INHERENT MAP'!$B$5=2024,IF(#REF!="",E50,#REF!),IF('РЕЕСТР РИСКОВ_2023'!I105="",E50,'РЕЕСТР РИСКОВ_2023'!I105)))))</f>
        <v>ЦЗ-1</v>
      </c>
      <c r="F51" t="str">
        <f>IF('INHERENT MAP'!$B$5=2021,IF('РЕЕСТР РИСКОВ_2023'!J105="",F50,'РЕЕСТР РИСКОВ_2023'!J105),IF('INHERENT MAP'!$B$5=2022,IF(#REF!="",F50,#REF!),IF('INHERENT MAP'!$B$5=2023,IF(#REF!="",F50,#REF!),IF('INHERENT MAP'!$B$5=2024,IF(#REF!="",F50,#REF!),IF('РЕЕСТР РИСКОВ_2023'!J105="",F50,'РЕЕСТР РИСКОВ_2023'!J105)))))</f>
        <v>АО "Пассажирские перевозки"</v>
      </c>
      <c r="G51" t="str">
        <f>IF('INHERENT MAP'!$B$5=2021,IF('РЕЕСТР РИСКОВ_2023'!K105="",G50,'РЕЕСТР РИСКОВ_2023'!K105),IF('INHERENT MAP'!$B$5=2022,IF(#REF!="",G50,#REF!),IF('INHERENT MAP'!$B$5=2023,IF(#REF!="",G50,#REF!),IF('INHERENT MAP'!$B$5=2024,IF(#REF!="",G50,#REF!),IF('РЕЕСТР РИСКОВ_2023'!K105="",G50,'РЕЕСТР РИСКОВ_2023'!K105)))))</f>
        <v>Снижение доходов в связи со снижением пассажирооборота из-за введения карантинных мер</v>
      </c>
      <c r="H51">
        <f>IF('INHERENT MAP'!$B$5=2021,'РЕЕСТР РИСКОВ_2023'!L105,IF('INHERENT MAP'!$B$5=2022,#REF!,IF('INHERENT MAP'!$B$5=2023,#REF!,IF('INHERENT MAP'!$B$5=2024,#REF!,#REF!))))</f>
        <v>0</v>
      </c>
      <c r="I51">
        <f>IF('INHERENT MAP'!$B$5=2021,'РЕЕСТР РИСКОВ_2023'!M105,IF('INHERENT MAP'!$B$5=2022,#REF!,IF('INHERENT MAP'!$B$5=2023,#REF!,IF('INHERENT MAP'!$B$5=2024,#REF!,#REF!))))</f>
        <v>0</v>
      </c>
      <c r="J51">
        <f>IF('INHERENT MAP'!$B$5=2021,'РЕЕСТР РИСКОВ_2023'!N105,IF('INHERENT MAP'!$B$5=2022,#REF!,IF('INHERENT MAP'!$B$5=2023,#REF!,IF('INHERENT MAP'!$B$5=2024,#REF!,#REF!))))</f>
        <v>0</v>
      </c>
      <c r="K51">
        <f>IF('INHERENT MAP'!$B$5=2021,'РЕЕСТР РИСКОВ_2023'!O105,IF('INHERENT MAP'!$B$5=2022,#REF!,IF('INHERENT MAP'!$B$5=2023,#REF!,IF('INHERENT MAP'!$B$5=2024,#REF!,#REF!))))</f>
        <v>0</v>
      </c>
      <c r="L51">
        <f>IF('INHERENT MAP'!$B$5=2021,'РЕЕСТР РИСКОВ_2023'!P105,IF('INHERENT MAP'!$B$5=2022,#REF!,IF('INHERENT MAP'!$B$5=2023,#REF!,IF('INHERENT MAP'!$B$5=2024,#REF!,#REF!))))</f>
        <v>0</v>
      </c>
      <c r="M51" t="str">
        <f>IF('INHERENT MAP'!$B$5=2021,IF('РЕЕСТР РИСКОВ_2023'!Q105="",M50,'РЕЕСТР РИСКОВ_2023'!Q105),IF('INHERENT MAP'!$B$5=2022,IF(#REF!="",M50,#REF!),IF('INHERENT MAP'!$B$5=2023,IF(#REF!="",M50,#REF!),IF('INHERENT MAP'!$B$5=2024,IF(#REF!="",M50,#REF!),IF('РЕЕСТР РИСКОВ_2023'!Q105="",M50,'РЕЕСТР РИСКОВ_2023'!Q105)))))</f>
        <v>Международные пассажирские перевозки</v>
      </c>
      <c r="N51" t="str">
        <f>IF('INHERENT MAP'!$B$5=2021,IF('РЕЕСТР РИСКОВ_2023'!R105="",N50,'РЕЕСТР РИСКОВ_2023'!R105),IF('INHERENT MAP'!$B$5=2022,IF(#REF!="",N50,#REF!),IF('INHERENT MAP'!$B$5=2023,IF(#REF!="",N50,#REF!),IF('INHERENT MAP'!$B$5=2024,IF(#REF!="",N50,#REF!),IF('РЕЕСТР РИСКОВ_2023'!R105="",N50,'РЕЕСТР РИСКОВ_2023'!R105)))))</f>
        <v>Дефицит средств в Республиканском бюджете</v>
      </c>
      <c r="O51">
        <f>'РЕЕСТР РИСКОВ_2023'!T105</f>
        <v>0</v>
      </c>
      <c r="P51">
        <f>IF('РЕЕСТР РИСКОВ_2023'!U105="",P50,'РЕЕСТР РИСКОВ_2023'!U105)</f>
        <v>0</v>
      </c>
      <c r="Q51" t="str">
        <f>IF('РЕЕСТР РИСКОВ_2023'!V105="",Q50,'РЕЕСТР РИСКОВ_2023'!V105)</f>
        <v>Угрозы</v>
      </c>
      <c r="R51" t="str">
        <f>IF('РЕЕСТР РИСКОВ_2023'!W105="",R50,'РЕЕСТР РИСКОВ_2023'!W105)</f>
        <v>Сумма недополученного дохода, млн.тенге</v>
      </c>
      <c r="S51">
        <f>'РЕЕСТР РИСКОВ_2023'!X105</f>
        <v>0</v>
      </c>
      <c r="T51" s="94">
        <f>IF('INHERENT MAP'!$B$5=2021,'РЕЕСТР РИСКОВ_2023'!Y105,IF('INHERENT MAP'!$B$5=2022,#REF!,IF('INHERENT MAP'!$B$5=2023,#REF!,IF('INHERENT MAP'!$B$5=2024,#REF!,#REF!))))</f>
        <v>0.05</v>
      </c>
      <c r="U51">
        <f>IF('INHERENT MAP'!$B$5=2021,'РЕЕСТР РИСКОВ_2023'!Z105,IF('INHERENT MAP'!$B$5=2022,#REF!,IF('INHERENT MAP'!$B$5=2023,#REF!,IF('INHERENT MAP'!$B$5=2024,#REF!,#REF!))))</f>
        <v>-14254</v>
      </c>
      <c r="V51">
        <f>IF('INHERENT MAP'!$B$5=2021,'РЕЕСТР РИСКОВ_2023'!AA105,IF('INHERENT MAP'!$B$5=2022,#REF!,IF('INHERENT MAP'!$B$5=2023,#REF!,IF('INHERENT MAP'!$B$5=2024,#REF!,#REF!))))</f>
        <v>-712.7</v>
      </c>
      <c r="W51">
        <f>IF('INHERENT MAP'!$B$5=2021,'РЕЕСТР РИСКОВ_2023'!AB105,IF('INHERENT MAP'!$B$5=2022,#REF!,IF('INHERENT MAP'!$B$5=2023,#REF!,IF('INHERENT MAP'!$B$5=2024,#REF!,#REF!))))</f>
        <v>0</v>
      </c>
      <c r="X51" s="94">
        <f>IF('INHERENT MAP'!$B$5=2021,'РЕЕСТР РИСКОВ_2023'!AC105,IF('INHERENT MAP'!$B$5=2022,#REF!,IF('INHERENT MAP'!$B$5=2023,#REF!,IF('INHERENT MAP'!$B$5=2024,#REF!,#REF!))))</f>
        <v>0</v>
      </c>
      <c r="Y51">
        <f>IF('INHERENT MAP'!$B$5=2021,'РЕЕСТР РИСКОВ_2023'!AD105,IF('INHERENT MAP'!$B$5=2022,#REF!,IF('INHERENT MAP'!$B$5=2023,#REF!,IF('INHERENT MAP'!$B$5=2024,#REF!,#REF!))))</f>
        <v>0</v>
      </c>
      <c r="Z51">
        <f>IF('INHERENT MAP'!$B$5=2021,'РЕЕСТР РИСКОВ_2023'!AE105,IF('INHERENT MAP'!$B$5=2022,#REF!,IF('INHERENT MAP'!$B$5=2023,#REF!,IF('INHERENT MAP'!$B$5=2024,#REF!,#REF!))))</f>
        <v>0</v>
      </c>
      <c r="AA51">
        <f>IF('INHERENT MAP'!$B$5=2021,'РЕЕСТР РИСКОВ_2023'!AF105,IF('INHERENT MAP'!$B$5=2022,#REF!,IF('INHERENT MAP'!$B$5=2023,#REF!,IF('INHERENT MAP'!$B$5=2024,#REF!,#REF!))))</f>
        <v>0</v>
      </c>
      <c r="AB51">
        <f>IF('INHERENT MAP'!$B$5=2021,'РЕЕСТР РИСКОВ_2023'!AG105,IF('INHERENT MAP'!$B$5=2022,#REF!,IF('INHERENT MAP'!$B$5=2023,#REF!,IF('INHERENT MAP'!$B$5=2024,#REF!,#REF!))))</f>
        <v>0</v>
      </c>
      <c r="AC51">
        <f>IF('INHERENT MAP'!$B$5=2021,'РЕЕСТР РИСКОВ_2023'!AH105,IF('INHERENT MAP'!$B$5=2022,#REF!,IF('INHERENT MAP'!$B$5=2023,#REF!,IF('INHERENT MAP'!$B$5=2024,#REF!,#REF!))))</f>
        <v>0</v>
      </c>
      <c r="AD51">
        <f>IF('INHERENT MAP'!$B$5=2021,'РЕЕСТР РИСКОВ_2023'!AI105,IF('INHERENT MAP'!$B$5=2022,#REF!,IF('INHERENT MAP'!$B$5=2023,#REF!,IF('INHERENT MAP'!$B$5=2024,#REF!,#REF!))))</f>
        <v>0</v>
      </c>
      <c r="AE51">
        <f>IF('INHERENT MAP'!$B$5=2021,'РЕЕСТР РИСКОВ_2023'!AK105,IF('INHERENT MAP'!$B$5=2022,#REF!,IF('INHERENT MAP'!$B$5=2023,#REF!,IF('INHERENT MAP'!$B$5=2024,#REF!,#REF!))))</f>
        <v>0</v>
      </c>
      <c r="AF51">
        <f>IF('INHERENT MAP'!$B$5=2021,'РЕЕСТР РИСКОВ_2023'!AL105,IF('INHERENT MAP'!$B$5=2022,#REF!,IF('INHERENT MAP'!$B$5=2023,#REF!,IF('INHERENT MAP'!$B$5=2024,#REF!,#REF!))))</f>
        <v>0</v>
      </c>
      <c r="AG51" t="str">
        <f>IF('INHERENT MAP'!$B$5=2021,'РЕЕСТР РИСКОВ_2023'!AM105,IF('INHERENT MAP'!$B$5=2022,#REF!,IF('INHERENT MAP'!$B$5=2023,#REF!,IF('INHERENT MAP'!$B$5=2024,#REF!,#REF!))))</f>
        <v>низкая</v>
      </c>
      <c r="AH51">
        <f>IF('INHERENT MAP'!$B$5=2021,'РЕЕСТР РИСКОВ_2023'!AN105,IF('INHERENT MAP'!$B$5=2022,#REF!,IF('INHERENT MAP'!$B$5=2023,#REF!,IF('INHERENT MAP'!$B$5=2024,#REF!,#REF!))))</f>
        <v>0.05</v>
      </c>
      <c r="AI51">
        <f>IF('INHERENT MAP'!$B$5=2021,'РЕЕСТР РИСКОВ_2023'!AO105,IF('INHERENT MAP'!$B$5=2022,#REF!,IF('INHERENT MAP'!$B$5=2023,#REF!,IF('INHERENT MAP'!$B$5=2024,#REF!,#REF!))))</f>
        <v>-14254</v>
      </c>
      <c r="AJ51">
        <f>IF('INHERENT MAP'!$B$5=2021,'РЕЕСТР РИСКОВ_2023'!AP105,IF('INHERENT MAP'!$B$5=2022,#REF!,IF('INHERENT MAP'!$B$5=2023,#REF!,IF('INHERENT MAP'!$B$5=2024,#REF!,#REF!))))</f>
        <v>-712.7</v>
      </c>
      <c r="AK51">
        <f>IF('РЕЕСТР РИСКОВ_2023'!AQ105="",AK50,'РЕЕСТР РИСКОВ_2023'!AQ105)</f>
        <v>-712.7</v>
      </c>
      <c r="AL51">
        <f>IF('РЕЕСТР РИСКОВ_2023'!AR105="",AL50,'РЕЕСТР РИСКОВ_2023'!AR105)</f>
        <v>0.21755115160382169</v>
      </c>
      <c r="AM51">
        <f>IF('РЕЕСТР РИСКОВ_2023'!AS105="",AM50,'РЕЕСТР РИСКОВ_2023'!AS105)</f>
        <v>-3798.3999999999996</v>
      </c>
      <c r="AN51">
        <f>IF('РЕЕСТР РИСКОВ_2023'!AT105="",AN50,'РЕЕСТР РИСКОВ_2023'!AT105)</f>
        <v>-4511.0999999999995</v>
      </c>
      <c r="AO51">
        <f>IF('РЕЕСТР РИСКОВ_2023'!AU105="",AO50,'РЕЕСТР РИСКОВ_2023'!AU105)</f>
        <v>0</v>
      </c>
    </row>
    <row r="52" spans="2:41">
      <c r="B52" t="str">
        <f>IF('INHERENT MAP'!$B$5=2021,IF('РЕЕСТР РИСКОВ_2023'!F106="",B51,'РЕЕСТР РИСКОВ_2023'!F106),IF('INHERENT MAP'!$B$5=2022,IF(#REF!="",B51,#REF!),IF('INHERENT MAP'!$B$5=2023,IF(#REF!="",B51,#REF!),IF('INHERENT MAP'!$B$5=2024,IF(#REF!="",B51,#REF!),IF('РЕЕСТР РИСКОВ_2023'!F106="",B51,'РЕЕСТР РИСКОВ_2023'!F106)))))</f>
        <v>ЭПИДЕМИОЛОГИЧЕСКИЙ РИСК 
(Super Risk)</v>
      </c>
      <c r="C52" t="str">
        <f>IF('INHERENT MAP'!$B$5=2021,IF('РЕЕСТР РИСКОВ_2023'!G106="",C51,'РЕЕСТР РИСКОВ_2023'!G106),IF('INHERENT MAP'!$B$5=2022,IF(#REF!="",C51,#REF!),IF('INHERENT MAP'!$B$5=2023,IF(#REF!="",C51,#REF!),IF('INHERENT MAP'!$B$5=2024,IF(#REF!="",C51,#REF!),IF('РЕЕСТР РИСКОВ_2023'!G106="",C51,'РЕЕСТР РИСКОВ_2023'!G106)))))</f>
        <v>- ХХХ млн. тенге</v>
      </c>
      <c r="D52" t="str">
        <f>IF('INHERENT MAP'!$B$5=2021,IF('РЕЕСТР РИСКОВ_2023'!H106="",D51,'РЕЕСТР РИСКОВ_2023'!H106),IF('INHERENT MAP'!$B$5=2022,IF(#REF!="",D51,#REF!),IF('INHERENT MAP'!$B$5=2023,IF(#REF!="",D51,#REF!),IF('INHERENT MAP'!$B$5=2024,IF(#REF!="",D51,#REF!),IF('РЕЕСТР РИСКОВ_2023'!H106="",D51,'РЕЕСТР РИСКОВ_2023'!H106)))))</f>
        <v>ER-3</v>
      </c>
      <c r="E52" t="str">
        <f>IF('INHERENT MAP'!$B$5=2021,IF('РЕЕСТР РИСКОВ_2023'!I106="",E51,'РЕЕСТР РИСКОВ_2023'!I106),IF('INHERENT MAP'!$B$5=2022,IF(#REF!="",E51,#REF!),IF('INHERENT MAP'!$B$5=2023,IF(#REF!="",E51,#REF!),IF('INHERENT MAP'!$B$5=2024,IF(#REF!="",E51,#REF!),IF('РЕЕСТР РИСКОВ_2023'!I106="",E51,'РЕЕСТР РИСКОВ_2023'!I106)))))</f>
        <v>ЦЗД, ЦЗ-1</v>
      </c>
      <c r="F52" t="str">
        <f>IF('INHERENT MAP'!$B$5=2021,IF('РЕЕСТР РИСКОВ_2023'!J106="",F51,'РЕЕСТР РИСКОВ_2023'!J106),IF('INHERENT MAP'!$B$5=2022,IF(#REF!="",F51,#REF!),IF('INHERENT MAP'!$B$5=2023,IF(#REF!="",F51,#REF!),IF('INHERENT MAP'!$B$5=2024,IF(#REF!="",F51,#REF!),IF('РЕЕСТР РИСКОВ_2023'!J106="",F51,'РЕЕСТР РИСКОВ_2023'!J106)))))</f>
        <v>ТОО "КТЖ-Грузовые перевозки", АО "Қазтеміртранс"</v>
      </c>
      <c r="G52" t="str">
        <f>IF('INHERENT MAP'!$B$5=2021,IF('РЕЕСТР РИСКОВ_2023'!K106="",G51,'РЕЕСТР РИСКОВ_2023'!K106),IF('INHERENT MAP'!$B$5=2022,IF(#REF!="",G51,#REF!),IF('INHERENT MAP'!$B$5=2023,IF(#REF!="",G51,#REF!),IF('INHERENT MAP'!$B$5=2024,IF(#REF!="",G51,#REF!),IF('РЕЕСТР РИСКОВ_2023'!K106="",G51,'РЕЕСТР РИСКОВ_2023'!K106)))))</f>
        <v>Введение временного запрета на прием груза в КНР</v>
      </c>
      <c r="H52">
        <f>IF('INHERENT MAP'!$B$5=2021,'РЕЕСТР РИСКОВ_2023'!L106,IF('INHERENT MAP'!$B$5=2022,#REF!,IF('INHERENT MAP'!$B$5=2023,#REF!,IF('INHERENT MAP'!$B$5=2024,#REF!,#REF!))))</f>
        <v>0</v>
      </c>
      <c r="I52">
        <f>IF('INHERENT MAP'!$B$5=2021,'РЕЕСТР РИСКОВ_2023'!M106,IF('INHERENT MAP'!$B$5=2022,#REF!,IF('INHERENT MAP'!$B$5=2023,#REF!,IF('INHERENT MAP'!$B$5=2024,#REF!,#REF!))))</f>
        <v>0</v>
      </c>
      <c r="J52">
        <f>IF('INHERENT MAP'!$B$5=2021,'РЕЕСТР РИСКОВ_2023'!N106,IF('INHERENT MAP'!$B$5=2022,#REF!,IF('INHERENT MAP'!$B$5=2023,#REF!,IF('INHERENT MAP'!$B$5=2024,#REF!,#REF!))))</f>
        <v>0</v>
      </c>
      <c r="K52">
        <f>IF('INHERENT MAP'!$B$5=2021,'РЕЕСТР РИСКОВ_2023'!O106,IF('INHERENT MAP'!$B$5=2022,#REF!,IF('INHERENT MAP'!$B$5=2023,#REF!,IF('INHERENT MAP'!$B$5=2024,#REF!,#REF!))))</f>
        <v>0</v>
      </c>
      <c r="L52">
        <f>IF('INHERENT MAP'!$B$5=2021,'РЕЕСТР РИСКОВ_2023'!P106,IF('INHERENT MAP'!$B$5=2022,#REF!,IF('INHERENT MAP'!$B$5=2023,#REF!,IF('INHERENT MAP'!$B$5=2024,#REF!,#REF!))))</f>
        <v>0</v>
      </c>
      <c r="M52" t="str">
        <f>IF('INHERENT MAP'!$B$5=2021,IF('РЕЕСТР РИСКОВ_2023'!Q106="",M51,'РЕЕСТР РИСКОВ_2023'!Q106),IF('INHERENT MAP'!$B$5=2022,IF(#REF!="",M51,#REF!),IF('INHERENT MAP'!$B$5=2023,IF(#REF!="",M51,#REF!),IF('INHERENT MAP'!$B$5=2024,IF(#REF!="",M51,#REF!),IF('РЕЕСТР РИСКОВ_2023'!Q106="",M51,'РЕЕСТР РИСКОВ_2023'!Q106)))))</f>
        <v>ТОО «КТЖ-Грузовые перевозки» вынужденно ввел запрет на перевозку  грузов в направлении станции Достык далее КНР</v>
      </c>
      <c r="N52" t="str">
        <f>IF('INHERENT MAP'!$B$5=2021,IF('РЕЕСТР РИСКОВ_2023'!R106="",N51,'РЕЕСТР РИСКОВ_2023'!R106),IF('INHERENT MAP'!$B$5=2022,IF(#REF!="",N51,#REF!),IF('INHERENT MAP'!$B$5=2023,IF(#REF!="",N51,#REF!),IF('INHERENT MAP'!$B$5=2024,IF(#REF!="",N51,#REF!),IF('РЕЕСТР РИСКОВ_2023'!R106="",N51,'РЕЕСТР РИСКОВ_2023'!R106)))))</f>
        <v>Ситуация  на приграничных станциях с КНР остается сложной.  Из-за жёстких ограничительных антиковидных мер соседняя страна не принимает груженые вагоны. Растет  количество брошенных поездов, что негативно сказывается на пропускной  способности магистральной сети Казахстана.</v>
      </c>
      <c r="O52">
        <f>'РЕЕСТР РИСКОВ_2023'!T106</f>
        <v>0</v>
      </c>
      <c r="P52">
        <f>IF('РЕЕСТР РИСКОВ_2023'!U106="",P51,'РЕЕСТР РИСКОВ_2023'!U106)</f>
        <v>0</v>
      </c>
      <c r="Q52" t="str">
        <f>IF('РЕЕСТР РИСКОВ_2023'!V106="",Q51,'РЕЕСТР РИСКОВ_2023'!V106)</f>
        <v>Угрозы</v>
      </c>
      <c r="R52" t="str">
        <f>IF('РЕЕСТР РИСКОВ_2023'!W106="",R51,'РЕЕСТР РИСКОВ_2023'!W106)</f>
        <v>Количество брошенных поездов</v>
      </c>
      <c r="S52">
        <f>'РЕЕСТР РИСКОВ_2023'!X106</f>
        <v>0</v>
      </c>
      <c r="T52" s="94">
        <f>IF('INHERENT MAP'!$B$5=2021,'РЕЕСТР РИСКОВ_2023'!Y106,IF('INHERENT MAP'!$B$5=2022,#REF!,IF('INHERENT MAP'!$B$5=2023,#REF!,IF('INHERENT MAP'!$B$5=2024,#REF!,#REF!))))</f>
        <v>0.3</v>
      </c>
      <c r="U52">
        <f>IF('INHERENT MAP'!$B$5=2021,'РЕЕСТР РИСКОВ_2023'!Z106,IF('INHERENT MAP'!$B$5=2022,#REF!,IF('INHERENT MAP'!$B$5=2023,#REF!,IF('INHERENT MAP'!$B$5=2024,#REF!,#REF!))))</f>
        <v>-4848</v>
      </c>
      <c r="V52">
        <f>IF('INHERENT MAP'!$B$5=2021,'РЕЕСТР РИСКОВ_2023'!AA106,IF('INHERENT MAP'!$B$5=2022,#REF!,IF('INHERENT MAP'!$B$5=2023,#REF!,IF('INHERENT MAP'!$B$5=2024,#REF!,#REF!))))</f>
        <v>-1454.3999999999999</v>
      </c>
      <c r="W52" t="str">
        <f>IF('INHERENT MAP'!$B$5=2021,'РЕЕСТР РИСКОВ_2023'!AB106,IF('INHERENT MAP'!$B$5=2022,#REF!,IF('INHERENT MAP'!$B$5=2023,#REF!,IF('INHERENT MAP'!$B$5=2024,#REF!,#REF!))))</f>
        <v xml:space="preserve">По письму ЦМТ о введении запретных мер на прием грузов в КНР рассчитан ущерб АО "НК "КТЖ" в размере 2 424 млн. тнг сроком на 1 мес. Влияние риска увеличено на 2 месяца - возможное ухудшение эпидемиологической ситуации в КНР и РК.  </v>
      </c>
      <c r="X52" s="94">
        <f>IF('INHERENT MAP'!$B$5=2021,'РЕЕСТР РИСКОВ_2023'!AC106,IF('INHERENT MAP'!$B$5=2022,#REF!,IF('INHERENT MAP'!$B$5=2023,#REF!,IF('INHERENT MAP'!$B$5=2024,#REF!,#REF!))))</f>
        <v>0</v>
      </c>
      <c r="Y52">
        <f>IF('INHERENT MAP'!$B$5=2021,'РЕЕСТР РИСКОВ_2023'!AD106,IF('INHERENT MAP'!$B$5=2022,#REF!,IF('INHERENT MAP'!$B$5=2023,#REF!,IF('INHERENT MAP'!$B$5=2024,#REF!,#REF!))))</f>
        <v>0</v>
      </c>
      <c r="Z52">
        <f>IF('INHERENT MAP'!$B$5=2021,'РЕЕСТР РИСКОВ_2023'!AE106,IF('INHERENT MAP'!$B$5=2022,#REF!,IF('INHERENT MAP'!$B$5=2023,#REF!,IF('INHERENT MAP'!$B$5=2024,#REF!,#REF!))))</f>
        <v>0</v>
      </c>
      <c r="AA52">
        <f>IF('INHERENT MAP'!$B$5=2021,'РЕЕСТР РИСКОВ_2023'!AF106,IF('INHERENT MAP'!$B$5=2022,#REF!,IF('INHERENT MAP'!$B$5=2023,#REF!,IF('INHERENT MAP'!$B$5=2024,#REF!,#REF!))))</f>
        <v>0</v>
      </c>
      <c r="AB52">
        <f>IF('INHERENT MAP'!$B$5=2021,'РЕЕСТР РИСКОВ_2023'!AG106,IF('INHERENT MAP'!$B$5=2022,#REF!,IF('INHERENT MAP'!$B$5=2023,#REF!,IF('INHERENT MAP'!$B$5=2024,#REF!,#REF!))))</f>
        <v>0</v>
      </c>
      <c r="AC52">
        <f>IF('INHERENT MAP'!$B$5=2021,'РЕЕСТР РИСКОВ_2023'!AH106,IF('INHERENT MAP'!$B$5=2022,#REF!,IF('INHERENT MAP'!$B$5=2023,#REF!,IF('INHERENT MAP'!$B$5=2024,#REF!,#REF!))))</f>
        <v>0</v>
      </c>
      <c r="AD52" t="str">
        <f>IF('INHERENT MAP'!$B$5=2021,'РЕЕСТР РИСКОВ_2023'!AI106,IF('INHERENT MAP'!$B$5=2022,#REF!,IF('INHERENT MAP'!$B$5=2023,#REF!,IF('INHERENT MAP'!$B$5=2024,#REF!,#REF!))))</f>
        <v>Проведена работа с грузоотправителями по возврату вагонов на станцию погрузки. В результате чего снижено количество брошенных вагонов.
Во время действия запрета ТОО «КТЖ-Грузовые перевозки» планирует передать китайской стороне брошенные поезда и зерновозы. 
Также будут приниматься меры по передаче крытых вагонов с зерном. Вопрос о введении запрета в течение недели был обсуждён с грузоотправителями, экспортерами на площадках НПП РК «Атамекен»,  Министерства индустрии и инфраструктурного развития Республики Казахстан (МИИР РК).  Данная меры была инициирована бизнесом. 
Для снижения нагрузки станции Достык в части передачи грузов в КНР в период пандемии, проведена работа с грузоотправителями по отправке грузов через ст. Алтынколь.  Для снижения простоя зерновозов в ожидании принятия КНР реализованы мероприятия в части перехода погрузки груза «зерно» с вагонов зерновозов на контейнера. 
Ввиду сложившейся ситуацией АО «НК «ҚТЖ» вынуждено приняло ограничительные меры на погрузку и транзит грузов.</v>
      </c>
      <c r="AE52">
        <f>IF('INHERENT MAP'!$B$5=2021,'РЕЕСТР РИСКОВ_2023'!AK106,IF('INHERENT MAP'!$B$5=2022,#REF!,IF('INHERENT MAP'!$B$5=2023,#REF!,IF('INHERENT MAP'!$B$5=2024,#REF!,#REF!))))</f>
        <v>0</v>
      </c>
      <c r="AF52">
        <f>IF('INHERENT MAP'!$B$5=2021,'РЕЕСТР РИСКОВ_2023'!AL106,IF('INHERENT MAP'!$B$5=2022,#REF!,IF('INHERENT MAP'!$B$5=2023,#REF!,IF('INHERENT MAP'!$B$5=2024,#REF!,#REF!))))</f>
        <v>0</v>
      </c>
      <c r="AG52" t="str">
        <f>IF('INHERENT MAP'!$B$5=2021,'РЕЕСТР РИСКОВ_2023'!AM106,IF('INHERENT MAP'!$B$5=2022,#REF!,IF('INHERENT MAP'!$B$5=2023,#REF!,IF('INHERENT MAP'!$B$5=2024,#REF!,#REF!))))</f>
        <v>низкая</v>
      </c>
      <c r="AH52">
        <f>IF('INHERENT MAP'!$B$5=2021,'РЕЕСТР РИСКОВ_2023'!AN106,IF('INHERENT MAP'!$B$5=2022,#REF!,IF('INHERENT MAP'!$B$5=2023,#REF!,IF('INHERENT MAP'!$B$5=2024,#REF!,#REF!))))</f>
        <v>0.3</v>
      </c>
      <c r="AI52">
        <f>IF('INHERENT MAP'!$B$5=2021,'РЕЕСТР РИСКОВ_2023'!AO106,IF('INHERENT MAP'!$B$5=2022,#REF!,IF('INHERENT MAP'!$B$5=2023,#REF!,IF('INHERENT MAP'!$B$5=2024,#REF!,#REF!))))</f>
        <v>-4848</v>
      </c>
      <c r="AJ52">
        <f>IF('INHERENT MAP'!$B$5=2021,'РЕЕСТР РИСКОВ_2023'!AP106,IF('INHERENT MAP'!$B$5=2022,#REF!,IF('INHERENT MAP'!$B$5=2023,#REF!,IF('INHERENT MAP'!$B$5=2024,#REF!,#REF!))))</f>
        <v>-1454.3999999999999</v>
      </c>
      <c r="AK52">
        <f>IF('РЕЕСТР РИСКОВ_2023'!AQ106="",AK51,'РЕЕСТР РИСКОВ_2023'!AQ106)</f>
        <v>-1454.3999999999999</v>
      </c>
      <c r="AL52">
        <f>IF('РЕЕСТР РИСКОВ_2023'!AR106="",AL51,'РЕЕСТР РИСКОВ_2023'!AR106)</f>
        <v>0.21755115160382169</v>
      </c>
      <c r="AM52">
        <f>IF('РЕЕСТР РИСКОВ_2023'!AS106="",AM51,'РЕЕСТР РИСКОВ_2023'!AS106)</f>
        <v>-3798.3999999999996</v>
      </c>
      <c r="AN52">
        <f>IF('РЕЕСТР РИСКОВ_2023'!AT106="",AN51,'РЕЕСТР РИСКОВ_2023'!AT106)</f>
        <v>-4511.0999999999995</v>
      </c>
      <c r="AO52">
        <f>IF('РЕЕСТР РИСКОВ_2023'!AU106="",AO51,'РЕЕСТР РИСКОВ_2023'!AU106)</f>
        <v>0</v>
      </c>
    </row>
    <row r="53" spans="2:41">
      <c r="B53" t="str">
        <f>IF('INHERENT MAP'!$B$5=2021,IF('РЕЕСТР РИСКОВ_2023'!F107="",B52,'РЕЕСТР РИСКОВ_2023'!F107),IF('INHERENT MAP'!$B$5=2022,IF(#REF!="",B52,#REF!),IF('INHERENT MAP'!$B$5=2023,IF(#REF!="",B52,#REF!),IF('INHERENT MAP'!$B$5=2024,IF(#REF!="",B52,#REF!),IF('РЕЕСТР РИСКОВ_2023'!F107="",B52,'РЕЕСТР РИСКОВ_2023'!F107)))))</f>
        <v>СТРАНОВОЙ РИСК
 (Super Risk)</v>
      </c>
      <c r="C53" t="str">
        <f>IF('INHERENT MAP'!$B$5=2021,IF('РЕЕСТР РИСКОВ_2023'!G107="",C52,'РЕЕСТР РИСКОВ_2023'!G107),IF('INHERENT MAP'!$B$5=2022,IF(#REF!="",C52,#REF!),IF('INHERENT MAP'!$B$5=2023,IF(#REF!="",C52,#REF!),IF('INHERENT MAP'!$B$5=2024,IF(#REF!="",C52,#REF!),IF('РЕЕСТР РИСКОВ_2023'!G107="",C52,'РЕЕСТР РИСКОВ_2023'!G107)))))</f>
        <v>- (ХХХ) млн. Тенге</v>
      </c>
      <c r="D53" t="str">
        <f>IF('INHERENT MAP'!$B$5=2021,IF('РЕЕСТР РИСКОВ_2023'!H107="",D52,'РЕЕСТР РИСКОВ_2023'!H107),IF('INHERENT MAP'!$B$5=2022,IF(#REF!="",D52,#REF!),IF('INHERENT MAP'!$B$5=2023,IF(#REF!="",D52,#REF!),IF('INHERENT MAP'!$B$5=2024,IF(#REF!="",D52,#REF!),IF('РЕЕСТР РИСКОВ_2023'!H107="",D52,'РЕЕСТР РИСКОВ_2023'!H107)))))</f>
        <v>STR-1</v>
      </c>
      <c r="E53" t="str">
        <f>IF('INHERENT MAP'!$B$5=2021,IF('РЕЕСТР РИСКОВ_2023'!I107="",E52,'РЕЕСТР РИСКОВ_2023'!I107),IF('INHERENT MAP'!$B$5=2022,IF(#REF!="",E52,#REF!),IF('INHERENT MAP'!$B$5=2023,IF(#REF!="",E52,#REF!),IF('INHERENT MAP'!$B$5=2024,IF(#REF!="",E52,#REF!),IF('РЕЕСТР РИСКОВ_2023'!I107="",E52,'РЕЕСТР РИСКОВ_2023'!I107)))))</f>
        <v>ЦЗД, ЦЗ-1</v>
      </c>
      <c r="F53" t="str">
        <f>IF('INHERENT MAP'!$B$5=2021,IF('РЕЕСТР РИСКОВ_2023'!J107="",F52,'РЕЕСТР РИСКОВ_2023'!J107),IF('INHERENT MAP'!$B$5=2022,IF(#REF!="",F52,#REF!),IF('INHERENT MAP'!$B$5=2023,IF(#REF!="",F52,#REF!),IF('INHERENT MAP'!$B$5=2024,IF(#REF!="",F52,#REF!),IF('РЕЕСТР РИСКОВ_2023'!J107="",F52,'РЕЕСТР РИСКОВ_2023'!J107)))))</f>
        <v>ТОО "КТЖ-Грузовые перевозки", АО "Пассажирские перевозки"</v>
      </c>
      <c r="G53" t="str">
        <f>IF('INHERENT MAP'!$B$5=2021,IF('РЕЕСТР РИСКОВ_2023'!K107="",G52,'РЕЕСТР РИСКОВ_2023'!K107),IF('INHERENT MAP'!$B$5=2022,IF(#REF!="",G52,#REF!),IF('INHERENT MAP'!$B$5=2023,IF(#REF!="",G52,#REF!),IF('INHERENT MAP'!$B$5=2024,IF(#REF!="",G52,#REF!),IF('РЕЕСТР РИСКОВ_2023'!K107="",G52,'РЕЕСТР РИСКОВ_2023'!K107)))))</f>
        <v>Риски негативного влияния на грузооборот и пассажирооборот</v>
      </c>
      <c r="H53">
        <f>IF('INHERENT MAP'!$B$5=2021,'РЕЕСТР РИСКОВ_2023'!L107,IF('INHERENT MAP'!$B$5=2022,#REF!,IF('INHERENT MAP'!$B$5=2023,#REF!,IF('INHERENT MAP'!$B$5=2024,#REF!,#REF!))))</f>
        <v>0</v>
      </c>
      <c r="I53">
        <f>IF('INHERENT MAP'!$B$5=2021,'РЕЕСТР РИСКОВ_2023'!M107,IF('INHERENT MAP'!$B$5=2022,#REF!,IF('INHERENT MAP'!$B$5=2023,#REF!,IF('INHERENT MAP'!$B$5=2024,#REF!,#REF!))))</f>
        <v>0</v>
      </c>
      <c r="J53">
        <f>IF('INHERENT MAP'!$B$5=2021,'РЕЕСТР РИСКОВ_2023'!N107,IF('INHERENT MAP'!$B$5=2022,#REF!,IF('INHERENT MAP'!$B$5=2023,#REF!,IF('INHERENT MAP'!$B$5=2024,#REF!,#REF!))))</f>
        <v>0</v>
      </c>
      <c r="K53">
        <f>IF('INHERENT MAP'!$B$5=2021,'РЕЕСТР РИСКОВ_2023'!O107,IF('INHERENT MAP'!$B$5=2022,#REF!,IF('INHERENT MAP'!$B$5=2023,#REF!,IF('INHERENT MAP'!$B$5=2024,#REF!,#REF!))))</f>
        <v>0</v>
      </c>
      <c r="L53">
        <f>IF('INHERENT MAP'!$B$5=2021,'РЕЕСТР РИСКОВ_2023'!P107,IF('INHERENT MAP'!$B$5=2022,#REF!,IF('INHERENT MAP'!$B$5=2023,#REF!,IF('INHERENT MAP'!$B$5=2024,#REF!,#REF!))))</f>
        <v>0</v>
      </c>
      <c r="M53" t="str">
        <f>IF('INHERENT MAP'!$B$5=2021,IF('РЕЕСТР РИСКОВ_2023'!Q107="",M52,'РЕЕСТР РИСКОВ_2023'!Q107),IF('INHERENT MAP'!$B$5=2022,IF(#REF!="",M52,#REF!),IF('INHERENT MAP'!$B$5=2023,IF(#REF!="",M52,#REF!),IF('INHERENT MAP'!$B$5=2024,IF(#REF!="",M52,#REF!),IF('РЕЕСТР РИСКОВ_2023'!Q107="",M52,'РЕЕСТР РИСКОВ_2023'!Q107)))))</f>
        <v xml:space="preserve">Возможно снижение объема перевозок с участием железных дорог Казахстана и Украины через сухопутные погранпереходы на 2 272 тыс. тонн, в том числе казахстанский экспорт на Украину 1587 тыс. тонн, импорт в Казахстан из Украины 136 тыс. тонн, транзит по территории Казахстана из/в/через Украину 550 тыс. тонн за год.
В 1 квартале 2022 года были введены санкции против Российской Федерации, в связи с вторжением на территорию Украины, при этом на РЖД санкции не введены (в части операционной деятельности по перевозкам). </v>
      </c>
      <c r="N53" t="str">
        <f>IF('INHERENT MAP'!$B$5=2021,IF('РЕЕСТР РИСКОВ_2023'!R107="",N52,'РЕЕСТР РИСКОВ_2023'!R107),IF('INHERENT MAP'!$B$5=2022,IF(#REF!="",N52,#REF!),IF('INHERENT MAP'!$B$5=2023,IF(#REF!="",N52,#REF!),IF('INHERENT MAP'!$B$5=2024,IF(#REF!="",N52,#REF!),IF('РЕЕСТР РИСКОВ_2023'!R107="",N52,'РЕЕСТР РИСКОВ_2023'!R107)))))</f>
        <v>Ситуация  на приграничных станциях с КНР остается сложной.  Из-за жёстких ограничительных антиковидных мер соседняя страна не принимает груженые вагоны. Растет  количество брошенных поездов, что негативно сказывается на пропускной  способности магистральной сети Казахстана.</v>
      </c>
      <c r="O53">
        <f>'РЕЕСТР РИСКОВ_2023'!T107</f>
        <v>0</v>
      </c>
      <c r="P53">
        <f>IF('РЕЕСТР РИСКОВ_2023'!U107="",P52,'РЕЕСТР РИСКОВ_2023'!U107)</f>
        <v>0</v>
      </c>
      <c r="Q53" t="str">
        <f>IF('РЕЕСТР РИСКОВ_2023'!V107="",Q52,'РЕЕСТР РИСКОВ_2023'!V107)</f>
        <v>Угрозы</v>
      </c>
      <c r="R53" t="str">
        <f>IF('РЕЕСТР РИСКОВ_2023'!W107="",R52,'РЕЕСТР РИСКОВ_2023'!W107)</f>
        <v>Количество брошенных поездов</v>
      </c>
      <c r="S53">
        <f>'РЕЕСТР РИСКОВ_2023'!X107</f>
        <v>0</v>
      </c>
      <c r="T53" s="94">
        <f>IF('INHERENT MAP'!$B$5=2021,'РЕЕСТР РИСКОВ_2023'!Y107,IF('INHERENT MAP'!$B$5=2022,#REF!,IF('INHERENT MAP'!$B$5=2023,#REF!,IF('INHERENT MAP'!$B$5=2024,#REF!,#REF!))))</f>
        <v>0.2</v>
      </c>
      <c r="U53">
        <f>IF('INHERENT MAP'!$B$5=2021,'РЕЕСТР РИСКОВ_2023'!Z107,IF('INHERENT MAP'!$B$5=2022,#REF!,IF('INHERENT MAP'!$B$5=2023,#REF!,IF('INHERENT MAP'!$B$5=2024,#REF!,#REF!))))</f>
        <v>-7200</v>
      </c>
      <c r="V53">
        <f>IF('INHERENT MAP'!$B$5=2021,'РЕЕСТР РИСКОВ_2023'!AA107,IF('INHERENT MAP'!$B$5=2022,#REF!,IF('INHERENT MAP'!$B$5=2023,#REF!,IF('INHERENT MAP'!$B$5=2024,#REF!,#REF!))))</f>
        <v>-1440</v>
      </c>
      <c r="W53" t="str">
        <f>IF('INHERENT MAP'!$B$5=2021,'РЕЕСТР РИСКОВ_2023'!AB107,IF('INHERENT MAP'!$B$5=2022,#REF!,IF('INHERENT MAP'!$B$5=2023,#REF!,IF('INHERENT MAP'!$B$5=2024,#REF!,#REF!))))</f>
        <v>Ориентировочно потери на 2023г могут составить 7,2 млрд. тенге до конца года по маршруту из/в/через Украину</v>
      </c>
      <c r="X53" s="94">
        <f>IF('INHERENT MAP'!$B$5=2021,'РЕЕСТР РИСКОВ_2023'!AC107,IF('INHERENT MAP'!$B$5=2022,#REF!,IF('INHERENT MAP'!$B$5=2023,#REF!,IF('INHERENT MAP'!$B$5=2024,#REF!,#REF!))))</f>
        <v>0.2</v>
      </c>
      <c r="Y53">
        <f>IF('INHERENT MAP'!$B$5=2021,'РЕЕСТР РИСКОВ_2023'!AD107,IF('INHERENT MAP'!$B$5=2022,#REF!,IF('INHERENT MAP'!$B$5=2023,#REF!,IF('INHERENT MAP'!$B$5=2024,#REF!,#REF!))))</f>
        <v>-7200</v>
      </c>
      <c r="Z53">
        <f>IF('INHERENT MAP'!$B$5=2021,'РЕЕСТР РИСКОВ_2023'!AE107,IF('INHERENT MAP'!$B$5=2022,#REF!,IF('INHERENT MAP'!$B$5=2023,#REF!,IF('INHERENT MAP'!$B$5=2024,#REF!,#REF!))))</f>
        <v>-1440</v>
      </c>
      <c r="AA53">
        <f>IF('INHERENT MAP'!$B$5=2021,'РЕЕСТР РИСКОВ_2023'!AF107,IF('INHERENT MAP'!$B$5=2022,#REF!,IF('INHERENT MAP'!$B$5=2023,#REF!,IF('INHERENT MAP'!$B$5=2024,#REF!,#REF!))))</f>
        <v>0</v>
      </c>
      <c r="AB53">
        <f>IF('INHERENT MAP'!$B$5=2021,'РЕЕСТР РИСКОВ_2023'!AG107,IF('INHERENT MAP'!$B$5=2022,#REF!,IF('INHERENT MAP'!$B$5=2023,#REF!,IF('INHERENT MAP'!$B$5=2024,#REF!,#REF!))))</f>
        <v>0</v>
      </c>
      <c r="AC53">
        <f>IF('INHERENT MAP'!$B$5=2021,'РЕЕСТР РИСКОВ_2023'!AH107,IF('INHERENT MAP'!$B$5=2022,#REF!,IF('INHERENT MAP'!$B$5=2023,#REF!,IF('INHERENT MAP'!$B$5=2024,#REF!,#REF!))))</f>
        <v>0</v>
      </c>
      <c r="AD53" t="str">
        <f>IF('INHERENT MAP'!$B$5=2021,'РЕЕСТР РИСКОВ_2023'!AI107,IF('INHERENT MAP'!$B$5=2022,#REF!,IF('INHERENT MAP'!$B$5=2023,#REF!,IF('INHERENT MAP'!$B$5=2024,#REF!,#REF!))))</f>
        <v>Рассмотреть возможность альтернативных маршрутов</v>
      </c>
      <c r="AE53">
        <f>IF('INHERENT MAP'!$B$5=2021,'РЕЕСТР РИСКОВ_2023'!AK107,IF('INHERENT MAP'!$B$5=2022,#REF!,IF('INHERENT MAP'!$B$5=2023,#REF!,IF('INHERENT MAP'!$B$5=2024,#REF!,#REF!))))</f>
        <v>0</v>
      </c>
      <c r="AF53">
        <f>IF('INHERENT MAP'!$B$5=2021,'РЕЕСТР РИСКОВ_2023'!AL107,IF('INHERENT MAP'!$B$5=2022,#REF!,IF('INHERENT MAP'!$B$5=2023,#REF!,IF('INHERENT MAP'!$B$5=2024,#REF!,#REF!))))</f>
        <v>0</v>
      </c>
      <c r="AG53" t="str">
        <f>IF('INHERENT MAP'!$B$5=2021,'РЕЕСТР РИСКОВ_2023'!AM107,IF('INHERENT MAP'!$B$5=2022,#REF!,IF('INHERENT MAP'!$B$5=2023,#REF!,IF('INHERENT MAP'!$B$5=2024,#REF!,#REF!))))</f>
        <v>низкая</v>
      </c>
      <c r="AH53">
        <f>IF('INHERENT MAP'!$B$5=2021,'РЕЕСТР РИСКОВ_2023'!AN107,IF('INHERENT MAP'!$B$5=2022,#REF!,IF('INHERENT MAP'!$B$5=2023,#REF!,IF('INHERENT MAP'!$B$5=2024,#REF!,#REF!))))</f>
        <v>0.2</v>
      </c>
      <c r="AI53">
        <f>IF('INHERENT MAP'!$B$5=2021,'РЕЕСТР РИСКОВ_2023'!AO107,IF('INHERENT MAP'!$B$5=2022,#REF!,IF('INHERENT MAP'!$B$5=2023,#REF!,IF('INHERENT MAP'!$B$5=2024,#REF!,#REF!))))</f>
        <v>-7200</v>
      </c>
      <c r="AJ53">
        <f>IF('INHERENT MAP'!$B$5=2021,'РЕЕСТР РИСКОВ_2023'!AP107,IF('INHERENT MAP'!$B$5=2022,#REF!,IF('INHERENT MAP'!$B$5=2023,#REF!,IF('INHERENT MAP'!$B$5=2024,#REF!,#REF!))))</f>
        <v>-1440</v>
      </c>
      <c r="AK53">
        <f>IF('РЕЕСТР РИСКОВ_2023'!AQ107="",AK52,'РЕЕСТР РИСКОВ_2023'!AQ107)</f>
        <v>-1440</v>
      </c>
      <c r="AL53">
        <f>IF('РЕЕСТР РИСКОВ_2023'!AR107="",AL52,'РЕЕСТР РИСКОВ_2023'!AR107)</f>
        <v>0.35</v>
      </c>
      <c r="AM53">
        <f>IF('РЕЕСТР РИСКОВ_2023'!AS107="",AM52,'РЕЕСТР РИСКОВ_2023'!AS107)</f>
        <v>-7200</v>
      </c>
      <c r="AN53">
        <f>IF('РЕЕСТР РИСКОВ_2023'!AT107="",AN52,'РЕЕСТР РИСКОВ_2023'!AT107)</f>
        <v>-1440</v>
      </c>
      <c r="AO53">
        <f>IF('РЕЕСТР РИСКОВ_2023'!AU107="",AO52,'РЕЕСТР РИСКОВ_2023'!AU107)</f>
        <v>0</v>
      </c>
    </row>
    <row r="54" spans="2:41">
      <c r="B54" t="str">
        <f>IF('INHERENT MAP'!$B$5=2021,IF('РЕЕСТР РИСКОВ_2023'!F108="",B53,'РЕЕСТР РИСКОВ_2023'!F108),IF('INHERENT MAP'!$B$5=2022,IF(#REF!="",B53,#REF!),IF('INHERENT MAP'!$B$5=2023,IF(#REF!="",B53,#REF!),IF('INHERENT MAP'!$B$5=2024,IF(#REF!="",B53,#REF!),IF('РЕЕСТР РИСКОВ_2023'!F108="",B53,'РЕЕСТР РИСКОВ_2023'!F108)))))</f>
        <v>СТРАНОВОЙ РИСК
 (Super Risk)</v>
      </c>
      <c r="C54" t="str">
        <f>IF('INHERENT MAP'!$B$5=2021,IF('РЕЕСТР РИСКОВ_2023'!G108="",C53,'РЕЕСТР РИСКОВ_2023'!G108),IF('INHERENT MAP'!$B$5=2022,IF(#REF!="",C53,#REF!),IF('INHERENT MAP'!$B$5=2023,IF(#REF!="",C53,#REF!),IF('INHERENT MAP'!$B$5=2024,IF(#REF!="",C53,#REF!),IF('РЕЕСТР РИСКОВ_2023'!G108="",C53,'РЕЕСТР РИСКОВ_2023'!G108)))))</f>
        <v>- (ХХХ) млн. Тенге</v>
      </c>
      <c r="D54" t="str">
        <f>IF('INHERENT MAP'!$B$5=2021,IF('РЕЕСТР РИСКОВ_2023'!H108="",D53,'РЕЕСТР РИСКОВ_2023'!H108),IF('INHERENT MAP'!$B$5=2022,IF(#REF!="",D53,#REF!),IF('INHERENT MAP'!$B$5=2023,IF(#REF!="",D53,#REF!),IF('INHERENT MAP'!$B$5=2024,IF(#REF!="",D53,#REF!),IF('РЕЕСТР РИСКОВ_2023'!H108="",D53,'РЕЕСТР РИСКОВ_2023'!H108)))))</f>
        <v>STR-2</v>
      </c>
      <c r="E54" t="str">
        <f>IF('INHERENT MAP'!$B$5=2021,IF('РЕЕСТР РИСКОВ_2023'!I108="",E53,'РЕЕСТР РИСКОВ_2023'!I108),IF('INHERENT MAP'!$B$5=2022,IF(#REF!="",E53,#REF!),IF('INHERENT MAP'!$B$5=2023,IF(#REF!="",E53,#REF!),IF('INHERENT MAP'!$B$5=2024,IF(#REF!="",E53,#REF!),IF('РЕЕСТР РИСКОВ_2023'!I108="",E53,'РЕЕСТР РИСКОВ_2023'!I108)))))</f>
        <v xml:space="preserve">ЦЗД, ЦЗЦ, ЦЗЛ
</v>
      </c>
      <c r="F54" t="str">
        <f>IF('INHERENT MAP'!$B$5=2021,IF('РЕЕСТР РИСКОВ_2023'!J108="",F53,'РЕЕСТР РИСКОВ_2023'!J108),IF('INHERENT MAP'!$B$5=2022,IF(#REF!="",F53,#REF!),IF('INHERENT MAP'!$B$5=2023,IF(#REF!="",F53,#REF!),IF('INHERENT MAP'!$B$5=2024,IF(#REF!="",F53,#REF!),IF('РЕЕСТР РИСКОВ_2023'!J108="",F53,'РЕЕСТР РИСКОВ_2023'!J108)))))</f>
        <v xml:space="preserve">ТОО "КТЖ-Грузовые перевозки"
</v>
      </c>
      <c r="G54" t="str">
        <f>IF('INHERENT MAP'!$B$5=2021,IF('РЕЕСТР РИСКОВ_2023'!K108="",G53,'РЕЕСТР РИСКОВ_2023'!K108),IF('INHERENT MAP'!$B$5=2022,IF(#REF!="",G53,#REF!),IF('INHERENT MAP'!$B$5=2023,IF(#REF!="",G53,#REF!),IF('INHERENT MAP'!$B$5=2024,IF(#REF!="",G53,#REF!),IF('РЕЕСТР РИСКОВ_2023'!K108="",G53,'РЕЕСТР РИСКОВ_2023'!K108)))))</f>
        <v>Применение навигационных пломб</v>
      </c>
      <c r="H54">
        <f>IF('INHERENT MAP'!$B$5=2021,'РЕЕСТР РИСКОВ_2023'!L108,IF('INHERENT MAP'!$B$5=2022,#REF!,IF('INHERENT MAP'!$B$5=2023,#REF!,IF('INHERENT MAP'!$B$5=2024,#REF!,#REF!))))</f>
        <v>0</v>
      </c>
      <c r="I54">
        <f>IF('INHERENT MAP'!$B$5=2021,'РЕЕСТР РИСКОВ_2023'!M108,IF('INHERENT MAP'!$B$5=2022,#REF!,IF('INHERENT MAP'!$B$5=2023,#REF!,IF('INHERENT MAP'!$B$5=2024,#REF!,#REF!))))</f>
        <v>0</v>
      </c>
      <c r="J54">
        <f>IF('INHERENT MAP'!$B$5=2021,'РЕЕСТР РИСКОВ_2023'!N108,IF('INHERENT MAP'!$B$5=2022,#REF!,IF('INHERENT MAP'!$B$5=2023,#REF!,IF('INHERENT MAP'!$B$5=2024,#REF!,#REF!))))</f>
        <v>0</v>
      </c>
      <c r="K54">
        <f>IF('INHERENT MAP'!$B$5=2021,'РЕЕСТР РИСКОВ_2023'!O108,IF('INHERENT MAP'!$B$5=2022,#REF!,IF('INHERENT MAP'!$B$5=2023,#REF!,IF('INHERENT MAP'!$B$5=2024,#REF!,#REF!))))</f>
        <v>0</v>
      </c>
      <c r="L54">
        <f>IF('INHERENT MAP'!$B$5=2021,'РЕЕСТР РИСКОВ_2023'!P108,IF('INHERENT MAP'!$B$5=2022,#REF!,IF('INHERENT MAP'!$B$5=2023,#REF!,IF('INHERENT MAP'!$B$5=2024,#REF!,#REF!))))</f>
        <v>0</v>
      </c>
      <c r="M54" t="str">
        <f>IF('INHERENT MAP'!$B$5=2021,IF('РЕЕСТР РИСКОВ_2023'!Q108="",M53,'РЕЕСТР РИСКОВ_2023'!Q108),IF('INHERENT MAP'!$B$5=2022,IF(#REF!="",M53,#REF!),IF('INHERENT MAP'!$B$5=2023,IF(#REF!="",M53,#REF!),IF('INHERENT MAP'!$B$5=2024,IF(#REF!="",M53,#REF!),IF('РЕЕСТР РИСКОВ_2023'!Q108="",M53,'РЕЕСТР РИСКОВ_2023'!Q108)))))</f>
        <v>Обязательное навешивание/снятие работниками перевозчика на станциях электронных навигационных пломб при перевозке грузов железнодорожным транспортом, их документальное оформление, что повлечет увеличение технологического и коммерческого времени на обработку поездов</v>
      </c>
      <c r="N54" t="str">
        <f>IF('INHERENT MAP'!$B$5=2021,IF('РЕЕСТР РИСКОВ_2023'!R108="",N53,'РЕЕСТР РИСКОВ_2023'!R108),IF('INHERENT MAP'!$B$5=2022,IF(#REF!="",N53,#REF!),IF('INHERENT MAP'!$B$5=2023,IF(#REF!="",N53,#REF!),IF('INHERENT MAP'!$B$5=2024,IF(#REF!="",N53,#REF!),IF('РЕЕСТР РИСКОВ_2023'!R108="",N53,'РЕЕСТР РИСКОВ_2023'!R108)))))</f>
        <v>Снижение количества обрабатываемых поездов</v>
      </c>
      <c r="O54">
        <f>'РЕЕСТР РИСКОВ_2023'!T108</f>
        <v>0</v>
      </c>
      <c r="P54">
        <f>IF('РЕЕСТР РИСКОВ_2023'!U108="",P53,'РЕЕСТР РИСКОВ_2023'!U108)</f>
        <v>0</v>
      </c>
      <c r="Q54" t="str">
        <f>IF('РЕЕСТР РИСКОВ_2023'!V108="",Q53,'РЕЕСТР РИСКОВ_2023'!V108)</f>
        <v>Угрозы</v>
      </c>
      <c r="R54" t="str">
        <f>IF('РЕЕСТР РИСКОВ_2023'!W108="",R53,'РЕЕСТР РИСКОВ_2023'!W108)</f>
        <v>Количество брошенных поездов</v>
      </c>
      <c r="S54">
        <f>'РЕЕСТР РИСКОВ_2023'!X108</f>
        <v>0</v>
      </c>
      <c r="T54" s="94">
        <f>IF('INHERENT MAP'!$B$5=2021,'РЕЕСТР РИСКОВ_2023'!Y108,IF('INHERENT MAP'!$B$5=2022,#REF!,IF('INHERENT MAP'!$B$5=2023,#REF!,IF('INHERENT MAP'!$B$5=2024,#REF!,#REF!))))</f>
        <v>1</v>
      </c>
      <c r="U54">
        <f>IF('INHERENT MAP'!$B$5=2021,'РЕЕСТР РИСКОВ_2023'!Z108,IF('INHERENT MAP'!$B$5=2022,#REF!,IF('INHERENT MAP'!$B$5=2023,#REF!,IF('INHERENT MAP'!$B$5=2024,#REF!,#REF!))))</f>
        <v>0</v>
      </c>
      <c r="V54">
        <f>IF('INHERENT MAP'!$B$5=2021,'РЕЕСТР РИСКОВ_2023'!AA108,IF('INHERENT MAP'!$B$5=2022,#REF!,IF('INHERENT MAP'!$B$5=2023,#REF!,IF('INHERENT MAP'!$B$5=2024,#REF!,#REF!))))</f>
        <v>0</v>
      </c>
      <c r="W54">
        <f>IF('INHERENT MAP'!$B$5=2021,'РЕЕСТР РИСКОВ_2023'!AB108,IF('INHERENT MAP'!$B$5=2022,#REF!,IF('INHERENT MAP'!$B$5=2023,#REF!,IF('INHERENT MAP'!$B$5=2024,#REF!,#REF!))))</f>
        <v>0</v>
      </c>
      <c r="X54" s="94">
        <f>IF('INHERENT MAP'!$B$5=2021,'РЕЕСТР РИСКОВ_2023'!AC108,IF('INHERENT MAP'!$B$5=2022,#REF!,IF('INHERENT MAP'!$B$5=2023,#REF!,IF('INHERENT MAP'!$B$5=2024,#REF!,#REF!))))</f>
        <v>0</v>
      </c>
      <c r="Y54">
        <f>IF('INHERENT MAP'!$B$5=2021,'РЕЕСТР РИСКОВ_2023'!AD108,IF('INHERENT MAP'!$B$5=2022,#REF!,IF('INHERENT MAP'!$B$5=2023,#REF!,IF('INHERENT MAP'!$B$5=2024,#REF!,#REF!))))</f>
        <v>0</v>
      </c>
      <c r="Z54">
        <f>IF('INHERENT MAP'!$B$5=2021,'РЕЕСТР РИСКОВ_2023'!AE108,IF('INHERENT MAP'!$B$5=2022,#REF!,IF('INHERENT MAP'!$B$5=2023,#REF!,IF('INHERENT MAP'!$B$5=2024,#REF!,#REF!))))</f>
        <v>0</v>
      </c>
      <c r="AA54">
        <f>IF('INHERENT MAP'!$B$5=2021,'РЕЕСТР РИСКОВ_2023'!AF108,IF('INHERENT MAP'!$B$5=2022,#REF!,IF('INHERENT MAP'!$B$5=2023,#REF!,IF('INHERENT MAP'!$B$5=2024,#REF!,#REF!))))</f>
        <v>0</v>
      </c>
      <c r="AB54">
        <f>IF('INHERENT MAP'!$B$5=2021,'РЕЕСТР РИСКОВ_2023'!AG108,IF('INHERENT MAP'!$B$5=2022,#REF!,IF('INHERENT MAP'!$B$5=2023,#REF!,IF('INHERENT MAP'!$B$5=2024,#REF!,#REF!))))</f>
        <v>0</v>
      </c>
      <c r="AC54">
        <f>IF('INHERENT MAP'!$B$5=2021,'РЕЕСТР РИСКОВ_2023'!AH108,IF('INHERENT MAP'!$B$5=2022,#REF!,IF('INHERENT MAP'!$B$5=2023,#REF!,IF('INHERENT MAP'!$B$5=2024,#REF!,#REF!))))</f>
        <v>0</v>
      </c>
      <c r="AD54" t="str">
        <f>IF('INHERENT MAP'!$B$5=2021,'РЕЕСТР РИСКОВ_2023'!AI108,IF('INHERENT MAP'!$B$5=2022,#REF!,IF('INHERENT MAP'!$B$5=2023,#REF!,IF('INHERENT MAP'!$B$5=2024,#REF!,#REF!))))</f>
        <v>Подготовка и внесение в государственные органы РК предложений по реализации Соглашения о применении навигационных пломб в ЕАЭС для отслеживания перевозок, в части подготовки проектов документов ЕЭК, а также национального уровня при необходимости, отвечающих интересам Компании; Участие в переговорных процессах на площадках ЕЭК, государственных органов, НПП РК по обсуждению указанных проектов</v>
      </c>
      <c r="AE54" t="str">
        <f>IF('INHERENT MAP'!$B$5=2021,'РЕЕСТР РИСКОВ_2023'!AK108,IF('INHERENT MAP'!$B$5=2022,#REF!,IF('INHERENT MAP'!$B$5=2023,#REF!,IF('INHERENT MAP'!$B$5=2024,#REF!,#REF!))))</f>
        <v>ЦИП, ГП</v>
      </c>
      <c r="AF54">
        <f>IF('INHERENT MAP'!$B$5=2021,'РЕЕСТР РИСКОВ_2023'!AL108,IF('INHERENT MAP'!$B$5=2022,#REF!,IF('INHERENT MAP'!$B$5=2023,#REF!,IF('INHERENT MAP'!$B$5=2024,#REF!,#REF!))))</f>
        <v>0</v>
      </c>
      <c r="AG54" t="str">
        <f>IF('INHERENT MAP'!$B$5=2021,'РЕЕСТР РИСКОВ_2023'!AM108,IF('INHERENT MAP'!$B$5=2022,#REF!,IF('INHERENT MAP'!$B$5=2023,#REF!,IF('INHERENT MAP'!$B$5=2024,#REF!,#REF!))))</f>
        <v>средняя</v>
      </c>
      <c r="AH54">
        <f>IF('INHERENT MAP'!$B$5=2021,'РЕЕСТР РИСКОВ_2023'!AN108,IF('INHERENT MAP'!$B$5=2022,#REF!,IF('INHERENT MAP'!$B$5=2023,#REF!,IF('INHERENT MAP'!$B$5=2024,#REF!,#REF!))))</f>
        <v>0.5</v>
      </c>
      <c r="AI54">
        <f>IF('INHERENT MAP'!$B$5=2021,'РЕЕСТР РИСКОВ_2023'!AO108,IF('INHERENT MAP'!$B$5=2022,#REF!,IF('INHERENT MAP'!$B$5=2023,#REF!,IF('INHERENT MAP'!$B$5=2024,#REF!,#REF!))))</f>
        <v>0</v>
      </c>
      <c r="AJ54">
        <f>IF('INHERENT MAP'!$B$5=2021,'РЕЕСТР РИСКОВ_2023'!AP108,IF('INHERENT MAP'!$B$5=2022,#REF!,IF('INHERENT MAP'!$B$5=2023,#REF!,IF('INHERENT MAP'!$B$5=2024,#REF!,#REF!))))</f>
        <v>0</v>
      </c>
      <c r="AK54">
        <f>IF('РЕЕСТР РИСКОВ_2023'!AQ108="",AK53,'РЕЕСТР РИСКОВ_2023'!AQ108)</f>
        <v>0</v>
      </c>
      <c r="AL54">
        <f>IF('РЕЕСТР РИСКОВ_2023'!AR108="",AL53,'РЕЕСТР РИСКОВ_2023'!AR108)</f>
        <v>0.35</v>
      </c>
      <c r="AM54">
        <f>IF('РЕЕСТР РИСКОВ_2023'!AS108="",AM53,'РЕЕСТР РИСКОВ_2023'!AS108)</f>
        <v>-7200</v>
      </c>
      <c r="AN54">
        <f>IF('РЕЕСТР РИСКОВ_2023'!AT108="",AN53,'РЕЕСТР РИСКОВ_2023'!AT108)</f>
        <v>-1440</v>
      </c>
      <c r="AO54">
        <f>IF('РЕЕСТР РИСКОВ_2023'!AU108="",AO53,'РЕЕСТР РИСКОВ_2023'!AU108)</f>
        <v>0</v>
      </c>
    </row>
    <row r="55" spans="2:41">
      <c r="B55" t="str">
        <f>IF('INHERENT MAP'!$B$5=2021,IF('РЕЕСТР РИСКОВ_2023'!F109="",B54,'РЕЕСТР РИСКОВ_2023'!F109),IF('INHERENT MAP'!$B$5=2022,IF(#REF!="",B54,#REF!),IF('INHERENT MAP'!$B$5=2023,IF(#REF!="",B54,#REF!),IF('INHERENT MAP'!$B$5=2024,IF(#REF!="",B54,#REF!),IF('РЕЕСТР РИСКОВ_2023'!F109="",B54,'РЕЕСТР РИСКОВ_2023'!F109)))))</f>
        <v>СТРАНОВОЙ РИСК
 (Super Risk)</v>
      </c>
      <c r="C55" t="str">
        <f>IF('INHERENT MAP'!$B$5=2021,IF('РЕЕСТР РИСКОВ_2023'!G109="",C54,'РЕЕСТР РИСКОВ_2023'!G109),IF('INHERENT MAP'!$B$5=2022,IF(#REF!="",C54,#REF!),IF('INHERENT MAP'!$B$5=2023,IF(#REF!="",C54,#REF!),IF('INHERENT MAP'!$B$5=2024,IF(#REF!="",C54,#REF!),IF('РЕЕСТР РИСКОВ_2023'!G109="",C54,'РЕЕСТР РИСКОВ_2023'!G109)))))</f>
        <v>- (ХХХ) млн. Тенге</v>
      </c>
      <c r="D55" t="str">
        <f>IF('INHERENT MAP'!$B$5=2021,IF('РЕЕСТР РИСКОВ_2023'!H109="",D54,'РЕЕСТР РИСКОВ_2023'!H109),IF('INHERENT MAP'!$B$5=2022,IF(#REF!="",D54,#REF!),IF('INHERENT MAP'!$B$5=2023,IF(#REF!="",D54,#REF!),IF('INHERENT MAP'!$B$5=2024,IF(#REF!="",D54,#REF!),IF('РЕЕСТР РИСКОВ_2023'!H109="",D54,'РЕЕСТР РИСКОВ_2023'!H109)))))</f>
        <v>STR-2</v>
      </c>
      <c r="E55" t="str">
        <f>IF('INHERENT MAP'!$B$5=2021,IF('РЕЕСТР РИСКОВ_2023'!I109="",E54,'РЕЕСТР РИСКОВ_2023'!I109),IF('INHERENT MAP'!$B$5=2022,IF(#REF!="",E54,#REF!),IF('INHERENT MAP'!$B$5=2023,IF(#REF!="",E54,#REF!),IF('INHERENT MAP'!$B$5=2024,IF(#REF!="",E54,#REF!),IF('РЕЕСТР РИСКОВ_2023'!I109="",E54,'РЕЕСТР РИСКОВ_2023'!I109)))))</f>
        <v xml:space="preserve">ЦЗД, ЦЗЦ, ЦЗЛ
</v>
      </c>
      <c r="F55" t="str">
        <f>IF('INHERENT MAP'!$B$5=2021,IF('РЕЕСТР РИСКОВ_2023'!J109="",F54,'РЕЕСТР РИСКОВ_2023'!J109),IF('INHERENT MAP'!$B$5=2022,IF(#REF!="",F54,#REF!),IF('INHERENT MAP'!$B$5=2023,IF(#REF!="",F54,#REF!),IF('INHERENT MAP'!$B$5=2024,IF(#REF!="",F54,#REF!),IF('РЕЕСТР РИСКОВ_2023'!J109="",F54,'РЕЕСТР РИСКОВ_2023'!J109)))))</f>
        <v xml:space="preserve">ТОО "КТЖ-Грузовые перевозки"
</v>
      </c>
      <c r="G55" t="str">
        <f>IF('INHERENT MAP'!$B$5=2021,IF('РЕЕСТР РИСКОВ_2023'!K109="",G54,'РЕЕСТР РИСКОВ_2023'!K109),IF('INHERENT MAP'!$B$5=2022,IF(#REF!="",G54,#REF!),IF('INHERENT MAP'!$B$5=2023,IF(#REF!="",G54,#REF!),IF('INHERENT MAP'!$B$5=2024,IF(#REF!="",G54,#REF!),IF('РЕЕСТР РИСКОВ_2023'!K109="",G54,'РЕЕСТР РИСКОВ_2023'!K109)))))</f>
        <v>Применение навигационных пломб</v>
      </c>
      <c r="H55">
        <f>IF('INHERENT MAP'!$B$5=2021,'РЕЕСТР РИСКОВ_2023'!L109,IF('INHERENT MAP'!$B$5=2022,#REF!,IF('INHERENT MAP'!$B$5=2023,#REF!,IF('INHERENT MAP'!$B$5=2024,#REF!,#REF!))))</f>
        <v>0</v>
      </c>
      <c r="I55">
        <f>IF('INHERENT MAP'!$B$5=2021,'РЕЕСТР РИСКОВ_2023'!M109,IF('INHERENT MAP'!$B$5=2022,#REF!,IF('INHERENT MAP'!$B$5=2023,#REF!,IF('INHERENT MAP'!$B$5=2024,#REF!,#REF!))))</f>
        <v>0</v>
      </c>
      <c r="J55">
        <f>IF('INHERENT MAP'!$B$5=2021,'РЕЕСТР РИСКОВ_2023'!N109,IF('INHERENT MAP'!$B$5=2022,#REF!,IF('INHERENT MAP'!$B$5=2023,#REF!,IF('INHERENT MAP'!$B$5=2024,#REF!,#REF!))))</f>
        <v>0</v>
      </c>
      <c r="K55">
        <f>IF('INHERENT MAP'!$B$5=2021,'РЕЕСТР РИСКОВ_2023'!O109,IF('INHERENT MAP'!$B$5=2022,#REF!,IF('INHERENT MAP'!$B$5=2023,#REF!,IF('INHERENT MAP'!$B$5=2024,#REF!,#REF!))))</f>
        <v>0</v>
      </c>
      <c r="L55">
        <f>IF('INHERENT MAP'!$B$5=2021,'РЕЕСТР РИСКОВ_2023'!P109,IF('INHERENT MAP'!$B$5=2022,#REF!,IF('INHERENT MAP'!$B$5=2023,#REF!,IF('INHERENT MAP'!$B$5=2024,#REF!,#REF!))))</f>
        <v>0</v>
      </c>
      <c r="M55" t="str">
        <f>IF('INHERENT MAP'!$B$5=2021,IF('РЕЕСТР РИСКОВ_2023'!Q109="",M54,'РЕЕСТР РИСКОВ_2023'!Q109),IF('INHERENT MAP'!$B$5=2022,IF(#REF!="",M54,#REF!),IF('INHERENT MAP'!$B$5=2023,IF(#REF!="",M54,#REF!),IF('INHERENT MAP'!$B$5=2024,IF(#REF!="",M54,#REF!),IF('РЕЕСТР РИСКОВ_2023'!Q109="",M54,'РЕЕСТР РИСКОВ_2023'!Q109)))))</f>
        <v>Обязательное навешивание/снятие работниками перевозчика на станциях электронных навигационных пломб при перевозке грузов железнодорожным транспортом, их документальное оформление, что повлечет увеличение технологического и коммерческого времени на обработку поездов</v>
      </c>
      <c r="N55" t="str">
        <f>IF('INHERENT MAP'!$B$5=2021,IF('РЕЕСТР РИСКОВ_2023'!R109="",N54,'РЕЕСТР РИСКОВ_2023'!R109),IF('INHERENT MAP'!$B$5=2022,IF(#REF!="",N54,#REF!),IF('INHERENT MAP'!$B$5=2023,IF(#REF!="",N54,#REF!),IF('INHERENT MAP'!$B$5=2024,IF(#REF!="",N54,#REF!),IF('РЕЕСТР РИСКОВ_2023'!R109="",N54,'РЕЕСТР РИСКОВ_2023'!R109)))))</f>
        <v>Снижение объемов перевозки</v>
      </c>
      <c r="O55">
        <f>'РЕЕСТР РИСКОВ_2023'!T109</f>
        <v>0</v>
      </c>
      <c r="P55">
        <f>IF('РЕЕСТР РИСКОВ_2023'!U109="",P54,'РЕЕСТР РИСКОВ_2023'!U109)</f>
        <v>0</v>
      </c>
      <c r="Q55" t="str">
        <f>IF('РЕЕСТР РИСКОВ_2023'!V109="",Q54,'РЕЕСТР РИСКОВ_2023'!V109)</f>
        <v>Угрозы</v>
      </c>
      <c r="R55" t="str">
        <f>IF('РЕЕСТР РИСКОВ_2023'!W109="",R54,'РЕЕСТР РИСКОВ_2023'!W109)</f>
        <v>Количество брошенных поездов</v>
      </c>
      <c r="S55">
        <f>'РЕЕСТР РИСКОВ_2023'!X109</f>
        <v>0</v>
      </c>
      <c r="T55" s="94">
        <f>IF('INHERENT MAP'!$B$5=2021,'РЕЕСТР РИСКОВ_2023'!Y109,IF('INHERENT MAP'!$B$5=2022,#REF!,IF('INHERENT MAP'!$B$5=2023,#REF!,IF('INHERENT MAP'!$B$5=2024,#REF!,#REF!))))</f>
        <v>0</v>
      </c>
      <c r="U55">
        <f>IF('INHERENT MAP'!$B$5=2021,'РЕЕСТР РИСКОВ_2023'!Z109,IF('INHERENT MAP'!$B$5=2022,#REF!,IF('INHERENT MAP'!$B$5=2023,#REF!,IF('INHERENT MAP'!$B$5=2024,#REF!,#REF!))))</f>
        <v>0</v>
      </c>
      <c r="V55">
        <f>IF('INHERENT MAP'!$B$5=2021,'РЕЕСТР РИСКОВ_2023'!AA109,IF('INHERENT MAP'!$B$5=2022,#REF!,IF('INHERENT MAP'!$B$5=2023,#REF!,IF('INHERENT MAP'!$B$5=2024,#REF!,#REF!))))</f>
        <v>0</v>
      </c>
      <c r="W55">
        <f>IF('INHERENT MAP'!$B$5=2021,'РЕЕСТР РИСКОВ_2023'!AB109,IF('INHERENT MAP'!$B$5=2022,#REF!,IF('INHERENT MAP'!$B$5=2023,#REF!,IF('INHERENT MAP'!$B$5=2024,#REF!,#REF!))))</f>
        <v>0</v>
      </c>
      <c r="X55" s="94">
        <f>IF('INHERENT MAP'!$B$5=2021,'РЕЕСТР РИСКОВ_2023'!AC109,IF('INHERENT MAP'!$B$5=2022,#REF!,IF('INHERENT MAP'!$B$5=2023,#REF!,IF('INHERENT MAP'!$B$5=2024,#REF!,#REF!))))</f>
        <v>0</v>
      </c>
      <c r="Y55">
        <f>IF('INHERENT MAP'!$B$5=2021,'РЕЕСТР РИСКОВ_2023'!AD109,IF('INHERENT MAP'!$B$5=2022,#REF!,IF('INHERENT MAP'!$B$5=2023,#REF!,IF('INHERENT MAP'!$B$5=2024,#REF!,#REF!))))</f>
        <v>0</v>
      </c>
      <c r="Z55">
        <f>IF('INHERENT MAP'!$B$5=2021,'РЕЕСТР РИСКОВ_2023'!AE109,IF('INHERENT MAP'!$B$5=2022,#REF!,IF('INHERENT MAP'!$B$5=2023,#REF!,IF('INHERENT MAP'!$B$5=2024,#REF!,#REF!))))</f>
        <v>0</v>
      </c>
      <c r="AA55">
        <f>IF('INHERENT MAP'!$B$5=2021,'РЕЕСТР РИСКОВ_2023'!AF109,IF('INHERENT MAP'!$B$5=2022,#REF!,IF('INHERENT MAP'!$B$5=2023,#REF!,IF('INHERENT MAP'!$B$5=2024,#REF!,#REF!))))</f>
        <v>0</v>
      </c>
      <c r="AB55">
        <f>IF('INHERENT MAP'!$B$5=2021,'РЕЕСТР РИСКОВ_2023'!AG109,IF('INHERENT MAP'!$B$5=2022,#REF!,IF('INHERENT MAP'!$B$5=2023,#REF!,IF('INHERENT MAP'!$B$5=2024,#REF!,#REF!))))</f>
        <v>0</v>
      </c>
      <c r="AC55">
        <f>IF('INHERENT MAP'!$B$5=2021,'РЕЕСТР РИСКОВ_2023'!AH109,IF('INHERENT MAP'!$B$5=2022,#REF!,IF('INHERENT MAP'!$B$5=2023,#REF!,IF('INHERENT MAP'!$B$5=2024,#REF!,#REF!))))</f>
        <v>0</v>
      </c>
      <c r="AD55">
        <f>IF('INHERENT MAP'!$B$5=2021,'РЕЕСТР РИСКОВ_2023'!AI109,IF('INHERENT MAP'!$B$5=2022,#REF!,IF('INHERENT MAP'!$B$5=2023,#REF!,IF('INHERENT MAP'!$B$5=2024,#REF!,#REF!))))</f>
        <v>0</v>
      </c>
      <c r="AE55">
        <f>IF('INHERENT MAP'!$B$5=2021,'РЕЕСТР РИСКОВ_2023'!AK109,IF('INHERENT MAP'!$B$5=2022,#REF!,IF('INHERENT MAP'!$B$5=2023,#REF!,IF('INHERENT MAP'!$B$5=2024,#REF!,#REF!))))</f>
        <v>0</v>
      </c>
      <c r="AF55">
        <f>IF('INHERENT MAP'!$B$5=2021,'РЕЕСТР РИСКОВ_2023'!AL109,IF('INHERENT MAP'!$B$5=2022,#REF!,IF('INHERENT MAP'!$B$5=2023,#REF!,IF('INHERENT MAP'!$B$5=2024,#REF!,#REF!))))</f>
        <v>0</v>
      </c>
      <c r="AG55">
        <f>IF('INHERENT MAP'!$B$5=2021,'РЕЕСТР РИСКОВ_2023'!AM109,IF('INHERENT MAP'!$B$5=2022,#REF!,IF('INHERENT MAP'!$B$5=2023,#REF!,IF('INHERENT MAP'!$B$5=2024,#REF!,#REF!))))</f>
        <v>0</v>
      </c>
      <c r="AH55">
        <f>IF('INHERENT MAP'!$B$5=2021,'РЕЕСТР РИСКОВ_2023'!AN109,IF('INHERENT MAP'!$B$5=2022,#REF!,IF('INHERENT MAP'!$B$5=2023,#REF!,IF('INHERENT MAP'!$B$5=2024,#REF!,#REF!))))</f>
        <v>0</v>
      </c>
      <c r="AI55">
        <f>IF('INHERENT MAP'!$B$5=2021,'РЕЕСТР РИСКОВ_2023'!AO109,IF('INHERENT MAP'!$B$5=2022,#REF!,IF('INHERENT MAP'!$B$5=2023,#REF!,IF('INHERENT MAP'!$B$5=2024,#REF!,#REF!))))</f>
        <v>0</v>
      </c>
      <c r="AJ55">
        <f>IF('INHERENT MAP'!$B$5=2021,'РЕЕСТР РИСКОВ_2023'!AP109,IF('INHERENT MAP'!$B$5=2022,#REF!,IF('INHERENT MAP'!$B$5=2023,#REF!,IF('INHERENT MAP'!$B$5=2024,#REF!,#REF!))))</f>
        <v>0</v>
      </c>
      <c r="AK55">
        <f>IF('РЕЕСТР РИСКОВ_2023'!AQ109="",AK54,'РЕЕСТР РИСКОВ_2023'!AQ109)</f>
        <v>0</v>
      </c>
      <c r="AL55">
        <f>IF('РЕЕСТР РИСКОВ_2023'!AR109="",AL54,'РЕЕСТР РИСКОВ_2023'!AR109)</f>
        <v>0.35</v>
      </c>
      <c r="AM55">
        <f>IF('РЕЕСТР РИСКОВ_2023'!AS109="",AM54,'РЕЕСТР РИСКОВ_2023'!AS109)</f>
        <v>-7200</v>
      </c>
      <c r="AN55">
        <f>IF('РЕЕСТР РИСКОВ_2023'!AT109="",AN54,'РЕЕСТР РИСКОВ_2023'!AT109)</f>
        <v>-1440</v>
      </c>
      <c r="AO55">
        <f>IF('РЕЕСТР РИСКОВ_2023'!AU109="",AO54,'РЕЕСТР РИСКОВ_2023'!AU109)</f>
        <v>0</v>
      </c>
    </row>
    <row r="56" spans="2:41">
      <c r="B56" t="str">
        <f>IF('INHERENT MAP'!$B$5=2021,IF('РЕЕСТР РИСКОВ_2023'!F110="",B55,'РЕЕСТР РИСКОВ_2023'!F110),IF('INHERENT MAP'!$B$5=2022,IF(#REF!="",B55,#REF!),IF('INHERENT MAP'!$B$5=2023,IF(#REF!="",B55,#REF!),IF('INHERENT MAP'!$B$5=2024,IF(#REF!="",B55,#REF!),IF('РЕЕСТР РИСКОВ_2023'!F110="",B55,'РЕЕСТР РИСКОВ_2023'!F110)))))</f>
        <v>СТРАНОВОЙ РИСК
 (Super Risk)</v>
      </c>
      <c r="C56" t="str">
        <f>IF('INHERENT MAP'!$B$5=2021,IF('РЕЕСТР РИСКОВ_2023'!G110="",C55,'РЕЕСТР РИСКОВ_2023'!G110),IF('INHERENT MAP'!$B$5=2022,IF(#REF!="",C55,#REF!),IF('INHERENT MAP'!$B$5=2023,IF(#REF!="",C55,#REF!),IF('INHERENT MAP'!$B$5=2024,IF(#REF!="",C55,#REF!),IF('РЕЕСТР РИСКОВ_2023'!G110="",C55,'РЕЕСТР РИСКОВ_2023'!G110)))))</f>
        <v>- (ХХХ) млн. Тенге</v>
      </c>
      <c r="D56" t="str">
        <f>IF('INHERENT MAP'!$B$5=2021,IF('РЕЕСТР РИСКОВ_2023'!H110="",D55,'РЕЕСТР РИСКОВ_2023'!H110),IF('INHERENT MAP'!$B$5=2022,IF(#REF!="",D55,#REF!),IF('INHERENT MAP'!$B$5=2023,IF(#REF!="",D55,#REF!),IF('INHERENT MAP'!$B$5=2024,IF(#REF!="",D55,#REF!),IF('РЕЕСТР РИСКОВ_2023'!H110="",D55,'РЕЕСТР РИСКОВ_2023'!H110)))))</f>
        <v>STR-2</v>
      </c>
      <c r="E56" t="str">
        <f>IF('INHERENT MAP'!$B$5=2021,IF('РЕЕСТР РИСКОВ_2023'!I110="",E55,'РЕЕСТР РИСКОВ_2023'!I110),IF('INHERENT MAP'!$B$5=2022,IF(#REF!="",E55,#REF!),IF('INHERENT MAP'!$B$5=2023,IF(#REF!="",E55,#REF!),IF('INHERENT MAP'!$B$5=2024,IF(#REF!="",E55,#REF!),IF('РЕЕСТР РИСКОВ_2023'!I110="",E55,'РЕЕСТР РИСКОВ_2023'!I110)))))</f>
        <v xml:space="preserve">ЦЗД, ЦЗЦ, ЦЗЛ
</v>
      </c>
      <c r="F56" t="str">
        <f>IF('INHERENT MAP'!$B$5=2021,IF('РЕЕСТР РИСКОВ_2023'!J110="",F55,'РЕЕСТР РИСКОВ_2023'!J110),IF('INHERENT MAP'!$B$5=2022,IF(#REF!="",F55,#REF!),IF('INHERENT MAP'!$B$5=2023,IF(#REF!="",F55,#REF!),IF('INHERENT MAP'!$B$5=2024,IF(#REF!="",F55,#REF!),IF('РЕЕСТР РИСКОВ_2023'!J110="",F55,'РЕЕСТР РИСКОВ_2023'!J110)))))</f>
        <v xml:space="preserve">ТОО "КТЖ-Грузовые перевозки"
</v>
      </c>
      <c r="G56" t="str">
        <f>IF('INHERENT MAP'!$B$5=2021,IF('РЕЕСТР РИСКОВ_2023'!K110="",G55,'РЕЕСТР РИСКОВ_2023'!K110),IF('INHERENT MAP'!$B$5=2022,IF(#REF!="",G55,#REF!),IF('INHERENT MAP'!$B$5=2023,IF(#REF!="",G55,#REF!),IF('INHERENT MAP'!$B$5=2024,IF(#REF!="",G55,#REF!),IF('РЕЕСТР РИСКОВ_2023'!K110="",G55,'РЕЕСТР РИСКОВ_2023'!K110)))))</f>
        <v>Применение навигационных пломб</v>
      </c>
      <c r="H56">
        <f>IF('INHERENT MAP'!$B$5=2021,'РЕЕСТР РИСКОВ_2023'!L110,IF('INHERENT MAP'!$B$5=2022,#REF!,IF('INHERENT MAP'!$B$5=2023,#REF!,IF('INHERENT MAP'!$B$5=2024,#REF!,#REF!))))</f>
        <v>0</v>
      </c>
      <c r="I56">
        <f>IF('INHERENT MAP'!$B$5=2021,'РЕЕСТР РИСКОВ_2023'!M110,IF('INHERENT MAP'!$B$5=2022,#REF!,IF('INHERENT MAP'!$B$5=2023,#REF!,IF('INHERENT MAP'!$B$5=2024,#REF!,#REF!))))</f>
        <v>0</v>
      </c>
      <c r="J56">
        <f>IF('INHERENT MAP'!$B$5=2021,'РЕЕСТР РИСКОВ_2023'!N110,IF('INHERENT MAP'!$B$5=2022,#REF!,IF('INHERENT MAP'!$B$5=2023,#REF!,IF('INHERENT MAP'!$B$5=2024,#REF!,#REF!))))</f>
        <v>0</v>
      </c>
      <c r="K56">
        <f>IF('INHERENT MAP'!$B$5=2021,'РЕЕСТР РИСКОВ_2023'!O110,IF('INHERENT MAP'!$B$5=2022,#REF!,IF('INHERENT MAP'!$B$5=2023,#REF!,IF('INHERENT MAP'!$B$5=2024,#REF!,#REF!))))</f>
        <v>0</v>
      </c>
      <c r="L56">
        <f>IF('INHERENT MAP'!$B$5=2021,'РЕЕСТР РИСКОВ_2023'!P110,IF('INHERENT MAP'!$B$5=2022,#REF!,IF('INHERENT MAP'!$B$5=2023,#REF!,IF('INHERENT MAP'!$B$5=2024,#REF!,#REF!))))</f>
        <v>0</v>
      </c>
      <c r="M56" t="str">
        <f>IF('INHERENT MAP'!$B$5=2021,IF('РЕЕСТР РИСКОВ_2023'!Q110="",M55,'РЕЕСТР РИСКОВ_2023'!Q110),IF('INHERENT MAP'!$B$5=2022,IF(#REF!="",M55,#REF!),IF('INHERENT MAP'!$B$5=2023,IF(#REF!="",M55,#REF!),IF('INHERENT MAP'!$B$5=2024,IF(#REF!="",M55,#REF!),IF('РЕЕСТР РИСКОВ_2023'!Q110="",M55,'РЕЕСТР РИСКОВ_2023'!Q110)))))</f>
        <v>Обязательное навешивание/снятие работниками перевозчика на станциях электронных навигационных пломб при перевозке грузов железнодорожным транспортом, их документальное оформление, что повлечет увеличение технологического и коммерческого времени на обработку поездов</v>
      </c>
      <c r="N56" t="str">
        <f>IF('INHERENT MAP'!$B$5=2021,IF('РЕЕСТР РИСКОВ_2023'!R110="",N55,'РЕЕСТР РИСКОВ_2023'!R110),IF('INHERENT MAP'!$B$5=2022,IF(#REF!="",N55,#REF!),IF('INHERENT MAP'!$B$5=2023,IF(#REF!="",N55,#REF!),IF('INHERENT MAP'!$B$5=2024,IF(#REF!="",N55,#REF!),IF('РЕЕСТР РИСКОВ_2023'!R110="",N55,'РЕЕСТР РИСКОВ_2023'!R110)))))</f>
        <v>Потеря конкурентных преимуществ</v>
      </c>
      <c r="O56">
        <f>'РЕЕСТР РИСКОВ_2023'!T110</f>
        <v>0</v>
      </c>
      <c r="P56">
        <f>IF('РЕЕСТР РИСКОВ_2023'!U110="",P55,'РЕЕСТР РИСКОВ_2023'!U110)</f>
        <v>0</v>
      </c>
      <c r="Q56" t="str">
        <f>IF('РЕЕСТР РИСКОВ_2023'!V110="",Q55,'РЕЕСТР РИСКОВ_2023'!V110)</f>
        <v>Угрозы</v>
      </c>
      <c r="R56" t="str">
        <f>IF('РЕЕСТР РИСКОВ_2023'!W110="",R55,'РЕЕСТР РИСКОВ_2023'!W110)</f>
        <v>Количество брошенных поездов</v>
      </c>
      <c r="S56">
        <f>'РЕЕСТР РИСКОВ_2023'!X110</f>
        <v>0</v>
      </c>
      <c r="T56" s="94">
        <f>IF('INHERENT MAP'!$B$5=2021,'РЕЕСТР РИСКОВ_2023'!Y110,IF('INHERENT MAP'!$B$5=2022,#REF!,IF('INHERENT MAP'!$B$5=2023,#REF!,IF('INHERENT MAP'!$B$5=2024,#REF!,#REF!))))</f>
        <v>0</v>
      </c>
      <c r="U56">
        <f>IF('INHERENT MAP'!$B$5=2021,'РЕЕСТР РИСКОВ_2023'!Z110,IF('INHERENT MAP'!$B$5=2022,#REF!,IF('INHERENT MAP'!$B$5=2023,#REF!,IF('INHERENT MAP'!$B$5=2024,#REF!,#REF!))))</f>
        <v>0</v>
      </c>
      <c r="V56">
        <f>IF('INHERENT MAP'!$B$5=2021,'РЕЕСТР РИСКОВ_2023'!AA110,IF('INHERENT MAP'!$B$5=2022,#REF!,IF('INHERENT MAP'!$B$5=2023,#REF!,IF('INHERENT MAP'!$B$5=2024,#REF!,#REF!))))</f>
        <v>0</v>
      </c>
      <c r="W56">
        <f>IF('INHERENT MAP'!$B$5=2021,'РЕЕСТР РИСКОВ_2023'!AB110,IF('INHERENT MAP'!$B$5=2022,#REF!,IF('INHERENT MAP'!$B$5=2023,#REF!,IF('INHERENT MAP'!$B$5=2024,#REF!,#REF!))))</f>
        <v>0</v>
      </c>
      <c r="X56" s="94">
        <f>IF('INHERENT MAP'!$B$5=2021,'РЕЕСТР РИСКОВ_2023'!AC110,IF('INHERENT MAP'!$B$5=2022,#REF!,IF('INHERENT MAP'!$B$5=2023,#REF!,IF('INHERENT MAP'!$B$5=2024,#REF!,#REF!))))</f>
        <v>0</v>
      </c>
      <c r="Y56">
        <f>IF('INHERENT MAP'!$B$5=2021,'РЕЕСТР РИСКОВ_2023'!AD110,IF('INHERENT MAP'!$B$5=2022,#REF!,IF('INHERENT MAP'!$B$5=2023,#REF!,IF('INHERENT MAP'!$B$5=2024,#REF!,#REF!))))</f>
        <v>0</v>
      </c>
      <c r="Z56">
        <f>IF('INHERENT MAP'!$B$5=2021,'РЕЕСТР РИСКОВ_2023'!AE110,IF('INHERENT MAP'!$B$5=2022,#REF!,IF('INHERENT MAP'!$B$5=2023,#REF!,IF('INHERENT MAP'!$B$5=2024,#REF!,#REF!))))</f>
        <v>0</v>
      </c>
      <c r="AA56">
        <f>IF('INHERENT MAP'!$B$5=2021,'РЕЕСТР РИСКОВ_2023'!AF110,IF('INHERENT MAP'!$B$5=2022,#REF!,IF('INHERENT MAP'!$B$5=2023,#REF!,IF('INHERENT MAP'!$B$5=2024,#REF!,#REF!))))</f>
        <v>0</v>
      </c>
      <c r="AB56">
        <f>IF('INHERENT MAP'!$B$5=2021,'РЕЕСТР РИСКОВ_2023'!AG110,IF('INHERENT MAP'!$B$5=2022,#REF!,IF('INHERENT MAP'!$B$5=2023,#REF!,IF('INHERENT MAP'!$B$5=2024,#REF!,#REF!))))</f>
        <v>0</v>
      </c>
      <c r="AC56">
        <f>IF('INHERENT MAP'!$B$5=2021,'РЕЕСТР РИСКОВ_2023'!AH110,IF('INHERENT MAP'!$B$5=2022,#REF!,IF('INHERENT MAP'!$B$5=2023,#REF!,IF('INHERENT MAP'!$B$5=2024,#REF!,#REF!))))</f>
        <v>0</v>
      </c>
      <c r="AD56">
        <f>IF('INHERENT MAP'!$B$5=2021,'РЕЕСТР РИСКОВ_2023'!AI110,IF('INHERENT MAP'!$B$5=2022,#REF!,IF('INHERENT MAP'!$B$5=2023,#REF!,IF('INHERENT MAP'!$B$5=2024,#REF!,#REF!))))</f>
        <v>0</v>
      </c>
      <c r="AE56">
        <f>IF('INHERENT MAP'!$B$5=2021,'РЕЕСТР РИСКОВ_2023'!AK110,IF('INHERENT MAP'!$B$5=2022,#REF!,IF('INHERENT MAP'!$B$5=2023,#REF!,IF('INHERENT MAP'!$B$5=2024,#REF!,#REF!))))</f>
        <v>0</v>
      </c>
      <c r="AF56">
        <f>IF('INHERENT MAP'!$B$5=2021,'РЕЕСТР РИСКОВ_2023'!AL110,IF('INHERENT MAP'!$B$5=2022,#REF!,IF('INHERENT MAP'!$B$5=2023,#REF!,IF('INHERENT MAP'!$B$5=2024,#REF!,#REF!))))</f>
        <v>0</v>
      </c>
      <c r="AG56">
        <f>IF('INHERENT MAP'!$B$5=2021,'РЕЕСТР РИСКОВ_2023'!AM110,IF('INHERENT MAP'!$B$5=2022,#REF!,IF('INHERENT MAP'!$B$5=2023,#REF!,IF('INHERENT MAP'!$B$5=2024,#REF!,#REF!))))</f>
        <v>0</v>
      </c>
      <c r="AH56">
        <f>IF('INHERENT MAP'!$B$5=2021,'РЕЕСТР РИСКОВ_2023'!AN110,IF('INHERENT MAP'!$B$5=2022,#REF!,IF('INHERENT MAP'!$B$5=2023,#REF!,IF('INHERENT MAP'!$B$5=2024,#REF!,#REF!))))</f>
        <v>0</v>
      </c>
      <c r="AI56">
        <f>IF('INHERENT MAP'!$B$5=2021,'РЕЕСТР РИСКОВ_2023'!AO110,IF('INHERENT MAP'!$B$5=2022,#REF!,IF('INHERENT MAP'!$B$5=2023,#REF!,IF('INHERENT MAP'!$B$5=2024,#REF!,#REF!))))</f>
        <v>0</v>
      </c>
      <c r="AJ56">
        <f>IF('INHERENT MAP'!$B$5=2021,'РЕЕСТР РИСКОВ_2023'!AP110,IF('INHERENT MAP'!$B$5=2022,#REF!,IF('INHERENT MAP'!$B$5=2023,#REF!,IF('INHERENT MAP'!$B$5=2024,#REF!,#REF!))))</f>
        <v>0</v>
      </c>
      <c r="AK56">
        <f>IF('РЕЕСТР РИСКОВ_2023'!AQ110="",AK55,'РЕЕСТР РИСКОВ_2023'!AQ110)</f>
        <v>0</v>
      </c>
      <c r="AL56">
        <f>IF('РЕЕСТР РИСКОВ_2023'!AR110="",AL55,'РЕЕСТР РИСКОВ_2023'!AR110)</f>
        <v>0.35</v>
      </c>
      <c r="AM56">
        <f>IF('РЕЕСТР РИСКОВ_2023'!AS110="",AM55,'РЕЕСТР РИСКОВ_2023'!AS110)</f>
        <v>-7200</v>
      </c>
      <c r="AN56">
        <f>IF('РЕЕСТР РИСКОВ_2023'!AT110="",AN55,'РЕЕСТР РИСКОВ_2023'!AT110)</f>
        <v>-1440</v>
      </c>
      <c r="AO56">
        <f>IF('РЕЕСТР РИСКОВ_2023'!AU110="",AO55,'РЕЕСТР РИСКОВ_2023'!AU110)</f>
        <v>0</v>
      </c>
    </row>
    <row r="57" spans="2:41">
      <c r="B57" t="str">
        <f>IF('INHERENT MAP'!$B$5=2021,IF('РЕЕСТР РИСКОВ_2023'!F111="",B56,'РЕЕСТР РИСКОВ_2023'!F111),IF('INHERENT MAP'!$B$5=2022,IF(#REF!="",B56,#REF!),IF('INHERENT MAP'!$B$5=2023,IF(#REF!="",B56,#REF!),IF('INHERENT MAP'!$B$5=2024,IF(#REF!="",B56,#REF!),IF('РЕЕСТР РИСКОВ_2023'!F111="",B56,'РЕЕСТР РИСКОВ_2023'!F111)))))</f>
        <v>СТРАНОВОЙ РИСК
 (Super Risk)</v>
      </c>
      <c r="C57" t="str">
        <f>IF('INHERENT MAP'!$B$5=2021,IF('РЕЕСТР РИСКОВ_2023'!G111="",C56,'РЕЕСТР РИСКОВ_2023'!G111),IF('INHERENT MAP'!$B$5=2022,IF(#REF!="",C56,#REF!),IF('INHERENT MAP'!$B$5=2023,IF(#REF!="",C56,#REF!),IF('INHERENT MAP'!$B$5=2024,IF(#REF!="",C56,#REF!),IF('РЕЕСТР РИСКОВ_2023'!G111="",C56,'РЕЕСТР РИСКОВ_2023'!G111)))))</f>
        <v>- (ХХХ) млн. Тенге</v>
      </c>
      <c r="D57" t="str">
        <f>IF('INHERENT MAP'!$B$5=2021,IF('РЕЕСТР РИСКОВ_2023'!H111="",D56,'РЕЕСТР РИСКОВ_2023'!H111),IF('INHERENT MAP'!$B$5=2022,IF(#REF!="",D56,#REF!),IF('INHERENT MAP'!$B$5=2023,IF(#REF!="",D56,#REF!),IF('INHERENT MAP'!$B$5=2024,IF(#REF!="",D56,#REF!),IF('РЕЕСТР РИСКОВ_2023'!H111="",D56,'РЕЕСТР РИСКОВ_2023'!H111)))))</f>
        <v>STR-2</v>
      </c>
      <c r="E57" t="str">
        <f>IF('INHERENT MAP'!$B$5=2021,IF('РЕЕСТР РИСКОВ_2023'!I111="",E56,'РЕЕСТР РИСКОВ_2023'!I111),IF('INHERENT MAP'!$B$5=2022,IF(#REF!="",E56,#REF!),IF('INHERENT MAP'!$B$5=2023,IF(#REF!="",E56,#REF!),IF('INHERENT MAP'!$B$5=2024,IF(#REF!="",E56,#REF!),IF('РЕЕСТР РИСКОВ_2023'!I111="",E56,'РЕЕСТР РИСКОВ_2023'!I111)))))</f>
        <v xml:space="preserve">ЦЗД, ЦЗЦ, ЦЗЛ
</v>
      </c>
      <c r="F57" t="str">
        <f>IF('INHERENT MAP'!$B$5=2021,IF('РЕЕСТР РИСКОВ_2023'!J111="",F56,'РЕЕСТР РИСКОВ_2023'!J111),IF('INHERENT MAP'!$B$5=2022,IF(#REF!="",F56,#REF!),IF('INHERENT MAP'!$B$5=2023,IF(#REF!="",F56,#REF!),IF('INHERENT MAP'!$B$5=2024,IF(#REF!="",F56,#REF!),IF('РЕЕСТР РИСКОВ_2023'!J111="",F56,'РЕЕСТР РИСКОВ_2023'!J111)))))</f>
        <v xml:space="preserve">ТОО "КТЖ-Грузовые перевозки"
</v>
      </c>
      <c r="G57" t="str">
        <f>IF('INHERENT MAP'!$B$5=2021,IF('РЕЕСТР РИСКОВ_2023'!K111="",G56,'РЕЕСТР РИСКОВ_2023'!K111),IF('INHERENT MAP'!$B$5=2022,IF(#REF!="",G56,#REF!),IF('INHERENT MAP'!$B$5=2023,IF(#REF!="",G56,#REF!),IF('INHERENT MAP'!$B$5=2024,IF(#REF!="",G56,#REF!),IF('РЕЕСТР РИСКОВ_2023'!K111="",G56,'РЕЕСТР РИСКОВ_2023'!K111)))))</f>
        <v>Применение навигационных пломб</v>
      </c>
      <c r="H57">
        <f>IF('INHERENT MAP'!$B$5=2021,'РЕЕСТР РИСКОВ_2023'!L111,IF('INHERENT MAP'!$B$5=2022,#REF!,IF('INHERENT MAP'!$B$5=2023,#REF!,IF('INHERENT MAP'!$B$5=2024,#REF!,#REF!))))</f>
        <v>0</v>
      </c>
      <c r="I57">
        <f>IF('INHERENT MAP'!$B$5=2021,'РЕЕСТР РИСКОВ_2023'!M111,IF('INHERENT MAP'!$B$5=2022,#REF!,IF('INHERENT MAP'!$B$5=2023,#REF!,IF('INHERENT MAP'!$B$5=2024,#REF!,#REF!))))</f>
        <v>0</v>
      </c>
      <c r="J57">
        <f>IF('INHERENT MAP'!$B$5=2021,'РЕЕСТР РИСКОВ_2023'!N111,IF('INHERENT MAP'!$B$5=2022,#REF!,IF('INHERENT MAP'!$B$5=2023,#REF!,IF('INHERENT MAP'!$B$5=2024,#REF!,#REF!))))</f>
        <v>0</v>
      </c>
      <c r="K57">
        <f>IF('INHERENT MAP'!$B$5=2021,'РЕЕСТР РИСКОВ_2023'!O111,IF('INHERENT MAP'!$B$5=2022,#REF!,IF('INHERENT MAP'!$B$5=2023,#REF!,IF('INHERENT MAP'!$B$5=2024,#REF!,#REF!))))</f>
        <v>0</v>
      </c>
      <c r="L57">
        <f>IF('INHERENT MAP'!$B$5=2021,'РЕЕСТР РИСКОВ_2023'!P111,IF('INHERENT MAP'!$B$5=2022,#REF!,IF('INHERENT MAP'!$B$5=2023,#REF!,IF('INHERENT MAP'!$B$5=2024,#REF!,#REF!))))</f>
        <v>0</v>
      </c>
      <c r="M57" t="str">
        <f>IF('INHERENT MAP'!$B$5=2021,IF('РЕЕСТР РИСКОВ_2023'!Q111="",M56,'РЕЕСТР РИСКОВ_2023'!Q111),IF('INHERENT MAP'!$B$5=2022,IF(#REF!="",M56,#REF!),IF('INHERENT MAP'!$B$5=2023,IF(#REF!="",M56,#REF!),IF('INHERENT MAP'!$B$5=2024,IF(#REF!="",M56,#REF!),IF('РЕЕСТР РИСКОВ_2023'!Q111="",M56,'РЕЕСТР РИСКОВ_2023'!Q111)))))</f>
        <v>Обязательное навешивание/снятие работниками перевозчика на станциях электронных навигационных пломб при перевозке грузов железнодорожным транспортом, их документальное оформление, что повлечет увеличение технологического и коммерческого времени на обработку поездов</v>
      </c>
      <c r="N57" t="str">
        <f>IF('INHERENT MAP'!$B$5=2021,IF('РЕЕСТР РИСКОВ_2023'!R111="",N56,'РЕЕСТР РИСКОВ_2023'!R111),IF('INHERENT MAP'!$B$5=2022,IF(#REF!="",N56,#REF!),IF('INHERENT MAP'!$B$5=2023,IF(#REF!="",N56,#REF!),IF('INHERENT MAP'!$B$5=2024,IF(#REF!="",N56,#REF!),IF('РЕЕСТР РИСКОВ_2023'!R111="",N56,'РЕЕСТР РИСКОВ_2023'!R111)))))</f>
        <v>Утечка коммерческой информации</v>
      </c>
      <c r="O57">
        <f>'РЕЕСТР РИСКОВ_2023'!T111</f>
        <v>0</v>
      </c>
      <c r="P57">
        <f>IF('РЕЕСТР РИСКОВ_2023'!U111="",P56,'РЕЕСТР РИСКОВ_2023'!U111)</f>
        <v>0</v>
      </c>
      <c r="Q57" t="str">
        <f>IF('РЕЕСТР РИСКОВ_2023'!V111="",Q56,'РЕЕСТР РИСКОВ_2023'!V111)</f>
        <v>Угрозы</v>
      </c>
      <c r="R57" t="str">
        <f>IF('РЕЕСТР РИСКОВ_2023'!W111="",R56,'РЕЕСТР РИСКОВ_2023'!W111)</f>
        <v>Количество брошенных поездов</v>
      </c>
      <c r="S57">
        <f>'РЕЕСТР РИСКОВ_2023'!X111</f>
        <v>0</v>
      </c>
      <c r="T57" s="94">
        <f>IF('INHERENT MAP'!$B$5=2021,'РЕЕСТР РИСКОВ_2023'!Y111,IF('INHERENT MAP'!$B$5=2022,#REF!,IF('INHERENT MAP'!$B$5=2023,#REF!,IF('INHERENT MAP'!$B$5=2024,#REF!,#REF!))))</f>
        <v>0</v>
      </c>
      <c r="U57">
        <f>IF('INHERENT MAP'!$B$5=2021,'РЕЕСТР РИСКОВ_2023'!Z111,IF('INHERENT MAP'!$B$5=2022,#REF!,IF('INHERENT MAP'!$B$5=2023,#REF!,IF('INHERENT MAP'!$B$5=2024,#REF!,#REF!))))</f>
        <v>0</v>
      </c>
      <c r="V57">
        <f>IF('INHERENT MAP'!$B$5=2021,'РЕЕСТР РИСКОВ_2023'!AA111,IF('INHERENT MAP'!$B$5=2022,#REF!,IF('INHERENT MAP'!$B$5=2023,#REF!,IF('INHERENT MAP'!$B$5=2024,#REF!,#REF!))))</f>
        <v>0</v>
      </c>
      <c r="W57">
        <f>IF('INHERENT MAP'!$B$5=2021,'РЕЕСТР РИСКОВ_2023'!AB111,IF('INHERENT MAP'!$B$5=2022,#REF!,IF('INHERENT MAP'!$B$5=2023,#REF!,IF('INHERENT MAP'!$B$5=2024,#REF!,#REF!))))</f>
        <v>0</v>
      </c>
      <c r="X57" s="94">
        <f>IF('INHERENT MAP'!$B$5=2021,'РЕЕСТР РИСКОВ_2023'!AC111,IF('INHERENT MAP'!$B$5=2022,#REF!,IF('INHERENT MAP'!$B$5=2023,#REF!,IF('INHERENT MAP'!$B$5=2024,#REF!,#REF!))))</f>
        <v>0</v>
      </c>
      <c r="Y57">
        <f>IF('INHERENT MAP'!$B$5=2021,'РЕЕСТР РИСКОВ_2023'!AD111,IF('INHERENT MAP'!$B$5=2022,#REF!,IF('INHERENT MAP'!$B$5=2023,#REF!,IF('INHERENT MAP'!$B$5=2024,#REF!,#REF!))))</f>
        <v>0</v>
      </c>
      <c r="Z57">
        <f>IF('INHERENT MAP'!$B$5=2021,'РЕЕСТР РИСКОВ_2023'!AE111,IF('INHERENT MAP'!$B$5=2022,#REF!,IF('INHERENT MAP'!$B$5=2023,#REF!,IF('INHERENT MAP'!$B$5=2024,#REF!,#REF!))))</f>
        <v>0</v>
      </c>
      <c r="AA57">
        <f>IF('INHERENT MAP'!$B$5=2021,'РЕЕСТР РИСКОВ_2023'!AF111,IF('INHERENT MAP'!$B$5=2022,#REF!,IF('INHERENT MAP'!$B$5=2023,#REF!,IF('INHERENT MAP'!$B$5=2024,#REF!,#REF!))))</f>
        <v>0</v>
      </c>
      <c r="AB57">
        <f>IF('INHERENT MAP'!$B$5=2021,'РЕЕСТР РИСКОВ_2023'!AG111,IF('INHERENT MAP'!$B$5=2022,#REF!,IF('INHERENT MAP'!$B$5=2023,#REF!,IF('INHERENT MAP'!$B$5=2024,#REF!,#REF!))))</f>
        <v>0</v>
      </c>
      <c r="AC57">
        <f>IF('INHERENT MAP'!$B$5=2021,'РЕЕСТР РИСКОВ_2023'!AH111,IF('INHERENT MAP'!$B$5=2022,#REF!,IF('INHERENT MAP'!$B$5=2023,#REF!,IF('INHERENT MAP'!$B$5=2024,#REF!,#REF!))))</f>
        <v>0</v>
      </c>
      <c r="AD57">
        <f>IF('INHERENT MAP'!$B$5=2021,'РЕЕСТР РИСКОВ_2023'!AI111,IF('INHERENT MAP'!$B$5=2022,#REF!,IF('INHERENT MAP'!$B$5=2023,#REF!,IF('INHERENT MAP'!$B$5=2024,#REF!,#REF!))))</f>
        <v>0</v>
      </c>
      <c r="AE57">
        <f>IF('INHERENT MAP'!$B$5=2021,'РЕЕСТР РИСКОВ_2023'!AK111,IF('INHERENT MAP'!$B$5=2022,#REF!,IF('INHERENT MAP'!$B$5=2023,#REF!,IF('INHERENT MAP'!$B$5=2024,#REF!,#REF!))))</f>
        <v>0</v>
      </c>
      <c r="AF57">
        <f>IF('INHERENT MAP'!$B$5=2021,'РЕЕСТР РИСКОВ_2023'!AL111,IF('INHERENT MAP'!$B$5=2022,#REF!,IF('INHERENT MAP'!$B$5=2023,#REF!,IF('INHERENT MAP'!$B$5=2024,#REF!,#REF!))))</f>
        <v>0</v>
      </c>
      <c r="AG57">
        <f>IF('INHERENT MAP'!$B$5=2021,'РЕЕСТР РИСКОВ_2023'!AM111,IF('INHERENT MAP'!$B$5=2022,#REF!,IF('INHERENT MAP'!$B$5=2023,#REF!,IF('INHERENT MAP'!$B$5=2024,#REF!,#REF!))))</f>
        <v>0</v>
      </c>
      <c r="AH57">
        <f>IF('INHERENT MAP'!$B$5=2021,'РЕЕСТР РИСКОВ_2023'!AN111,IF('INHERENT MAP'!$B$5=2022,#REF!,IF('INHERENT MAP'!$B$5=2023,#REF!,IF('INHERENT MAP'!$B$5=2024,#REF!,#REF!))))</f>
        <v>0</v>
      </c>
      <c r="AI57">
        <f>IF('INHERENT MAP'!$B$5=2021,'РЕЕСТР РИСКОВ_2023'!AO111,IF('INHERENT MAP'!$B$5=2022,#REF!,IF('INHERENT MAP'!$B$5=2023,#REF!,IF('INHERENT MAP'!$B$5=2024,#REF!,#REF!))))</f>
        <v>0</v>
      </c>
      <c r="AJ57">
        <f>IF('INHERENT MAP'!$B$5=2021,'РЕЕСТР РИСКОВ_2023'!AP111,IF('INHERENT MAP'!$B$5=2022,#REF!,IF('INHERENT MAP'!$B$5=2023,#REF!,IF('INHERENT MAP'!$B$5=2024,#REF!,#REF!))))</f>
        <v>0</v>
      </c>
      <c r="AK57">
        <f>IF('РЕЕСТР РИСКОВ_2023'!AQ111="",AK56,'РЕЕСТР РИСКОВ_2023'!AQ111)</f>
        <v>0</v>
      </c>
      <c r="AL57">
        <f>IF('РЕЕСТР РИСКОВ_2023'!AR111="",AL56,'РЕЕСТР РИСКОВ_2023'!AR111)</f>
        <v>0.35</v>
      </c>
      <c r="AM57">
        <f>IF('РЕЕСТР РИСКОВ_2023'!AS111="",AM56,'РЕЕСТР РИСКОВ_2023'!AS111)</f>
        <v>-7200</v>
      </c>
      <c r="AN57">
        <f>IF('РЕЕСТР РИСКОВ_2023'!AT111="",AN56,'РЕЕСТР РИСКОВ_2023'!AT111)</f>
        <v>-1440</v>
      </c>
      <c r="AO57">
        <f>IF('РЕЕСТР РИСКОВ_2023'!AU111="",AO56,'РЕЕСТР РИСКОВ_2023'!AU111)</f>
        <v>0</v>
      </c>
    </row>
    <row r="58" spans="2:41">
      <c r="B58" t="str">
        <f>IF('INHERENT MAP'!$B$5=2021,IF('РЕЕСТР РИСКОВ_2023'!F112="",B57,'РЕЕСТР РИСКОВ_2023'!F112),IF('INHERENT MAP'!$B$5=2022,IF(#REF!="",B57,#REF!),IF('INHERENT MAP'!$B$5=2023,IF(#REF!="",B57,#REF!),IF('INHERENT MAP'!$B$5=2024,IF(#REF!="",B57,#REF!),IF('РЕЕСТР РИСКОВ_2023'!F112="",B57,'РЕЕСТР РИСКОВ_2023'!F112)))))</f>
        <v>СТРАНОВОЙ РИСК
 (Super Risk)</v>
      </c>
      <c r="C58" t="str">
        <f>IF('INHERENT MAP'!$B$5=2021,IF('РЕЕСТР РИСКОВ_2023'!G112="",C57,'РЕЕСТР РИСКОВ_2023'!G112),IF('INHERENT MAP'!$B$5=2022,IF(#REF!="",C57,#REF!),IF('INHERENT MAP'!$B$5=2023,IF(#REF!="",C57,#REF!),IF('INHERENT MAP'!$B$5=2024,IF(#REF!="",C57,#REF!),IF('РЕЕСТР РИСКОВ_2023'!G112="",C57,'РЕЕСТР РИСКОВ_2023'!G112)))))</f>
        <v>- (ХХХ) млн. Тенге</v>
      </c>
      <c r="D58" t="str">
        <f>IF('INHERENT MAP'!$B$5=2021,IF('РЕЕСТР РИСКОВ_2023'!H112="",D57,'РЕЕСТР РИСКОВ_2023'!H112),IF('INHERENT MAP'!$B$5=2022,IF(#REF!="",D57,#REF!),IF('INHERENT MAP'!$B$5=2023,IF(#REF!="",D57,#REF!),IF('INHERENT MAP'!$B$5=2024,IF(#REF!="",D57,#REF!),IF('РЕЕСТР РИСКОВ_2023'!H112="",D57,'РЕЕСТР РИСКОВ_2023'!H112)))))</f>
        <v>STR-2</v>
      </c>
      <c r="E58" t="str">
        <f>IF('INHERENT MAP'!$B$5=2021,IF('РЕЕСТР РИСКОВ_2023'!I112="",E57,'РЕЕСТР РИСКОВ_2023'!I112),IF('INHERENT MAP'!$B$5=2022,IF(#REF!="",E57,#REF!),IF('INHERENT MAP'!$B$5=2023,IF(#REF!="",E57,#REF!),IF('INHERENT MAP'!$B$5=2024,IF(#REF!="",E57,#REF!),IF('РЕЕСТР РИСКОВ_2023'!I112="",E57,'РЕЕСТР РИСКОВ_2023'!I112)))))</f>
        <v xml:space="preserve">ЦЗД, ЦЗЦ, ЦЗЛ
</v>
      </c>
      <c r="F58" t="str">
        <f>IF('INHERENT MAP'!$B$5=2021,IF('РЕЕСТР РИСКОВ_2023'!J112="",F57,'РЕЕСТР РИСКОВ_2023'!J112),IF('INHERENT MAP'!$B$5=2022,IF(#REF!="",F57,#REF!),IF('INHERENT MAP'!$B$5=2023,IF(#REF!="",F57,#REF!),IF('INHERENT MAP'!$B$5=2024,IF(#REF!="",F57,#REF!),IF('РЕЕСТР РИСКОВ_2023'!J112="",F57,'РЕЕСТР РИСКОВ_2023'!J112)))))</f>
        <v xml:space="preserve">ТОО "КТЖ-Грузовые перевозки"
</v>
      </c>
      <c r="G58" t="str">
        <f>IF('INHERENT MAP'!$B$5=2021,IF('РЕЕСТР РИСКОВ_2023'!K112="",G57,'РЕЕСТР РИСКОВ_2023'!K112),IF('INHERENT MAP'!$B$5=2022,IF(#REF!="",G57,#REF!),IF('INHERENT MAP'!$B$5=2023,IF(#REF!="",G57,#REF!),IF('INHERENT MAP'!$B$5=2024,IF(#REF!="",G57,#REF!),IF('РЕЕСТР РИСКОВ_2023'!K112="",G57,'РЕЕСТР РИСКОВ_2023'!K112)))))</f>
        <v>Применение навигационных пломб</v>
      </c>
      <c r="H58">
        <f>IF('INHERENT MAP'!$B$5=2021,'РЕЕСТР РИСКОВ_2023'!L112,IF('INHERENT MAP'!$B$5=2022,#REF!,IF('INHERENT MAP'!$B$5=2023,#REF!,IF('INHERENT MAP'!$B$5=2024,#REF!,#REF!))))</f>
        <v>0</v>
      </c>
      <c r="I58">
        <f>IF('INHERENT MAP'!$B$5=2021,'РЕЕСТР РИСКОВ_2023'!M112,IF('INHERENT MAP'!$B$5=2022,#REF!,IF('INHERENT MAP'!$B$5=2023,#REF!,IF('INHERENT MAP'!$B$5=2024,#REF!,#REF!))))</f>
        <v>0</v>
      </c>
      <c r="J58">
        <f>IF('INHERENT MAP'!$B$5=2021,'РЕЕСТР РИСКОВ_2023'!N112,IF('INHERENT MAP'!$B$5=2022,#REF!,IF('INHERENT MAP'!$B$5=2023,#REF!,IF('INHERENT MAP'!$B$5=2024,#REF!,#REF!))))</f>
        <v>0</v>
      </c>
      <c r="K58">
        <f>IF('INHERENT MAP'!$B$5=2021,'РЕЕСТР РИСКОВ_2023'!O112,IF('INHERENT MAP'!$B$5=2022,#REF!,IF('INHERENT MAP'!$B$5=2023,#REF!,IF('INHERENT MAP'!$B$5=2024,#REF!,#REF!))))</f>
        <v>0</v>
      </c>
      <c r="L58">
        <f>IF('INHERENT MAP'!$B$5=2021,'РЕЕСТР РИСКОВ_2023'!P112,IF('INHERENT MAP'!$B$5=2022,#REF!,IF('INHERENT MAP'!$B$5=2023,#REF!,IF('INHERENT MAP'!$B$5=2024,#REF!,#REF!))))</f>
        <v>0</v>
      </c>
      <c r="M58" t="str">
        <f>IF('INHERENT MAP'!$B$5=2021,IF('РЕЕСТР РИСКОВ_2023'!Q112="",M57,'РЕЕСТР РИСКОВ_2023'!Q112),IF('INHERENT MAP'!$B$5=2022,IF(#REF!="",M57,#REF!),IF('INHERENT MAP'!$B$5=2023,IF(#REF!="",M57,#REF!),IF('INHERENT MAP'!$B$5=2024,IF(#REF!="",M57,#REF!),IF('РЕЕСТР РИСКОВ_2023'!Q112="",M57,'РЕЕСТР РИСКОВ_2023'!Q112)))))</f>
        <v>Обязательное навешивание/снятие работниками перевозчика на станциях электронных навигационных пломб при перевозке грузов железнодорожным транспортом, их документальное оформление, что повлечет увеличение технологического и коммерческого времени на обработку поездов</v>
      </c>
      <c r="N58" t="str">
        <f>IF('INHERENT MAP'!$B$5=2021,IF('РЕЕСТР РИСКОВ_2023'!R112="",N57,'РЕЕСТР РИСКОВ_2023'!R112),IF('INHERENT MAP'!$B$5=2022,IF(#REF!="",N57,#REF!),IF('INHERENT MAP'!$B$5=2023,IF(#REF!="",N57,#REF!),IF('INHERENT MAP'!$B$5=2024,IF(#REF!="",N57,#REF!),IF('РЕЕСТР РИСКОВ_2023'!R112="",N57,'РЕЕСТР РИСКОВ_2023'!R112)))))</f>
        <v>Необходимость содержания дополнительного штата сотрудников</v>
      </c>
      <c r="O58">
        <f>'РЕЕСТР РИСКОВ_2023'!T112</f>
        <v>0</v>
      </c>
      <c r="P58">
        <f>IF('РЕЕСТР РИСКОВ_2023'!U112="",P57,'РЕЕСТР РИСКОВ_2023'!U112)</f>
        <v>0</v>
      </c>
      <c r="Q58" t="str">
        <f>IF('РЕЕСТР РИСКОВ_2023'!V112="",Q57,'РЕЕСТР РИСКОВ_2023'!V112)</f>
        <v>Угрозы</v>
      </c>
      <c r="R58" t="str">
        <f>IF('РЕЕСТР РИСКОВ_2023'!W112="",R57,'РЕЕСТР РИСКОВ_2023'!W112)</f>
        <v>Количество брошенных поездов</v>
      </c>
      <c r="S58">
        <f>'РЕЕСТР РИСКОВ_2023'!X112</f>
        <v>0</v>
      </c>
      <c r="T58" s="94">
        <f>IF('INHERENT MAP'!$B$5=2021,'РЕЕСТР РИСКОВ_2023'!Y112,IF('INHERENT MAP'!$B$5=2022,#REF!,IF('INHERENT MAP'!$B$5=2023,#REF!,IF('INHERENT MAP'!$B$5=2024,#REF!,#REF!))))</f>
        <v>0</v>
      </c>
      <c r="U58">
        <f>IF('INHERENT MAP'!$B$5=2021,'РЕЕСТР РИСКОВ_2023'!Z112,IF('INHERENT MAP'!$B$5=2022,#REF!,IF('INHERENT MAP'!$B$5=2023,#REF!,IF('INHERENT MAP'!$B$5=2024,#REF!,#REF!))))</f>
        <v>0</v>
      </c>
      <c r="V58">
        <f>IF('INHERENT MAP'!$B$5=2021,'РЕЕСТР РИСКОВ_2023'!AA112,IF('INHERENT MAP'!$B$5=2022,#REF!,IF('INHERENT MAP'!$B$5=2023,#REF!,IF('INHERENT MAP'!$B$5=2024,#REF!,#REF!))))</f>
        <v>0</v>
      </c>
      <c r="W58">
        <f>IF('INHERENT MAP'!$B$5=2021,'РЕЕСТР РИСКОВ_2023'!AB112,IF('INHERENT MAP'!$B$5=2022,#REF!,IF('INHERENT MAP'!$B$5=2023,#REF!,IF('INHERENT MAP'!$B$5=2024,#REF!,#REF!))))</f>
        <v>0</v>
      </c>
      <c r="X58" s="94">
        <f>IF('INHERENT MAP'!$B$5=2021,'РЕЕСТР РИСКОВ_2023'!AC112,IF('INHERENT MAP'!$B$5=2022,#REF!,IF('INHERENT MAP'!$B$5=2023,#REF!,IF('INHERENT MAP'!$B$5=2024,#REF!,#REF!))))</f>
        <v>0</v>
      </c>
      <c r="Y58">
        <f>IF('INHERENT MAP'!$B$5=2021,'РЕЕСТР РИСКОВ_2023'!AD112,IF('INHERENT MAP'!$B$5=2022,#REF!,IF('INHERENT MAP'!$B$5=2023,#REF!,IF('INHERENT MAP'!$B$5=2024,#REF!,#REF!))))</f>
        <v>0</v>
      </c>
      <c r="Z58">
        <f>IF('INHERENT MAP'!$B$5=2021,'РЕЕСТР РИСКОВ_2023'!AE112,IF('INHERENT MAP'!$B$5=2022,#REF!,IF('INHERENT MAP'!$B$5=2023,#REF!,IF('INHERENT MAP'!$B$5=2024,#REF!,#REF!))))</f>
        <v>0</v>
      </c>
      <c r="AA58">
        <f>IF('INHERENT MAP'!$B$5=2021,'РЕЕСТР РИСКОВ_2023'!AF112,IF('INHERENT MAP'!$B$5=2022,#REF!,IF('INHERENT MAP'!$B$5=2023,#REF!,IF('INHERENT MAP'!$B$5=2024,#REF!,#REF!))))</f>
        <v>0</v>
      </c>
      <c r="AB58">
        <f>IF('INHERENT MAP'!$B$5=2021,'РЕЕСТР РИСКОВ_2023'!AG112,IF('INHERENT MAP'!$B$5=2022,#REF!,IF('INHERENT MAP'!$B$5=2023,#REF!,IF('INHERENT MAP'!$B$5=2024,#REF!,#REF!))))</f>
        <v>0</v>
      </c>
      <c r="AC58">
        <f>IF('INHERENT MAP'!$B$5=2021,'РЕЕСТР РИСКОВ_2023'!AH112,IF('INHERENT MAP'!$B$5=2022,#REF!,IF('INHERENT MAP'!$B$5=2023,#REF!,IF('INHERENT MAP'!$B$5=2024,#REF!,#REF!))))</f>
        <v>0</v>
      </c>
      <c r="AD58">
        <f>IF('INHERENT MAP'!$B$5=2021,'РЕЕСТР РИСКОВ_2023'!AI112,IF('INHERENT MAP'!$B$5=2022,#REF!,IF('INHERENT MAP'!$B$5=2023,#REF!,IF('INHERENT MAP'!$B$5=2024,#REF!,#REF!))))</f>
        <v>0</v>
      </c>
      <c r="AE58">
        <f>IF('INHERENT MAP'!$B$5=2021,'РЕЕСТР РИСКОВ_2023'!AK112,IF('INHERENT MAP'!$B$5=2022,#REF!,IF('INHERENT MAP'!$B$5=2023,#REF!,IF('INHERENT MAP'!$B$5=2024,#REF!,#REF!))))</f>
        <v>0</v>
      </c>
      <c r="AF58">
        <f>IF('INHERENT MAP'!$B$5=2021,'РЕЕСТР РИСКОВ_2023'!AL112,IF('INHERENT MAP'!$B$5=2022,#REF!,IF('INHERENT MAP'!$B$5=2023,#REF!,IF('INHERENT MAP'!$B$5=2024,#REF!,#REF!))))</f>
        <v>0</v>
      </c>
      <c r="AG58">
        <f>IF('INHERENT MAP'!$B$5=2021,'РЕЕСТР РИСКОВ_2023'!AM112,IF('INHERENT MAP'!$B$5=2022,#REF!,IF('INHERENT MAP'!$B$5=2023,#REF!,IF('INHERENT MAP'!$B$5=2024,#REF!,#REF!))))</f>
        <v>0</v>
      </c>
      <c r="AH58">
        <f>IF('INHERENT MAP'!$B$5=2021,'РЕЕСТР РИСКОВ_2023'!AN112,IF('INHERENT MAP'!$B$5=2022,#REF!,IF('INHERENT MAP'!$B$5=2023,#REF!,IF('INHERENT MAP'!$B$5=2024,#REF!,#REF!))))</f>
        <v>0</v>
      </c>
      <c r="AI58">
        <f>IF('INHERENT MAP'!$B$5=2021,'РЕЕСТР РИСКОВ_2023'!AO112,IF('INHERENT MAP'!$B$5=2022,#REF!,IF('INHERENT MAP'!$B$5=2023,#REF!,IF('INHERENT MAP'!$B$5=2024,#REF!,#REF!))))</f>
        <v>0</v>
      </c>
      <c r="AJ58">
        <f>IF('INHERENT MAP'!$B$5=2021,'РЕЕСТР РИСКОВ_2023'!AP112,IF('INHERENT MAP'!$B$5=2022,#REF!,IF('INHERENT MAP'!$B$5=2023,#REF!,IF('INHERENT MAP'!$B$5=2024,#REF!,#REF!))))</f>
        <v>0</v>
      </c>
      <c r="AK58">
        <f>IF('РЕЕСТР РИСКОВ_2023'!AQ112="",AK57,'РЕЕСТР РИСКОВ_2023'!AQ112)</f>
        <v>0</v>
      </c>
      <c r="AL58">
        <f>IF('РЕЕСТР РИСКОВ_2023'!AR112="",AL57,'РЕЕСТР РИСКОВ_2023'!AR112)</f>
        <v>0.35</v>
      </c>
      <c r="AM58">
        <f>IF('РЕЕСТР РИСКОВ_2023'!AS112="",AM57,'РЕЕСТР РИСКОВ_2023'!AS112)</f>
        <v>-7200</v>
      </c>
      <c r="AN58">
        <f>IF('РЕЕСТР РИСКОВ_2023'!AT112="",AN57,'РЕЕСТР РИСКОВ_2023'!AT112)</f>
        <v>-1440</v>
      </c>
      <c r="AO58">
        <f>IF('РЕЕСТР РИСКОВ_2023'!AU112="",AO57,'РЕЕСТР РИСКОВ_2023'!AU112)</f>
        <v>0</v>
      </c>
    </row>
    <row r="59" spans="2:41">
      <c r="B59" t="str">
        <f>IF('INHERENT MAP'!$B$5=2021,IF('РЕЕСТР РИСКОВ_2023'!F113="",B58,'РЕЕСТР РИСКОВ_2023'!F113),IF('INHERENT MAP'!$B$5=2022,IF(#REF!="",B58,#REF!),IF('INHERENT MAP'!$B$5=2023,IF(#REF!="",B58,#REF!),IF('INHERENT MAP'!$B$5=2024,IF(#REF!="",B58,#REF!),IF('РЕЕСТР РИСКОВ_2023'!F113="",B58,'РЕЕСТР РИСКОВ_2023'!F113)))))</f>
        <v>СТРАНОВОЙ РИСК
 (Super Risk)</v>
      </c>
      <c r="C59" t="str">
        <f>IF('INHERENT MAP'!$B$5=2021,IF('РЕЕСТР РИСКОВ_2023'!G113="",C58,'РЕЕСТР РИСКОВ_2023'!G113),IF('INHERENT MAP'!$B$5=2022,IF(#REF!="",C58,#REF!),IF('INHERENT MAP'!$B$5=2023,IF(#REF!="",C58,#REF!),IF('INHERENT MAP'!$B$5=2024,IF(#REF!="",C58,#REF!),IF('РЕЕСТР РИСКОВ_2023'!G113="",C58,'РЕЕСТР РИСКОВ_2023'!G113)))))</f>
        <v>- (ХХХ) млн. Тенге</v>
      </c>
      <c r="D59" t="str">
        <f>IF('INHERENT MAP'!$B$5=2021,IF('РЕЕСТР РИСКОВ_2023'!H113="",D58,'РЕЕСТР РИСКОВ_2023'!H113),IF('INHERENT MAP'!$B$5=2022,IF(#REF!="",D58,#REF!),IF('INHERENT MAP'!$B$5=2023,IF(#REF!="",D58,#REF!),IF('INHERENT MAP'!$B$5=2024,IF(#REF!="",D58,#REF!),IF('РЕЕСТР РИСКОВ_2023'!H113="",D58,'РЕЕСТР РИСКОВ_2023'!H113)))))</f>
        <v>STR-2</v>
      </c>
      <c r="E59" t="str">
        <f>IF('INHERENT MAP'!$B$5=2021,IF('РЕЕСТР РИСКОВ_2023'!I113="",E58,'РЕЕСТР РИСКОВ_2023'!I113),IF('INHERENT MAP'!$B$5=2022,IF(#REF!="",E58,#REF!),IF('INHERENT MAP'!$B$5=2023,IF(#REF!="",E58,#REF!),IF('INHERENT MAP'!$B$5=2024,IF(#REF!="",E58,#REF!),IF('РЕЕСТР РИСКОВ_2023'!I113="",E58,'РЕЕСТР РИСКОВ_2023'!I113)))))</f>
        <v xml:space="preserve">ЦЗД, ЦЗЦ, ЦЗЛ
</v>
      </c>
      <c r="F59" t="str">
        <f>IF('INHERENT MAP'!$B$5=2021,IF('РЕЕСТР РИСКОВ_2023'!J113="",F58,'РЕЕСТР РИСКОВ_2023'!J113),IF('INHERENT MAP'!$B$5=2022,IF(#REF!="",F58,#REF!),IF('INHERENT MAP'!$B$5=2023,IF(#REF!="",F58,#REF!),IF('INHERENT MAP'!$B$5=2024,IF(#REF!="",F58,#REF!),IF('РЕЕСТР РИСКОВ_2023'!J113="",F58,'РЕЕСТР РИСКОВ_2023'!J113)))))</f>
        <v xml:space="preserve">ТОО "КТЖ-Грузовые перевозки"
</v>
      </c>
      <c r="G59" t="str">
        <f>IF('INHERENT MAP'!$B$5=2021,IF('РЕЕСТР РИСКОВ_2023'!K113="",G58,'РЕЕСТР РИСКОВ_2023'!K113),IF('INHERENT MAP'!$B$5=2022,IF(#REF!="",G58,#REF!),IF('INHERENT MAP'!$B$5=2023,IF(#REF!="",G58,#REF!),IF('INHERENT MAP'!$B$5=2024,IF(#REF!="",G58,#REF!),IF('РЕЕСТР РИСКОВ_2023'!K113="",G58,'РЕЕСТР РИСКОВ_2023'!K113)))))</f>
        <v>Применение навигационных пломб</v>
      </c>
      <c r="H59">
        <f>IF('INHERENT MAP'!$B$5=2021,'РЕЕСТР РИСКОВ_2023'!L113,IF('INHERENT MAP'!$B$5=2022,#REF!,IF('INHERENT MAP'!$B$5=2023,#REF!,IF('INHERENT MAP'!$B$5=2024,#REF!,#REF!))))</f>
        <v>0</v>
      </c>
      <c r="I59">
        <f>IF('INHERENT MAP'!$B$5=2021,'РЕЕСТР РИСКОВ_2023'!M113,IF('INHERENT MAP'!$B$5=2022,#REF!,IF('INHERENT MAP'!$B$5=2023,#REF!,IF('INHERENT MAP'!$B$5=2024,#REF!,#REF!))))</f>
        <v>0</v>
      </c>
      <c r="J59">
        <f>IF('INHERENT MAP'!$B$5=2021,'РЕЕСТР РИСКОВ_2023'!N113,IF('INHERENT MAP'!$B$5=2022,#REF!,IF('INHERENT MAP'!$B$5=2023,#REF!,IF('INHERENT MAP'!$B$5=2024,#REF!,#REF!))))</f>
        <v>0</v>
      </c>
      <c r="K59">
        <f>IF('INHERENT MAP'!$B$5=2021,'РЕЕСТР РИСКОВ_2023'!O113,IF('INHERENT MAP'!$B$5=2022,#REF!,IF('INHERENT MAP'!$B$5=2023,#REF!,IF('INHERENT MAP'!$B$5=2024,#REF!,#REF!))))</f>
        <v>0</v>
      </c>
      <c r="L59">
        <f>IF('INHERENT MAP'!$B$5=2021,'РЕЕСТР РИСКОВ_2023'!P113,IF('INHERENT MAP'!$B$5=2022,#REF!,IF('INHERENT MAP'!$B$5=2023,#REF!,IF('INHERENT MAP'!$B$5=2024,#REF!,#REF!))))</f>
        <v>0</v>
      </c>
      <c r="M59" t="str">
        <f>IF('INHERENT MAP'!$B$5=2021,IF('РЕЕСТР РИСКОВ_2023'!Q113="",M58,'РЕЕСТР РИСКОВ_2023'!Q113),IF('INHERENT MAP'!$B$5=2022,IF(#REF!="",M58,#REF!),IF('INHERENT MAP'!$B$5=2023,IF(#REF!="",M58,#REF!),IF('INHERENT MAP'!$B$5=2024,IF(#REF!="",M58,#REF!),IF('РЕЕСТР РИСКОВ_2023'!Q113="",M58,'РЕЕСТР РИСКОВ_2023'!Q113)))))</f>
        <v>Обязательное навешивание/снятие работниками перевозчика на станциях электронных навигационных пломб при перевозке грузов железнодорожным транспортом, их документальное оформление, что повлечет увеличение технологического и коммерческого времени на обработку поездов</v>
      </c>
      <c r="N59" t="str">
        <f>IF('INHERENT MAP'!$B$5=2021,IF('РЕЕСТР РИСКОВ_2023'!R113="",N58,'РЕЕСТР РИСКОВ_2023'!R113),IF('INHERENT MAP'!$B$5=2022,IF(#REF!="",N58,#REF!),IF('INHERENT MAP'!$B$5=2023,IF(#REF!="",N58,#REF!),IF('INHERENT MAP'!$B$5=2024,IF(#REF!="",N58,#REF!),IF('РЕЕСТР РИСКОВ_2023'!R113="",N58,'РЕЕСТР РИСКОВ_2023'!R113)))))</f>
        <v>Обеспечение информационной безопасности</v>
      </c>
      <c r="O59">
        <f>'РЕЕСТР РИСКОВ_2023'!T113</f>
        <v>0</v>
      </c>
      <c r="P59">
        <f>IF('РЕЕСТР РИСКОВ_2023'!U113="",P58,'РЕЕСТР РИСКОВ_2023'!U113)</f>
        <v>0</v>
      </c>
      <c r="Q59" t="str">
        <f>IF('РЕЕСТР РИСКОВ_2023'!V113="",Q58,'РЕЕСТР РИСКОВ_2023'!V113)</f>
        <v>Угрозы</v>
      </c>
      <c r="R59" t="str">
        <f>IF('РЕЕСТР РИСКОВ_2023'!W113="",R58,'РЕЕСТР РИСКОВ_2023'!W113)</f>
        <v>Количество брошенных поездов</v>
      </c>
      <c r="S59">
        <f>'РЕЕСТР РИСКОВ_2023'!X113</f>
        <v>0</v>
      </c>
      <c r="T59" s="94">
        <f>IF('INHERENT MAP'!$B$5=2021,'РЕЕСТР РИСКОВ_2023'!Y113,IF('INHERENT MAP'!$B$5=2022,#REF!,IF('INHERENT MAP'!$B$5=2023,#REF!,IF('INHERENT MAP'!$B$5=2024,#REF!,#REF!))))</f>
        <v>0</v>
      </c>
      <c r="U59">
        <f>IF('INHERENT MAP'!$B$5=2021,'РЕЕСТР РИСКОВ_2023'!Z113,IF('INHERENT MAP'!$B$5=2022,#REF!,IF('INHERENT MAP'!$B$5=2023,#REF!,IF('INHERENT MAP'!$B$5=2024,#REF!,#REF!))))</f>
        <v>0</v>
      </c>
      <c r="V59">
        <f>IF('INHERENT MAP'!$B$5=2021,'РЕЕСТР РИСКОВ_2023'!AA113,IF('INHERENT MAP'!$B$5=2022,#REF!,IF('INHERENT MAP'!$B$5=2023,#REF!,IF('INHERENT MAP'!$B$5=2024,#REF!,#REF!))))</f>
        <v>0</v>
      </c>
      <c r="W59">
        <f>IF('INHERENT MAP'!$B$5=2021,'РЕЕСТР РИСКОВ_2023'!AB113,IF('INHERENT MAP'!$B$5=2022,#REF!,IF('INHERENT MAP'!$B$5=2023,#REF!,IF('INHERENT MAP'!$B$5=2024,#REF!,#REF!))))</f>
        <v>0</v>
      </c>
      <c r="X59" s="94">
        <f>IF('INHERENT MAP'!$B$5=2021,'РЕЕСТР РИСКОВ_2023'!AC113,IF('INHERENT MAP'!$B$5=2022,#REF!,IF('INHERENT MAP'!$B$5=2023,#REF!,IF('INHERENT MAP'!$B$5=2024,#REF!,#REF!))))</f>
        <v>0</v>
      </c>
      <c r="Y59">
        <f>IF('INHERENT MAP'!$B$5=2021,'РЕЕСТР РИСКОВ_2023'!AD113,IF('INHERENT MAP'!$B$5=2022,#REF!,IF('INHERENT MAP'!$B$5=2023,#REF!,IF('INHERENT MAP'!$B$5=2024,#REF!,#REF!))))</f>
        <v>0</v>
      </c>
      <c r="Z59">
        <f>IF('INHERENT MAP'!$B$5=2021,'РЕЕСТР РИСКОВ_2023'!AE113,IF('INHERENT MAP'!$B$5=2022,#REF!,IF('INHERENT MAP'!$B$5=2023,#REF!,IF('INHERENT MAP'!$B$5=2024,#REF!,#REF!))))</f>
        <v>0</v>
      </c>
      <c r="AA59">
        <f>IF('INHERENT MAP'!$B$5=2021,'РЕЕСТР РИСКОВ_2023'!AF113,IF('INHERENT MAP'!$B$5=2022,#REF!,IF('INHERENT MAP'!$B$5=2023,#REF!,IF('INHERENT MAP'!$B$5=2024,#REF!,#REF!))))</f>
        <v>0</v>
      </c>
      <c r="AB59">
        <f>IF('INHERENT MAP'!$B$5=2021,'РЕЕСТР РИСКОВ_2023'!AG113,IF('INHERENT MAP'!$B$5=2022,#REF!,IF('INHERENT MAP'!$B$5=2023,#REF!,IF('INHERENT MAP'!$B$5=2024,#REF!,#REF!))))</f>
        <v>0</v>
      </c>
      <c r="AC59">
        <f>IF('INHERENT MAP'!$B$5=2021,'РЕЕСТР РИСКОВ_2023'!AH113,IF('INHERENT MAP'!$B$5=2022,#REF!,IF('INHERENT MAP'!$B$5=2023,#REF!,IF('INHERENT MAP'!$B$5=2024,#REF!,#REF!))))</f>
        <v>0</v>
      </c>
      <c r="AD59">
        <f>IF('INHERENT MAP'!$B$5=2021,'РЕЕСТР РИСКОВ_2023'!AI113,IF('INHERENT MAP'!$B$5=2022,#REF!,IF('INHERENT MAP'!$B$5=2023,#REF!,IF('INHERENT MAP'!$B$5=2024,#REF!,#REF!))))</f>
        <v>0</v>
      </c>
      <c r="AE59">
        <f>IF('INHERENT MAP'!$B$5=2021,'РЕЕСТР РИСКОВ_2023'!AK113,IF('INHERENT MAP'!$B$5=2022,#REF!,IF('INHERENT MAP'!$B$5=2023,#REF!,IF('INHERENT MAP'!$B$5=2024,#REF!,#REF!))))</f>
        <v>0</v>
      </c>
      <c r="AF59">
        <f>IF('INHERENT MAP'!$B$5=2021,'РЕЕСТР РИСКОВ_2023'!AL113,IF('INHERENT MAP'!$B$5=2022,#REF!,IF('INHERENT MAP'!$B$5=2023,#REF!,IF('INHERENT MAP'!$B$5=2024,#REF!,#REF!))))</f>
        <v>0</v>
      </c>
      <c r="AG59">
        <f>IF('INHERENT MAP'!$B$5=2021,'РЕЕСТР РИСКОВ_2023'!AM113,IF('INHERENT MAP'!$B$5=2022,#REF!,IF('INHERENT MAP'!$B$5=2023,#REF!,IF('INHERENT MAP'!$B$5=2024,#REF!,#REF!))))</f>
        <v>0</v>
      </c>
      <c r="AH59">
        <f>IF('INHERENT MAP'!$B$5=2021,'РЕЕСТР РИСКОВ_2023'!AN113,IF('INHERENT MAP'!$B$5=2022,#REF!,IF('INHERENT MAP'!$B$5=2023,#REF!,IF('INHERENT MAP'!$B$5=2024,#REF!,#REF!))))</f>
        <v>0</v>
      </c>
      <c r="AI59">
        <f>IF('INHERENT MAP'!$B$5=2021,'РЕЕСТР РИСКОВ_2023'!AO113,IF('INHERENT MAP'!$B$5=2022,#REF!,IF('INHERENT MAP'!$B$5=2023,#REF!,IF('INHERENT MAP'!$B$5=2024,#REF!,#REF!))))</f>
        <v>0</v>
      </c>
      <c r="AJ59">
        <f>IF('INHERENT MAP'!$B$5=2021,'РЕЕСТР РИСКОВ_2023'!AP113,IF('INHERENT MAP'!$B$5=2022,#REF!,IF('INHERENT MAP'!$B$5=2023,#REF!,IF('INHERENT MAP'!$B$5=2024,#REF!,#REF!))))</f>
        <v>0</v>
      </c>
      <c r="AK59">
        <f>IF('РЕЕСТР РИСКОВ_2023'!AQ113="",AK58,'РЕЕСТР РИСКОВ_2023'!AQ113)</f>
        <v>0</v>
      </c>
      <c r="AL59">
        <f>IF('РЕЕСТР РИСКОВ_2023'!AR113="",AL58,'РЕЕСТР РИСКОВ_2023'!AR113)</f>
        <v>0.35</v>
      </c>
      <c r="AM59">
        <f>IF('РЕЕСТР РИСКОВ_2023'!AS113="",AM58,'РЕЕСТР РИСКОВ_2023'!AS113)</f>
        <v>-7200</v>
      </c>
      <c r="AN59">
        <f>IF('РЕЕСТР РИСКОВ_2023'!AT113="",AN58,'РЕЕСТР РИСКОВ_2023'!AT113)</f>
        <v>-1440</v>
      </c>
      <c r="AO59">
        <f>IF('РЕЕСТР РИСКОВ_2023'!AU113="",AO58,'РЕЕСТР РИСКОВ_2023'!AU113)</f>
        <v>0</v>
      </c>
    </row>
    <row r="60" spans="2:41">
      <c r="B60" t="str">
        <f>IF('INHERENT MAP'!$B$5=2021,IF('РЕЕСТР РИСКОВ_2023'!F114="",B59,'РЕЕСТР РИСКОВ_2023'!F114),IF('INHERENT MAP'!$B$5=2022,IF(#REF!="",B59,#REF!),IF('INHERENT MAP'!$B$5=2023,IF(#REF!="",B59,#REF!),IF('INHERENT MAP'!$B$5=2024,IF(#REF!="",B59,#REF!),IF('РЕЕСТР РИСКОВ_2023'!F114="",B59,'РЕЕСТР РИСКОВ_2023'!F114)))))</f>
        <v>СТРАНОВОЙ РИСК
 (Super Risk)</v>
      </c>
      <c r="C60" t="str">
        <f>IF('INHERENT MAP'!$B$5=2021,IF('РЕЕСТР РИСКОВ_2023'!G114="",C59,'РЕЕСТР РИСКОВ_2023'!G114),IF('INHERENT MAP'!$B$5=2022,IF(#REF!="",C59,#REF!),IF('INHERENT MAP'!$B$5=2023,IF(#REF!="",C59,#REF!),IF('INHERENT MAP'!$B$5=2024,IF(#REF!="",C59,#REF!),IF('РЕЕСТР РИСКОВ_2023'!G114="",C59,'РЕЕСТР РИСКОВ_2023'!G114)))))</f>
        <v>- (ХХХ) млн. Тенге</v>
      </c>
      <c r="D60" t="str">
        <f>IF('INHERENT MAP'!$B$5=2021,IF('РЕЕСТР РИСКОВ_2023'!H114="",D59,'РЕЕСТР РИСКОВ_2023'!H114),IF('INHERENT MAP'!$B$5=2022,IF(#REF!="",D59,#REF!),IF('INHERENT MAP'!$B$5=2023,IF(#REF!="",D59,#REF!),IF('INHERENT MAP'!$B$5=2024,IF(#REF!="",D59,#REF!),IF('РЕЕСТР РИСКОВ_2023'!H114="",D59,'РЕЕСТР РИСКОВ_2023'!H114)))))</f>
        <v>STR-2</v>
      </c>
      <c r="E60" t="str">
        <f>IF('INHERENT MAP'!$B$5=2021,IF('РЕЕСТР РИСКОВ_2023'!I114="",E59,'РЕЕСТР РИСКОВ_2023'!I114),IF('INHERENT MAP'!$B$5=2022,IF(#REF!="",E59,#REF!),IF('INHERENT MAP'!$B$5=2023,IF(#REF!="",E59,#REF!),IF('INHERENT MAP'!$B$5=2024,IF(#REF!="",E59,#REF!),IF('РЕЕСТР РИСКОВ_2023'!I114="",E59,'РЕЕСТР РИСКОВ_2023'!I114)))))</f>
        <v xml:space="preserve">ЦЗД, ЦЗЦ, ЦЗЛ
</v>
      </c>
      <c r="F60" t="str">
        <f>IF('INHERENT MAP'!$B$5=2021,IF('РЕЕСТР РИСКОВ_2023'!J114="",F59,'РЕЕСТР РИСКОВ_2023'!J114),IF('INHERENT MAP'!$B$5=2022,IF(#REF!="",F59,#REF!),IF('INHERENT MAP'!$B$5=2023,IF(#REF!="",F59,#REF!),IF('INHERENT MAP'!$B$5=2024,IF(#REF!="",F59,#REF!),IF('РЕЕСТР РИСКОВ_2023'!J114="",F59,'РЕЕСТР РИСКОВ_2023'!J114)))))</f>
        <v xml:space="preserve">ТОО "КТЖ-Грузовые перевозки"
</v>
      </c>
      <c r="G60" t="str">
        <f>IF('INHERENT MAP'!$B$5=2021,IF('РЕЕСТР РИСКОВ_2023'!K114="",G59,'РЕЕСТР РИСКОВ_2023'!K114),IF('INHERENT MAP'!$B$5=2022,IF(#REF!="",G59,#REF!),IF('INHERENT MAP'!$B$5=2023,IF(#REF!="",G59,#REF!),IF('INHERENT MAP'!$B$5=2024,IF(#REF!="",G59,#REF!),IF('РЕЕСТР РИСКОВ_2023'!K114="",G59,'РЕЕСТР РИСКОВ_2023'!K114)))))</f>
        <v>Применение навигационных пломб</v>
      </c>
      <c r="H60">
        <f>IF('INHERENT MAP'!$B$5=2021,'РЕЕСТР РИСКОВ_2023'!L114,IF('INHERENT MAP'!$B$5=2022,#REF!,IF('INHERENT MAP'!$B$5=2023,#REF!,IF('INHERENT MAP'!$B$5=2024,#REF!,#REF!))))</f>
        <v>0</v>
      </c>
      <c r="I60">
        <f>IF('INHERENT MAP'!$B$5=2021,'РЕЕСТР РИСКОВ_2023'!M114,IF('INHERENT MAP'!$B$5=2022,#REF!,IF('INHERENT MAP'!$B$5=2023,#REF!,IF('INHERENT MAP'!$B$5=2024,#REF!,#REF!))))</f>
        <v>0</v>
      </c>
      <c r="J60">
        <f>IF('INHERENT MAP'!$B$5=2021,'РЕЕСТР РИСКОВ_2023'!N114,IF('INHERENT MAP'!$B$5=2022,#REF!,IF('INHERENT MAP'!$B$5=2023,#REF!,IF('INHERENT MAP'!$B$5=2024,#REF!,#REF!))))</f>
        <v>0</v>
      </c>
      <c r="K60">
        <f>IF('INHERENT MAP'!$B$5=2021,'РЕЕСТР РИСКОВ_2023'!O114,IF('INHERENT MAP'!$B$5=2022,#REF!,IF('INHERENT MAP'!$B$5=2023,#REF!,IF('INHERENT MAP'!$B$5=2024,#REF!,#REF!))))</f>
        <v>0</v>
      </c>
      <c r="L60">
        <f>IF('INHERENT MAP'!$B$5=2021,'РЕЕСТР РИСКОВ_2023'!P114,IF('INHERENT MAP'!$B$5=2022,#REF!,IF('INHERENT MAP'!$B$5=2023,#REF!,IF('INHERENT MAP'!$B$5=2024,#REF!,#REF!))))</f>
        <v>0</v>
      </c>
      <c r="M60" t="str">
        <f>IF('INHERENT MAP'!$B$5=2021,IF('РЕЕСТР РИСКОВ_2023'!Q114="",M59,'РЕЕСТР РИСКОВ_2023'!Q114),IF('INHERENT MAP'!$B$5=2022,IF(#REF!="",M59,#REF!),IF('INHERENT MAP'!$B$5=2023,IF(#REF!="",M59,#REF!),IF('INHERENT MAP'!$B$5=2024,IF(#REF!="",M59,#REF!),IF('РЕЕСТР РИСКОВ_2023'!Q114="",M59,'РЕЕСТР РИСКОВ_2023'!Q114)))))</f>
        <v>Обязательное навешивание/снятие работниками перевозчика на станциях электронных навигационных пломб при перевозке грузов железнодорожным транспортом, их документальное оформление, что повлечет увеличение технологического и коммерческого времени на обработку поездов</v>
      </c>
      <c r="N60" t="str">
        <f>IF('INHERENT MAP'!$B$5=2021,IF('РЕЕСТР РИСКОВ_2023'!R114="",N59,'РЕЕСТР РИСКОВ_2023'!R114),IF('INHERENT MAP'!$B$5=2022,IF(#REF!="",N59,#REF!),IF('INHERENT MAP'!$B$5=2023,IF(#REF!="",N59,#REF!),IF('INHERENT MAP'!$B$5=2024,IF(#REF!="",N59,#REF!),IF('РЕЕСТР РИСКОВ_2023'!R114="",N59,'РЕЕСТР РИСКОВ_2023'!R114)))))</f>
        <v xml:space="preserve">Необходимость доработки информационных систем, включая интеграцию с информационными системами национального оператора навигационных пломб и таможенных органов                          </v>
      </c>
      <c r="O60">
        <f>'РЕЕСТР РИСКОВ_2023'!T114</f>
        <v>0</v>
      </c>
      <c r="P60">
        <f>IF('РЕЕСТР РИСКОВ_2023'!U114="",P59,'РЕЕСТР РИСКОВ_2023'!U114)</f>
        <v>0</v>
      </c>
      <c r="Q60" t="str">
        <f>IF('РЕЕСТР РИСКОВ_2023'!V114="",Q59,'РЕЕСТР РИСКОВ_2023'!V114)</f>
        <v>Угрозы</v>
      </c>
      <c r="R60" t="str">
        <f>IF('РЕЕСТР РИСКОВ_2023'!W114="",R59,'РЕЕСТР РИСКОВ_2023'!W114)</f>
        <v>Количество брошенных поездов</v>
      </c>
      <c r="S60">
        <f>'РЕЕСТР РИСКОВ_2023'!X114</f>
        <v>0</v>
      </c>
      <c r="T60" s="94">
        <f>IF('INHERENT MAP'!$B$5=2021,'РЕЕСТР РИСКОВ_2023'!Y114,IF('INHERENT MAP'!$B$5=2022,#REF!,IF('INHERENT MAP'!$B$5=2023,#REF!,IF('INHERENT MAP'!$B$5=2024,#REF!,#REF!))))</f>
        <v>0</v>
      </c>
      <c r="U60">
        <f>IF('INHERENT MAP'!$B$5=2021,'РЕЕСТР РИСКОВ_2023'!Z114,IF('INHERENT MAP'!$B$5=2022,#REF!,IF('INHERENT MAP'!$B$5=2023,#REF!,IF('INHERENT MAP'!$B$5=2024,#REF!,#REF!))))</f>
        <v>0</v>
      </c>
      <c r="V60">
        <f>IF('INHERENT MAP'!$B$5=2021,'РЕЕСТР РИСКОВ_2023'!AA114,IF('INHERENT MAP'!$B$5=2022,#REF!,IF('INHERENT MAP'!$B$5=2023,#REF!,IF('INHERENT MAP'!$B$5=2024,#REF!,#REF!))))</f>
        <v>0</v>
      </c>
      <c r="W60">
        <f>IF('INHERENT MAP'!$B$5=2021,'РЕЕСТР РИСКОВ_2023'!AB114,IF('INHERENT MAP'!$B$5=2022,#REF!,IF('INHERENT MAP'!$B$5=2023,#REF!,IF('INHERENT MAP'!$B$5=2024,#REF!,#REF!))))</f>
        <v>0</v>
      </c>
      <c r="X60" s="94">
        <f>IF('INHERENT MAP'!$B$5=2021,'РЕЕСТР РИСКОВ_2023'!AC114,IF('INHERENT MAP'!$B$5=2022,#REF!,IF('INHERENT MAP'!$B$5=2023,#REF!,IF('INHERENT MAP'!$B$5=2024,#REF!,#REF!))))</f>
        <v>0</v>
      </c>
      <c r="Y60">
        <f>IF('INHERENT MAP'!$B$5=2021,'РЕЕСТР РИСКОВ_2023'!AD114,IF('INHERENT MAP'!$B$5=2022,#REF!,IF('INHERENT MAP'!$B$5=2023,#REF!,IF('INHERENT MAP'!$B$5=2024,#REF!,#REF!))))</f>
        <v>0</v>
      </c>
      <c r="Z60">
        <f>IF('INHERENT MAP'!$B$5=2021,'РЕЕСТР РИСКОВ_2023'!AE114,IF('INHERENT MAP'!$B$5=2022,#REF!,IF('INHERENT MAP'!$B$5=2023,#REF!,IF('INHERENT MAP'!$B$5=2024,#REF!,#REF!))))</f>
        <v>0</v>
      </c>
      <c r="AA60">
        <f>IF('INHERENT MAP'!$B$5=2021,'РЕЕСТР РИСКОВ_2023'!AF114,IF('INHERENT MAP'!$B$5=2022,#REF!,IF('INHERENT MAP'!$B$5=2023,#REF!,IF('INHERENT MAP'!$B$5=2024,#REF!,#REF!))))</f>
        <v>0</v>
      </c>
      <c r="AB60">
        <f>IF('INHERENT MAP'!$B$5=2021,'РЕЕСТР РИСКОВ_2023'!AG114,IF('INHERENT MAP'!$B$5=2022,#REF!,IF('INHERENT MAP'!$B$5=2023,#REF!,IF('INHERENT MAP'!$B$5=2024,#REF!,#REF!))))</f>
        <v>0</v>
      </c>
      <c r="AC60">
        <f>IF('INHERENT MAP'!$B$5=2021,'РЕЕСТР РИСКОВ_2023'!AH114,IF('INHERENT MAP'!$B$5=2022,#REF!,IF('INHERENT MAP'!$B$5=2023,#REF!,IF('INHERENT MAP'!$B$5=2024,#REF!,#REF!))))</f>
        <v>0</v>
      </c>
      <c r="AD60">
        <f>IF('INHERENT MAP'!$B$5=2021,'РЕЕСТР РИСКОВ_2023'!AI114,IF('INHERENT MAP'!$B$5=2022,#REF!,IF('INHERENT MAP'!$B$5=2023,#REF!,IF('INHERENT MAP'!$B$5=2024,#REF!,#REF!))))</f>
        <v>0</v>
      </c>
      <c r="AE60">
        <f>IF('INHERENT MAP'!$B$5=2021,'РЕЕСТР РИСКОВ_2023'!AK114,IF('INHERENT MAP'!$B$5=2022,#REF!,IF('INHERENT MAP'!$B$5=2023,#REF!,IF('INHERENT MAP'!$B$5=2024,#REF!,#REF!))))</f>
        <v>0</v>
      </c>
      <c r="AF60">
        <f>IF('INHERENT MAP'!$B$5=2021,'РЕЕСТР РИСКОВ_2023'!AL114,IF('INHERENT MAP'!$B$5=2022,#REF!,IF('INHERENT MAP'!$B$5=2023,#REF!,IF('INHERENT MAP'!$B$5=2024,#REF!,#REF!))))</f>
        <v>0</v>
      </c>
      <c r="AG60">
        <f>IF('INHERENT MAP'!$B$5=2021,'РЕЕСТР РИСКОВ_2023'!AM114,IF('INHERENT MAP'!$B$5=2022,#REF!,IF('INHERENT MAP'!$B$5=2023,#REF!,IF('INHERENT MAP'!$B$5=2024,#REF!,#REF!))))</f>
        <v>0</v>
      </c>
      <c r="AH60">
        <f>IF('INHERENT MAP'!$B$5=2021,'РЕЕСТР РИСКОВ_2023'!AN114,IF('INHERENT MAP'!$B$5=2022,#REF!,IF('INHERENT MAP'!$B$5=2023,#REF!,IF('INHERENT MAP'!$B$5=2024,#REF!,#REF!))))</f>
        <v>0</v>
      </c>
      <c r="AI60">
        <f>IF('INHERENT MAP'!$B$5=2021,'РЕЕСТР РИСКОВ_2023'!AO114,IF('INHERENT MAP'!$B$5=2022,#REF!,IF('INHERENT MAP'!$B$5=2023,#REF!,IF('INHERENT MAP'!$B$5=2024,#REF!,#REF!))))</f>
        <v>0</v>
      </c>
      <c r="AJ60">
        <f>IF('INHERENT MAP'!$B$5=2021,'РЕЕСТР РИСКОВ_2023'!AP114,IF('INHERENT MAP'!$B$5=2022,#REF!,IF('INHERENT MAP'!$B$5=2023,#REF!,IF('INHERENT MAP'!$B$5=2024,#REF!,#REF!))))</f>
        <v>0</v>
      </c>
      <c r="AK60">
        <f>IF('РЕЕСТР РИСКОВ_2023'!AQ114="",AK59,'РЕЕСТР РИСКОВ_2023'!AQ114)</f>
        <v>0</v>
      </c>
      <c r="AL60">
        <f>IF('РЕЕСТР РИСКОВ_2023'!AR114="",AL59,'РЕЕСТР РИСКОВ_2023'!AR114)</f>
        <v>0.35</v>
      </c>
      <c r="AM60">
        <f>IF('РЕЕСТР РИСКОВ_2023'!AS114="",AM59,'РЕЕСТР РИСКОВ_2023'!AS114)</f>
        <v>-7200</v>
      </c>
      <c r="AN60">
        <f>IF('РЕЕСТР РИСКОВ_2023'!AT114="",AN59,'РЕЕСТР РИСКОВ_2023'!AT114)</f>
        <v>-1440</v>
      </c>
      <c r="AO60">
        <f>IF('РЕЕСТР РИСКОВ_2023'!AU114="",AO59,'РЕЕСТР РИСКОВ_2023'!AU114)</f>
        <v>0</v>
      </c>
    </row>
    <row r="61" spans="2:41">
      <c r="B61" t="str">
        <f>IF('INHERENT MAP'!$B$5=2021,IF('РЕЕСТР РИСКОВ_2023'!F115="",B60,'РЕЕСТР РИСКОВ_2023'!F115),IF('INHERENT MAP'!$B$5=2022,IF(#REF!="",B60,#REF!),IF('INHERENT MAP'!$B$5=2023,IF(#REF!="",B60,#REF!),IF('INHERENT MAP'!$B$5=2024,IF(#REF!="",B60,#REF!),IF('РЕЕСТР РИСКОВ_2023'!F115="",B60,'РЕЕСТР РИСКОВ_2023'!F115)))))</f>
        <v>ТАРИФНЫЙ РИСК/ 
ЦЕНОВОЙ РИСК</v>
      </c>
      <c r="C61" t="str">
        <f>IF('INHERENT MAP'!$B$5=2021,IF('РЕЕСТР РИСКОВ_2023'!G115="",C60,'РЕЕСТР РИСКОВ_2023'!G115),IF('INHERENT MAP'!$B$5=2022,IF(#REF!="",C60,#REF!),IF('INHERENT MAP'!$B$5=2023,IF(#REF!="",C60,#REF!),IF('INHERENT MAP'!$B$5=2024,IF(#REF!="",C60,#REF!),IF('РЕЕСТР РИСКОВ_2023'!G115="",C60,'РЕЕСТР РИСКОВ_2023'!G115)))))</f>
        <v>- (ХХХ) млн. Тенге</v>
      </c>
      <c r="D61" t="str">
        <f>IF('INHERENT MAP'!$B$5=2021,IF('РЕЕСТР РИСКОВ_2023'!H115="",D60,'РЕЕСТР РИСКОВ_2023'!H115),IF('INHERENT MAP'!$B$5=2022,IF(#REF!="",D60,#REF!),IF('INHERENT MAP'!$B$5=2023,IF(#REF!="",D60,#REF!),IF('INHERENT MAP'!$B$5=2024,IF(#REF!="",D60,#REF!),IF('РЕЕСТР РИСКОВ_2023'!H115="",D60,'РЕЕСТР РИСКОВ_2023'!H115)))))</f>
        <v>RTR-1</v>
      </c>
      <c r="E61" t="str">
        <f>IF('INHERENT MAP'!$B$5=2021,IF('РЕЕСТР РИСКОВ_2023'!I115="",E60,'РЕЕСТР РИСКОВ_2023'!I115),IF('INHERENT MAP'!$B$5=2022,IF(#REF!="",E60,#REF!),IF('INHERENT MAP'!$B$5=2023,IF(#REF!="",E60,#REF!),IF('INHERENT MAP'!$B$5=2024,IF(#REF!="",E60,#REF!),IF('РЕЕСТР РИСКОВ_2023'!I115="",E60,'РЕЕСТР РИСКОВ_2023'!I115)))))</f>
        <v>ЦЗ-1</v>
      </c>
      <c r="F61" t="str">
        <f>IF('INHERENT MAP'!$B$5=2021,IF('РЕЕСТР РИСКОВ_2023'!J115="",F60,'РЕЕСТР РИСКОВ_2023'!J115),IF('INHERENT MAP'!$B$5=2022,IF(#REF!="",F60,#REF!),IF('INHERENT MAP'!$B$5=2023,IF(#REF!="",F60,#REF!),IF('INHERENT MAP'!$B$5=2024,IF(#REF!="",F60,#REF!),IF('РЕЕСТР РИСКОВ_2023'!J115="",F60,'РЕЕСТР РИСКОВ_2023'!J115)))))</f>
        <v>Департамент тарифной политики АО "НК "ҚТЖ", Департамент тарифной политики  Дирекции магистральной сети</v>
      </c>
      <c r="G61" t="str">
        <f>IF('INHERENT MAP'!$B$5=2021,IF('РЕЕСТР РИСКОВ_2023'!K115="",G60,'РЕЕСТР РИСКОВ_2023'!K115),IF('INHERENT MAP'!$B$5=2022,IF(#REF!="",G60,#REF!),IF('INHERENT MAP'!$B$5=2023,IF(#REF!="",G60,#REF!),IF('INHERENT MAP'!$B$5=2024,IF(#REF!="",G60,#REF!),IF('РЕЕСТР РИСКОВ_2023'!K115="",G60,'РЕЕСТР РИСКОВ_2023'!K115)))))</f>
        <v>Регулируемый тариф магистральной железнодорожной сети</v>
      </c>
      <c r="H61">
        <f>IF('INHERENT MAP'!$B$5=2021,'РЕЕСТР РИСКОВ_2023'!L115,IF('INHERENT MAP'!$B$5=2022,#REF!,IF('INHERENT MAP'!$B$5=2023,#REF!,IF('INHERENT MAP'!$B$5=2024,#REF!,#REF!))))</f>
        <v>0</v>
      </c>
      <c r="I61">
        <f>IF('INHERENT MAP'!$B$5=2021,'РЕЕСТР РИСКОВ_2023'!M115,IF('INHERENT MAP'!$B$5=2022,#REF!,IF('INHERENT MAP'!$B$5=2023,#REF!,IF('INHERENT MAP'!$B$5=2024,#REF!,#REF!))))</f>
        <v>0</v>
      </c>
      <c r="J61">
        <f>IF('INHERENT MAP'!$B$5=2021,'РЕЕСТР РИСКОВ_2023'!N115,IF('INHERENT MAP'!$B$5=2022,#REF!,IF('INHERENT MAP'!$B$5=2023,#REF!,IF('INHERENT MAP'!$B$5=2024,#REF!,#REF!))))</f>
        <v>0</v>
      </c>
      <c r="K61">
        <f>IF('INHERENT MAP'!$B$5=2021,'РЕЕСТР РИСКОВ_2023'!O115,IF('INHERENT MAP'!$B$5=2022,#REF!,IF('INHERENT MAP'!$B$5=2023,#REF!,IF('INHERENT MAP'!$B$5=2024,#REF!,#REF!))))</f>
        <v>0</v>
      </c>
      <c r="L61">
        <f>IF('INHERENT MAP'!$B$5=2021,'РЕЕСТР РИСКОВ_2023'!P115,IF('INHERENT MAP'!$B$5=2022,#REF!,IF('INHERENT MAP'!$B$5=2023,#REF!,IF('INHERENT MAP'!$B$5=2024,#REF!,#REF!))))</f>
        <v>0</v>
      </c>
      <c r="M61" t="str">
        <f>IF('INHERENT MAP'!$B$5=2021,IF('РЕЕСТР РИСКОВ_2023'!Q115="",M60,'РЕЕСТР РИСКОВ_2023'!Q115),IF('INHERENT MAP'!$B$5=2022,IF(#REF!="",M60,#REF!),IF('INHERENT MAP'!$B$5=2023,IF(#REF!="",M60,#REF!),IF('INHERENT MAP'!$B$5=2024,IF(#REF!="",M60,#REF!),IF('РЕЕСТР РИСКОВ_2023'!Q115="",M60,'РЕЕСТР РИСКОВ_2023'!Q115)))))</f>
        <v>(МЖС) Риск применения низкого унифицированного тарифа вместо высокого транзитного  на перевозки грузов из Узбекистана в страны ЕАЭС по территориии Казахстана , в связи со вступлением Узбекистана в ЕАЭС</v>
      </c>
      <c r="N61" t="str">
        <f>IF('INHERENT MAP'!$B$5=2021,IF('РЕЕСТР РИСКОВ_2023'!R115="",N60,'РЕЕСТР РИСКОВ_2023'!R115),IF('INHERENT MAP'!$B$5=2022,IF(#REF!="",N60,#REF!),IF('INHERENT MAP'!$B$5=2023,IF(#REF!="",N60,#REF!),IF('INHERENT MAP'!$B$5=2024,IF(#REF!="",N60,#REF!),IF('РЕЕСТР РИСКОВ_2023'!R115="",N60,'РЕЕСТР РИСКОВ_2023'!R115)))))</f>
        <v xml:space="preserve">По предварительным данным Узбекистаном прорабатывается присоединение к Договору о ЕАЭС. Наиболее чувствительными последствиями для Казахстана при вступлении Узбекистана в ЕАЭС будет потеря возможности применения транзитного тарифа на перевозки в/из Узбекистана в страны ЕАЭС и переход к применению унифицированного тарифа. Провозные платежи за перевозки, осуществляемые транзитом по территории Казахстана, на участках от стыковых станций с Россией до стыковых станций с Узбекистаном будут рассчитываться по Унифицированному тарифу. В настоящее время данные перевозки осуществляются по ставкам транзитного тарифа, уровень которого выше Унифицированного в среднем в 4 раза. От применения Унифицированных тарифов на указанный выше объем прогнозируемых транзитных перевозок в Узбекистан выпадающие доходы АО «НК «ҚТЖ» составят ~50 644,06 млн. тенге. </v>
      </c>
      <c r="O61">
        <f>'РЕЕСТР РИСКОВ_2023'!T115</f>
        <v>0</v>
      </c>
      <c r="P61">
        <f>IF('РЕЕСТР РИСКОВ_2023'!U115="",P60,'РЕЕСТР РИСКОВ_2023'!U115)</f>
        <v>0</v>
      </c>
      <c r="Q61" t="str">
        <f>IF('РЕЕСТР РИСКОВ_2023'!V115="",Q60,'РЕЕСТР РИСКОВ_2023'!V115)</f>
        <v>Угрозы</v>
      </c>
      <c r="R61" t="str">
        <f>IF('РЕЕСТР РИСКОВ_2023'!W115="",R60,'РЕЕСТР РИСКОВ_2023'!W115)</f>
        <v xml:space="preserve"> От применения Унифицированных тарифов на указанный выше объем прогнозируемых транзитных перевозок в Узбекистан выпадающие доходы АО «НК «ҚТЖ» составят ~ 52,2 млрд. тенге. </v>
      </c>
      <c r="S61">
        <f>'РЕЕСТР РИСКОВ_2023'!X115</f>
        <v>0</v>
      </c>
      <c r="T61" s="94">
        <f>IF('INHERENT MAP'!$B$5=2021,'РЕЕСТР РИСКОВ_2023'!Y115,IF('INHERENT MAP'!$B$5=2022,#REF!,IF('INHERENT MAP'!$B$5=2023,#REF!,IF('INHERENT MAP'!$B$5=2024,#REF!,#REF!))))</f>
        <v>0.8</v>
      </c>
      <c r="U61">
        <f>IF('INHERENT MAP'!$B$5=2021,'РЕЕСТР РИСКОВ_2023'!Z115,IF('INHERENT MAP'!$B$5=2022,#REF!,IF('INHERENT MAP'!$B$5=2023,#REF!,IF('INHERENT MAP'!$B$5=2024,#REF!,#REF!))))</f>
        <v>-50644.1</v>
      </c>
      <c r="V61">
        <f>IF('INHERENT MAP'!$B$5=2021,'РЕЕСТР РИСКОВ_2023'!AA115,IF('INHERENT MAP'!$B$5=2022,#REF!,IF('INHERENT MAP'!$B$5=2023,#REF!,IF('INHERENT MAP'!$B$5=2024,#REF!,#REF!))))</f>
        <v>-40515.279999999999</v>
      </c>
      <c r="W61">
        <f>IF('INHERENT MAP'!$B$5=2021,'РЕЕСТР РИСКОВ_2023'!AB115,IF('INHERENT MAP'!$B$5=2022,#REF!,IF('INHERENT MAP'!$B$5=2023,#REF!,IF('INHERENT MAP'!$B$5=2024,#REF!,#REF!))))</f>
        <v>0</v>
      </c>
      <c r="X61" s="94">
        <f>IF('INHERENT MAP'!$B$5=2021,'РЕЕСТР РИСКОВ_2023'!AC115,IF('INHERENT MAP'!$B$5=2022,#REF!,IF('INHERENT MAP'!$B$5=2023,#REF!,IF('INHERENT MAP'!$B$5=2024,#REF!,#REF!))))</f>
        <v>0.79098794711789855</v>
      </c>
      <c r="Y61">
        <f>IF('INHERENT MAP'!$B$5=2021,'РЕЕСТР РИСКОВ_2023'!AD115,IF('INHERENT MAP'!$B$5=2022,#REF!,IF('INHERENT MAP'!$B$5=2023,#REF!,IF('INHERENT MAP'!$B$5=2024,#REF!,#REF!))))</f>
        <v>-58443.916999999994</v>
      </c>
      <c r="Z61">
        <f>IF('INHERENT MAP'!$B$5=2021,'РЕЕСТР РИСКОВ_2023'!AE115,IF('INHERENT MAP'!$B$5=2022,#REF!,IF('INHERENT MAP'!$B$5=2023,#REF!,IF('INHERENT MAP'!$B$5=2024,#REF!,#REF!))))</f>
        <v>-46228.433929358849</v>
      </c>
      <c r="AA61">
        <f>IF('INHERENT MAP'!$B$5=2021,'РЕЕСТР РИСКОВ_2023'!AF115,IF('INHERENT MAP'!$B$5=2022,#REF!,IF('INHERENT MAP'!$B$5=2023,#REF!,IF('INHERENT MAP'!$B$5=2024,#REF!,#REF!))))</f>
        <v>0</v>
      </c>
      <c r="AB61">
        <f>IF('INHERENT MAP'!$B$5=2021,'РЕЕСТР РИСКОВ_2023'!AG115,IF('INHERENT MAP'!$B$5=2022,#REF!,IF('INHERENT MAP'!$B$5=2023,#REF!,IF('INHERENT MAP'!$B$5=2024,#REF!,#REF!))))</f>
        <v>0</v>
      </c>
      <c r="AC61">
        <f>IF('INHERENT MAP'!$B$5=2021,'РЕЕСТР РИСКОВ_2023'!AH115,IF('INHERENT MAP'!$B$5=2022,#REF!,IF('INHERENT MAP'!$B$5=2023,#REF!,IF('INHERENT MAP'!$B$5=2024,#REF!,#REF!))))</f>
        <v>0</v>
      </c>
      <c r="AD61">
        <f>IF('INHERENT MAP'!$B$5=2021,'РЕЕСТР РИСКОВ_2023'!AI115,IF('INHERENT MAP'!$B$5=2022,#REF!,IF('INHERENT MAP'!$B$5=2023,#REF!,IF('INHERENT MAP'!$B$5=2024,#REF!,#REF!))))</f>
        <v>0</v>
      </c>
      <c r="AE61" t="str">
        <f>IF('INHERENT MAP'!$B$5=2021,'РЕЕСТР РИСКОВ_2023'!AK115,IF('INHERENT MAP'!$B$5=2022,#REF!,IF('INHERENT MAP'!$B$5=2023,#REF!,IF('INHERENT MAP'!$B$5=2024,#REF!,#REF!))))</f>
        <v>АО "НК КТЖ", Департамент тарифной политики</v>
      </c>
      <c r="AF61">
        <f>IF('INHERENT MAP'!$B$5=2021,'РЕЕСТР РИСКОВ_2023'!AL115,IF('INHERENT MAP'!$B$5=2022,#REF!,IF('INHERENT MAP'!$B$5=2023,#REF!,IF('INHERENT MAP'!$B$5=2024,#REF!,#REF!))))</f>
        <v>0</v>
      </c>
      <c r="AG61" t="str">
        <f>IF('INHERENT MAP'!$B$5=2021,'РЕЕСТР РИСКОВ_2023'!AM115,IF('INHERENT MAP'!$B$5=2022,#REF!,IF('INHERENT MAP'!$B$5=2023,#REF!,IF('INHERENT MAP'!$B$5=2024,#REF!,#REF!))))</f>
        <v>низкая</v>
      </c>
      <c r="AH61">
        <f>IF('INHERENT MAP'!$B$5=2021,'РЕЕСТР РИСКОВ_2023'!AN115,IF('INHERENT MAP'!$B$5=2022,#REF!,IF('INHERENT MAP'!$B$5=2023,#REF!,IF('INHERENT MAP'!$B$5=2024,#REF!,#REF!))))</f>
        <v>0.8</v>
      </c>
      <c r="AI61">
        <f>IF('INHERENT MAP'!$B$5=2021,'РЕЕСТР РИСКОВ_2023'!AO115,IF('INHERENT MAP'!$B$5=2022,#REF!,IF('INHERENT MAP'!$B$5=2023,#REF!,IF('INHERENT MAP'!$B$5=2024,#REF!,#REF!))))</f>
        <v>-50644.1</v>
      </c>
      <c r="AJ61">
        <f>IF('INHERENT MAP'!$B$5=2021,'РЕЕСТР РИСКОВ_2023'!AP115,IF('INHERENT MAP'!$B$5=2022,#REF!,IF('INHERENT MAP'!$B$5=2023,#REF!,IF('INHERENT MAP'!$B$5=2024,#REF!,#REF!))))</f>
        <v>-40515.279999999999</v>
      </c>
      <c r="AK61">
        <f>IF('РЕЕСТР РИСКОВ_2023'!AQ115="",AK60,'РЕЕСТР РИСКОВ_2023'!AQ115)</f>
        <v>-40515.279999999999</v>
      </c>
      <c r="AL61" t="e">
        <f>IF('РЕЕСТР РИСКОВ_2023'!AR115="",AL60,'РЕЕСТР РИСКОВ_2023'!AR115)</f>
        <v>#REF!</v>
      </c>
      <c r="AM61">
        <f>IF('РЕЕСТР РИСКОВ_2023'!AS115="",AM60,'РЕЕСТР РИСКОВ_2023'!AS115)</f>
        <v>-105188.1085</v>
      </c>
      <c r="AN61">
        <f>IF('РЕЕСТР РИСКОВ_2023'!AT115="",AN60,'РЕЕСТР РИСКОВ_2023'!AT115)</f>
        <v>-40922.550965373004</v>
      </c>
      <c r="AO61">
        <f>IF('РЕЕСТР РИСКОВ_2023'!AU115="",AO60,'РЕЕСТР РИСКОВ_2023'!AU115)</f>
        <v>0</v>
      </c>
    </row>
    <row r="62" spans="2:41">
      <c r="B62" t="str">
        <f>IF('INHERENT MAP'!$B$5=2021,IF('РЕЕСТР РИСКОВ_2023'!F116="",B61,'РЕЕСТР РИСКОВ_2023'!F116),IF('INHERENT MAP'!$B$5=2022,IF(#REF!="",B61,#REF!),IF('INHERENT MAP'!$B$5=2023,IF(#REF!="",B61,#REF!),IF('INHERENT MAP'!$B$5=2024,IF(#REF!="",B61,#REF!),IF('РЕЕСТР РИСКОВ_2023'!F116="",B61,'РЕЕСТР РИСКОВ_2023'!F116)))))</f>
        <v>ТАРИФНЫЙ РИСК/ 
ЦЕНОВОЙ РИСК</v>
      </c>
      <c r="C62" t="str">
        <f>IF('INHERENT MAP'!$B$5=2021,IF('РЕЕСТР РИСКОВ_2023'!G116="",C61,'РЕЕСТР РИСКОВ_2023'!G116),IF('INHERENT MAP'!$B$5=2022,IF(#REF!="",C61,#REF!),IF('INHERENT MAP'!$B$5=2023,IF(#REF!="",C61,#REF!),IF('INHERENT MAP'!$B$5=2024,IF(#REF!="",C61,#REF!),IF('РЕЕСТР РИСКОВ_2023'!G116="",C61,'РЕЕСТР РИСКОВ_2023'!G116)))))</f>
        <v>- (ХХХ) млн. Тенге</v>
      </c>
      <c r="D62" t="str">
        <f>IF('INHERENT MAP'!$B$5=2021,IF('РЕЕСТР РИСКОВ_2023'!H116="",D61,'РЕЕСТР РИСКОВ_2023'!H116),IF('INHERENT MAP'!$B$5=2022,IF(#REF!="",D61,#REF!),IF('INHERENT MAP'!$B$5=2023,IF(#REF!="",D61,#REF!),IF('INHERENT MAP'!$B$5=2024,IF(#REF!="",D61,#REF!),IF('РЕЕСТР РИСКОВ_2023'!H116="",D61,'РЕЕСТР РИСКОВ_2023'!H116)))))</f>
        <v>RTR-1</v>
      </c>
      <c r="E62" t="str">
        <f>IF('INHERENT MAP'!$B$5=2021,IF('РЕЕСТР РИСКОВ_2023'!I116="",E61,'РЕЕСТР РИСКОВ_2023'!I116),IF('INHERENT MAP'!$B$5=2022,IF(#REF!="",E61,#REF!),IF('INHERENT MAP'!$B$5=2023,IF(#REF!="",E61,#REF!),IF('INHERENT MAP'!$B$5=2024,IF(#REF!="",E61,#REF!),IF('РЕЕСТР РИСКОВ_2023'!I116="",E61,'РЕЕСТР РИСКОВ_2023'!I116)))))</f>
        <v>ЦЗ-1</v>
      </c>
      <c r="F62" t="str">
        <f>IF('INHERENT MAP'!$B$5=2021,IF('РЕЕСТР РИСКОВ_2023'!J116="",F61,'РЕЕСТР РИСКОВ_2023'!J116),IF('INHERENT MAP'!$B$5=2022,IF(#REF!="",F61,#REF!),IF('INHERENT MAP'!$B$5=2023,IF(#REF!="",F61,#REF!),IF('INHERENT MAP'!$B$5=2024,IF(#REF!="",F61,#REF!),IF('РЕЕСТР РИСКОВ_2023'!J116="",F61,'РЕЕСТР РИСКОВ_2023'!J116)))))</f>
        <v>Департамент тарифной политики АО "НК "ҚТЖ", Департамент тарифной политики  Дирекции магистральной сети</v>
      </c>
      <c r="G62" t="str">
        <f>IF('INHERENT MAP'!$B$5=2021,IF('РЕЕСТР РИСКОВ_2023'!K116="",G61,'РЕЕСТР РИСКОВ_2023'!K116),IF('INHERENT MAP'!$B$5=2022,IF(#REF!="",G61,#REF!),IF('INHERENT MAP'!$B$5=2023,IF(#REF!="",G61,#REF!),IF('INHERENT MAP'!$B$5=2024,IF(#REF!="",G61,#REF!),IF('РЕЕСТР РИСКОВ_2023'!K116="",G61,'РЕЕСТР РИСКОВ_2023'!K116)))))</f>
        <v>Регулируемый тариф магистральной железнодорожной сети</v>
      </c>
      <c r="H62">
        <f>IF('INHERENT MAP'!$B$5=2021,'РЕЕСТР РИСКОВ_2023'!L116,IF('INHERENT MAP'!$B$5=2022,#REF!,IF('INHERENT MAP'!$B$5=2023,#REF!,IF('INHERENT MAP'!$B$5=2024,#REF!,#REF!))))</f>
        <v>0</v>
      </c>
      <c r="I62">
        <f>IF('INHERENT MAP'!$B$5=2021,'РЕЕСТР РИСКОВ_2023'!M116,IF('INHERENT MAP'!$B$5=2022,#REF!,IF('INHERENT MAP'!$B$5=2023,#REF!,IF('INHERENT MAP'!$B$5=2024,#REF!,#REF!))))</f>
        <v>0</v>
      </c>
      <c r="J62">
        <f>IF('INHERENT MAP'!$B$5=2021,'РЕЕСТР РИСКОВ_2023'!N116,IF('INHERENT MAP'!$B$5=2022,#REF!,IF('INHERENT MAP'!$B$5=2023,#REF!,IF('INHERENT MAP'!$B$5=2024,#REF!,#REF!))))</f>
        <v>0</v>
      </c>
      <c r="K62">
        <f>IF('INHERENT MAP'!$B$5=2021,'РЕЕСТР РИСКОВ_2023'!O116,IF('INHERENT MAP'!$B$5=2022,#REF!,IF('INHERENT MAP'!$B$5=2023,#REF!,IF('INHERENT MAP'!$B$5=2024,#REF!,#REF!))))</f>
        <v>0</v>
      </c>
      <c r="L62">
        <f>IF('INHERENT MAP'!$B$5=2021,'РЕЕСТР РИСКОВ_2023'!P116,IF('INHERENT MAP'!$B$5=2022,#REF!,IF('INHERENT MAP'!$B$5=2023,#REF!,IF('INHERENT MAP'!$B$5=2024,#REF!,#REF!))))</f>
        <v>0</v>
      </c>
      <c r="M62" t="str">
        <f>IF('INHERENT MAP'!$B$5=2021,IF('РЕЕСТР РИСКОВ_2023'!Q116="",M61,'РЕЕСТР РИСКОВ_2023'!Q116),IF('INHERENT MAP'!$B$5=2022,IF(#REF!="",M61,#REF!),IF('INHERENT MAP'!$B$5=2023,IF(#REF!="",M61,#REF!),IF('INHERENT MAP'!$B$5=2024,IF(#REF!="",M61,#REF!),IF('РЕЕСТР РИСКОВ_2023'!Q116="",M61,'РЕЕСТР РИСКОВ_2023'!Q116)))))</f>
        <v xml:space="preserve">Риск снижения тарифов на услуги МЖС при применении временных понижающих коэффициентов
</v>
      </c>
      <c r="N62" t="str">
        <f>IF('INHERENT MAP'!$B$5=2021,IF('РЕЕСТР РИСКОВ_2023'!R116="",N61,'РЕЕСТР РИСКОВ_2023'!R116),IF('INHERENT MAP'!$B$5=2022,IF(#REF!="",N61,#REF!),IF('INHERENT MAP'!$B$5=2023,IF(#REF!="",N61,#REF!),IF('INHERENT MAP'!$B$5=2024,IF(#REF!="",N61,#REF!),IF('РЕЕСТР РИСКОВ_2023'!R116="",N61,'РЕЕСТР РИСКОВ_2023'!R116)))))</f>
        <v>С целью поддержки экономики РК, связанной с ухудшением конъюнктуры на внешнем или внутреннем рынках сбыта товара потребителя КРЕМ  может принять решение об установлении ВПК к тарифам на услуги МЖС при перевозке грузов жд транспортом. К примеру по итогам 2018 года выпадающие доходы от применения ВПК к тарифам на услуги МЖС при перевозке концентрата железорудного и окатышей железорудных составили - 1,07 млрд. тенге. Вместе с тем, в 2019, 2020 и 2021 годах ВПК к тарифам на услуги МЖС при перевозке грузов жд транспортом не устанавливался. В случае повторного наступления данного риска ожидаемые потери оцениваются по факту 2018 года на уровне  ~ 1 070,23 млн. тенге.</v>
      </c>
      <c r="O62">
        <f>'РЕЕСТР РИСКОВ_2023'!T116</f>
        <v>0</v>
      </c>
      <c r="P62">
        <f>IF('РЕЕСТР РИСКОВ_2023'!U116="",P61,'РЕЕСТР РИСКОВ_2023'!U116)</f>
        <v>0</v>
      </c>
      <c r="Q62" t="str">
        <f>IF('РЕЕСТР РИСКОВ_2023'!V116="",Q61,'РЕЕСТР РИСКОВ_2023'!V116)</f>
        <v>Угрозы</v>
      </c>
      <c r="R62" t="str">
        <f>IF('РЕЕСТР РИСКОВ_2023'!W116="",R61,'РЕЕСТР РИСКОВ_2023'!W116)</f>
        <v xml:space="preserve"> От применения Унифицированных тарифов на указанный выше объем прогнозируемых транзитных перевозок в Узбекистан выпадающие доходы АО «НК «ҚТЖ» составят ~ 52,2 млрд. тенге. </v>
      </c>
      <c r="S62">
        <f>'РЕЕСТР РИСКОВ_2023'!X116</f>
        <v>0</v>
      </c>
      <c r="T62" s="94">
        <f>IF('INHERENT MAP'!$B$5=2021,'РЕЕСТР РИСКОВ_2023'!Y116,IF('INHERENT MAP'!$B$5=2022,#REF!,IF('INHERENT MAP'!$B$5=2023,#REF!,IF('INHERENT MAP'!$B$5=2024,#REF!,#REF!))))</f>
        <v>0.5</v>
      </c>
      <c r="U62">
        <f>IF('INHERENT MAP'!$B$5=2021,'РЕЕСТР РИСКОВ_2023'!Z116,IF('INHERENT MAP'!$B$5=2022,#REF!,IF('INHERENT MAP'!$B$5=2023,#REF!,IF('INHERENT MAP'!$B$5=2024,#REF!,#REF!))))</f>
        <v>-1070.2</v>
      </c>
      <c r="V62">
        <f>IF('INHERENT MAP'!$B$5=2021,'РЕЕСТР РИСКОВ_2023'!AA116,IF('INHERENT MAP'!$B$5=2022,#REF!,IF('INHERENT MAP'!$B$5=2023,#REF!,IF('INHERENT MAP'!$B$5=2024,#REF!,#REF!))))</f>
        <v>-535.1</v>
      </c>
      <c r="W62">
        <f>IF('INHERENT MAP'!$B$5=2021,'РЕЕСТР РИСКОВ_2023'!AB116,IF('INHERENT MAP'!$B$5=2022,#REF!,IF('INHERENT MAP'!$B$5=2023,#REF!,IF('INHERENT MAP'!$B$5=2024,#REF!,#REF!))))</f>
        <v>0</v>
      </c>
      <c r="X62" s="94">
        <f>IF('INHERENT MAP'!$B$5=2021,'РЕЕСТР РИСКОВ_2023'!AC116,IF('INHERENT MAP'!$B$5=2022,#REF!,IF('INHERENT MAP'!$B$5=2023,#REF!,IF('INHERENT MAP'!$B$5=2024,#REF!,#REF!))))</f>
        <v>0</v>
      </c>
      <c r="Y62">
        <f>IF('INHERENT MAP'!$B$5=2021,'РЕЕСТР РИСКОВ_2023'!AD116,IF('INHERENT MAP'!$B$5=2022,#REF!,IF('INHERENT MAP'!$B$5=2023,#REF!,IF('INHERENT MAP'!$B$5=2024,#REF!,#REF!))))</f>
        <v>0</v>
      </c>
      <c r="Z62">
        <f>IF('INHERENT MAP'!$B$5=2021,'РЕЕСТР РИСКОВ_2023'!AE116,IF('INHERENT MAP'!$B$5=2022,#REF!,IF('INHERENT MAP'!$B$5=2023,#REF!,IF('INHERENT MAP'!$B$5=2024,#REF!,#REF!))))</f>
        <v>0</v>
      </c>
      <c r="AA62">
        <f>IF('INHERENT MAP'!$B$5=2021,'РЕЕСТР РИСКОВ_2023'!AF116,IF('INHERENT MAP'!$B$5=2022,#REF!,IF('INHERENT MAP'!$B$5=2023,#REF!,IF('INHERENT MAP'!$B$5=2024,#REF!,#REF!))))</f>
        <v>0</v>
      </c>
      <c r="AB62">
        <f>IF('INHERENT MAP'!$B$5=2021,'РЕЕСТР РИСКОВ_2023'!AG116,IF('INHERENT MAP'!$B$5=2022,#REF!,IF('INHERENT MAP'!$B$5=2023,#REF!,IF('INHERENT MAP'!$B$5=2024,#REF!,#REF!))))</f>
        <v>0</v>
      </c>
      <c r="AC62">
        <f>IF('INHERENT MAP'!$B$5=2021,'РЕЕСТР РИСКОВ_2023'!AH116,IF('INHERENT MAP'!$B$5=2022,#REF!,IF('INHERENT MAP'!$B$5=2023,#REF!,IF('INHERENT MAP'!$B$5=2024,#REF!,#REF!))))</f>
        <v>0</v>
      </c>
      <c r="AD62">
        <f>IF('INHERENT MAP'!$B$5=2021,'РЕЕСТР РИСКОВ_2023'!AI116,IF('INHERENT MAP'!$B$5=2022,#REF!,IF('INHERENT MAP'!$B$5=2023,#REF!,IF('INHERENT MAP'!$B$5=2024,#REF!,#REF!))))</f>
        <v>0</v>
      </c>
      <c r="AE62">
        <f>IF('INHERENT MAP'!$B$5=2021,'РЕЕСТР РИСКОВ_2023'!AK116,IF('INHERENT MAP'!$B$5=2022,#REF!,IF('INHERENT MAP'!$B$5=2023,#REF!,IF('INHERENT MAP'!$B$5=2024,#REF!,#REF!))))</f>
        <v>0</v>
      </c>
      <c r="AF62">
        <f>IF('INHERENT MAP'!$B$5=2021,'РЕЕСТР РИСКОВ_2023'!AL116,IF('INHERENT MAP'!$B$5=2022,#REF!,IF('INHERENT MAP'!$B$5=2023,#REF!,IF('INHERENT MAP'!$B$5=2024,#REF!,#REF!))))</f>
        <v>0</v>
      </c>
      <c r="AG62" t="str">
        <f>IF('INHERENT MAP'!$B$5=2021,'РЕЕСТР РИСКОВ_2023'!AM116,IF('INHERENT MAP'!$B$5=2022,#REF!,IF('INHERENT MAP'!$B$5=2023,#REF!,IF('INHERENT MAP'!$B$5=2024,#REF!,#REF!))))</f>
        <v>средняя</v>
      </c>
      <c r="AH62">
        <f>IF('INHERENT MAP'!$B$5=2021,'РЕЕСТР РИСКОВ_2023'!AN116,IF('INHERENT MAP'!$B$5=2022,#REF!,IF('INHERENT MAP'!$B$5=2023,#REF!,IF('INHERENT MAP'!$B$5=2024,#REF!,#REF!))))</f>
        <v>0.25</v>
      </c>
      <c r="AI62">
        <f>IF('INHERENT MAP'!$B$5=2021,'РЕЕСТР РИСКОВ_2023'!AO116,IF('INHERENT MAP'!$B$5=2022,#REF!,IF('INHERENT MAP'!$B$5=2023,#REF!,IF('INHERENT MAP'!$B$5=2024,#REF!,#REF!))))</f>
        <v>-535.1</v>
      </c>
      <c r="AJ62">
        <f>IF('INHERENT MAP'!$B$5=2021,'РЕЕСТР РИСКОВ_2023'!AP116,IF('INHERENT MAP'!$B$5=2022,#REF!,IF('INHERENT MAP'!$B$5=2023,#REF!,IF('INHERENT MAP'!$B$5=2024,#REF!,#REF!))))</f>
        <v>-133.77500000000001</v>
      </c>
      <c r="AK62">
        <f>IF('РЕЕСТР РИСКОВ_2023'!AQ116="",AK61,'РЕЕСТР РИСКОВ_2023'!AQ116)</f>
        <v>-267.55</v>
      </c>
      <c r="AL62" t="e">
        <f>IF('РЕЕСТР РИСКОВ_2023'!AR116="",AL61,'РЕЕСТР РИСКОВ_2023'!AR116)</f>
        <v>#REF!</v>
      </c>
      <c r="AM62">
        <f>IF('РЕЕСТР РИСКОВ_2023'!AS116="",AM61,'РЕЕСТР РИСКОВ_2023'!AS116)</f>
        <v>-105188.1085</v>
      </c>
      <c r="AN62">
        <f>IF('РЕЕСТР РИСКОВ_2023'!AT116="",AN61,'РЕЕСТР РИСКОВ_2023'!AT116)</f>
        <v>-40922.550965373004</v>
      </c>
      <c r="AO62">
        <f>IF('РЕЕСТР РИСКОВ_2023'!AU116="",AO61,'РЕЕСТР РИСКОВ_2023'!AU116)</f>
        <v>0</v>
      </c>
    </row>
    <row r="63" spans="2:41">
      <c r="B63" t="str">
        <f>IF('INHERENT MAP'!$B$5=2021,IF('РЕЕСТР РИСКОВ_2023'!F117="",B62,'РЕЕСТР РИСКОВ_2023'!F117),IF('INHERENT MAP'!$B$5=2022,IF(#REF!="",B62,#REF!),IF('INHERENT MAP'!$B$5=2023,IF(#REF!="",B62,#REF!),IF('INHERENT MAP'!$B$5=2024,IF(#REF!="",B62,#REF!),IF('РЕЕСТР РИСКОВ_2023'!F117="",B62,'РЕЕСТР РИСКОВ_2023'!F117)))))</f>
        <v>ТАРИФНЫЙ РИСК/ 
ЦЕНОВОЙ РИСК</v>
      </c>
      <c r="C63" t="str">
        <f>IF('INHERENT MAP'!$B$5=2021,IF('РЕЕСТР РИСКОВ_2023'!G117="",C62,'РЕЕСТР РИСКОВ_2023'!G117),IF('INHERENT MAP'!$B$5=2022,IF(#REF!="",C62,#REF!),IF('INHERENT MAP'!$B$5=2023,IF(#REF!="",C62,#REF!),IF('INHERENT MAP'!$B$5=2024,IF(#REF!="",C62,#REF!),IF('РЕЕСТР РИСКОВ_2023'!G117="",C62,'РЕЕСТР РИСКОВ_2023'!G117)))))</f>
        <v>- (ХХХ) млн. Тенге</v>
      </c>
      <c r="D63" t="str">
        <f>IF('INHERENT MAP'!$B$5=2021,IF('РЕЕСТР РИСКОВ_2023'!H117="",D62,'РЕЕСТР РИСКОВ_2023'!H117),IF('INHERENT MAP'!$B$5=2022,IF(#REF!="",D62,#REF!),IF('INHERENT MAP'!$B$5=2023,IF(#REF!="",D62,#REF!),IF('INHERENT MAP'!$B$5=2024,IF(#REF!="",D62,#REF!),IF('РЕЕСТР РИСКОВ_2023'!H117="",D62,'РЕЕСТР РИСКОВ_2023'!H117)))))</f>
        <v>RTR-1</v>
      </c>
      <c r="E63" t="str">
        <f>IF('INHERENT MAP'!$B$5=2021,IF('РЕЕСТР РИСКОВ_2023'!I117="",E62,'РЕЕСТР РИСКОВ_2023'!I117),IF('INHERENT MAP'!$B$5=2022,IF(#REF!="",E62,#REF!),IF('INHERENT MAP'!$B$5=2023,IF(#REF!="",E62,#REF!),IF('INHERENT MAP'!$B$5=2024,IF(#REF!="",E62,#REF!),IF('РЕЕСТР РИСКОВ_2023'!I117="",E62,'РЕЕСТР РИСКОВ_2023'!I117)))))</f>
        <v>ЦЗ-1</v>
      </c>
      <c r="F63" t="str">
        <f>IF('INHERENT MAP'!$B$5=2021,IF('РЕЕСТР РИСКОВ_2023'!J117="",F62,'РЕЕСТР РИСКОВ_2023'!J117),IF('INHERENT MAP'!$B$5=2022,IF(#REF!="",F62,#REF!),IF('INHERENT MAP'!$B$5=2023,IF(#REF!="",F62,#REF!),IF('INHERENT MAP'!$B$5=2024,IF(#REF!="",F62,#REF!),IF('РЕЕСТР РИСКОВ_2023'!J117="",F62,'РЕЕСТР РИСКОВ_2023'!J117)))))</f>
        <v>Департамент тарифной политики  Дирекции магистральной сети, Департамент тарифной политики АО "НК "ҚТЖ"</v>
      </c>
      <c r="G63" t="str">
        <f>IF('INHERENT MAP'!$B$5=2021,IF('РЕЕСТР РИСКОВ_2023'!K117="",G62,'РЕЕСТР РИСКОВ_2023'!K117),IF('INHERENT MAP'!$B$5=2022,IF(#REF!="",G62,#REF!),IF('INHERENT MAP'!$B$5=2023,IF(#REF!="",G62,#REF!),IF('INHERENT MAP'!$B$5=2024,IF(#REF!="",G62,#REF!),IF('РЕЕСТР РИСКОВ_2023'!K117="",G62,'РЕЕСТР РИСКОВ_2023'!K117)))))</f>
        <v>Регулируемый тариф магистральной железнодорожной сети</v>
      </c>
      <c r="H63">
        <f>IF('INHERENT MAP'!$B$5=2021,'РЕЕСТР РИСКОВ_2023'!L117,IF('INHERENT MAP'!$B$5=2022,#REF!,IF('INHERENT MAP'!$B$5=2023,#REF!,IF('INHERENT MAP'!$B$5=2024,#REF!,#REF!))))</f>
        <v>0</v>
      </c>
      <c r="I63">
        <f>IF('INHERENT MAP'!$B$5=2021,'РЕЕСТР РИСКОВ_2023'!M117,IF('INHERENT MAP'!$B$5=2022,#REF!,IF('INHERENT MAP'!$B$5=2023,#REF!,IF('INHERENT MAP'!$B$5=2024,#REF!,#REF!))))</f>
        <v>0</v>
      </c>
      <c r="J63">
        <f>IF('INHERENT MAP'!$B$5=2021,'РЕЕСТР РИСКОВ_2023'!N117,IF('INHERENT MAP'!$B$5=2022,#REF!,IF('INHERENT MAP'!$B$5=2023,#REF!,IF('INHERENT MAP'!$B$5=2024,#REF!,#REF!))))</f>
        <v>0</v>
      </c>
      <c r="K63">
        <f>IF('INHERENT MAP'!$B$5=2021,'РЕЕСТР РИСКОВ_2023'!O117,IF('INHERENT MAP'!$B$5=2022,#REF!,IF('INHERENT MAP'!$B$5=2023,#REF!,IF('INHERENT MAP'!$B$5=2024,#REF!,#REF!))))</f>
        <v>0</v>
      </c>
      <c r="L63">
        <f>IF('INHERENT MAP'!$B$5=2021,'РЕЕСТР РИСКОВ_2023'!P117,IF('INHERENT MAP'!$B$5=2022,#REF!,IF('INHERENT MAP'!$B$5=2023,#REF!,IF('INHERENT MAP'!$B$5=2024,#REF!,#REF!))))</f>
        <v>0</v>
      </c>
      <c r="M63" t="str">
        <f>IF('INHERENT MAP'!$B$5=2021,IF('РЕЕСТР РИСКОВ_2023'!Q117="",M62,'РЕЕСТР РИСКОВ_2023'!Q117),IF('INHERENT MAP'!$B$5=2022,IF(#REF!="",M62,#REF!),IF('INHERENT MAP'!$B$5=2023,IF(#REF!="",M62,#REF!),IF('INHERENT MAP'!$B$5=2024,IF(#REF!="",M62,#REF!),IF('РЕЕСТР РИСКОВ_2023'!Q117="",M62,'РЕЕСТР РИСКОВ_2023'!Q117)))))</f>
        <v>Снижение тарифа на доступ к магистральной железнодорожной сети</v>
      </c>
      <c r="N63" t="str">
        <f>IF('INHERENT MAP'!$B$5=2021,IF('РЕЕСТР РИСКОВ_2023'!R117="",N62,'РЕЕСТР РИСКОВ_2023'!R117),IF('INHERENT MAP'!$B$5=2022,IF(#REF!="",N62,#REF!),IF('INHERENT MAP'!$B$5=2023,IF(#REF!="",N62,#REF!),IF('INHERENT MAP'!$B$5=2024,IF(#REF!="",N62,#REF!),IF('РЕЕСТР РИСКОВ_2023'!R117="",N62,'РЕЕСТР РИСКОВ_2023'!R117)))))</f>
        <v>Снижение уполномоченным органом утвержденного тарифа до истечения его срока действия в случае увеличения объемов предоставляемых регулируемых услуг (по итогам отчетного года), установленных по результатам рассмотрения уполномоченным органом отчета об исполнении тарифной сметы на регулируемые услуги АО «НК «ҚТЖ».
В случае увеличения утверждённых объёмов предоставляемых регулируемых услуг, КРЕМ МНЭ РК осуществляется изменение (снижение) тарифа до истечения его срока действия.</v>
      </c>
      <c r="O63" t="str">
        <f>'РЕЕСТР РИСКОВ_2023'!T117</f>
        <v>Данные по размеру рисков будут сформированы по итогам 9-ти месяцев 2021 года.</v>
      </c>
      <c r="P63">
        <f>IF('РЕЕСТР РИСКОВ_2023'!U117="",P62,'РЕЕСТР РИСКОВ_2023'!U117)</f>
        <v>0</v>
      </c>
      <c r="Q63" t="str">
        <f>IF('РЕЕСТР РИСКОВ_2023'!V117="",Q62,'РЕЕСТР РИСКОВ_2023'!V117)</f>
        <v>Угрозы</v>
      </c>
      <c r="R63" t="str">
        <f>IF('РЕЕСТР РИСКОВ_2023'!W117="",R62,'РЕЕСТР РИСКОВ_2023'!W117)</f>
        <v xml:space="preserve"> От применения Унифицированных тарифов на указанный выше объем прогнозируемых транзитных перевозок в Узбекистан выпадающие доходы АО «НК «ҚТЖ» составят ~ 52,2 млрд. тенге. </v>
      </c>
      <c r="S63">
        <f>'РЕЕСТР РИСКОВ_2023'!X117</f>
        <v>0</v>
      </c>
      <c r="T63" s="94">
        <f>IF('INHERENT MAP'!$B$5=2021,'РЕЕСТР РИСКОВ_2023'!Y117,IF('INHERENT MAP'!$B$5=2022,#REF!,IF('INHERENT MAP'!$B$5=2023,#REF!,IF('INHERENT MAP'!$B$5=2024,#REF!,#REF!))))</f>
        <v>4.1289225304548961E-2</v>
      </c>
      <c r="U63">
        <f>IF('INHERENT MAP'!$B$5=2021,'РЕЕСТР РИСКОВ_2023'!Z117,IF('INHERENT MAP'!$B$5=2022,#REF!,IF('INHERENT MAP'!$B$5=2023,#REF!,IF('INHERENT MAP'!$B$5=2024,#REF!,#REF!))))</f>
        <v>-6548.0879999999997</v>
      </c>
      <c r="V63">
        <f>IF('INHERENT MAP'!$B$5=2021,'РЕЕСТР РИСКОВ_2023'!AA117,IF('INHERENT MAP'!$B$5=2022,#REF!,IF('INHERENT MAP'!$B$5=2023,#REF!,IF('INHERENT MAP'!$B$5=2024,#REF!,#REF!))))</f>
        <v>-270.36548074601336</v>
      </c>
      <c r="W63" t="str">
        <f>IF('INHERENT MAP'!$B$5=2021,'РЕЕСТР РИСКОВ_2023'!AB117,IF('INHERENT MAP'!$B$5=2022,#REF!,IF('INHERENT MAP'!$B$5=2023,#REF!,IF('INHERENT MAP'!$B$5=2024,#REF!,#REF!))))</f>
        <v xml:space="preserve">Заявление об изменении утвержденной тарифной сметы без повышения тарифа направляется до 1 ноября текущего календарного года согласно Правил формирования тарифов от 19 ноября 2019 года за № 90.
Тарифная смета на регулируемые услуги МЖС , утверждена КРЕМ на период 2021-2025 гг. за № 70-ОД от 27.11.2020 г., разница в доходах по регулируемым услугам (экспорт, импорт, внутреннее сообщение) между планируемым в ТС на услуги МЖС и утвержденным СД —
— грузооборот тарифный (регулируемый):
утв. ТС — 191 299 млн т км,
утв. СД — 195 667 млн т км (разница в 4 368 млн т км);
— доходы:
утв. ТС — 325,1 млн тг,
утв. СД — 331,1 млн тг (разница в 6,0 млн тг).
</v>
      </c>
      <c r="X63" s="94">
        <f>IF('INHERENT MAP'!$B$5=2021,'РЕЕСТР РИСКОВ_2023'!AC117,IF('INHERENT MAP'!$B$5=2022,#REF!,IF('INHERENT MAP'!$B$5=2023,#REF!,IF('INHERENT MAP'!$B$5=2024,#REF!,#REF!))))</f>
        <v>0</v>
      </c>
      <c r="Y63">
        <f>IF('INHERENT MAP'!$B$5=2021,'РЕЕСТР РИСКОВ_2023'!AD117,IF('INHERENT MAP'!$B$5=2022,#REF!,IF('INHERENT MAP'!$B$5=2023,#REF!,IF('INHERENT MAP'!$B$5=2024,#REF!,#REF!))))</f>
        <v>0</v>
      </c>
      <c r="Z63">
        <f>IF('INHERENT MAP'!$B$5=2021,'РЕЕСТР РИСКОВ_2023'!AE117,IF('INHERENT MAP'!$B$5=2022,#REF!,IF('INHERENT MAP'!$B$5=2023,#REF!,IF('INHERENT MAP'!$B$5=2024,#REF!,#REF!))))</f>
        <v>0</v>
      </c>
      <c r="AA63">
        <f>IF('INHERENT MAP'!$B$5=2021,'РЕЕСТР РИСКОВ_2023'!AF117,IF('INHERENT MAP'!$B$5=2022,#REF!,IF('INHERENT MAP'!$B$5=2023,#REF!,IF('INHERENT MAP'!$B$5=2024,#REF!,#REF!))))</f>
        <v>0</v>
      </c>
      <c r="AB63">
        <f>IF('INHERENT MAP'!$B$5=2021,'РЕЕСТР РИСКОВ_2023'!AG117,IF('INHERENT MAP'!$B$5=2022,#REF!,IF('INHERENT MAP'!$B$5=2023,#REF!,IF('INHERENT MAP'!$B$5=2024,#REF!,#REF!))))</f>
        <v>0</v>
      </c>
      <c r="AC63">
        <f>IF('INHERENT MAP'!$B$5=2021,'РЕЕСТР РИСКОВ_2023'!AH117,IF('INHERENT MAP'!$B$5=2022,#REF!,IF('INHERENT MAP'!$B$5=2023,#REF!,IF('INHERENT MAP'!$B$5=2024,#REF!,#REF!))))</f>
        <v>0</v>
      </c>
      <c r="AD63" t="str">
        <f>IF('INHERENT MAP'!$B$5=2021,'РЕЕСТР РИСКОВ_2023'!AI117,IF('INHERENT MAP'!$B$5=2022,#REF!,IF('INHERENT MAP'!$B$5=2023,#REF!,IF('INHERENT MAP'!$B$5=2024,#REF!,#REF!))))</f>
        <v>1. Подача заявления об изменении утвержденной тарифной сметы без повышения тарифа до 1 ноября текущего календарного года.</v>
      </c>
      <c r="AE63">
        <f>IF('INHERENT MAP'!$B$5=2021,'РЕЕСТР РИСКОВ_2023'!AK117,IF('INHERENT MAP'!$B$5=2022,#REF!,IF('INHERENT MAP'!$B$5=2023,#REF!,IF('INHERENT MAP'!$B$5=2024,#REF!,#REF!))))</f>
        <v>0</v>
      </c>
      <c r="AF63">
        <f>IF('INHERENT MAP'!$B$5=2021,'РЕЕСТР РИСКОВ_2023'!AL117,IF('INHERENT MAP'!$B$5=2022,#REF!,IF('INHERENT MAP'!$B$5=2023,#REF!,IF('INHERENT MAP'!$B$5=2024,#REF!,#REF!))))</f>
        <v>0</v>
      </c>
      <c r="AG63" t="str">
        <f>IF('INHERENT MAP'!$B$5=2021,'РЕЕСТР РИСКОВ_2023'!AM117,IF('INHERENT MAP'!$B$5=2022,#REF!,IF('INHERENT MAP'!$B$5=2023,#REF!,IF('INHERENT MAP'!$B$5=2024,#REF!,#REF!))))</f>
        <v>средняя</v>
      </c>
      <c r="AH63">
        <f>IF('INHERENT MAP'!$B$5=2021,'РЕЕСТР РИСКОВ_2023'!AN117,IF('INHERENT MAP'!$B$5=2022,#REF!,IF('INHERENT MAP'!$B$5=2023,#REF!,IF('INHERENT MAP'!$B$5=2024,#REF!,#REF!))))</f>
        <v>2.0644612652274481E-2</v>
      </c>
      <c r="AI63">
        <f>IF('INHERENT MAP'!$B$5=2021,'РЕЕСТР РИСКОВ_2023'!AO117,IF('INHERENT MAP'!$B$5=2022,#REF!,IF('INHERENT MAP'!$B$5=2023,#REF!,IF('INHERENT MAP'!$B$5=2024,#REF!,#REF!))))</f>
        <v>-3274.0439999999999</v>
      </c>
      <c r="AJ63">
        <f>IF('INHERENT MAP'!$B$5=2021,'РЕЕСТР РИСКОВ_2023'!AP117,IF('INHERENT MAP'!$B$5=2022,#REF!,IF('INHERENT MAP'!$B$5=2023,#REF!,IF('INHERENT MAP'!$B$5=2024,#REF!,#REF!))))</f>
        <v>-67.59137018650334</v>
      </c>
      <c r="AK63">
        <f>IF('РЕЕСТР РИСКОВ_2023'!AQ117="",AK62,'РЕЕСТР РИСКОВ_2023'!AQ117)</f>
        <v>-135.18274037300668</v>
      </c>
      <c r="AL63" t="e">
        <f>IF('РЕЕСТР РИСКОВ_2023'!AR117="",AL62,'РЕЕСТР РИСКОВ_2023'!AR117)</f>
        <v>#REF!</v>
      </c>
      <c r="AM63">
        <f>IF('РЕЕСТР РИСКОВ_2023'!AS117="",AM62,'РЕЕСТР РИСКОВ_2023'!AS117)</f>
        <v>-105188.1085</v>
      </c>
      <c r="AN63">
        <f>IF('РЕЕСТР РИСКОВ_2023'!AT117="",AN62,'РЕЕСТР РИСКОВ_2023'!AT117)</f>
        <v>-40922.550965373004</v>
      </c>
      <c r="AO63">
        <f>IF('РЕЕСТР РИСКОВ_2023'!AU117="",AO62,'РЕЕСТР РИСКОВ_2023'!AU117)</f>
        <v>0</v>
      </c>
    </row>
    <row r="64" spans="2:41">
      <c r="B64" t="str">
        <f>IF('INHERENT MAP'!$B$5=2021,IF('РЕЕСТР РИСКОВ_2023'!F118="",B63,'РЕЕСТР РИСКОВ_2023'!F118),IF('INHERENT MAP'!$B$5=2022,IF(#REF!="",B63,#REF!),IF('INHERENT MAP'!$B$5=2023,IF(#REF!="",B63,#REF!),IF('INHERENT MAP'!$B$5=2024,IF(#REF!="",B63,#REF!),IF('РЕЕСТР РИСКОВ_2023'!F118="",B63,'РЕЕСТР РИСКОВ_2023'!F118)))))</f>
        <v>ТАРИФНЫЙ РИСК/ 
ЦЕНОВОЙ РИСК</v>
      </c>
      <c r="C64" t="str">
        <f>IF('INHERENT MAP'!$B$5=2021,IF('РЕЕСТР РИСКОВ_2023'!G118="",C63,'РЕЕСТР РИСКОВ_2023'!G118),IF('INHERENT MAP'!$B$5=2022,IF(#REF!="",C63,#REF!),IF('INHERENT MAP'!$B$5=2023,IF(#REF!="",C63,#REF!),IF('INHERENT MAP'!$B$5=2024,IF(#REF!="",C63,#REF!),IF('РЕЕСТР РИСКОВ_2023'!G118="",C63,'РЕЕСТР РИСКОВ_2023'!G118)))))</f>
        <v>- (ХХХ) млн. Тенге</v>
      </c>
      <c r="D64" t="str">
        <f>IF('INHERENT MAP'!$B$5=2021,IF('РЕЕСТР РИСКОВ_2023'!H118="",D63,'РЕЕСТР РИСКОВ_2023'!H118),IF('INHERENT MAP'!$B$5=2022,IF(#REF!="",D63,#REF!),IF('INHERENT MAP'!$B$5=2023,IF(#REF!="",D63,#REF!),IF('INHERENT MAP'!$B$5=2024,IF(#REF!="",D63,#REF!),IF('РЕЕСТР РИСКОВ_2023'!H118="",D63,'РЕЕСТР РИСКОВ_2023'!H118)))))</f>
        <v>RTR-1</v>
      </c>
      <c r="E64" t="str">
        <f>IF('INHERENT MAP'!$B$5=2021,IF('РЕЕСТР РИСКОВ_2023'!I118="",E63,'РЕЕСТР РИСКОВ_2023'!I118),IF('INHERENT MAP'!$B$5=2022,IF(#REF!="",E63,#REF!),IF('INHERENT MAP'!$B$5=2023,IF(#REF!="",E63,#REF!),IF('INHERENT MAP'!$B$5=2024,IF(#REF!="",E63,#REF!),IF('РЕЕСТР РИСКОВ_2023'!I118="",E63,'РЕЕСТР РИСКОВ_2023'!I118)))))</f>
        <v>ЦЗ-1</v>
      </c>
      <c r="F64" t="str">
        <f>IF('INHERENT MAP'!$B$5=2021,IF('РЕЕСТР РИСКОВ_2023'!J118="",F63,'РЕЕСТР РИСКОВ_2023'!J118),IF('INHERENT MAP'!$B$5=2022,IF(#REF!="",F63,#REF!),IF('INHERENT MAP'!$B$5=2023,IF(#REF!="",F63,#REF!),IF('INHERENT MAP'!$B$5=2024,IF(#REF!="",F63,#REF!),IF('РЕЕСТР РИСКОВ_2023'!J118="",F63,'РЕЕСТР РИСКОВ_2023'!J118)))))</f>
        <v>Департамент тарифной политики  Дирекции магистральной сети, Департамент тарифной политики АО "НК "ҚТЖ"</v>
      </c>
      <c r="G64" t="str">
        <f>IF('INHERENT MAP'!$B$5=2021,IF('РЕЕСТР РИСКОВ_2023'!K118="",G63,'РЕЕСТР РИСКОВ_2023'!K118),IF('INHERENT MAP'!$B$5=2022,IF(#REF!="",G63,#REF!),IF('INHERENT MAP'!$B$5=2023,IF(#REF!="",G63,#REF!),IF('INHERENT MAP'!$B$5=2024,IF(#REF!="",G63,#REF!),IF('РЕЕСТР РИСКОВ_2023'!K118="",G63,'РЕЕСТР РИСКОВ_2023'!K118)))))</f>
        <v>Регулируемый тариф магистральной железнодорожной сети</v>
      </c>
      <c r="H64">
        <f>IF('INHERENT MAP'!$B$5=2021,'РЕЕСТР РИСКОВ_2023'!L118,IF('INHERENT MAP'!$B$5=2022,#REF!,IF('INHERENT MAP'!$B$5=2023,#REF!,IF('INHERENT MAP'!$B$5=2024,#REF!,#REF!))))</f>
        <v>0</v>
      </c>
      <c r="I64">
        <f>IF('INHERENT MAP'!$B$5=2021,'РЕЕСТР РИСКОВ_2023'!M118,IF('INHERENT MAP'!$B$5=2022,#REF!,IF('INHERENT MAP'!$B$5=2023,#REF!,IF('INHERENT MAP'!$B$5=2024,#REF!,#REF!))))</f>
        <v>0</v>
      </c>
      <c r="J64">
        <f>IF('INHERENT MAP'!$B$5=2021,'РЕЕСТР РИСКОВ_2023'!N118,IF('INHERENT MAP'!$B$5=2022,#REF!,IF('INHERENT MAP'!$B$5=2023,#REF!,IF('INHERENT MAP'!$B$5=2024,#REF!,#REF!))))</f>
        <v>0</v>
      </c>
      <c r="K64">
        <f>IF('INHERENT MAP'!$B$5=2021,'РЕЕСТР РИСКОВ_2023'!O118,IF('INHERENT MAP'!$B$5=2022,#REF!,IF('INHERENT MAP'!$B$5=2023,#REF!,IF('INHERENT MAP'!$B$5=2024,#REF!,#REF!))))</f>
        <v>0</v>
      </c>
      <c r="L64">
        <f>IF('INHERENT MAP'!$B$5=2021,'РЕЕСТР РИСКОВ_2023'!P118,IF('INHERENT MAP'!$B$5=2022,#REF!,IF('INHERENT MAP'!$B$5=2023,#REF!,IF('INHERENT MAP'!$B$5=2024,#REF!,#REF!))))</f>
        <v>0</v>
      </c>
      <c r="M64" t="str">
        <f>IF('INHERENT MAP'!$B$5=2021,IF('РЕЕСТР РИСКОВ_2023'!Q118="",M63,'РЕЕСТР РИСКОВ_2023'!Q118),IF('INHERENT MAP'!$B$5=2022,IF(#REF!="",M63,#REF!),IF('INHERENT MAP'!$B$5=2023,IF(#REF!="",M63,#REF!),IF('INHERENT MAP'!$B$5=2024,IF(#REF!="",M63,#REF!),IF('РЕЕСТР РИСКОВ_2023'!Q118="",M63,'РЕЕСТР РИСКОВ_2023'!Q118)))))</f>
        <v>Неисполнение статей затрат тарифной сметы более чем на пять процентов</v>
      </c>
      <c r="N64" t="str">
        <f>IF('INHERENT MAP'!$B$5=2021,IF('РЕЕСТР РИСКОВ_2023'!R118="",N63,'РЕЕСТР РИСКОВ_2023'!R118),IF('INHERENT MAP'!$B$5=2022,IF(#REF!="",N63,#REF!),IF('INHERENT MAP'!$B$5=2023,IF(#REF!="",N63,#REF!),IF('INHERENT MAP'!$B$5=2024,IF(#REF!="",N63,#REF!),IF('РЕЕСТР РИСКОВ_2023'!R118="",N63,'РЕЕСТР РИСКОВ_2023'!R118)))))</f>
        <v>Неисполнение статей затрат тарифной сметы более чем на пять процентов от утвержденных уполномоченным органом размеров влечет за собой применение компенсирующего тарифа на сумму неисполнения.
В случае допущения данного риска ожидаемые потери составят 197,5 млн тг.</v>
      </c>
      <c r="O64" t="str">
        <f>'РЕЕСТР РИСКОВ_2023'!T118</f>
        <v>Неисполнение статей затрат тарифной сметы более чем на 5 %</v>
      </c>
      <c r="P64">
        <f>IF('РЕЕСТР РИСКОВ_2023'!U118="",P63,'РЕЕСТР РИСКОВ_2023'!U118)</f>
        <v>0</v>
      </c>
      <c r="Q64" t="str">
        <f>IF('РЕЕСТР РИСКОВ_2023'!V118="",Q63,'РЕЕСТР РИСКОВ_2023'!V118)</f>
        <v>Угрозы</v>
      </c>
      <c r="R64" t="str">
        <f>IF('РЕЕСТР РИСКОВ_2023'!W118="",R63,'РЕЕСТР РИСКОВ_2023'!W118)</f>
        <v xml:space="preserve"> От применения Унифицированных тарифов на указанный выше объем прогнозируемых транзитных перевозок в Узбекистан выпадающие доходы АО «НК «ҚТЖ» составят ~ 52,2 млрд. тенге. </v>
      </c>
      <c r="S64">
        <f>'РЕЕСТР РИСКОВ_2023'!X118</f>
        <v>0</v>
      </c>
      <c r="T64" s="94">
        <f>IF('INHERENT MAP'!$B$5=2021,'РЕЕСТР РИСКОВ_2023'!Y118,IF('INHERENT MAP'!$B$5=2022,#REF!,IF('INHERENT MAP'!$B$5=2023,#REF!,IF('INHERENT MAP'!$B$5=2024,#REF!,#REF!))))</f>
        <v>0.05</v>
      </c>
      <c r="U64">
        <f>IF('INHERENT MAP'!$B$5=2021,'РЕЕСТР РИСКОВ_2023'!Z118,IF('INHERENT MAP'!$B$5=2022,#REF!,IF('INHERENT MAP'!$B$5=2023,#REF!,IF('INHERENT MAP'!$B$5=2024,#REF!,#REF!))))</f>
        <v>-181.529</v>
      </c>
      <c r="V64">
        <f>IF('INHERENT MAP'!$B$5=2021,'РЕЕСТР РИСКОВ_2023'!AA118,IF('INHERENT MAP'!$B$5=2022,#REF!,IF('INHERENT MAP'!$B$5=2023,#REF!,IF('INHERENT MAP'!$B$5=2024,#REF!,#REF!))))</f>
        <v>-9.0764499999999995</v>
      </c>
      <c r="W64" t="str">
        <f>IF('INHERENT MAP'!$B$5=2021,'РЕЕСТР РИСКОВ_2023'!AB118,IF('INHERENT MAP'!$B$5=2022,#REF!,IF('INHERENT MAP'!$B$5=2023,#REF!,IF('INHERENT MAP'!$B$5=2024,#REF!,#REF!))))</f>
        <v>В случае неисполнения утверждённых КРЕМ МНЭ РК тарифной сметы по регулируемой услуге МЖС, улномоченным органом будет применён компенсирующий тариф на сумму неисполнения.
Снижение операционного дохода Компании как следствие принятого решения уполномоченным органом об утверждении временного компенсирующего тарифа на услуги для возмещения потребителям убытков, причинённых Компанией. При этом заявление об изменении утвержденной тарифной сметы без повышения тарифа направляется до 1 ноября текущего календарного года согласно Правил формирования тарифов от 19 ноября 2019 года № 90. Данные по размеру рисков будут сформированы по итогам 9-ти мес. 2021 года.
Тарифная смета на регулируемые услуги МЖС , утверждены КРЕМ на период 2021-2025 годы 27.11.2020 года № 70-ОД.
При выполнении элемента «материалы» на 94 % , превышающая 5 % сумма компенсирующего тарифа составит 166,5 тыс. тенге, т. е. 1 % невыполнения дает 166,5 тыс. тенге.
План ТС по материалам 16,7 млн. тг.</v>
      </c>
      <c r="X64" s="94">
        <f>IF('INHERENT MAP'!$B$5=2021,'РЕЕСТР РИСКОВ_2023'!AC118,IF('INHERENT MAP'!$B$5=2022,#REF!,IF('INHERENT MAP'!$B$5=2023,#REF!,IF('INHERENT MAP'!$B$5=2024,#REF!,#REF!))))</f>
        <v>0</v>
      </c>
      <c r="Y64">
        <f>IF('INHERENT MAP'!$B$5=2021,'РЕЕСТР РИСКОВ_2023'!AD118,IF('INHERENT MAP'!$B$5=2022,#REF!,IF('INHERENT MAP'!$B$5=2023,#REF!,IF('INHERENT MAP'!$B$5=2024,#REF!,#REF!))))</f>
        <v>0</v>
      </c>
      <c r="Z64">
        <f>IF('INHERENT MAP'!$B$5=2021,'РЕЕСТР РИСКОВ_2023'!AE118,IF('INHERENT MAP'!$B$5=2022,#REF!,IF('INHERENT MAP'!$B$5=2023,#REF!,IF('INHERENT MAP'!$B$5=2024,#REF!,#REF!))))</f>
        <v>0</v>
      </c>
      <c r="AA64">
        <f>IF('INHERENT MAP'!$B$5=2021,'РЕЕСТР РИСКОВ_2023'!AF118,IF('INHERENT MAP'!$B$5=2022,#REF!,IF('INHERENT MAP'!$B$5=2023,#REF!,IF('INHERENT MAP'!$B$5=2024,#REF!,#REF!))))</f>
        <v>0</v>
      </c>
      <c r="AB64">
        <f>IF('INHERENT MAP'!$B$5=2021,'РЕЕСТР РИСКОВ_2023'!AG118,IF('INHERENT MAP'!$B$5=2022,#REF!,IF('INHERENT MAP'!$B$5=2023,#REF!,IF('INHERENT MAP'!$B$5=2024,#REF!,#REF!))))</f>
        <v>0</v>
      </c>
      <c r="AC64">
        <f>IF('INHERENT MAP'!$B$5=2021,'РЕЕСТР РИСКОВ_2023'!AH118,IF('INHERENT MAP'!$B$5=2022,#REF!,IF('INHERENT MAP'!$B$5=2023,#REF!,IF('INHERENT MAP'!$B$5=2024,#REF!,#REF!))))</f>
        <v>0</v>
      </c>
      <c r="AD64" t="str">
        <f>IF('INHERENT MAP'!$B$5=2021,'РЕЕСТР РИСКОВ_2023'!AI118,IF('INHERENT MAP'!$B$5=2022,#REF!,IF('INHERENT MAP'!$B$5=2023,#REF!,IF('INHERENT MAP'!$B$5=2024,#REF!,#REF!))))</f>
        <v>Заявление об изменении утвержденной тарифной сметы без повышения тарифа до 1 ноября текущего календарного года</v>
      </c>
      <c r="AE64">
        <f>IF('INHERENT MAP'!$B$5=2021,'РЕЕСТР РИСКОВ_2023'!AK118,IF('INHERENT MAP'!$B$5=2022,#REF!,IF('INHERENT MAP'!$B$5=2023,#REF!,IF('INHERENT MAP'!$B$5=2024,#REF!,#REF!))))</f>
        <v>0</v>
      </c>
      <c r="AF64">
        <f>IF('INHERENT MAP'!$B$5=2021,'РЕЕСТР РИСКОВ_2023'!AL118,IF('INHERENT MAP'!$B$5=2022,#REF!,IF('INHERENT MAP'!$B$5=2023,#REF!,IF('INHERENT MAP'!$B$5=2024,#REF!,#REF!))))</f>
        <v>0</v>
      </c>
      <c r="AG64" t="str">
        <f>IF('INHERENT MAP'!$B$5=2021,'РЕЕСТР РИСКОВ_2023'!AM118,IF('INHERENT MAP'!$B$5=2022,#REF!,IF('INHERENT MAP'!$B$5=2023,#REF!,IF('INHERENT MAP'!$B$5=2024,#REF!,#REF!))))</f>
        <v>средняя</v>
      </c>
      <c r="AH64">
        <f>IF('INHERENT MAP'!$B$5=2021,'РЕЕСТР РИСКОВ_2023'!AN118,IF('INHERENT MAP'!$B$5=2022,#REF!,IF('INHERENT MAP'!$B$5=2023,#REF!,IF('INHERENT MAP'!$B$5=2024,#REF!,#REF!))))</f>
        <v>2.5000000000000001E-2</v>
      </c>
      <c r="AI64">
        <f>IF('INHERENT MAP'!$B$5=2021,'РЕЕСТР РИСКОВ_2023'!AO118,IF('INHERENT MAP'!$B$5=2022,#REF!,IF('INHERENT MAP'!$B$5=2023,#REF!,IF('INHERENT MAP'!$B$5=2024,#REF!,#REF!))))</f>
        <v>-90.764499999999998</v>
      </c>
      <c r="AJ64">
        <f>IF('INHERENT MAP'!$B$5=2021,'РЕЕСТР РИСКОВ_2023'!AP118,IF('INHERENT MAP'!$B$5=2022,#REF!,IF('INHERENT MAP'!$B$5=2023,#REF!,IF('INHERENT MAP'!$B$5=2024,#REF!,#REF!))))</f>
        <v>-2.2691124999999999</v>
      </c>
      <c r="AK64">
        <f>IF('РЕЕСТР РИСКОВ_2023'!AQ118="",AK63,'РЕЕСТР РИСКОВ_2023'!AQ118)</f>
        <v>-4.5382249999999997</v>
      </c>
      <c r="AL64" t="e">
        <f>IF('РЕЕСТР РИСКОВ_2023'!AR118="",AL63,'РЕЕСТР РИСКОВ_2023'!AR118)</f>
        <v>#REF!</v>
      </c>
      <c r="AM64">
        <f>IF('РЕЕСТР РИСКОВ_2023'!AS118="",AM63,'РЕЕСТР РИСКОВ_2023'!AS118)</f>
        <v>-105188.1085</v>
      </c>
      <c r="AN64">
        <f>IF('РЕЕСТР РИСКОВ_2023'!AT118="",AN63,'РЕЕСТР РИСКОВ_2023'!AT118)</f>
        <v>-40922.550965373004</v>
      </c>
      <c r="AO64">
        <f>IF('РЕЕСТР РИСКОВ_2023'!AU118="",AO63,'РЕЕСТР РИСКОВ_2023'!AU118)</f>
        <v>0</v>
      </c>
    </row>
    <row r="65" spans="2:41">
      <c r="B65" t="str">
        <f>IF('INHERENT MAP'!$B$5=2021,IF('РЕЕСТР РИСКОВ_2023'!F119="",B64,'РЕЕСТР РИСКОВ_2023'!F119),IF('INHERENT MAP'!$B$5=2022,IF(#REF!="",B64,#REF!),IF('INHERENT MAP'!$B$5=2023,IF(#REF!="",B64,#REF!),IF('INHERENT MAP'!$B$5=2024,IF(#REF!="",B64,#REF!),IF('РЕЕСТР РИСКОВ_2023'!F119="",B64,'РЕЕСТР РИСКОВ_2023'!F119)))))</f>
        <v>ТАРИФНЫЙ РИСК/ 
ЦЕНОВОЙ РИСК</v>
      </c>
      <c r="C65" t="str">
        <f>IF('INHERENT MAP'!$B$5=2021,IF('РЕЕСТР РИСКОВ_2023'!G119="",C64,'РЕЕСТР РИСКОВ_2023'!G119),IF('INHERENT MAP'!$B$5=2022,IF(#REF!="",C64,#REF!),IF('INHERENT MAP'!$B$5=2023,IF(#REF!="",C64,#REF!),IF('INHERENT MAP'!$B$5=2024,IF(#REF!="",C64,#REF!),IF('РЕЕСТР РИСКОВ_2023'!G119="",C64,'РЕЕСТР РИСКОВ_2023'!G119)))))</f>
        <v>- ХХХ млн. Тенге</v>
      </c>
      <c r="D65" t="str">
        <f>IF('INHERENT MAP'!$B$5=2021,IF('РЕЕСТР РИСКОВ_2023'!H119="",D64,'РЕЕСТР РИСКОВ_2023'!H119),IF('INHERENT MAP'!$B$5=2022,IF(#REF!="",D64,#REF!),IF('INHERENT MAP'!$B$5=2023,IF(#REF!="",D64,#REF!),IF('INHERENT MAP'!$B$5=2024,IF(#REF!="",D64,#REF!),IF('РЕЕСТР РИСКОВ_2023'!H119="",D64,'РЕЕСТР РИСКОВ_2023'!H119)))))</f>
        <v>RTR-2</v>
      </c>
      <c r="E65" t="str">
        <f>IF('INHERENT MAP'!$B$5=2021,IF('РЕЕСТР РИСКОВ_2023'!I119="",E64,'РЕЕСТР РИСКОВ_2023'!I119),IF('INHERENT MAP'!$B$5=2022,IF(#REF!="",E64,#REF!),IF('INHERENT MAP'!$B$5=2023,IF(#REF!="",E64,#REF!),IF('INHERENT MAP'!$B$5=2024,IF(#REF!="",E64,#REF!),IF('РЕЕСТР РИСКОВ_2023'!I119="",E64,'РЕЕСТР РИСКОВ_2023'!I119)))))</f>
        <v>ЦЗ-1</v>
      </c>
      <c r="F65" t="str">
        <f>IF('INHERENT MAP'!$B$5=2021,IF('РЕЕСТР РИСКОВ_2023'!J119="",F64,'РЕЕСТР РИСКОВ_2023'!J119),IF('INHERENT MAP'!$B$5=2022,IF(#REF!="",F64,#REF!),IF('INHERENT MAP'!$B$5=2023,IF(#REF!="",F64,#REF!),IF('INHERENT MAP'!$B$5=2024,IF(#REF!="",F64,#REF!),IF('РЕЕСТР РИСКОВ_2023'!J119="",F64,'РЕЕСТР РИСКОВ_2023'!J119)))))</f>
        <v>"Департамент тарифной политики ТОО ""КТЖ-Грузовые перевозки"",
 Департамент тарифной политики АО ""НК ""ҚТЖ"</v>
      </c>
      <c r="G65" t="str">
        <f>IF('INHERENT MAP'!$B$5=2021,IF('РЕЕСТР РИСКОВ_2023'!K119="",G64,'РЕЕСТР РИСКОВ_2023'!K119),IF('INHERENT MAP'!$B$5=2022,IF(#REF!="",G64,#REF!),IF('INHERENT MAP'!$B$5=2023,IF(#REF!="",G64,#REF!),IF('INHERENT MAP'!$B$5=2024,IF(#REF!="",G64,#REF!),IF('РЕЕСТР РИСКОВ_2023'!K119="",G64,'РЕЕСТР РИСКОВ_2023'!K119)))))</f>
        <v>Регулируемый тариф на услуги локомотивной тяги</v>
      </c>
      <c r="H65">
        <f>IF('INHERENT MAP'!$B$5=2021,'РЕЕСТР РИСКОВ_2023'!L119,IF('INHERENT MAP'!$B$5=2022,#REF!,IF('INHERENT MAP'!$B$5=2023,#REF!,IF('INHERENT MAP'!$B$5=2024,#REF!,#REF!))))</f>
        <v>0</v>
      </c>
      <c r="I65">
        <f>IF('INHERENT MAP'!$B$5=2021,'РЕЕСТР РИСКОВ_2023'!M119,IF('INHERENT MAP'!$B$5=2022,#REF!,IF('INHERENT MAP'!$B$5=2023,#REF!,IF('INHERENT MAP'!$B$5=2024,#REF!,#REF!))))</f>
        <v>0</v>
      </c>
      <c r="J65">
        <f>IF('INHERENT MAP'!$B$5=2021,'РЕЕСТР РИСКОВ_2023'!N119,IF('INHERENT MAP'!$B$5=2022,#REF!,IF('INHERENT MAP'!$B$5=2023,#REF!,IF('INHERENT MAP'!$B$5=2024,#REF!,#REF!))))</f>
        <v>0</v>
      </c>
      <c r="K65">
        <f>IF('INHERENT MAP'!$B$5=2021,'РЕЕСТР РИСКОВ_2023'!O119,IF('INHERENT MAP'!$B$5=2022,#REF!,IF('INHERENT MAP'!$B$5=2023,#REF!,IF('INHERENT MAP'!$B$5=2024,#REF!,#REF!))))</f>
        <v>0</v>
      </c>
      <c r="L65">
        <f>IF('INHERENT MAP'!$B$5=2021,'РЕЕСТР РИСКОВ_2023'!P119,IF('INHERENT MAP'!$B$5=2022,#REF!,IF('INHERENT MAP'!$B$5=2023,#REF!,IF('INHERENT MAP'!$B$5=2024,#REF!,#REF!))))</f>
        <v>0</v>
      </c>
      <c r="M65" t="str">
        <f>IF('INHERENT MAP'!$B$5=2021,IF('РЕЕСТР РИСКОВ_2023'!Q119="",M64,'РЕЕСТР РИСКОВ_2023'!Q119),IF('INHERENT MAP'!$B$5=2022,IF(#REF!="",M64,#REF!),IF('INHERENT MAP'!$B$5=2023,IF(#REF!="",M64,#REF!),IF('INHERENT MAP'!$B$5=2024,IF(#REF!="",M64,#REF!),IF('РЕЕСТР РИСКОВ_2023'!Q119="",M64,'РЕЕСТР РИСКОВ_2023'!Q119)))))</f>
        <v>(ЛТ)Риск применения низкого унифицированного тарифа вместо высокого транзитного  на перевозки грузов из Узбекистана в страны ЕАЭС по территориии Казахстана , в связи со вступлением Узбекистана в ЕАЭС</v>
      </c>
      <c r="N65" t="str">
        <f>IF('INHERENT MAP'!$B$5=2021,IF('РЕЕСТР РИСКОВ_2023'!R119="",N64,'РЕЕСТР РИСКОВ_2023'!R119),IF('INHERENT MAP'!$B$5=2022,IF(#REF!="",N64,#REF!),IF('INHERENT MAP'!$B$5=2023,IF(#REF!="",N64,#REF!),IF('INHERENT MAP'!$B$5=2024,IF(#REF!="",N64,#REF!),IF('РЕЕСТР РИСКОВ_2023'!R119="",N64,'РЕЕСТР РИСКОВ_2023'!R119)))))</f>
        <v xml:space="preserve">По предварительным данным Узбекистан планирует присоединиться к Договору о ЕАЭС с 2021 года. Наиболее чувствительными последствиями для Казахстана при вступлении Узбекистана в ЕАЭС будет потеря возможности применения транзитного тарифа на перевозки в/из Узбекистана в страны ЕАЭС и переход к применению унифицированного тарифа. Доля транзитных перевозок в/из Узбекистана составляет порядка 34% от общего объема. Провозные платежи за перевозки, осуществляемые транзитом по территории Казахстана, на участках от стыковых станций с Россией до стыковых станций с Узбекистаном будут рассчитываться по Унифицированному тарифу. В настоящее время данные перевозки осуществляются по ставкам транзитного тарифа, уровень которого выше Унифицированного в среднем в 4 раза. От применения Унифицированных тарифов на указанный выше объем прогнозируемых транзитных перевозок в Узбекистан выпадающие доходы АО «НК «ҚТЖ» составят ~ 49714 млн. тенге. </v>
      </c>
      <c r="O65">
        <f>'РЕЕСТР РИСКОВ_2023'!T119</f>
        <v>0</v>
      </c>
      <c r="P65">
        <f>IF('РЕЕСТР РИСКОВ_2023'!U119="",P64,'РЕЕСТР РИСКОВ_2023'!U119)</f>
        <v>0</v>
      </c>
      <c r="Q65" t="str">
        <f>IF('РЕЕСТР РИСКОВ_2023'!V119="",Q64,'РЕЕСТР РИСКОВ_2023'!V119)</f>
        <v>Угрозы</v>
      </c>
      <c r="R65" t="str">
        <f>IF('РЕЕСТР РИСКОВ_2023'!W119="",R64,'РЕЕСТР РИСКОВ_2023'!W119)</f>
        <v>Снижение тарифа на регулируемые услуги, приводящее к снижению доходов  АО "НК "КТЖ</v>
      </c>
      <c r="S65">
        <f>'РЕЕСТР РИСКОВ_2023'!X119</f>
        <v>0</v>
      </c>
      <c r="T65" s="94">
        <f>IF('INHERENT MAP'!$B$5=2021,'РЕЕСТР РИСКОВ_2023'!Y119,IF('INHERENT MAP'!$B$5=2022,#REF!,IF('INHERENT MAP'!$B$5=2023,#REF!,IF('INHERENT MAP'!$B$5=2024,#REF!,#REF!))))</f>
        <v>0.8</v>
      </c>
      <c r="U65">
        <f>IF('INHERENT MAP'!$B$5=2021,'РЕЕСТР РИСКОВ_2023'!Z119,IF('INHERENT MAP'!$B$5=2022,#REF!,IF('INHERENT MAP'!$B$5=2023,#REF!,IF('INHERENT MAP'!$B$5=2024,#REF!,#REF!))))</f>
        <v>-50644.1</v>
      </c>
      <c r="V65">
        <f>IF('INHERENT MAP'!$B$5=2021,'РЕЕСТР РИСКОВ_2023'!AA119,IF('INHERENT MAP'!$B$5=2022,#REF!,IF('INHERENT MAP'!$B$5=2023,#REF!,IF('INHERENT MAP'!$B$5=2024,#REF!,#REF!))))</f>
        <v>-40515.279999999999</v>
      </c>
      <c r="W65">
        <f>IF('INHERENT MAP'!$B$5=2021,'РЕЕСТР РИСКОВ_2023'!AB119,IF('INHERENT MAP'!$B$5=2022,#REF!,IF('INHERENT MAP'!$B$5=2023,#REF!,IF('INHERENT MAP'!$B$5=2024,#REF!,#REF!))))</f>
        <v>0</v>
      </c>
      <c r="X65" s="94">
        <f>IF('INHERENT MAP'!$B$5=2021,'РЕЕСТР РИСКОВ_2023'!AC119,IF('INHERENT MAP'!$B$5=2022,#REF!,IF('INHERENT MAP'!$B$5=2023,#REF!,IF('INHERENT MAP'!$B$5=2024,#REF!,#REF!))))</f>
        <v>0.8</v>
      </c>
      <c r="Y65">
        <f>IF('INHERENT MAP'!$B$5=2021,'РЕЕСТР РИСКОВ_2023'!AD119,IF('INHERENT MAP'!$B$5=2022,#REF!,IF('INHERENT MAP'!$B$5=2023,#REF!,IF('INHERENT MAP'!$B$5=2024,#REF!,#REF!))))</f>
        <v>-50644.1</v>
      </c>
      <c r="Z65">
        <f>IF('INHERENT MAP'!$B$5=2021,'РЕЕСТР РИСКОВ_2023'!AE119,IF('INHERENT MAP'!$B$5=2022,#REF!,IF('INHERENT MAP'!$B$5=2023,#REF!,IF('INHERENT MAP'!$B$5=2024,#REF!,#REF!))))</f>
        <v>-40515.279999999999</v>
      </c>
      <c r="AA65">
        <f>IF('INHERENT MAP'!$B$5=2021,'РЕЕСТР РИСКОВ_2023'!AF119,IF('INHERENT MAP'!$B$5=2022,#REF!,IF('INHERENT MAP'!$B$5=2023,#REF!,IF('INHERENT MAP'!$B$5=2024,#REF!,#REF!))))</f>
        <v>0</v>
      </c>
      <c r="AB65">
        <f>IF('INHERENT MAP'!$B$5=2021,'РЕЕСТР РИСКОВ_2023'!AG119,IF('INHERENT MAP'!$B$5=2022,#REF!,IF('INHERENT MAP'!$B$5=2023,#REF!,IF('INHERENT MAP'!$B$5=2024,#REF!,#REF!))))</f>
        <v>0</v>
      </c>
      <c r="AC65">
        <f>IF('INHERENT MAP'!$B$5=2021,'РЕЕСТР РИСКОВ_2023'!AH119,IF('INHERENT MAP'!$B$5=2022,#REF!,IF('INHERENT MAP'!$B$5=2023,#REF!,IF('INHERENT MAP'!$B$5=2024,#REF!,#REF!))))</f>
        <v>0</v>
      </c>
      <c r="AD65">
        <f>IF('INHERENT MAP'!$B$5=2021,'РЕЕСТР РИСКОВ_2023'!AI119,IF('INHERENT MAP'!$B$5=2022,#REF!,IF('INHERENT MAP'!$B$5=2023,#REF!,IF('INHERENT MAP'!$B$5=2024,#REF!,#REF!))))</f>
        <v>0</v>
      </c>
      <c r="AE65">
        <f>IF('INHERENT MAP'!$B$5=2021,'РЕЕСТР РИСКОВ_2023'!AK119,IF('INHERENT MAP'!$B$5=2022,#REF!,IF('INHERENT MAP'!$B$5=2023,#REF!,IF('INHERENT MAP'!$B$5=2024,#REF!,#REF!))))</f>
        <v>0</v>
      </c>
      <c r="AF65">
        <f>IF('INHERENT MAP'!$B$5=2021,'РЕЕСТР РИСКОВ_2023'!AL119,IF('INHERENT MAP'!$B$5=2022,#REF!,IF('INHERENT MAP'!$B$5=2023,#REF!,IF('INHERENT MAP'!$B$5=2024,#REF!,#REF!))))</f>
        <v>2021</v>
      </c>
      <c r="AG65" t="str">
        <f>IF('INHERENT MAP'!$B$5=2021,'РЕЕСТР РИСКОВ_2023'!AM119,IF('INHERENT MAP'!$B$5=2022,#REF!,IF('INHERENT MAP'!$B$5=2023,#REF!,IF('INHERENT MAP'!$B$5=2024,#REF!,#REF!))))</f>
        <v>низкая</v>
      </c>
      <c r="AH65">
        <f>IF('INHERENT MAP'!$B$5=2021,'РЕЕСТР РИСКОВ_2023'!AN119,IF('INHERENT MAP'!$B$5=2022,#REF!,IF('INHERENT MAP'!$B$5=2023,#REF!,IF('INHERENT MAP'!$B$5=2024,#REF!,#REF!))))</f>
        <v>0.8</v>
      </c>
      <c r="AI65">
        <f>IF('INHERENT MAP'!$B$5=2021,'РЕЕСТР РИСКОВ_2023'!AO119,IF('INHERENT MAP'!$B$5=2022,#REF!,IF('INHERENT MAP'!$B$5=2023,#REF!,IF('INHERENT MAP'!$B$5=2024,#REF!,#REF!))))</f>
        <v>-50644.1</v>
      </c>
      <c r="AJ65">
        <f>IF('INHERENT MAP'!$B$5=2021,'РЕЕСТР РИСКОВ_2023'!AP119,IF('INHERENT MAP'!$B$5=2022,#REF!,IF('INHERENT MAP'!$B$5=2023,#REF!,IF('INHERENT MAP'!$B$5=2024,#REF!,#REF!))))</f>
        <v>-40515.279999999999</v>
      </c>
      <c r="AK65">
        <f>IF('РЕЕСТР РИСКОВ_2023'!AQ119="",AK64,'РЕЕСТР РИСКОВ_2023'!AQ119)</f>
        <v>-40515.279999999999</v>
      </c>
      <c r="AL65" t="e">
        <f>IF('РЕЕСТР РИСКОВ_2023'!AR119="",AL64,'РЕЕСТР РИСКОВ_2023'!AR119)</f>
        <v>#REF!</v>
      </c>
      <c r="AM65">
        <f>IF('РЕЕСТР РИСКОВ_2023'!AS119="",AM64,'РЕЕСТР РИСКОВ_2023'!AS119)</f>
        <v>-105188.1085</v>
      </c>
      <c r="AN65">
        <f>IF('РЕЕСТР РИСКОВ_2023'!AT119="",AN64,'РЕЕСТР РИСКОВ_2023'!AT119)</f>
        <v>-40515.279999999999</v>
      </c>
      <c r="AO65">
        <f>IF('РЕЕСТР РИСКОВ_2023'!AU119="",AO64,'РЕЕСТР РИСКОВ_2023'!AU119)</f>
        <v>0</v>
      </c>
    </row>
    <row r="66" spans="2:41">
      <c r="B66" t="str">
        <f>IF('INHERENT MAP'!$B$5=2021,IF('РЕЕСТР РИСКОВ_2023'!F120="",B65,'РЕЕСТР РИСКОВ_2023'!F120),IF('INHERENT MAP'!$B$5=2022,IF(#REF!="",B65,#REF!),IF('INHERENT MAP'!$B$5=2023,IF(#REF!="",B65,#REF!),IF('INHERENT MAP'!$B$5=2024,IF(#REF!="",B65,#REF!),IF('РЕЕСТР РИСКОВ_2023'!F120="",B65,'РЕЕСТР РИСКОВ_2023'!F120)))))</f>
        <v>ТАРИФНЫЙ РИСК/ 
ЦЕНОВОЙ РИСК</v>
      </c>
      <c r="C66" t="str">
        <f>IF('INHERENT MAP'!$B$5=2021,IF('РЕЕСТР РИСКОВ_2023'!G120="",C65,'РЕЕСТР РИСКОВ_2023'!G120),IF('INHERENT MAP'!$B$5=2022,IF(#REF!="",C65,#REF!),IF('INHERENT MAP'!$B$5=2023,IF(#REF!="",C65,#REF!),IF('INHERENT MAP'!$B$5=2024,IF(#REF!="",C65,#REF!),IF('РЕЕСТР РИСКОВ_2023'!G120="",C65,'РЕЕСТР РИСКОВ_2023'!G120)))))</f>
        <v>- ХХХ млн. Тенге</v>
      </c>
      <c r="D66" t="str">
        <f>IF('INHERENT MAP'!$B$5=2021,IF('РЕЕСТР РИСКОВ_2023'!H120="",D65,'РЕЕСТР РИСКОВ_2023'!H120),IF('INHERENT MAP'!$B$5=2022,IF(#REF!="",D65,#REF!),IF('INHERENT MAP'!$B$5=2023,IF(#REF!="",D65,#REF!),IF('INHERENT MAP'!$B$5=2024,IF(#REF!="",D65,#REF!),IF('РЕЕСТР РИСКОВ_2023'!H120="",D65,'РЕЕСТР РИСКОВ_2023'!H120)))))</f>
        <v>RTR-3</v>
      </c>
      <c r="E66" t="str">
        <f>IF('INHERENT MAP'!$B$5=2021,IF('РЕЕСТР РИСКОВ_2023'!I120="",E65,'РЕЕСТР РИСКОВ_2023'!I120),IF('INHERENT MAP'!$B$5=2022,IF(#REF!="",E65,#REF!),IF('INHERENT MAP'!$B$5=2023,IF(#REF!="",E65,#REF!),IF('INHERENT MAP'!$B$5=2024,IF(#REF!="",E65,#REF!),IF('РЕЕСТР РИСКОВ_2023'!I120="",E65,'РЕЕСТР РИСКОВ_2023'!I120)))))</f>
        <v>ЦЗ-1</v>
      </c>
      <c r="F66" t="str">
        <f>IF('INHERENT MAP'!$B$5=2021,IF('РЕЕСТР РИСКОВ_2023'!J120="",F65,'РЕЕСТР РИСКОВ_2023'!J120),IF('INHERENT MAP'!$B$5=2022,IF(#REF!="",F65,#REF!),IF('INHERENT MAP'!$B$5=2023,IF(#REF!="",F65,#REF!),IF('INHERENT MAP'!$B$5=2024,IF(#REF!="",F65,#REF!),IF('РЕЕСТР РИСКОВ_2023'!J120="",F65,'РЕЕСТР РИСКОВ_2023'!J120)))))</f>
        <v>АО "Қазтеміртранс"</v>
      </c>
      <c r="G66" t="str">
        <f>IF('INHERENT MAP'!$B$5=2021,IF('РЕЕСТР РИСКОВ_2023'!K120="",G65,'РЕЕСТР РИСКОВ_2023'!K120),IF('INHERENT MAP'!$B$5=2022,IF(#REF!="",G65,#REF!),IF('INHERENT MAP'!$B$5=2023,IF(#REF!="",G65,#REF!),IF('INHERENT MAP'!$B$5=2024,IF(#REF!="",G65,#REF!),IF('РЕЕСТР РИСКОВ_2023'!K120="",G65,'РЕЕСТР РИСКОВ_2023'!K120)))))</f>
        <v>Ценовой тарифный риск по вагонной составляющей (оперирование вагонами)</v>
      </c>
      <c r="H66">
        <f>IF('INHERENT MAP'!$B$5=2021,'РЕЕСТР РИСКОВ_2023'!L120,IF('INHERENT MAP'!$B$5=2022,#REF!,IF('INHERENT MAP'!$B$5=2023,#REF!,IF('INHERENT MAP'!$B$5=2024,#REF!,#REF!))))</f>
        <v>0</v>
      </c>
      <c r="I66">
        <f>IF('INHERENT MAP'!$B$5=2021,'РЕЕСТР РИСКОВ_2023'!M120,IF('INHERENT MAP'!$B$5=2022,#REF!,IF('INHERENT MAP'!$B$5=2023,#REF!,IF('INHERENT MAP'!$B$5=2024,#REF!,#REF!))))</f>
        <v>0</v>
      </c>
      <c r="J66">
        <f>IF('INHERENT MAP'!$B$5=2021,'РЕЕСТР РИСКОВ_2023'!N120,IF('INHERENT MAP'!$B$5=2022,#REF!,IF('INHERENT MAP'!$B$5=2023,#REF!,IF('INHERENT MAP'!$B$5=2024,#REF!,#REF!))))</f>
        <v>0</v>
      </c>
      <c r="K66">
        <f>IF('INHERENT MAP'!$B$5=2021,'РЕЕСТР РИСКОВ_2023'!O120,IF('INHERENT MAP'!$B$5=2022,#REF!,IF('INHERENT MAP'!$B$5=2023,#REF!,IF('INHERENT MAP'!$B$5=2024,#REF!,#REF!))))</f>
        <v>0</v>
      </c>
      <c r="L66">
        <f>IF('INHERENT MAP'!$B$5=2021,'РЕЕСТР РИСКОВ_2023'!P120,IF('INHERENT MAP'!$B$5=2022,#REF!,IF('INHERENT MAP'!$B$5=2023,#REF!,IF('INHERENT MAP'!$B$5=2024,#REF!,#REF!))))</f>
        <v>0</v>
      </c>
      <c r="M66" t="str">
        <f>IF('INHERENT MAP'!$B$5=2021,IF('РЕЕСТР РИСКОВ_2023'!Q120="",M65,'РЕЕСТР РИСКОВ_2023'!Q120),IF('INHERENT MAP'!$B$5=2022,IF(#REF!="",M65,#REF!),IF('INHERENT MAP'!$B$5=2023,IF(#REF!="",M65,#REF!),IF('INHERENT MAP'!$B$5=2024,IF(#REF!="",M65,#REF!),IF('РЕЕСТР РИСКОВ_2023'!Q120="",M65,'РЕЕСТР РИСКОВ_2023'!Q120)))))</f>
        <v>Тариф оперирования (КЗХ)</v>
      </c>
      <c r="N66" t="str">
        <f>IF('INHERENT MAP'!$B$5=2021,IF('РЕЕСТР РИСКОВ_2023'!R120="",N65,'РЕЕСТР РИСКОВ_2023'!R120),IF('INHERENT MAP'!$B$5=2022,IF(#REF!="",N65,#REF!),IF('INHERENT MAP'!$B$5=2023,IF(#REF!="",N65,#REF!),IF('INHERENT MAP'!$B$5=2024,IF(#REF!="",N65,#REF!),IF('РЕЕСТР РИСКОВ_2023'!R120="",N65,'РЕЕСТР РИСКОВ_2023'!R120)))))</f>
        <v xml:space="preserve">По предварительным данным Узбекистан планирует присоединиться к Договору о ЕАЭС с 2021 года. Наиболее чувствительными последствиями для Казахстана при вступлении Узбекистана в ЕАЭС будет потеря возможности применения транзитного тарифа на перевозки в/из Узбекистана в страны ЕАЭС и переход к применению унифицированного тарифа. Доля транзитных перевозок в/из Узбекистана составляет порядка 34% от общего объема. Провозные платежи за перевозки, осуществляемые транзитом по территории Казахстана, на участках от стыковых станций с Россией до стыковых станций с Узбекистаном будут рассчитываться по Унифицированному тарифу. В настоящее время данные перевозки осуществляются по ставкам транзитного тарифа, уровень которого выше Унифицированного в среднем в 4 раза. От применения Унифицированных тарифов на указанный выше объем прогнозируемых транзитных перевозок в Узбекистан выпадающие доходы АО «НК «ҚТЖ» составят ~ 49714 млн. тенге. </v>
      </c>
      <c r="O66">
        <f>'РЕЕСТР РИСКОВ_2023'!T120</f>
        <v>0</v>
      </c>
      <c r="P66">
        <f>IF('РЕЕСТР РИСКОВ_2023'!U120="",P65,'РЕЕСТР РИСКОВ_2023'!U120)</f>
        <v>0</v>
      </c>
      <c r="Q66" t="str">
        <f>IF('РЕЕСТР РИСКОВ_2023'!V120="",Q65,'РЕЕСТР РИСКОВ_2023'!V120)</f>
        <v>Угрозы</v>
      </c>
      <c r="R66" t="str">
        <f>IF('РЕЕСТР РИСКОВ_2023'!W120="",R65,'РЕЕСТР РИСКОВ_2023'!W120)</f>
        <v>1. Общее снижение цен ны рынке ЖД перевозок. 
2. Повышение тарифов МЖС, ЛТ, ГК со стороны перевозчика.</v>
      </c>
      <c r="S66">
        <f>'РЕЕСТР РИСКОВ_2023'!X120</f>
        <v>0</v>
      </c>
      <c r="T66" s="94">
        <f>IF('INHERENT MAP'!$B$5=2021,'РЕЕСТР РИСКОВ_2023'!Y120,IF('INHERENT MAP'!$B$5=2022,#REF!,IF('INHERENT MAP'!$B$5=2023,#REF!,IF('INHERENT MAP'!$B$5=2024,#REF!,#REF!))))</f>
        <v>0.8</v>
      </c>
      <c r="U66">
        <f>IF('INHERENT MAP'!$B$5=2021,'РЕЕСТР РИСКОВ_2023'!Z120,IF('INHERENT MAP'!$B$5=2022,#REF!,IF('INHERENT MAP'!$B$5=2023,#REF!,IF('INHERENT MAP'!$B$5=2024,#REF!,#REF!))))</f>
        <v>-2669.6403372047098</v>
      </c>
      <c r="V66">
        <f>IF('INHERENT MAP'!$B$5=2021,'РЕЕСТР РИСКОВ_2023'!AA120,IF('INHERENT MAP'!$B$5=2022,#REF!,IF('INHERENT MAP'!$B$5=2023,#REF!,IF('INHERENT MAP'!$B$5=2024,#REF!,#REF!))))</f>
        <v>-2669.6403372047098</v>
      </c>
      <c r="W66">
        <f>IF('INHERENT MAP'!$B$5=2021,'РЕЕСТР РИСКОВ_2023'!AB120,IF('INHERENT MAP'!$B$5=2022,#REF!,IF('INHERENT MAP'!$B$5=2023,#REF!,IF('INHERENT MAP'!$B$5=2024,#REF!,#REF!))))</f>
        <v>0</v>
      </c>
      <c r="X66" s="94">
        <f>IF('INHERENT MAP'!$B$5=2021,'РЕЕСТР РИСКОВ_2023'!AC120,IF('INHERENT MAP'!$B$5=2022,#REF!,IF('INHERENT MAP'!$B$5=2023,#REF!,IF('INHERENT MAP'!$B$5=2024,#REF!,#REF!))))</f>
        <v>0.8</v>
      </c>
      <c r="Y66">
        <f>IF('INHERENT MAP'!$B$5=2021,'РЕЕСТР РИСКОВ_2023'!AD120,IF('INHERENT MAP'!$B$5=2022,#REF!,IF('INHERENT MAP'!$B$5=2023,#REF!,IF('INHERENT MAP'!$B$5=2024,#REF!,#REF!))))</f>
        <v>4079.9831719453787</v>
      </c>
      <c r="Z66">
        <f>IF('INHERENT MAP'!$B$5=2021,'РЕЕСТР РИСКОВ_2023'!AE120,IF('INHERENT MAP'!$B$5=2022,#REF!,IF('INHERENT MAP'!$B$5=2023,#REF!,IF('INHERENT MAP'!$B$5=2024,#REF!,#REF!))))</f>
        <v>3263.9865375563031</v>
      </c>
      <c r="AA66">
        <f>IF('INHERENT MAP'!$B$5=2021,'РЕЕСТР РИСКОВ_2023'!AF120,IF('INHERENT MAP'!$B$5=2022,#REF!,IF('INHERENT MAP'!$B$5=2023,#REF!,IF('INHERENT MAP'!$B$5=2024,#REF!,#REF!))))</f>
        <v>0</v>
      </c>
      <c r="AB66">
        <f>IF('INHERENT MAP'!$B$5=2021,'РЕЕСТР РИСКОВ_2023'!AG120,IF('INHERENT MAP'!$B$5=2022,#REF!,IF('INHERENT MAP'!$B$5=2023,#REF!,IF('INHERENT MAP'!$B$5=2024,#REF!,#REF!))))</f>
        <v>0</v>
      </c>
      <c r="AC66">
        <f>IF('INHERENT MAP'!$B$5=2021,'РЕЕСТР РИСКОВ_2023'!AH120,IF('INHERENT MAP'!$B$5=2022,#REF!,IF('INHERENT MAP'!$B$5=2023,#REF!,IF('INHERENT MAP'!$B$5=2024,#REF!,#REF!))))</f>
        <v>0</v>
      </c>
      <c r="AD66" t="str">
        <f>IF('INHERENT MAP'!$B$5=2021,'РЕЕСТР РИСКОВ_2023'!AI120,IF('INHERENT MAP'!$B$5=2022,#REF!,IF('INHERENT MAP'!$B$5=2023,#REF!,IF('INHERENT MAP'!$B$5=2024,#REF!,#REF!))))</f>
        <v>1. Мониторинг изменения провозных платежей в программе рейл тариф 
2. Гибкая тарифная политика. Рассмотрение на Тарифном комитете тарифных условий крупным клиентам (под объемы, логистика). 
3. Полная автоматизация расчетов.</v>
      </c>
      <c r="AE66">
        <f>IF('INHERENT MAP'!$B$5=2021,'РЕЕСТР РИСКОВ_2023'!AK120,IF('INHERENT MAP'!$B$5=2022,#REF!,IF('INHERENT MAP'!$B$5=2023,#REF!,IF('INHERENT MAP'!$B$5=2024,#REF!,#REF!))))</f>
        <v>0</v>
      </c>
      <c r="AF66">
        <f>IF('INHERENT MAP'!$B$5=2021,'РЕЕСТР РИСКОВ_2023'!AL120,IF('INHERENT MAP'!$B$5=2022,#REF!,IF('INHERENT MAP'!$B$5=2023,#REF!,IF('INHERENT MAP'!$B$5=2024,#REF!,#REF!))))</f>
        <v>0</v>
      </c>
      <c r="AG66" t="str">
        <f>IF('INHERENT MAP'!$B$5=2021,'РЕЕСТР РИСКОВ_2023'!AM120,IF('INHERENT MAP'!$B$5=2022,#REF!,IF('INHERENT MAP'!$B$5=2023,#REF!,IF('INHERENT MAP'!$B$5=2024,#REF!,#REF!))))</f>
        <v>средняя</v>
      </c>
      <c r="AH66">
        <f>IF('INHERENT MAP'!$B$5=2021,'РЕЕСТР РИСКОВ_2023'!AN120,IF('INHERENT MAP'!$B$5=2022,#REF!,IF('INHERENT MAP'!$B$5=2023,#REF!,IF('INHERENT MAP'!$B$5=2024,#REF!,#REF!))))</f>
        <v>0.4</v>
      </c>
      <c r="AI66">
        <f>IF('INHERENT MAP'!$B$5=2021,'РЕЕСТР РИСКОВ_2023'!AO120,IF('INHERENT MAP'!$B$5=2022,#REF!,IF('INHERENT MAP'!$B$5=2023,#REF!,IF('INHERENT MAP'!$B$5=2024,#REF!,#REF!))))</f>
        <v>-1334.8201686023549</v>
      </c>
      <c r="AJ66">
        <f>IF('INHERENT MAP'!$B$5=2021,'РЕЕСТР РИСКОВ_2023'!AP120,IF('INHERENT MAP'!$B$5=2022,#REF!,IF('INHERENT MAP'!$B$5=2023,#REF!,IF('INHERENT MAP'!$B$5=2024,#REF!,#REF!))))</f>
        <v>-533.92806744094196</v>
      </c>
      <c r="AK66">
        <f>IF('РЕЕСТР РИСКОВ_2023'!AQ120="",AK65,'РЕЕСТР РИСКОВ_2023'!AQ120)</f>
        <v>-1334.8201686023549</v>
      </c>
      <c r="AL66">
        <f>IF('РЕЕСТР РИСКОВ_2023'!AR120="",AL65,'РЕЕСТР РИСКОВ_2023'!AR120)</f>
        <v>7.9999999999999988E-2</v>
      </c>
      <c r="AM66">
        <f>IF('РЕЕСТР РИСКОВ_2023'!AS120="",AM65,'РЕЕСТР РИСКОВ_2023'!AS120)</f>
        <v>5636.6822962592096</v>
      </c>
      <c r="AN66">
        <f>IF('РЕЕСТР РИСКОВ_2023'!AT120="",AN65,'РЕЕСТР РИСКОВ_2023'!AT120)</f>
        <v>5636.6822962592096</v>
      </c>
      <c r="AO66">
        <f>IF('РЕЕСТР РИСКОВ_2023'!AU120="",AO65,'РЕЕСТР РИСКОВ_2023'!AU120)</f>
        <v>0</v>
      </c>
    </row>
    <row r="67" spans="2:41">
      <c r="B67" t="str">
        <f>IF('INHERENT MAP'!$B$5=2021,IF('РЕЕСТР РИСКОВ_2023'!F121="",B66,'РЕЕСТР РИСКОВ_2023'!F121),IF('INHERENT MAP'!$B$5=2022,IF(#REF!="",B66,#REF!),IF('INHERENT MAP'!$B$5=2023,IF(#REF!="",B66,#REF!),IF('INHERENT MAP'!$B$5=2024,IF(#REF!="",B66,#REF!),IF('РЕЕСТР РИСКОВ_2023'!F121="",B66,'РЕЕСТР РИСКОВ_2023'!F121)))))</f>
        <v>ТАРИФНЫЙ РИСК/ 
ЦЕНОВОЙ РИСК</v>
      </c>
      <c r="C67" t="str">
        <f>IF('INHERENT MAP'!$B$5=2021,IF('РЕЕСТР РИСКОВ_2023'!G121="",C66,'РЕЕСТР РИСКОВ_2023'!G121),IF('INHERENT MAP'!$B$5=2022,IF(#REF!="",C66,#REF!),IF('INHERENT MAP'!$B$5=2023,IF(#REF!="",C66,#REF!),IF('INHERENT MAP'!$B$5=2024,IF(#REF!="",C66,#REF!),IF('РЕЕСТР РИСКОВ_2023'!G121="",C66,'РЕЕСТР РИСКОВ_2023'!G121)))))</f>
        <v>- ХХХ млн. Тенге</v>
      </c>
      <c r="D67" t="str">
        <f>IF('INHERENT MAP'!$B$5=2021,IF('РЕЕСТР РИСКОВ_2023'!H121="",D66,'РЕЕСТР РИСКОВ_2023'!H121),IF('INHERENT MAP'!$B$5=2022,IF(#REF!="",D66,#REF!),IF('INHERENT MAP'!$B$5=2023,IF(#REF!="",D66,#REF!),IF('INHERENT MAP'!$B$5=2024,IF(#REF!="",D66,#REF!),IF('РЕЕСТР РИСКОВ_2023'!H121="",D66,'РЕЕСТР РИСКОВ_2023'!H121)))))</f>
        <v>RTR-3</v>
      </c>
      <c r="E67" t="str">
        <f>IF('INHERENT MAP'!$B$5=2021,IF('РЕЕСТР РИСКОВ_2023'!I121="",E66,'РЕЕСТР РИСКОВ_2023'!I121),IF('INHERENT MAP'!$B$5=2022,IF(#REF!="",E66,#REF!),IF('INHERENT MAP'!$B$5=2023,IF(#REF!="",E66,#REF!),IF('INHERENT MAP'!$B$5=2024,IF(#REF!="",E66,#REF!),IF('РЕЕСТР РИСКОВ_2023'!I121="",E66,'РЕЕСТР РИСКОВ_2023'!I121)))))</f>
        <v>ЦЗ-1</v>
      </c>
      <c r="F67" t="str">
        <f>IF('INHERENT MAP'!$B$5=2021,IF('РЕЕСТР РИСКОВ_2023'!J121="",F66,'РЕЕСТР РИСКОВ_2023'!J121),IF('INHERENT MAP'!$B$5=2022,IF(#REF!="",F66,#REF!),IF('INHERENT MAP'!$B$5=2023,IF(#REF!="",F66,#REF!),IF('INHERENT MAP'!$B$5=2024,IF(#REF!="",F66,#REF!),IF('РЕЕСТР РИСКОВ_2023'!J121="",F66,'РЕЕСТР РИСКОВ_2023'!J121)))))</f>
        <v>АО "Қазтеміртранс"</v>
      </c>
      <c r="G67" t="str">
        <f>IF('INHERENT MAP'!$B$5=2021,IF('РЕЕСТР РИСКОВ_2023'!K121="",G66,'РЕЕСТР РИСКОВ_2023'!K121),IF('INHERENT MAP'!$B$5=2022,IF(#REF!="",G66,#REF!),IF('INHERENT MAP'!$B$5=2023,IF(#REF!="",G66,#REF!),IF('INHERENT MAP'!$B$5=2024,IF(#REF!="",G66,#REF!),IF('РЕЕСТР РИСКОВ_2023'!K121="",G66,'РЕЕСТР РИСКОВ_2023'!K121)))))</f>
        <v>Ценовой тарифный риск по вагонной составляющей (оперирование вагонами)</v>
      </c>
      <c r="H67">
        <f>IF('INHERENT MAP'!$B$5=2021,'РЕЕСТР РИСКОВ_2023'!L121,IF('INHERENT MAP'!$B$5=2022,#REF!,IF('INHERENT MAP'!$B$5=2023,#REF!,IF('INHERENT MAP'!$B$5=2024,#REF!,#REF!))))</f>
        <v>0</v>
      </c>
      <c r="I67">
        <f>IF('INHERENT MAP'!$B$5=2021,'РЕЕСТР РИСКОВ_2023'!M121,IF('INHERENT MAP'!$B$5=2022,#REF!,IF('INHERENT MAP'!$B$5=2023,#REF!,IF('INHERENT MAP'!$B$5=2024,#REF!,#REF!))))</f>
        <v>0</v>
      </c>
      <c r="J67">
        <f>IF('INHERENT MAP'!$B$5=2021,'РЕЕСТР РИСКОВ_2023'!N121,IF('INHERENT MAP'!$B$5=2022,#REF!,IF('INHERENT MAP'!$B$5=2023,#REF!,IF('INHERENT MAP'!$B$5=2024,#REF!,#REF!))))</f>
        <v>0</v>
      </c>
      <c r="K67">
        <f>IF('INHERENT MAP'!$B$5=2021,'РЕЕСТР РИСКОВ_2023'!O121,IF('INHERENT MAP'!$B$5=2022,#REF!,IF('INHERENT MAP'!$B$5=2023,#REF!,IF('INHERENT MAP'!$B$5=2024,#REF!,#REF!))))</f>
        <v>0</v>
      </c>
      <c r="L67">
        <f>IF('INHERENT MAP'!$B$5=2021,'РЕЕСТР РИСКОВ_2023'!P121,IF('INHERENT MAP'!$B$5=2022,#REF!,IF('INHERENT MAP'!$B$5=2023,#REF!,IF('INHERENT MAP'!$B$5=2024,#REF!,#REF!))))</f>
        <v>0</v>
      </c>
      <c r="M67" t="str">
        <f>IF('INHERENT MAP'!$B$5=2021,IF('РЕЕСТР РИСКОВ_2023'!Q121="",M66,'РЕЕСТР РИСКОВ_2023'!Q121),IF('INHERENT MAP'!$B$5=2022,IF(#REF!="",M66,#REF!),IF('INHERENT MAP'!$B$5=2023,IF(#REF!="",M66,#REF!),IF('INHERENT MAP'!$B$5=2024,IF(#REF!="",M66,#REF!),IF('РЕЕСТР РИСКОВ_2023'!Q121="",M66,'РЕЕСТР РИСКОВ_2023'!Q121)))))</f>
        <v>Тариф оперирования (Экспорт)</v>
      </c>
      <c r="N67" t="str">
        <f>IF('INHERENT MAP'!$B$5=2021,IF('РЕЕСТР РИСКОВ_2023'!R121="",N66,'РЕЕСТР РИСКОВ_2023'!R121),IF('INHERENT MAP'!$B$5=2022,IF(#REF!="",N66,#REF!),IF('INHERENT MAP'!$B$5=2023,IF(#REF!="",N66,#REF!),IF('INHERENT MAP'!$B$5=2024,IF(#REF!="",N66,#REF!),IF('РЕЕСТР РИСКОВ_2023'!R121="",N66,'РЕЕСТР РИСКОВ_2023'!R121)))))</f>
        <v xml:space="preserve">По предварительным данным Узбекистан планирует присоединиться к Договору о ЕАЭС с 2021 года. Наиболее чувствительными последствиями для Казахстана при вступлении Узбекистана в ЕАЭС будет потеря возможности применения транзитного тарифа на перевозки в/из Узбекистана в страны ЕАЭС и переход к применению унифицированного тарифа. Доля транзитных перевозок в/из Узбекистана составляет порядка 34% от общего объема. Провозные платежи за перевозки, осуществляемые транзитом по территории Казахстана, на участках от стыковых станций с Россией до стыковых станций с Узбекистаном будут рассчитываться по Унифицированному тарифу. В настоящее время данные перевозки осуществляются по ставкам транзитного тарифа, уровень которого выше Унифицированного в среднем в 4 раза. От применения Унифицированных тарифов на указанный выше объем прогнозируемых транзитных перевозок в Узбекистан выпадающие доходы АО «НК «ҚТЖ» составят ~ 49714 млн. тенге. </v>
      </c>
      <c r="O67">
        <f>'РЕЕСТР РИСКОВ_2023'!T121</f>
        <v>0</v>
      </c>
      <c r="P67">
        <f>IF('РЕЕСТР РИСКОВ_2023'!U121="",P66,'РЕЕСТР РИСКОВ_2023'!U121)</f>
        <v>0</v>
      </c>
      <c r="Q67" t="str">
        <f>IF('РЕЕСТР РИСКОВ_2023'!V121="",Q66,'РЕЕСТР РИСКОВ_2023'!V121)</f>
        <v>Возможности</v>
      </c>
      <c r="R67" t="str">
        <f>IF('РЕЕСТР РИСКОВ_2023'!W121="",R66,'РЕЕСТР РИСКОВ_2023'!W121)</f>
        <v>1. Повышение на ЖД тарифа в порожнем состоянии по сопредельным территориям 
2. Неконкурентный тариф по отношению к прочим собственникам. 
3. Возможность ошибки при ручном расчете</v>
      </c>
      <c r="S67">
        <f>'РЕЕСТР РИСКОВ_2023'!X121</f>
        <v>0</v>
      </c>
      <c r="T67" s="94">
        <f>IF('INHERENT MAP'!$B$5=2021,'РЕЕСТР РИСКОВ_2023'!Y121,IF('INHERENT MAP'!$B$5=2022,#REF!,IF('INHERENT MAP'!$B$5=2023,#REF!,IF('INHERENT MAP'!$B$5=2024,#REF!,#REF!))))</f>
        <v>0.05</v>
      </c>
      <c r="U67">
        <f>IF('INHERENT MAP'!$B$5=2021,'РЕЕСТР РИСКОВ_2023'!Z121,IF('INHERENT MAP'!$B$5=2022,#REF!,IF('INHERENT MAP'!$B$5=2023,#REF!,IF('INHERENT MAP'!$B$5=2024,#REF!,#REF!))))</f>
        <v>5081.1005715962101</v>
      </c>
      <c r="V67">
        <f>IF('INHERENT MAP'!$B$5=2021,'РЕЕСТР РИСКОВ_2023'!AA121,IF('INHERENT MAP'!$B$5=2022,#REF!,IF('INHERENT MAP'!$B$5=2023,#REF!,IF('INHERENT MAP'!$B$5=2024,#REF!,#REF!))))</f>
        <v>5081.1005715962101</v>
      </c>
      <c r="W67">
        <f>IF('INHERENT MAP'!$B$5=2021,'РЕЕСТР РИСКОВ_2023'!AB121,IF('INHERENT MAP'!$B$5=2022,#REF!,IF('INHERENT MAP'!$B$5=2023,#REF!,IF('INHERENT MAP'!$B$5=2024,#REF!,#REF!))))</f>
        <v>0</v>
      </c>
      <c r="X67" s="94">
        <f>IF('INHERENT MAP'!$B$5=2021,'РЕЕСТР РИСКОВ_2023'!AC121,IF('INHERENT MAP'!$B$5=2022,#REF!,IF('INHERENT MAP'!$B$5=2023,#REF!,IF('INHERENT MAP'!$B$5=2024,#REF!,#REF!))))</f>
        <v>0</v>
      </c>
      <c r="Y67">
        <f>IF('INHERENT MAP'!$B$5=2021,'РЕЕСТР РИСКОВ_2023'!AD121,IF('INHERENT MAP'!$B$5=2022,#REF!,IF('INHERENT MAP'!$B$5=2023,#REF!,IF('INHERENT MAP'!$B$5=2024,#REF!,#REF!))))</f>
        <v>0</v>
      </c>
      <c r="Z67">
        <f>IF('INHERENT MAP'!$B$5=2021,'РЕЕСТР РИСКОВ_2023'!AE121,IF('INHERENT MAP'!$B$5=2022,#REF!,IF('INHERENT MAP'!$B$5=2023,#REF!,IF('INHERENT MAP'!$B$5=2024,#REF!,#REF!))))</f>
        <v>0</v>
      </c>
      <c r="AA67">
        <f>IF('INHERENT MAP'!$B$5=2021,'РЕЕСТР РИСКОВ_2023'!AF121,IF('INHERENT MAP'!$B$5=2022,#REF!,IF('INHERENT MAP'!$B$5=2023,#REF!,IF('INHERENT MAP'!$B$5=2024,#REF!,#REF!))))</f>
        <v>0</v>
      </c>
      <c r="AB67">
        <f>IF('INHERENT MAP'!$B$5=2021,'РЕЕСТР РИСКОВ_2023'!AG121,IF('INHERENT MAP'!$B$5=2022,#REF!,IF('INHERENT MAP'!$B$5=2023,#REF!,IF('INHERENT MAP'!$B$5=2024,#REF!,#REF!))))</f>
        <v>0</v>
      </c>
      <c r="AC67">
        <f>IF('INHERENT MAP'!$B$5=2021,'РЕЕСТР РИСКОВ_2023'!AH121,IF('INHERENT MAP'!$B$5=2022,#REF!,IF('INHERENT MAP'!$B$5=2023,#REF!,IF('INHERENT MAP'!$B$5=2024,#REF!,#REF!))))</f>
        <v>0</v>
      </c>
      <c r="AD67" t="str">
        <f>IF('INHERENT MAP'!$B$5=2021,'РЕЕСТР РИСКОВ_2023'!AI121,IF('INHERENT MAP'!$B$5=2022,#REF!,IF('INHERENT MAP'!$B$5=2023,#REF!,IF('INHERENT MAP'!$B$5=2024,#REF!,#REF!))))</f>
        <v>1. Мониторинг изменения провозных платежей в программе рейл тариф 
2. Гибкая тарифная политика. Рассмотрение на Тарифном комитете тарифных условий крупным клиентам (под объемы, логистика). 
3. Полная автоматизация расчетов.</v>
      </c>
      <c r="AE67">
        <f>IF('INHERENT MAP'!$B$5=2021,'РЕЕСТР РИСКОВ_2023'!AK121,IF('INHERENT MAP'!$B$5=2022,#REF!,IF('INHERENT MAP'!$B$5=2023,#REF!,IF('INHERENT MAP'!$B$5=2024,#REF!,#REF!))))</f>
        <v>0</v>
      </c>
      <c r="AF67">
        <f>IF('INHERENT MAP'!$B$5=2021,'РЕЕСТР РИСКОВ_2023'!AL121,IF('INHERENT MAP'!$B$5=2022,#REF!,IF('INHERENT MAP'!$B$5=2023,#REF!,IF('INHERENT MAP'!$B$5=2024,#REF!,#REF!))))</f>
        <v>0</v>
      </c>
      <c r="AG67" t="str">
        <f>IF('INHERENT MAP'!$B$5=2021,'РЕЕСТР РИСКОВ_2023'!AM121,IF('INHERENT MAP'!$B$5=2022,#REF!,IF('INHERENT MAP'!$B$5=2023,#REF!,IF('INHERENT MAP'!$B$5=2024,#REF!,#REF!))))</f>
        <v>средняя</v>
      </c>
      <c r="AH67">
        <f>IF('INHERENT MAP'!$B$5=2021,'РЕЕСТР РИСКОВ_2023'!AN121,IF('INHERENT MAP'!$B$5=2022,#REF!,IF('INHERENT MAP'!$B$5=2023,#REF!,IF('INHERENT MAP'!$B$5=2024,#REF!,#REF!))))</f>
        <v>0.05</v>
      </c>
      <c r="AI67">
        <f>IF('INHERENT MAP'!$B$5=2021,'РЕЕСТР РИСКОВ_2023'!AO121,IF('INHERENT MAP'!$B$5=2022,#REF!,IF('INHERENT MAP'!$B$5=2023,#REF!,IF('INHERENT MAP'!$B$5=2024,#REF!,#REF!))))</f>
        <v>5081.1005715962101</v>
      </c>
      <c r="AJ67">
        <f>IF('INHERENT MAP'!$B$5=2021,'РЕЕСТР РИСКОВ_2023'!AP121,IF('INHERENT MAP'!$B$5=2022,#REF!,IF('INHERENT MAP'!$B$5=2023,#REF!,IF('INHERENT MAP'!$B$5=2024,#REF!,#REF!))))</f>
        <v>254.05502857981051</v>
      </c>
      <c r="AK67">
        <f>IF('РЕЕСТР РИСКОВ_2023'!AQ121="",AK66,'РЕЕСТР РИСКОВ_2023'!AQ121)</f>
        <v>5081.1005715962101</v>
      </c>
      <c r="AL67">
        <f>IF('РЕЕСТР РИСКОВ_2023'!AR121="",AL66,'РЕЕСТР РИСКОВ_2023'!AR121)</f>
        <v>7.9999999999999988E-2</v>
      </c>
      <c r="AM67">
        <f>IF('РЕЕСТР РИСКОВ_2023'!AS121="",AM66,'РЕЕСТР РИСКОВ_2023'!AS121)</f>
        <v>5636.6822962592096</v>
      </c>
      <c r="AN67">
        <f>IF('РЕЕСТР РИСКОВ_2023'!AT121="",AN66,'РЕЕСТР РИСКОВ_2023'!AT121)</f>
        <v>5636.6822962592096</v>
      </c>
      <c r="AO67">
        <f>IF('РЕЕСТР РИСКОВ_2023'!AU121="",AO66,'РЕЕСТР РИСКОВ_2023'!AU121)</f>
        <v>0</v>
      </c>
    </row>
    <row r="68" spans="2:41">
      <c r="B68" t="str">
        <f>IF('INHERENT MAP'!$B$5=2021,IF('РЕЕСТР РИСКОВ_2023'!F122="",B67,'РЕЕСТР РИСКОВ_2023'!F122),IF('INHERENT MAP'!$B$5=2022,IF(#REF!="",B67,#REF!),IF('INHERENT MAP'!$B$5=2023,IF(#REF!="",B67,#REF!),IF('INHERENT MAP'!$B$5=2024,IF(#REF!="",B67,#REF!),IF('РЕЕСТР РИСКОВ_2023'!F122="",B67,'РЕЕСТР РИСКОВ_2023'!F122)))))</f>
        <v>ТАРИФНЫЙ РИСК/ 
ЦЕНОВОЙ РИСК</v>
      </c>
      <c r="C68" t="str">
        <f>IF('INHERENT MAP'!$B$5=2021,IF('РЕЕСТР РИСКОВ_2023'!G122="",C67,'РЕЕСТР РИСКОВ_2023'!G122),IF('INHERENT MAP'!$B$5=2022,IF(#REF!="",C67,#REF!),IF('INHERENT MAP'!$B$5=2023,IF(#REF!="",C67,#REF!),IF('INHERENT MAP'!$B$5=2024,IF(#REF!="",C67,#REF!),IF('РЕЕСТР РИСКОВ_2023'!G122="",C67,'РЕЕСТР РИСКОВ_2023'!G122)))))</f>
        <v>- ХХХ млн. Тенге</v>
      </c>
      <c r="D68" t="str">
        <f>IF('INHERENT MAP'!$B$5=2021,IF('РЕЕСТР РИСКОВ_2023'!H122="",D67,'РЕЕСТР РИСКОВ_2023'!H122),IF('INHERENT MAP'!$B$5=2022,IF(#REF!="",D67,#REF!),IF('INHERENT MAP'!$B$5=2023,IF(#REF!="",D67,#REF!),IF('INHERENT MAP'!$B$5=2024,IF(#REF!="",D67,#REF!),IF('РЕЕСТР РИСКОВ_2023'!H122="",D67,'РЕЕСТР РИСКОВ_2023'!H122)))))</f>
        <v>RTR-3</v>
      </c>
      <c r="E68" t="str">
        <f>IF('INHERENT MAP'!$B$5=2021,IF('РЕЕСТР РИСКОВ_2023'!I122="",E67,'РЕЕСТР РИСКОВ_2023'!I122),IF('INHERENT MAP'!$B$5=2022,IF(#REF!="",E67,#REF!),IF('INHERENT MAP'!$B$5=2023,IF(#REF!="",E67,#REF!),IF('INHERENT MAP'!$B$5=2024,IF(#REF!="",E67,#REF!),IF('РЕЕСТР РИСКОВ_2023'!I122="",E67,'РЕЕСТР РИСКОВ_2023'!I122)))))</f>
        <v>ЦЗ-1</v>
      </c>
      <c r="F68" t="str">
        <f>IF('INHERENT MAP'!$B$5=2021,IF('РЕЕСТР РИСКОВ_2023'!J122="",F67,'РЕЕСТР РИСКОВ_2023'!J122),IF('INHERENT MAP'!$B$5=2022,IF(#REF!="",F67,#REF!),IF('INHERENT MAP'!$B$5=2023,IF(#REF!="",F67,#REF!),IF('INHERENT MAP'!$B$5=2024,IF(#REF!="",F67,#REF!),IF('РЕЕСТР РИСКОВ_2023'!J122="",F67,'РЕЕСТР РИСКОВ_2023'!J122)))))</f>
        <v>АО "Қазтеміртранс"</v>
      </c>
      <c r="G68" t="str">
        <f>IF('INHERENT MAP'!$B$5=2021,IF('РЕЕСТР РИСКОВ_2023'!K122="",G67,'РЕЕСТР РИСКОВ_2023'!K122),IF('INHERENT MAP'!$B$5=2022,IF(#REF!="",G67,#REF!),IF('INHERENT MAP'!$B$5=2023,IF(#REF!="",G67,#REF!),IF('INHERENT MAP'!$B$5=2024,IF(#REF!="",G67,#REF!),IF('РЕЕСТР РИСКОВ_2023'!K122="",G67,'РЕЕСТР РИСКОВ_2023'!K122)))))</f>
        <v>Ценовой тарифный риск по вагонной составляющей (оперирование вагонами)</v>
      </c>
      <c r="H68">
        <f>IF('INHERENT MAP'!$B$5=2021,'РЕЕСТР РИСКОВ_2023'!L122,IF('INHERENT MAP'!$B$5=2022,#REF!,IF('INHERENT MAP'!$B$5=2023,#REF!,IF('INHERENT MAP'!$B$5=2024,#REF!,#REF!))))</f>
        <v>0</v>
      </c>
      <c r="I68">
        <f>IF('INHERENT MAP'!$B$5=2021,'РЕЕСТР РИСКОВ_2023'!M122,IF('INHERENT MAP'!$B$5=2022,#REF!,IF('INHERENT MAP'!$B$5=2023,#REF!,IF('INHERENT MAP'!$B$5=2024,#REF!,#REF!))))</f>
        <v>0</v>
      </c>
      <c r="J68">
        <f>IF('INHERENT MAP'!$B$5=2021,'РЕЕСТР РИСКОВ_2023'!N122,IF('INHERENT MAP'!$B$5=2022,#REF!,IF('INHERENT MAP'!$B$5=2023,#REF!,IF('INHERENT MAP'!$B$5=2024,#REF!,#REF!))))</f>
        <v>0</v>
      </c>
      <c r="K68">
        <f>IF('INHERENT MAP'!$B$5=2021,'РЕЕСТР РИСКОВ_2023'!O122,IF('INHERENT MAP'!$B$5=2022,#REF!,IF('INHERENT MAP'!$B$5=2023,#REF!,IF('INHERENT MAP'!$B$5=2024,#REF!,#REF!))))</f>
        <v>0</v>
      </c>
      <c r="L68">
        <f>IF('INHERENT MAP'!$B$5=2021,'РЕЕСТР РИСКОВ_2023'!P122,IF('INHERENT MAP'!$B$5=2022,#REF!,IF('INHERENT MAP'!$B$5=2023,#REF!,IF('INHERENT MAP'!$B$5=2024,#REF!,#REF!))))</f>
        <v>0</v>
      </c>
      <c r="M68" t="str">
        <f>IF('INHERENT MAP'!$B$5=2021,IF('РЕЕСТР РИСКОВ_2023'!Q122="",M67,'РЕЕСТР РИСКОВ_2023'!Q122),IF('INHERENT MAP'!$B$5=2022,IF(#REF!="",M67,#REF!),IF('INHERENT MAP'!$B$5=2023,IF(#REF!="",M67,#REF!),IF('INHERENT MAP'!$B$5=2024,IF(#REF!="",M67,#REF!),IF('РЕЕСТР РИСКОВ_2023'!Q122="",M67,'РЕЕСТР РИСКОВ_2023'!Q122)))))</f>
        <v>Тариф оперирования (Импорт)</v>
      </c>
      <c r="N68" t="str">
        <f>IF('INHERENT MAP'!$B$5=2021,IF('РЕЕСТР РИСКОВ_2023'!R122="",N67,'РЕЕСТР РИСКОВ_2023'!R122),IF('INHERENT MAP'!$B$5=2022,IF(#REF!="",N67,#REF!),IF('INHERENT MAP'!$B$5=2023,IF(#REF!="",N67,#REF!),IF('INHERENT MAP'!$B$5=2024,IF(#REF!="",N67,#REF!),IF('РЕЕСТР РИСКОВ_2023'!R122="",N67,'РЕЕСТР РИСКОВ_2023'!R122)))))</f>
        <v xml:space="preserve">По предварительным данным Узбекистан планирует присоединиться к Договору о ЕАЭС с 2021 года. Наиболее чувствительными последствиями для Казахстана при вступлении Узбекистана в ЕАЭС будет потеря возможности применения транзитного тарифа на перевозки в/из Узбекистана в страны ЕАЭС и переход к применению унифицированного тарифа. Доля транзитных перевозок в/из Узбекистана составляет порядка 34% от общего объема. Провозные платежи за перевозки, осуществляемые транзитом по территории Казахстана, на участках от стыковых станций с Россией до стыковых станций с Узбекистаном будут рассчитываться по Унифицированному тарифу. В настоящее время данные перевозки осуществляются по ставкам транзитного тарифа, уровень которого выше Унифицированного в среднем в 4 раза. От применения Унифицированных тарифов на указанный выше объем прогнозируемых транзитных перевозок в Узбекистан выпадающие доходы АО «НК «ҚТЖ» составят ~ 49714 млн. тенге. </v>
      </c>
      <c r="O68">
        <f>'РЕЕСТР РИСКОВ_2023'!T122</f>
        <v>0</v>
      </c>
      <c r="P68">
        <f>IF('РЕЕСТР РИСКОВ_2023'!U122="",P67,'РЕЕСТР РИСКОВ_2023'!U122)</f>
        <v>0</v>
      </c>
      <c r="Q68" t="str">
        <f>IF('РЕЕСТР РИСКОВ_2023'!V122="",Q67,'РЕЕСТР РИСКОВ_2023'!V122)</f>
        <v>Угрозы</v>
      </c>
      <c r="R68" t="str">
        <f>IF('РЕЕСТР РИСКОВ_2023'!W122="",R67,'РЕЕСТР РИСКОВ_2023'!W122)</f>
        <v>1. Повышение на ЖД тарифа в порожнем состоянии по сопредельным территориям 
2. Неконкурентный тариф по отношению к прочим собственникам. 
3. Возможность ошибки при ручном расчете</v>
      </c>
      <c r="S68">
        <f>'РЕЕСТР РИСКОВ_2023'!X122</f>
        <v>0</v>
      </c>
      <c r="T68" s="94">
        <f>IF('INHERENT MAP'!$B$5=2021,'РЕЕСТР РИСКОВ_2023'!Y122,IF('INHERENT MAP'!$B$5=2022,#REF!,IF('INHERENT MAP'!$B$5=2023,#REF!,IF('INHERENT MAP'!$B$5=2024,#REF!,#REF!))))</f>
        <v>0.8</v>
      </c>
      <c r="U68">
        <f>IF('INHERENT MAP'!$B$5=2021,'РЕЕСТР РИСКОВ_2023'!Z122,IF('INHERENT MAP'!$B$5=2022,#REF!,IF('INHERENT MAP'!$B$5=2023,#REF!,IF('INHERENT MAP'!$B$5=2024,#REF!,#REF!))))</f>
        <v>-347.52326981749502</v>
      </c>
      <c r="V68">
        <f>IF('INHERENT MAP'!$B$5=2021,'РЕЕСТР РИСКОВ_2023'!AA122,IF('INHERENT MAP'!$B$5=2022,#REF!,IF('INHERENT MAP'!$B$5=2023,#REF!,IF('INHERENT MAP'!$B$5=2024,#REF!,#REF!))))</f>
        <v>-347.52326981749502</v>
      </c>
      <c r="W68">
        <f>IF('INHERENT MAP'!$B$5=2021,'РЕЕСТР РИСКОВ_2023'!AB122,IF('INHERENT MAP'!$B$5=2022,#REF!,IF('INHERENT MAP'!$B$5=2023,#REF!,IF('INHERENT MAP'!$B$5=2024,#REF!,#REF!))))</f>
        <v>0</v>
      </c>
      <c r="X68" s="94">
        <f>IF('INHERENT MAP'!$B$5=2021,'РЕЕСТР РИСКОВ_2023'!AC122,IF('INHERENT MAP'!$B$5=2022,#REF!,IF('INHERENT MAP'!$B$5=2023,#REF!,IF('INHERENT MAP'!$B$5=2024,#REF!,#REF!))))</f>
        <v>0</v>
      </c>
      <c r="Y68">
        <f>IF('INHERENT MAP'!$B$5=2021,'РЕЕСТР РИСКОВ_2023'!AD122,IF('INHERENT MAP'!$B$5=2022,#REF!,IF('INHERENT MAP'!$B$5=2023,#REF!,IF('INHERENT MAP'!$B$5=2024,#REF!,#REF!))))</f>
        <v>0</v>
      </c>
      <c r="Z68">
        <f>IF('INHERENT MAP'!$B$5=2021,'РЕЕСТР РИСКОВ_2023'!AE122,IF('INHERENT MAP'!$B$5=2022,#REF!,IF('INHERENT MAP'!$B$5=2023,#REF!,IF('INHERENT MAP'!$B$5=2024,#REF!,#REF!))))</f>
        <v>0</v>
      </c>
      <c r="AA68">
        <f>IF('INHERENT MAP'!$B$5=2021,'РЕЕСТР РИСКОВ_2023'!AF122,IF('INHERENT MAP'!$B$5=2022,#REF!,IF('INHERENT MAP'!$B$5=2023,#REF!,IF('INHERENT MAP'!$B$5=2024,#REF!,#REF!))))</f>
        <v>0</v>
      </c>
      <c r="AB68">
        <f>IF('INHERENT MAP'!$B$5=2021,'РЕЕСТР РИСКОВ_2023'!AG122,IF('INHERENT MAP'!$B$5=2022,#REF!,IF('INHERENT MAP'!$B$5=2023,#REF!,IF('INHERENT MAP'!$B$5=2024,#REF!,#REF!))))</f>
        <v>0</v>
      </c>
      <c r="AC68">
        <f>IF('INHERENT MAP'!$B$5=2021,'РЕЕСТР РИСКОВ_2023'!AH122,IF('INHERENT MAP'!$B$5=2022,#REF!,IF('INHERENT MAP'!$B$5=2023,#REF!,IF('INHERENT MAP'!$B$5=2024,#REF!,#REF!))))</f>
        <v>0</v>
      </c>
      <c r="AD68" t="str">
        <f>IF('INHERENT MAP'!$B$5=2021,'РЕЕСТР РИСКОВ_2023'!AI122,IF('INHERENT MAP'!$B$5=2022,#REF!,IF('INHERENT MAP'!$B$5=2023,#REF!,IF('INHERENT MAP'!$B$5=2024,#REF!,#REF!))))</f>
        <v>1) Мониторинг изменения провозных платежей в программе рейл тариф
2) Гибкая тарифная политика. Рассмотрение на Тарифном комитете тарифных условий крупным клиентам (под объемы, логистика)
3) Полная автоматизация расчетов</v>
      </c>
      <c r="AE68">
        <f>IF('INHERENT MAP'!$B$5=2021,'РЕЕСТР РИСКОВ_2023'!AK122,IF('INHERENT MAP'!$B$5=2022,#REF!,IF('INHERENT MAP'!$B$5=2023,#REF!,IF('INHERENT MAP'!$B$5=2024,#REF!,#REF!))))</f>
        <v>0</v>
      </c>
      <c r="AF68">
        <f>IF('INHERENT MAP'!$B$5=2021,'РЕЕСТР РИСКОВ_2023'!AL122,IF('INHERENT MAP'!$B$5=2022,#REF!,IF('INHERENT MAP'!$B$5=2023,#REF!,IF('INHERENT MAP'!$B$5=2024,#REF!,#REF!))))</f>
        <v>0</v>
      </c>
      <c r="AG68" t="str">
        <f>IF('INHERENT MAP'!$B$5=2021,'РЕЕСТР РИСКОВ_2023'!AM122,IF('INHERENT MAP'!$B$5=2022,#REF!,IF('INHERENT MAP'!$B$5=2023,#REF!,IF('INHERENT MAP'!$B$5=2024,#REF!,#REF!))))</f>
        <v>средняя</v>
      </c>
      <c r="AH68">
        <f>IF('INHERENT MAP'!$B$5=2021,'РЕЕСТР РИСКОВ_2023'!AN122,IF('INHERENT MAP'!$B$5=2022,#REF!,IF('INHERENT MAP'!$B$5=2023,#REF!,IF('INHERENT MAP'!$B$5=2024,#REF!,#REF!))))</f>
        <v>0.4</v>
      </c>
      <c r="AI68">
        <f>IF('INHERENT MAP'!$B$5=2021,'РЕЕСТР РИСКОВ_2023'!AO122,IF('INHERENT MAP'!$B$5=2022,#REF!,IF('INHERENT MAP'!$B$5=2023,#REF!,IF('INHERENT MAP'!$B$5=2024,#REF!,#REF!))))</f>
        <v>-173.76163490874751</v>
      </c>
      <c r="AJ68">
        <f>IF('INHERENT MAP'!$B$5=2021,'РЕЕСТР РИСКОВ_2023'!AP122,IF('INHERENT MAP'!$B$5=2022,#REF!,IF('INHERENT MAP'!$B$5=2023,#REF!,IF('INHERENT MAP'!$B$5=2024,#REF!,#REF!))))</f>
        <v>-69.50465396349901</v>
      </c>
      <c r="AK68">
        <f>IF('РЕЕСТР РИСКОВ_2023'!AQ122="",AK67,'РЕЕСТР РИСКОВ_2023'!AQ122)</f>
        <v>-173.76163490874751</v>
      </c>
      <c r="AL68">
        <f>IF('РЕЕСТР РИСКОВ_2023'!AR122="",AL67,'РЕЕСТР РИСКОВ_2023'!AR122)</f>
        <v>7.9999999999999988E-2</v>
      </c>
      <c r="AM68">
        <f>IF('РЕЕСТР РИСКОВ_2023'!AS122="",AM67,'РЕЕСТР РИСКОВ_2023'!AS122)</f>
        <v>5636.6822962592096</v>
      </c>
      <c r="AN68">
        <f>IF('РЕЕСТР РИСКОВ_2023'!AT122="",AN67,'РЕЕСТР РИСКОВ_2023'!AT122)</f>
        <v>5636.6822962592096</v>
      </c>
      <c r="AO68">
        <f>IF('РЕЕСТР РИСКОВ_2023'!AU122="",AO67,'РЕЕСТР РИСКОВ_2023'!AU122)</f>
        <v>0</v>
      </c>
    </row>
    <row r="69" spans="2:41">
      <c r="B69" t="str">
        <f>IF('INHERENT MAP'!$B$5=2021,IF('РЕЕСТР РИСКОВ_2023'!F123="",B68,'РЕЕСТР РИСКОВ_2023'!F123),IF('INHERENT MAP'!$B$5=2022,IF(#REF!="",B68,#REF!),IF('INHERENT MAP'!$B$5=2023,IF(#REF!="",B68,#REF!),IF('INHERENT MAP'!$B$5=2024,IF(#REF!="",B68,#REF!),IF('РЕЕСТР РИСКОВ_2023'!F123="",B68,'РЕЕСТР РИСКОВ_2023'!F123)))))</f>
        <v>ТАРИФНЫЙ РИСК/ 
ЦЕНОВОЙ РИСК</v>
      </c>
      <c r="C69" t="str">
        <f>IF('INHERENT MAP'!$B$5=2021,IF('РЕЕСТР РИСКОВ_2023'!G123="",C68,'РЕЕСТР РИСКОВ_2023'!G123),IF('INHERENT MAP'!$B$5=2022,IF(#REF!="",C68,#REF!),IF('INHERENT MAP'!$B$5=2023,IF(#REF!="",C68,#REF!),IF('INHERENT MAP'!$B$5=2024,IF(#REF!="",C68,#REF!),IF('РЕЕСТР РИСКОВ_2023'!G123="",C68,'РЕЕСТР РИСКОВ_2023'!G123)))))</f>
        <v>- ХХХ млн. Тенге</v>
      </c>
      <c r="D69" t="str">
        <f>IF('INHERENT MAP'!$B$5=2021,IF('РЕЕСТР РИСКОВ_2023'!H123="",D68,'РЕЕСТР РИСКОВ_2023'!H123),IF('INHERENT MAP'!$B$5=2022,IF(#REF!="",D68,#REF!),IF('INHERENT MAP'!$B$5=2023,IF(#REF!="",D68,#REF!),IF('INHERENT MAP'!$B$5=2024,IF(#REF!="",D68,#REF!),IF('РЕЕСТР РИСКОВ_2023'!H123="",D68,'РЕЕСТР РИСКОВ_2023'!H123)))))</f>
        <v>RTR-3</v>
      </c>
      <c r="E69" t="str">
        <f>IF('INHERENT MAP'!$B$5=2021,IF('РЕЕСТР РИСКОВ_2023'!I123="",E68,'РЕЕСТР РИСКОВ_2023'!I123),IF('INHERENT MAP'!$B$5=2022,IF(#REF!="",E68,#REF!),IF('INHERENT MAP'!$B$5=2023,IF(#REF!="",E68,#REF!),IF('INHERENT MAP'!$B$5=2024,IF(#REF!="",E68,#REF!),IF('РЕЕСТР РИСКОВ_2023'!I123="",E68,'РЕЕСТР РИСКОВ_2023'!I123)))))</f>
        <v>ЦЗ-1</v>
      </c>
      <c r="F69" t="str">
        <f>IF('INHERENT MAP'!$B$5=2021,IF('РЕЕСТР РИСКОВ_2023'!J123="",F68,'РЕЕСТР РИСКОВ_2023'!J123),IF('INHERENT MAP'!$B$5=2022,IF(#REF!="",F68,#REF!),IF('INHERENT MAP'!$B$5=2023,IF(#REF!="",F68,#REF!),IF('INHERENT MAP'!$B$5=2024,IF(#REF!="",F68,#REF!),IF('РЕЕСТР РИСКОВ_2023'!J123="",F68,'РЕЕСТР РИСКОВ_2023'!J123)))))</f>
        <v>АО "Қазтеміртранс"</v>
      </c>
      <c r="G69" t="str">
        <f>IF('INHERENT MAP'!$B$5=2021,IF('РЕЕСТР РИСКОВ_2023'!K123="",G68,'РЕЕСТР РИСКОВ_2023'!K123),IF('INHERENT MAP'!$B$5=2022,IF(#REF!="",G68,#REF!),IF('INHERENT MAP'!$B$5=2023,IF(#REF!="",G68,#REF!),IF('INHERENT MAP'!$B$5=2024,IF(#REF!="",G68,#REF!),IF('РЕЕСТР РИСКОВ_2023'!K123="",G68,'РЕЕСТР РИСКОВ_2023'!K123)))))</f>
        <v>Ценовой тарифный риск по вагонной составляющей (оперирование вагонами)</v>
      </c>
      <c r="H69">
        <f>IF('INHERENT MAP'!$B$5=2021,'РЕЕСТР РИСКОВ_2023'!L123,IF('INHERENT MAP'!$B$5=2022,#REF!,IF('INHERENT MAP'!$B$5=2023,#REF!,IF('INHERENT MAP'!$B$5=2024,#REF!,#REF!))))</f>
        <v>0</v>
      </c>
      <c r="I69">
        <f>IF('INHERENT MAP'!$B$5=2021,'РЕЕСТР РИСКОВ_2023'!M123,IF('INHERENT MAP'!$B$5=2022,#REF!,IF('INHERENT MAP'!$B$5=2023,#REF!,IF('INHERENT MAP'!$B$5=2024,#REF!,#REF!))))</f>
        <v>0</v>
      </c>
      <c r="J69">
        <f>IF('INHERENT MAP'!$B$5=2021,'РЕЕСТР РИСКОВ_2023'!N123,IF('INHERENT MAP'!$B$5=2022,#REF!,IF('INHERENT MAP'!$B$5=2023,#REF!,IF('INHERENT MAP'!$B$5=2024,#REF!,#REF!))))</f>
        <v>0</v>
      </c>
      <c r="K69">
        <f>IF('INHERENT MAP'!$B$5=2021,'РЕЕСТР РИСКОВ_2023'!O123,IF('INHERENT MAP'!$B$5=2022,#REF!,IF('INHERENT MAP'!$B$5=2023,#REF!,IF('INHERENT MAP'!$B$5=2024,#REF!,#REF!))))</f>
        <v>0</v>
      </c>
      <c r="L69">
        <f>IF('INHERENT MAP'!$B$5=2021,'РЕЕСТР РИСКОВ_2023'!P123,IF('INHERENT MAP'!$B$5=2022,#REF!,IF('INHERENT MAP'!$B$5=2023,#REF!,IF('INHERENT MAP'!$B$5=2024,#REF!,#REF!))))</f>
        <v>0</v>
      </c>
      <c r="M69" t="str">
        <f>IF('INHERENT MAP'!$B$5=2021,IF('РЕЕСТР РИСКОВ_2023'!Q123="",M68,'РЕЕСТР РИСКОВ_2023'!Q123),IF('INHERENT MAP'!$B$5=2022,IF(#REF!="",M68,#REF!),IF('INHERENT MAP'!$B$5=2023,IF(#REF!="",M68,#REF!),IF('INHERENT MAP'!$B$5=2024,IF(#REF!="",M68,#REF!),IF('РЕЕСТР РИСКОВ_2023'!Q123="",M68,'РЕЕСТР РИСКОВ_2023'!Q123)))))</f>
        <v>Тариф оперирования (транзит)</v>
      </c>
      <c r="N69" t="str">
        <f>IF('INHERENT MAP'!$B$5=2021,IF('РЕЕСТР РИСКОВ_2023'!R123="",N68,'РЕЕСТР РИСКОВ_2023'!R123),IF('INHERENT MAP'!$B$5=2022,IF(#REF!="",N68,#REF!),IF('INHERENT MAP'!$B$5=2023,IF(#REF!="",N68,#REF!),IF('INHERENT MAP'!$B$5=2024,IF(#REF!="",N68,#REF!),IF('РЕЕСТР РИСКОВ_2023'!R123="",N68,'РЕЕСТР РИСКОВ_2023'!R123)))))</f>
        <v xml:space="preserve">По предварительным данным Узбекистан планирует присоединиться к Договору о ЕАЭС с 2021 года. Наиболее чувствительными последствиями для Казахстана при вступлении Узбекистана в ЕАЭС будет потеря возможности применения транзитного тарифа на перевозки в/из Узбекистана в страны ЕАЭС и переход к применению унифицированного тарифа. Доля транзитных перевозок в/из Узбекистана составляет порядка 34% от общего объема. Провозные платежи за перевозки, осуществляемые транзитом по территории Казахстана, на участках от стыковых станций с Россией до стыковых станций с Узбекистаном будут рассчитываться по Унифицированному тарифу. В настоящее время данные перевозки осуществляются по ставкам транзитного тарифа, уровень которого выше Унифицированного в среднем в 4 раза. От применения Унифицированных тарифов на указанный выше объем прогнозируемых транзитных перевозок в Узбекистан выпадающие доходы АО «НК «ҚТЖ» составят ~ 49714 млн. тенге. </v>
      </c>
      <c r="O69">
        <f>'РЕЕСТР РИСКОВ_2023'!T123</f>
        <v>0</v>
      </c>
      <c r="P69">
        <f>IF('РЕЕСТР РИСКОВ_2023'!U123="",P68,'РЕЕСТР РИСКОВ_2023'!U123)</f>
        <v>0</v>
      </c>
      <c r="Q69" t="str">
        <f>IF('РЕЕСТР РИСКОВ_2023'!V123="",Q68,'РЕЕСТР РИСКОВ_2023'!V123)</f>
        <v>Возможности</v>
      </c>
      <c r="R69" t="str">
        <f>IF('РЕЕСТР РИСКОВ_2023'!W123="",R68,'РЕЕСТР РИСКОВ_2023'!W123)</f>
        <v>1. Повышение на ЖД тарифа в порожнем состоянии по сопредельным территориям 
2. Неконкурентный тариф по отношению к прочим собственникам. 
3. Возможность ошибки при ручном расчете</v>
      </c>
      <c r="S69">
        <f>'РЕЕСТР РИСКОВ_2023'!X123</f>
        <v>0</v>
      </c>
      <c r="T69" s="94">
        <f>IF('INHERENT MAP'!$B$5=2021,'РЕЕСТР РИСКОВ_2023'!Y123,IF('INHERENT MAP'!$B$5=2022,#REF!,IF('INHERENT MAP'!$B$5=2023,#REF!,IF('INHERENT MAP'!$B$5=2024,#REF!,#REF!))))</f>
        <v>0.05</v>
      </c>
      <c r="U69">
        <f>IF('INHERENT MAP'!$B$5=2021,'РЕЕСТР РИСКОВ_2023'!Z123,IF('INHERENT MAP'!$B$5=2022,#REF!,IF('INHERENT MAP'!$B$5=2023,#REF!,IF('INHERENT MAP'!$B$5=2024,#REF!,#REF!))))</f>
        <v>2112.2808489768299</v>
      </c>
      <c r="V69">
        <f>IF('INHERENT MAP'!$B$5=2021,'РЕЕСТР РИСКОВ_2023'!AA123,IF('INHERENT MAP'!$B$5=2022,#REF!,IF('INHERENT MAP'!$B$5=2023,#REF!,IF('INHERENT MAP'!$B$5=2024,#REF!,#REF!))))</f>
        <v>2112.2808489768299</v>
      </c>
      <c r="W69">
        <f>IF('INHERENT MAP'!$B$5=2021,'РЕЕСТР РИСКОВ_2023'!AB123,IF('INHERENT MAP'!$B$5=2022,#REF!,IF('INHERENT MAP'!$B$5=2023,#REF!,IF('INHERENT MAP'!$B$5=2024,#REF!,#REF!))))</f>
        <v>0</v>
      </c>
      <c r="X69" s="94">
        <f>IF('INHERENT MAP'!$B$5=2021,'РЕЕСТР РИСКОВ_2023'!AC123,IF('INHERENT MAP'!$B$5=2022,#REF!,IF('INHERENT MAP'!$B$5=2023,#REF!,IF('INHERENT MAP'!$B$5=2024,#REF!,#REF!))))</f>
        <v>0</v>
      </c>
      <c r="Y69">
        <f>IF('INHERENT MAP'!$B$5=2021,'РЕЕСТР РИСКОВ_2023'!AD123,IF('INHERENT MAP'!$B$5=2022,#REF!,IF('INHERENT MAP'!$B$5=2023,#REF!,IF('INHERENT MAP'!$B$5=2024,#REF!,#REF!))))</f>
        <v>0</v>
      </c>
      <c r="Z69">
        <f>IF('INHERENT MAP'!$B$5=2021,'РЕЕСТР РИСКОВ_2023'!AE123,IF('INHERENT MAP'!$B$5=2022,#REF!,IF('INHERENT MAP'!$B$5=2023,#REF!,IF('INHERENT MAP'!$B$5=2024,#REF!,#REF!))))</f>
        <v>0</v>
      </c>
      <c r="AA69">
        <f>IF('INHERENT MAP'!$B$5=2021,'РЕЕСТР РИСКОВ_2023'!AF123,IF('INHERENT MAP'!$B$5=2022,#REF!,IF('INHERENT MAP'!$B$5=2023,#REF!,IF('INHERENT MAP'!$B$5=2024,#REF!,#REF!))))</f>
        <v>0</v>
      </c>
      <c r="AB69">
        <f>IF('INHERENT MAP'!$B$5=2021,'РЕЕСТР РИСКОВ_2023'!AG123,IF('INHERENT MAP'!$B$5=2022,#REF!,IF('INHERENT MAP'!$B$5=2023,#REF!,IF('INHERENT MAP'!$B$5=2024,#REF!,#REF!))))</f>
        <v>0</v>
      </c>
      <c r="AC69">
        <f>IF('INHERENT MAP'!$B$5=2021,'РЕЕСТР РИСКОВ_2023'!AH123,IF('INHERENT MAP'!$B$5=2022,#REF!,IF('INHERENT MAP'!$B$5=2023,#REF!,IF('INHERENT MAP'!$B$5=2024,#REF!,#REF!))))</f>
        <v>0</v>
      </c>
      <c r="AD69" t="str">
        <f>IF('INHERENT MAP'!$B$5=2021,'РЕЕСТР РИСКОВ_2023'!AI123,IF('INHERENT MAP'!$B$5=2022,#REF!,IF('INHERENT MAP'!$B$5=2023,#REF!,IF('INHERENT MAP'!$B$5=2024,#REF!,#REF!))))</f>
        <v>1. Мониторинг изменения провозных платежей в программе рейл тариф 
2. Гибкая тарифная политика. Рассмотрение на Тарифном комитете тарифных условий крупным клиентам (под объемы, логистика). 
3. Полная автоматизация расчетов.</v>
      </c>
      <c r="AE69">
        <f>IF('INHERENT MAP'!$B$5=2021,'РЕЕСТР РИСКОВ_2023'!AK123,IF('INHERENT MAP'!$B$5=2022,#REF!,IF('INHERENT MAP'!$B$5=2023,#REF!,IF('INHERENT MAP'!$B$5=2024,#REF!,#REF!))))</f>
        <v>0</v>
      </c>
      <c r="AF69">
        <f>IF('INHERENT MAP'!$B$5=2021,'РЕЕСТР РИСКОВ_2023'!AL123,IF('INHERENT MAP'!$B$5=2022,#REF!,IF('INHERENT MAP'!$B$5=2023,#REF!,IF('INHERENT MAP'!$B$5=2024,#REF!,#REF!))))</f>
        <v>0</v>
      </c>
      <c r="AG69" t="str">
        <f>IF('INHERENT MAP'!$B$5=2021,'РЕЕСТР РИСКОВ_2023'!AM123,IF('INHERENT MAP'!$B$5=2022,#REF!,IF('INHERENT MAP'!$B$5=2023,#REF!,IF('INHERENT MAP'!$B$5=2024,#REF!,#REF!))))</f>
        <v>средняя</v>
      </c>
      <c r="AH69">
        <f>IF('INHERENT MAP'!$B$5=2021,'РЕЕСТР РИСКОВ_2023'!AN123,IF('INHERENT MAP'!$B$5=2022,#REF!,IF('INHERENT MAP'!$B$5=2023,#REF!,IF('INHERENT MAP'!$B$5=2024,#REF!,#REF!))))</f>
        <v>0.05</v>
      </c>
      <c r="AI69">
        <f>IF('INHERENT MAP'!$B$5=2021,'РЕЕСТР РИСКОВ_2023'!AO123,IF('INHERENT MAP'!$B$5=2022,#REF!,IF('INHERENT MAP'!$B$5=2023,#REF!,IF('INHERENT MAP'!$B$5=2024,#REF!,#REF!))))</f>
        <v>2112.2808489768299</v>
      </c>
      <c r="AJ69">
        <f>IF('INHERENT MAP'!$B$5=2021,'РЕЕСТР РИСКОВ_2023'!AP123,IF('INHERENT MAP'!$B$5=2022,#REF!,IF('INHERENT MAP'!$B$5=2023,#REF!,IF('INHERENT MAP'!$B$5=2024,#REF!,#REF!))))</f>
        <v>105.6140424488415</v>
      </c>
      <c r="AK69">
        <f>IF('РЕЕСТР РИСКОВ_2023'!AQ123="",AK68,'РЕЕСТР РИСКОВ_2023'!AQ123)</f>
        <v>2112.2808489768299</v>
      </c>
      <c r="AL69">
        <f>IF('РЕЕСТР РИСКОВ_2023'!AR123="",AL68,'РЕЕСТР РИСКОВ_2023'!AR123)</f>
        <v>7.9999999999999988E-2</v>
      </c>
      <c r="AM69">
        <f>IF('РЕЕСТР РИСКОВ_2023'!AS123="",AM68,'РЕЕСТР РИСКОВ_2023'!AS123)</f>
        <v>5636.6822962592096</v>
      </c>
      <c r="AN69">
        <f>IF('РЕЕСТР РИСКОВ_2023'!AT123="",AN68,'РЕЕСТР РИСКОВ_2023'!AT123)</f>
        <v>5636.6822962592096</v>
      </c>
      <c r="AO69">
        <f>IF('РЕЕСТР РИСКОВ_2023'!AU123="",AO68,'РЕЕСТР РИСКОВ_2023'!AU123)</f>
        <v>0</v>
      </c>
    </row>
    <row r="70" spans="2:41">
      <c r="B70" t="str">
        <f>IF('INHERENT MAP'!$B$5=2021,IF('РЕЕСТР РИСКОВ_2023'!F124="",B69,'РЕЕСТР РИСКОВ_2023'!F124),IF('INHERENT MAP'!$B$5=2022,IF(#REF!="",B69,#REF!),IF('INHERENT MAP'!$B$5=2023,IF(#REF!="",B69,#REF!),IF('INHERENT MAP'!$B$5=2024,IF(#REF!="",B69,#REF!),IF('РЕЕСТР РИСКОВ_2023'!F124="",B69,'РЕЕСТР РИСКОВ_2023'!F124)))))</f>
        <v>ТАРИФНЫЙ РИСК/ 
ЦЕНОВОЙ РИСК</v>
      </c>
      <c r="C70" t="str">
        <f>IF('INHERENT MAP'!$B$5=2021,IF('РЕЕСТР РИСКОВ_2023'!G124="",C69,'РЕЕСТР РИСКОВ_2023'!G124),IF('INHERENT MAP'!$B$5=2022,IF(#REF!="",C69,#REF!),IF('INHERENT MAP'!$B$5=2023,IF(#REF!="",C69,#REF!),IF('INHERENT MAP'!$B$5=2024,IF(#REF!="",C69,#REF!),IF('РЕЕСТР РИСКОВ_2023'!G124="",C69,'РЕЕСТР РИСКОВ_2023'!G124)))))</f>
        <v>- ХХХ млн. Тенге</v>
      </c>
      <c r="D70" t="str">
        <f>IF('INHERENT MAP'!$B$5=2021,IF('РЕЕСТР РИСКОВ_2023'!H124="",D69,'РЕЕСТР РИСКОВ_2023'!H124),IF('INHERENT MAP'!$B$5=2022,IF(#REF!="",D69,#REF!),IF('INHERENT MAP'!$B$5=2023,IF(#REF!="",D69,#REF!),IF('INHERENT MAP'!$B$5=2024,IF(#REF!="",D69,#REF!),IF('РЕЕСТР РИСКОВ_2023'!H124="",D69,'РЕЕСТР РИСКОВ_2023'!H124)))))</f>
        <v>RTR-3</v>
      </c>
      <c r="E70" t="str">
        <f>IF('INHERENT MAP'!$B$5=2021,IF('РЕЕСТР РИСКОВ_2023'!I124="",E69,'РЕЕСТР РИСКОВ_2023'!I124),IF('INHERENT MAP'!$B$5=2022,IF(#REF!="",E69,#REF!),IF('INHERENT MAP'!$B$5=2023,IF(#REF!="",E69,#REF!),IF('INHERENT MAP'!$B$5=2024,IF(#REF!="",E69,#REF!),IF('РЕЕСТР РИСКОВ_2023'!I124="",E69,'РЕЕСТР РИСКОВ_2023'!I124)))))</f>
        <v>ЦЗ-1</v>
      </c>
      <c r="F70" t="str">
        <f>IF('INHERENT MAP'!$B$5=2021,IF('РЕЕСТР РИСКОВ_2023'!J124="",F69,'РЕЕСТР РИСКОВ_2023'!J124),IF('INHERENT MAP'!$B$5=2022,IF(#REF!="",F69,#REF!),IF('INHERENT MAP'!$B$5=2023,IF(#REF!="",F69,#REF!),IF('INHERENT MAP'!$B$5=2024,IF(#REF!="",F69,#REF!),IF('РЕЕСТР РИСКОВ_2023'!J124="",F69,'РЕЕСТР РИСКОВ_2023'!J124)))))</f>
        <v>АО "Қазтеміртранс"</v>
      </c>
      <c r="G70" t="str">
        <f>IF('INHERENT MAP'!$B$5=2021,IF('РЕЕСТР РИСКОВ_2023'!K124="",G69,'РЕЕСТР РИСКОВ_2023'!K124),IF('INHERENT MAP'!$B$5=2022,IF(#REF!="",G69,#REF!),IF('INHERENT MAP'!$B$5=2023,IF(#REF!="",G69,#REF!),IF('INHERENT MAP'!$B$5=2024,IF(#REF!="",G69,#REF!),IF('РЕЕСТР РИСКОВ_2023'!K124="",G69,'РЕЕСТР РИСКОВ_2023'!K124)))))</f>
        <v>Ценовой тарифный риск по вагонной составляющей (оперирование вагонами)</v>
      </c>
      <c r="H70">
        <f>IF('INHERENT MAP'!$B$5=2021,'РЕЕСТР РИСКОВ_2023'!L124,IF('INHERENT MAP'!$B$5=2022,#REF!,IF('INHERENT MAP'!$B$5=2023,#REF!,IF('INHERENT MAP'!$B$5=2024,#REF!,#REF!))))</f>
        <v>0</v>
      </c>
      <c r="I70">
        <f>IF('INHERENT MAP'!$B$5=2021,'РЕЕСТР РИСКОВ_2023'!M124,IF('INHERENT MAP'!$B$5=2022,#REF!,IF('INHERENT MAP'!$B$5=2023,#REF!,IF('INHERENT MAP'!$B$5=2024,#REF!,#REF!))))</f>
        <v>0</v>
      </c>
      <c r="J70">
        <f>IF('INHERENT MAP'!$B$5=2021,'РЕЕСТР РИСКОВ_2023'!N124,IF('INHERENT MAP'!$B$5=2022,#REF!,IF('INHERENT MAP'!$B$5=2023,#REF!,IF('INHERENT MAP'!$B$5=2024,#REF!,#REF!))))</f>
        <v>0</v>
      </c>
      <c r="K70">
        <f>IF('INHERENT MAP'!$B$5=2021,'РЕЕСТР РИСКОВ_2023'!O124,IF('INHERENT MAP'!$B$5=2022,#REF!,IF('INHERENT MAP'!$B$5=2023,#REF!,IF('INHERENT MAP'!$B$5=2024,#REF!,#REF!))))</f>
        <v>0</v>
      </c>
      <c r="L70">
        <f>IF('INHERENT MAP'!$B$5=2021,'РЕЕСТР РИСКОВ_2023'!P124,IF('INHERENT MAP'!$B$5=2022,#REF!,IF('INHERENT MAP'!$B$5=2023,#REF!,IF('INHERENT MAP'!$B$5=2024,#REF!,#REF!))))</f>
        <v>0</v>
      </c>
      <c r="M70" t="str">
        <f>IF('INHERENT MAP'!$B$5=2021,IF('РЕЕСТР РИСКОВ_2023'!Q124="",M69,'РЕЕСТР РИСКОВ_2023'!Q124),IF('INHERENT MAP'!$B$5=2022,IF(#REF!="",M69,#REF!),IF('INHERENT MAP'!$B$5=2023,IF(#REF!="",M69,#REF!),IF('INHERENT MAP'!$B$5=2024,IF(#REF!="",M69,#REF!),IF('РЕЕСТР РИСКОВ_2023'!Q124="",M69,'РЕЕСТР РИСКОВ_2023'!Q124)))))</f>
        <v>Тариф оперирования (чужие ЖДА)</v>
      </c>
      <c r="N70" t="str">
        <f>IF('INHERENT MAP'!$B$5=2021,IF('РЕЕСТР РИСКОВ_2023'!R124="",N69,'РЕЕСТР РИСКОВ_2023'!R124),IF('INHERENT MAP'!$B$5=2022,IF(#REF!="",N69,#REF!),IF('INHERENT MAP'!$B$5=2023,IF(#REF!="",N69,#REF!),IF('INHERENT MAP'!$B$5=2024,IF(#REF!="",N69,#REF!),IF('РЕЕСТР РИСКОВ_2023'!R124="",N69,'РЕЕСТР РИСКОВ_2023'!R124)))))</f>
        <v xml:space="preserve">По предварительным данным Узбекистан планирует присоединиться к Договору о ЕАЭС с 2021 года. Наиболее чувствительными последствиями для Казахстана при вступлении Узбекистана в ЕАЭС будет потеря возможности применения транзитного тарифа на перевозки в/из Узбекистана в страны ЕАЭС и переход к применению унифицированного тарифа. Доля транзитных перевозок в/из Узбекистана составляет порядка 34% от общего объема. Провозные платежи за перевозки, осуществляемые транзитом по территории Казахстана, на участках от стыковых станций с Россией до стыковых станций с Узбекистаном будут рассчитываться по Унифицированному тарифу. В настоящее время данные перевозки осуществляются по ставкам транзитного тарифа, уровень которого выше Унифицированного в среднем в 4 раза. От применения Унифицированных тарифов на указанный выше объем прогнозируемых транзитных перевозок в Узбекистан выпадающие доходы АО «НК «ҚТЖ» составят ~ 49714 млн. тенге. </v>
      </c>
      <c r="O70">
        <f>'РЕЕСТР РИСКОВ_2023'!T124</f>
        <v>0</v>
      </c>
      <c r="P70">
        <f>IF('РЕЕСТР РИСКОВ_2023'!U124="",P69,'РЕЕСТР РИСКОВ_2023'!U124)</f>
        <v>0</v>
      </c>
      <c r="Q70" t="str">
        <f>IF('РЕЕСТР РИСКОВ_2023'!V124="",Q69,'РЕЕСТР РИСКОВ_2023'!V124)</f>
        <v>Угрозы</v>
      </c>
      <c r="R70" t="str">
        <f>IF('РЕЕСТР РИСКОВ_2023'!W124="",R69,'РЕЕСТР РИСКОВ_2023'!W124)</f>
        <v>1. Повышение на ЖД тарифа в порожнем состоянии по сопредельным территориям 
2. Неконкурентный тариф по отношению к прочим собственникам. 
3. Возможность ошибки при ручном расчете</v>
      </c>
      <c r="S70">
        <f>'РЕЕСТР РИСКОВ_2023'!X124</f>
        <v>0</v>
      </c>
      <c r="T70" s="94">
        <f>IF('INHERENT MAP'!$B$5=2021,'РЕЕСТР РИСКОВ_2023'!Y124,IF('INHERENT MAP'!$B$5=2022,#REF!,IF('INHERENT MAP'!$B$5=2023,#REF!,IF('INHERENT MAP'!$B$5=2024,#REF!,#REF!))))</f>
        <v>0.8</v>
      </c>
      <c r="U70">
        <f>IF('INHERENT MAP'!$B$5=2021,'РЕЕСТР РИСКОВ_2023'!Z124,IF('INHERENT MAP'!$B$5=2022,#REF!,IF('INHERENT MAP'!$B$5=2023,#REF!,IF('INHERENT MAP'!$B$5=2024,#REF!,#REF!))))</f>
        <v>-96.234641605456005</v>
      </c>
      <c r="V70">
        <f>IF('INHERENT MAP'!$B$5=2021,'РЕЕСТР РИСКОВ_2023'!AA124,IF('INHERENT MAP'!$B$5=2022,#REF!,IF('INHERENT MAP'!$B$5=2023,#REF!,IF('INHERENT MAP'!$B$5=2024,#REF!,#REF!))))</f>
        <v>-96.234641605456005</v>
      </c>
      <c r="W70">
        <f>IF('INHERENT MAP'!$B$5=2021,'РЕЕСТР РИСКОВ_2023'!AB124,IF('INHERENT MAP'!$B$5=2022,#REF!,IF('INHERENT MAP'!$B$5=2023,#REF!,IF('INHERENT MAP'!$B$5=2024,#REF!,#REF!))))</f>
        <v>0</v>
      </c>
      <c r="X70" s="94">
        <f>IF('INHERENT MAP'!$B$5=2021,'РЕЕСТР РИСКОВ_2023'!AC124,IF('INHERENT MAP'!$B$5=2022,#REF!,IF('INHERENT MAP'!$B$5=2023,#REF!,IF('INHERENT MAP'!$B$5=2024,#REF!,#REF!))))</f>
        <v>0</v>
      </c>
      <c r="Y70">
        <f>IF('INHERENT MAP'!$B$5=2021,'РЕЕСТР РИСКОВ_2023'!AD124,IF('INHERENT MAP'!$B$5=2022,#REF!,IF('INHERENT MAP'!$B$5=2023,#REF!,IF('INHERENT MAP'!$B$5=2024,#REF!,#REF!))))</f>
        <v>0</v>
      </c>
      <c r="Z70">
        <f>IF('INHERENT MAP'!$B$5=2021,'РЕЕСТР РИСКОВ_2023'!AE124,IF('INHERENT MAP'!$B$5=2022,#REF!,IF('INHERENT MAP'!$B$5=2023,#REF!,IF('INHERENT MAP'!$B$5=2024,#REF!,#REF!))))</f>
        <v>0</v>
      </c>
      <c r="AA70">
        <f>IF('INHERENT MAP'!$B$5=2021,'РЕЕСТР РИСКОВ_2023'!AF124,IF('INHERENT MAP'!$B$5=2022,#REF!,IF('INHERENT MAP'!$B$5=2023,#REF!,IF('INHERENT MAP'!$B$5=2024,#REF!,#REF!))))</f>
        <v>0</v>
      </c>
      <c r="AB70">
        <f>IF('INHERENT MAP'!$B$5=2021,'РЕЕСТР РИСКОВ_2023'!AG124,IF('INHERENT MAP'!$B$5=2022,#REF!,IF('INHERENT MAP'!$B$5=2023,#REF!,IF('INHERENT MAP'!$B$5=2024,#REF!,#REF!))))</f>
        <v>0</v>
      </c>
      <c r="AC70">
        <f>IF('INHERENT MAP'!$B$5=2021,'РЕЕСТР РИСКОВ_2023'!AH124,IF('INHERENT MAP'!$B$5=2022,#REF!,IF('INHERENT MAP'!$B$5=2023,#REF!,IF('INHERENT MAP'!$B$5=2024,#REF!,#REF!))))</f>
        <v>0</v>
      </c>
      <c r="AD70" t="str">
        <f>IF('INHERENT MAP'!$B$5=2021,'РЕЕСТР РИСКОВ_2023'!AI124,IF('INHERENT MAP'!$B$5=2022,#REF!,IF('INHERENT MAP'!$B$5=2023,#REF!,IF('INHERENT MAP'!$B$5=2024,#REF!,#REF!))))</f>
        <v>1. Мониторинг изменения провозных платежей в программе рейл тариф 
2. Гибкая тарифная политика. Рассмотрение на Тарифном комитете тарифных условий крупным клиентам (под объемы, логистика). 
3. Полная автоматизация расчетов.</v>
      </c>
      <c r="AE70">
        <f>IF('INHERENT MAP'!$B$5=2021,'РЕЕСТР РИСКОВ_2023'!AK124,IF('INHERENT MAP'!$B$5=2022,#REF!,IF('INHERENT MAP'!$B$5=2023,#REF!,IF('INHERENT MAP'!$B$5=2024,#REF!,#REF!))))</f>
        <v>0</v>
      </c>
      <c r="AF70">
        <f>IF('INHERENT MAP'!$B$5=2021,'РЕЕСТР РИСКОВ_2023'!AL124,IF('INHERENT MAP'!$B$5=2022,#REF!,IF('INHERENT MAP'!$B$5=2023,#REF!,IF('INHERENT MAP'!$B$5=2024,#REF!,#REF!))))</f>
        <v>0</v>
      </c>
      <c r="AG70" t="str">
        <f>IF('INHERENT MAP'!$B$5=2021,'РЕЕСТР РИСКОВ_2023'!AM124,IF('INHERENT MAP'!$B$5=2022,#REF!,IF('INHERENT MAP'!$B$5=2023,#REF!,IF('INHERENT MAP'!$B$5=2024,#REF!,#REF!))))</f>
        <v>средняя</v>
      </c>
      <c r="AH70">
        <f>IF('INHERENT MAP'!$B$5=2021,'РЕЕСТР РИСКОВ_2023'!AN124,IF('INHERENT MAP'!$B$5=2022,#REF!,IF('INHERENT MAP'!$B$5=2023,#REF!,IF('INHERENT MAP'!$B$5=2024,#REF!,#REF!))))</f>
        <v>0.4</v>
      </c>
      <c r="AI70">
        <f>IF('INHERENT MAP'!$B$5=2021,'РЕЕСТР РИСКОВ_2023'!AO124,IF('INHERENT MAP'!$B$5=2022,#REF!,IF('INHERENT MAP'!$B$5=2023,#REF!,IF('INHERENT MAP'!$B$5=2024,#REF!,#REF!))))</f>
        <v>-48.117320802728003</v>
      </c>
      <c r="AJ70">
        <f>IF('INHERENT MAP'!$B$5=2021,'РЕЕСТР РИСКОВ_2023'!AP124,IF('INHERENT MAP'!$B$5=2022,#REF!,IF('INHERENT MAP'!$B$5=2023,#REF!,IF('INHERENT MAP'!$B$5=2024,#REF!,#REF!))))</f>
        <v>-19.246928321091204</v>
      </c>
      <c r="AK70">
        <f>IF('РЕЕСТР РИСКОВ_2023'!AQ124="",AK69,'РЕЕСТР РИСКОВ_2023'!AQ124)</f>
        <v>-48.117320802728003</v>
      </c>
      <c r="AL70">
        <f>IF('РЕЕСТР РИСКОВ_2023'!AR124="",AL69,'РЕЕСТР РИСКОВ_2023'!AR124)</f>
        <v>7.9999999999999988E-2</v>
      </c>
      <c r="AM70">
        <f>IF('РЕЕСТР РИСКОВ_2023'!AS124="",AM69,'РЕЕСТР РИСКОВ_2023'!AS124)</f>
        <v>5636.6822962592096</v>
      </c>
      <c r="AN70">
        <f>IF('РЕЕСТР РИСКОВ_2023'!AT124="",AN69,'РЕЕСТР РИСКОВ_2023'!AT124)</f>
        <v>5636.6822962592096</v>
      </c>
      <c r="AO70">
        <f>IF('РЕЕСТР РИСКОВ_2023'!AU124="",AO69,'РЕЕСТР РИСКОВ_2023'!AU124)</f>
        <v>0</v>
      </c>
    </row>
    <row r="71" spans="2:41">
      <c r="B71" t="str">
        <f>IF('INHERENT MAP'!$B$5=2021,IF('РЕЕСТР РИСКОВ_2023'!F125="",B70,'РЕЕСТР РИСКОВ_2023'!F125),IF('INHERENT MAP'!$B$5=2022,IF(#REF!="",B70,#REF!),IF('INHERENT MAP'!$B$5=2023,IF(#REF!="",B70,#REF!),IF('INHERENT MAP'!$B$5=2024,IF(#REF!="",B70,#REF!),IF('РЕЕСТР РИСКОВ_2023'!F125="",B70,'РЕЕСТР РИСКОВ_2023'!F125)))))</f>
        <v>ВАЛЮТНЫЙ РИСК</v>
      </c>
      <c r="C71" t="str">
        <f>IF('INHERENT MAP'!$B$5=2021,IF('РЕЕСТР РИСКОВ_2023'!G125="",C70,'РЕЕСТР РИСКОВ_2023'!G125),IF('INHERENT MAP'!$B$5=2022,IF(#REF!="",C70,#REF!),IF('INHERENT MAP'!$B$5=2023,IF(#REF!="",C70,#REF!),IF('INHERENT MAP'!$B$5=2024,IF(#REF!="",C70,#REF!),IF('РЕЕСТР РИСКОВ_2023'!G125="",C70,'РЕЕСТР РИСКОВ_2023'!G125)))))</f>
        <v>Чистая валютная позиция</v>
      </c>
      <c r="D71" t="str">
        <f>IF('INHERENT MAP'!$B$5=2021,IF('РЕЕСТР РИСКОВ_2023'!H125="",D70,'РЕЕСТР РИСКОВ_2023'!H125),IF('INHERENT MAP'!$B$5=2022,IF(#REF!="",D70,#REF!),IF('INHERENT MAP'!$B$5=2023,IF(#REF!="",D70,#REF!),IF('INHERENT MAP'!$B$5=2024,IF(#REF!="",D70,#REF!),IF('РЕЕСТР РИСКОВ_2023'!H125="",D70,'РЕЕСТР РИСКОВ_2023'!H125)))))</f>
        <v>FX-1</v>
      </c>
      <c r="E71" t="str">
        <f>IF('INHERENT MAP'!$B$5=2021,IF('РЕЕСТР РИСКОВ_2023'!I125="",E70,'РЕЕСТР РИСКОВ_2023'!I125),IF('INHERENT MAP'!$B$5=2022,IF(#REF!="",E70,#REF!),IF('INHERENT MAP'!$B$5=2023,IF(#REF!="",E70,#REF!),IF('INHERENT MAP'!$B$5=2024,IF(#REF!="",E70,#REF!),IF('РЕЕСТР РИСКОВ_2023'!I125="",E70,'РЕЕСТР РИСКОВ_2023'!I125)))))</f>
        <v>ЦЗФ</v>
      </c>
      <c r="F71" t="str">
        <f>IF('INHERENT MAP'!$B$5=2021,IF('РЕЕСТР РИСКОВ_2023'!J125="",F70,'РЕЕСТР РИСКОВ_2023'!J125),IF('INHERENT MAP'!$B$5=2022,IF(#REF!="",F70,#REF!),IF('INHERENT MAP'!$B$5=2023,IF(#REF!="",F70,#REF!),IF('INHERENT MAP'!$B$5=2024,IF(#REF!="",F70,#REF!),IF('РЕЕСТР РИСКОВ_2023'!J125="",F70,'РЕЕСТР РИСКОВ_2023'!J125)))))</f>
        <v xml:space="preserve">Департамент заимствований и по работе с инвесторами </v>
      </c>
      <c r="G71" t="str">
        <f>IF('INHERENT MAP'!$B$5=2021,IF('РЕЕСТР РИСКОВ_2023'!K125="",G70,'РЕЕСТР РИСКОВ_2023'!K125),IF('INHERENT MAP'!$B$5=2022,IF(#REF!="",G70,#REF!),IF('INHERENT MAP'!$B$5=2023,IF(#REF!="",G70,#REF!),IF('INHERENT MAP'!$B$5=2024,IF(#REF!="",G70,#REF!),IF('РЕЕСТР РИСКОВ_2023'!K125="",G70,'РЕЕСТР РИСКОВ_2023'!K125)))))</f>
        <v>Баланс активов и обязательств</v>
      </c>
      <c r="H71">
        <f>IF('INHERENT MAP'!$B$5=2021,'РЕЕСТР РИСКОВ_2023'!L125,IF('INHERENT MAP'!$B$5=2022,#REF!,IF('INHERENT MAP'!$B$5=2023,#REF!,IF('INHERENT MAP'!$B$5=2024,#REF!,#REF!))))</f>
        <v>0</v>
      </c>
      <c r="I71">
        <f>IF('INHERENT MAP'!$B$5=2021,'РЕЕСТР РИСКОВ_2023'!M125,IF('INHERENT MAP'!$B$5=2022,#REF!,IF('INHERENT MAP'!$B$5=2023,#REF!,IF('INHERENT MAP'!$B$5=2024,#REF!,#REF!))))</f>
        <v>0</v>
      </c>
      <c r="J71">
        <f>IF('INHERENT MAP'!$B$5=2021,'РЕЕСТР РИСКОВ_2023'!N125,IF('INHERENT MAP'!$B$5=2022,#REF!,IF('INHERENT MAP'!$B$5=2023,#REF!,IF('INHERENT MAP'!$B$5=2024,#REF!,#REF!))))</f>
        <v>0</v>
      </c>
      <c r="K71">
        <f>IF('INHERENT MAP'!$B$5=2021,'РЕЕСТР РИСКОВ_2023'!O125,IF('INHERENT MAP'!$B$5=2022,#REF!,IF('INHERENT MAP'!$B$5=2023,#REF!,IF('INHERENT MAP'!$B$5=2024,#REF!,#REF!))))</f>
        <v>0</v>
      </c>
      <c r="L71">
        <f>IF('INHERENT MAP'!$B$5=2021,'РЕЕСТР РИСКОВ_2023'!P125,IF('INHERENT MAP'!$B$5=2022,#REF!,IF('INHERENT MAP'!$B$5=2023,#REF!,IF('INHERENT MAP'!$B$5=2024,#REF!,#REF!))))</f>
        <v>0</v>
      </c>
      <c r="M71" t="str">
        <f>IF('INHERENT MAP'!$B$5=2021,IF('РЕЕСТР РИСКОВ_2023'!Q125="",M70,'РЕЕСТР РИСКОВ_2023'!Q125),IF('INHERENT MAP'!$B$5=2022,IF(#REF!="",M70,#REF!),IF('INHERENT MAP'!$B$5=2023,IF(#REF!="",M70,#REF!),IF('INHERENT MAP'!$B$5=2024,IF(#REF!="",M70,#REF!),IF('РЕЕСТР РИСКОВ_2023'!Q125="",M70,'РЕЕСТР РИСКОВ_2023'!Q125)))))</f>
        <v>Девальвация тенге на казахстанском/международном валютном рынке</v>
      </c>
      <c r="N71" t="str">
        <f>IF('INHERENT MAP'!$B$5=2021,IF('РЕЕСТР РИСКОВ_2023'!R125="",N70,'РЕЕСТР РИСКОВ_2023'!R125),IF('INHERENT MAP'!$B$5=2022,IF(#REF!="",N70,#REF!),IF('INHERENT MAP'!$B$5=2023,IF(#REF!="",N70,#REF!),IF('INHERENT MAP'!$B$5=2024,IF(#REF!="",N70,#REF!),IF('РЕЕСТР РИСКОВ_2023'!R125="",N70,'РЕЕСТР РИСКОВ_2023'!R125)))))</f>
        <v>Ослабление курса национальной валюты по отношению к курсу твердой валюты, в которых компания имеет долговые обязательства</v>
      </c>
      <c r="O71">
        <f>'РЕЕСТР РИСКОВ_2023'!T125</f>
        <v>0</v>
      </c>
      <c r="P71">
        <f>IF('РЕЕСТР РИСКОВ_2023'!U125="",P70,'РЕЕСТР РИСКОВ_2023'!U125)</f>
        <v>0</v>
      </c>
      <c r="Q71" t="str">
        <f>IF('РЕЕСТР РИСКОВ_2023'!V125="",Q70,'РЕЕСТР РИСКОВ_2023'!V125)</f>
        <v>Угрозы</v>
      </c>
      <c r="R71" t="str">
        <f>IF('РЕЕСТР РИСКОВ_2023'!W125="",R70,'РЕЕСТР РИСКОВ_2023'!W125)</f>
        <v>1. Повышение на ЖД тарифа в порожнем состоянии по сопредельным территориям 
2. Неконкурентный тариф по отношению к прочим собственникам. 
3. Возможность ошибки при ручном расчете</v>
      </c>
      <c r="S71">
        <f>'РЕЕСТР РИСКОВ_2023'!X125</f>
        <v>0</v>
      </c>
      <c r="T71" s="94">
        <f>IF('INHERENT MAP'!$B$5=2021,'РЕЕСТР РИСКОВ_2023'!Y125,IF('INHERENT MAP'!$B$5=2022,#REF!,IF('INHERENT MAP'!$B$5=2023,#REF!,IF('INHERENT MAP'!$B$5=2024,#REF!,#REF!))))</f>
        <v>0.6</v>
      </c>
      <c r="U71">
        <f>IF('INHERENT MAP'!$B$5=2021,'РЕЕСТР РИСКОВ_2023'!Z125,IF('INHERENT MAP'!$B$5=2022,#REF!,IF('INHERENT MAP'!$B$5=2023,#REF!,IF('INHERENT MAP'!$B$5=2024,#REF!,#REF!))))</f>
        <v>-62269.400000000023</v>
      </c>
      <c r="V71">
        <f>IF('INHERENT MAP'!$B$5=2021,'РЕЕСТР РИСКОВ_2023'!AA125,IF('INHERENT MAP'!$B$5=2022,#REF!,IF('INHERENT MAP'!$B$5=2023,#REF!,IF('INHERENT MAP'!$B$5=2024,#REF!,#REF!))))</f>
        <v>-37361.640000000014</v>
      </c>
      <c r="W71" t="str">
        <f>IF('INHERENT MAP'!$B$5=2021,'РЕЕСТР РИСКОВ_2023'!AB125,IF('INHERENT MAP'!$B$5=2022,#REF!,IF('INHERENT MAP'!$B$5=2023,#REF!,IF('INHERENT MAP'!$B$5=2024,#REF!,#REF!))))</f>
        <v>В кредитном портфеле КТЖ имеется доля долга в иностранной валюте (USD, EUR, CHF).</v>
      </c>
      <c r="X71" s="94">
        <f>IF('INHERENT MAP'!$B$5=2021,'РЕЕСТР РИСКОВ_2023'!AC125,IF('INHERENT MAP'!$B$5=2022,#REF!,IF('INHERENT MAP'!$B$5=2023,#REF!,IF('INHERENT MAP'!$B$5=2024,#REF!,#REF!))))</f>
        <v>0.6</v>
      </c>
      <c r="Y71">
        <f>IF('INHERENT MAP'!$B$5=2021,'РЕЕСТР РИСКОВ_2023'!AD125,IF('INHERENT MAP'!$B$5=2022,#REF!,IF('INHERENT MAP'!$B$5=2023,#REF!,IF('INHERENT MAP'!$B$5=2024,#REF!,#REF!))))</f>
        <v>-49815.520000000019</v>
      </c>
      <c r="Z71">
        <f>IF('INHERENT MAP'!$B$5=2021,'РЕЕСТР РИСКОВ_2023'!AE125,IF('INHERENT MAP'!$B$5=2022,#REF!,IF('INHERENT MAP'!$B$5=2023,#REF!,IF('INHERENT MAP'!$B$5=2024,#REF!,#REF!))))</f>
        <v>-29889.312000000009</v>
      </c>
      <c r="AA71">
        <f>IF('INHERENT MAP'!$B$5=2021,'РЕЕСТР РИСКОВ_2023'!AF125,IF('INHERENT MAP'!$B$5=2022,#REF!,IF('INHERENT MAP'!$B$5=2023,#REF!,IF('INHERENT MAP'!$B$5=2024,#REF!,#REF!))))</f>
        <v>0</v>
      </c>
      <c r="AB71">
        <f>IF('INHERENT MAP'!$B$5=2021,'РЕЕСТР РИСКОВ_2023'!AG125,IF('INHERENT MAP'!$B$5=2022,#REF!,IF('INHERENT MAP'!$B$5=2023,#REF!,IF('INHERENT MAP'!$B$5=2024,#REF!,#REF!))))</f>
        <v>0</v>
      </c>
      <c r="AC71">
        <f>IF('INHERENT MAP'!$B$5=2021,'РЕЕСТР РИСКОВ_2023'!AH125,IF('INHERENT MAP'!$B$5=2022,#REF!,IF('INHERENT MAP'!$B$5=2023,#REF!,IF('INHERENT MAP'!$B$5=2024,#REF!,#REF!))))</f>
        <v>0</v>
      </c>
      <c r="AD71" t="str">
        <f>IF('INHERENT MAP'!$B$5=2021,'РЕЕСТР РИСКОВ_2023'!AI125,IF('INHERENT MAP'!$B$5=2022,#REF!,IF('INHERENT MAP'!$B$5=2023,#REF!,IF('INHERENT MAP'!$B$5=2024,#REF!,#REF!))))</f>
        <v xml:space="preserve">С целью снижение негативного влияния девальвации тенге, КТЖ проводится работа по уменьшению доли долга в твердой валюте.
Планируется рефинансирование имеющихся обязательств в иностранной валюте за счет привлечения финансирования в тенге
В 2022 году погашены следующие обязательства:
 CHF185 млн. (эквивалентно 83 млрд. тенге);
 RUB 19,4 млрд. (эквивалентно 94 млрд. тенге);
 RUB 15,0 млрд. (эквивалентно 108 млрд. тенге).
</v>
      </c>
      <c r="AE71" t="str">
        <f>IF('INHERENT MAP'!$B$5=2021,'РЕЕСТР РИСКОВ_2023'!AK125,IF('INHERENT MAP'!$B$5=2022,#REF!,IF('INHERENT MAP'!$B$5=2023,#REF!,IF('INHERENT MAP'!$B$5=2024,#REF!,#REF!))))</f>
        <v xml:space="preserve"> Департамент заимствований и по работе с инвесторами, Цзайм</v>
      </c>
      <c r="AF71" t="str">
        <f>IF('INHERENT MAP'!$B$5=2021,'РЕЕСТР РИСКОВ_2023'!AL125,IF('INHERENT MAP'!$B$5=2022,#REF!,IF('INHERENT MAP'!$B$5=2023,#REF!,IF('INHERENT MAP'!$B$5=2024,#REF!,#REF!))))</f>
        <v>2021-2023гг.</v>
      </c>
      <c r="AG71" t="str">
        <f>IF('INHERENT MAP'!$B$5=2021,'РЕЕСТР РИСКОВ_2023'!AM125,IF('INHERENT MAP'!$B$5=2022,#REF!,IF('INHERENT MAP'!$B$5=2023,#REF!,IF('INHERENT MAP'!$B$5=2024,#REF!,#REF!))))</f>
        <v>средняя</v>
      </c>
      <c r="AH71">
        <f>IF('INHERENT MAP'!$B$5=2021,'РЕЕСТР РИСКОВ_2023'!AN125,IF('INHERENT MAP'!$B$5=2022,#REF!,IF('INHERENT MAP'!$B$5=2023,#REF!,IF('INHERENT MAP'!$B$5=2024,#REF!,#REF!))))</f>
        <v>0.3</v>
      </c>
      <c r="AI71">
        <f>IF('INHERENT MAP'!$B$5=2021,'РЕЕСТР РИСКОВ_2023'!AO125,IF('INHERENT MAP'!$B$5=2022,#REF!,IF('INHERENT MAP'!$B$5=2023,#REF!,IF('INHERENT MAP'!$B$5=2024,#REF!,#REF!))))</f>
        <v>-31134.700000000012</v>
      </c>
      <c r="AJ71">
        <f>IF('INHERENT MAP'!$B$5=2021,'РЕЕСТР РИСКОВ_2023'!AP125,IF('INHERENT MAP'!$B$5=2022,#REF!,IF('INHERENT MAP'!$B$5=2023,#REF!,IF('INHERENT MAP'!$B$5=2024,#REF!,#REF!))))</f>
        <v>-18680.820000000007</v>
      </c>
      <c r="AK71">
        <f>IF('РЕЕСТР РИСКОВ_2023'!AQ125="",AK70,'РЕЕСТР РИСКОВ_2023'!AQ125)</f>
        <v>-18680.820000000007</v>
      </c>
      <c r="AL71">
        <f>IF('РЕЕСТР РИСКОВ_2023'!AR125="",AL70,'РЕЕСТР РИСКОВ_2023'!AR125)</f>
        <v>0.3</v>
      </c>
      <c r="AM71">
        <f>IF('РЕЕСТР РИСКОВ_2023'!AS125="",AM70,'РЕЕСТР РИСКОВ_2023'!AS125)</f>
        <v>-31134.700000000012</v>
      </c>
      <c r="AN71">
        <f>IF('РЕЕСТР РИСКОВ_2023'!AT125="",AN70,'РЕЕСТР РИСКОВ_2023'!AT125)</f>
        <v>-18680.820000000007</v>
      </c>
      <c r="AO71">
        <f>IF('РЕЕСТР РИСКОВ_2023'!AU125="",AO70,'РЕЕСТР РИСКОВ_2023'!AU125)</f>
        <v>0</v>
      </c>
    </row>
    <row r="72" spans="2:41">
      <c r="B72" t="str">
        <f>IF('INHERENT MAP'!$B$5=2021,IF('РЕЕСТР РИСКОВ_2023'!F126="",B71,'РЕЕСТР РИСКОВ_2023'!F126),IF('INHERENT MAP'!$B$5=2022,IF(#REF!="",B71,#REF!),IF('INHERENT MAP'!$B$5=2023,IF(#REF!="",B71,#REF!),IF('INHERENT MAP'!$B$5=2024,IF(#REF!="",B71,#REF!),IF('РЕЕСТР РИСКОВ_2023'!F126="",B71,'РЕЕСТР РИСКОВ_2023'!F126)))))</f>
        <v>ВАЛЮТНЫЙ РИСК</v>
      </c>
      <c r="C72" t="str">
        <f>IF('INHERENT MAP'!$B$5=2021,IF('РЕЕСТР РИСКОВ_2023'!G126="",C71,'РЕЕСТР РИСКОВ_2023'!G126),IF('INHERENT MAP'!$B$5=2022,IF(#REF!="",C71,#REF!),IF('INHERENT MAP'!$B$5=2023,IF(#REF!="",C71,#REF!),IF('INHERENT MAP'!$B$5=2024,IF(#REF!="",C71,#REF!),IF('РЕЕСТР РИСКОВ_2023'!G126="",C71,'РЕЕСТР РИСКОВ_2023'!G126)))))</f>
        <v>Чистая валютная позиция</v>
      </c>
      <c r="D72" t="str">
        <f>IF('INHERENT MAP'!$B$5=2021,IF('РЕЕСТР РИСКОВ_2023'!H126="",D71,'РЕЕСТР РИСКОВ_2023'!H126),IF('INHERENT MAP'!$B$5=2022,IF(#REF!="",D71,#REF!),IF('INHERENT MAP'!$B$5=2023,IF(#REF!="",D71,#REF!),IF('INHERENT MAP'!$B$5=2024,IF(#REF!="",D71,#REF!),IF('РЕЕСТР РИСКОВ_2023'!H126="",D71,'РЕЕСТР РИСКОВ_2023'!H126)))))</f>
        <v>FX-1</v>
      </c>
      <c r="E72" t="str">
        <f>IF('INHERENT MAP'!$B$5=2021,IF('РЕЕСТР РИСКОВ_2023'!I126="",E71,'РЕЕСТР РИСКОВ_2023'!I126),IF('INHERENT MAP'!$B$5=2022,IF(#REF!="",E71,#REF!),IF('INHERENT MAP'!$B$5=2023,IF(#REF!="",E71,#REF!),IF('INHERENT MAP'!$B$5=2024,IF(#REF!="",E71,#REF!),IF('РЕЕСТР РИСКОВ_2023'!I126="",E71,'РЕЕСТР РИСКОВ_2023'!I126)))))</f>
        <v>ЦЗФ</v>
      </c>
      <c r="F72" t="str">
        <f>IF('INHERENT MAP'!$B$5=2021,IF('РЕЕСТР РИСКОВ_2023'!J126="",F71,'РЕЕСТР РИСКОВ_2023'!J126),IF('INHERENT MAP'!$B$5=2022,IF(#REF!="",F71,#REF!),IF('INHERENT MAP'!$B$5=2023,IF(#REF!="",F71,#REF!),IF('INHERENT MAP'!$B$5=2024,IF(#REF!="",F71,#REF!),IF('РЕЕСТР РИСКОВ_2023'!J126="",F71,'РЕЕСТР РИСКОВ_2023'!J126)))))</f>
        <v xml:space="preserve">Департамент заимствований и по работе с инвесторами </v>
      </c>
      <c r="G72" t="str">
        <f>IF('INHERENT MAP'!$B$5=2021,IF('РЕЕСТР РИСКОВ_2023'!K126="",G71,'РЕЕСТР РИСКОВ_2023'!K126),IF('INHERENT MAP'!$B$5=2022,IF(#REF!="",G71,#REF!),IF('INHERENT MAP'!$B$5=2023,IF(#REF!="",G71,#REF!),IF('INHERENT MAP'!$B$5=2024,IF(#REF!="",G71,#REF!),IF('РЕЕСТР РИСКОВ_2023'!K126="",G71,'РЕЕСТР РИСКОВ_2023'!K126)))))</f>
        <v>Баланс активов и обязательств</v>
      </c>
      <c r="H72">
        <f>IF('INHERENT MAP'!$B$5=2021,'РЕЕСТР РИСКОВ_2023'!L126,IF('INHERENT MAP'!$B$5=2022,#REF!,IF('INHERENT MAP'!$B$5=2023,#REF!,IF('INHERENT MAP'!$B$5=2024,#REF!,#REF!))))</f>
        <v>0</v>
      </c>
      <c r="I72">
        <f>IF('INHERENT MAP'!$B$5=2021,'РЕЕСТР РИСКОВ_2023'!M126,IF('INHERENT MAP'!$B$5=2022,#REF!,IF('INHERENT MAP'!$B$5=2023,#REF!,IF('INHERENT MAP'!$B$5=2024,#REF!,#REF!))))</f>
        <v>0</v>
      </c>
      <c r="J72">
        <f>IF('INHERENT MAP'!$B$5=2021,'РЕЕСТР РИСКОВ_2023'!N126,IF('INHERENT MAP'!$B$5=2022,#REF!,IF('INHERENT MAP'!$B$5=2023,#REF!,IF('INHERENT MAP'!$B$5=2024,#REF!,#REF!))))</f>
        <v>0</v>
      </c>
      <c r="K72">
        <f>IF('INHERENT MAP'!$B$5=2021,'РЕЕСТР РИСКОВ_2023'!O126,IF('INHERENT MAP'!$B$5=2022,#REF!,IF('INHERENT MAP'!$B$5=2023,#REF!,IF('INHERENT MAP'!$B$5=2024,#REF!,#REF!))))</f>
        <v>0</v>
      </c>
      <c r="L72">
        <f>IF('INHERENT MAP'!$B$5=2021,'РЕЕСТР РИСКОВ_2023'!P126,IF('INHERENT MAP'!$B$5=2022,#REF!,IF('INHERENT MAP'!$B$5=2023,#REF!,IF('INHERENT MAP'!$B$5=2024,#REF!,#REF!))))</f>
        <v>0</v>
      </c>
      <c r="M72" t="str">
        <f>IF('INHERENT MAP'!$B$5=2021,IF('РЕЕСТР РИСКОВ_2023'!Q126="",M71,'РЕЕСТР РИСКОВ_2023'!Q126),IF('INHERENT MAP'!$B$5=2022,IF(#REF!="",M71,#REF!),IF('INHERENT MAP'!$B$5=2023,IF(#REF!="",M71,#REF!),IF('INHERENT MAP'!$B$5=2024,IF(#REF!="",M71,#REF!),IF('РЕЕСТР РИСКОВ_2023'!Q126="",M71,'РЕЕСТР РИСКОВ_2023'!Q126)))))</f>
        <v>Ревальвация тенге на казахстанском/международном валютном рынке</v>
      </c>
      <c r="N72" t="str">
        <f>IF('INHERENT MAP'!$B$5=2021,IF('РЕЕСТР РИСКОВ_2023'!R126="",N71,'РЕЕСТР РИСКОВ_2023'!R126),IF('INHERENT MAP'!$B$5=2022,IF(#REF!="",N71,#REF!),IF('INHERENT MAP'!$B$5=2023,IF(#REF!="",N71,#REF!),IF('INHERENT MAP'!$B$5=2024,IF(#REF!="",N71,#REF!),IF('РЕЕСТР РИСКОВ_2023'!R126="",N71,'РЕЕСТР РИСКОВ_2023'!R126)))))</f>
        <v>Ослабление курса национальной валюты по отношению к курсу твердой валюты, в которых компания имеет долговые обязательства</v>
      </c>
      <c r="O72">
        <f>'РЕЕСТР РИСКОВ_2023'!T126</f>
        <v>0</v>
      </c>
      <c r="P72">
        <f>IF('РЕЕСТР РИСКОВ_2023'!U126="",P71,'РЕЕСТР РИСКОВ_2023'!U126)</f>
        <v>0</v>
      </c>
      <c r="Q72" t="str">
        <f>IF('РЕЕСТР РИСКОВ_2023'!V126="",Q71,'РЕЕСТР РИСКОВ_2023'!V126)</f>
        <v>Угрозы</v>
      </c>
      <c r="R72" t="str">
        <f>IF('РЕЕСТР РИСКОВ_2023'!W126="",R71,'РЕЕСТР РИСКОВ_2023'!W126)</f>
        <v>1. Повышение на ЖД тарифа в порожнем состоянии по сопредельным территориям 
2. Неконкурентный тариф по отношению к прочим собственникам. 
3. Возможность ошибки при ручном расчете</v>
      </c>
      <c r="S72">
        <f>'РЕЕСТР РИСКОВ_2023'!X126</f>
        <v>0</v>
      </c>
      <c r="T72" s="94">
        <f>IF('INHERENT MAP'!$B$5=2021,'РЕЕСТР РИСКОВ_2023'!Y126,IF('INHERENT MAP'!$B$5=2022,#REF!,IF('INHERENT MAP'!$B$5=2023,#REF!,IF('INHERENT MAP'!$B$5=2024,#REF!,#REF!))))</f>
        <v>0.1</v>
      </c>
      <c r="U72">
        <f>IF('INHERENT MAP'!$B$5=2021,'РЕЕСТР РИСКОВ_2023'!Z126,IF('INHERENT MAP'!$B$5=2022,#REF!,IF('INHERENT MAP'!$B$5=2023,#REF!,IF('INHERENT MAP'!$B$5=2024,#REF!,#REF!))))</f>
        <v>12453.880000000005</v>
      </c>
      <c r="V72">
        <f>IF('INHERENT MAP'!$B$5=2021,'РЕЕСТР РИСКОВ_2023'!AA126,IF('INHERENT MAP'!$B$5=2022,#REF!,IF('INHERENT MAP'!$B$5=2023,#REF!,IF('INHERENT MAP'!$B$5=2024,#REF!,#REF!))))</f>
        <v>1245.3880000000006</v>
      </c>
      <c r="W72" t="str">
        <f>IF('INHERENT MAP'!$B$5=2021,'РЕЕСТР РИСКОВ_2023'!AB126,IF('INHERENT MAP'!$B$5=2022,#REF!,IF('INHERENT MAP'!$B$5=2023,#REF!,IF('INHERENT MAP'!$B$5=2024,#REF!,#REF!))))</f>
        <v>В этой связи, ослабление/укрепление национальной вылюты оказывает влияние на финансовую деятельность КТЖ.</v>
      </c>
      <c r="X72" s="94">
        <f>IF('INHERENT MAP'!$B$5=2021,'РЕЕСТР РИСКОВ_2023'!AC126,IF('INHERENT MAP'!$B$5=2022,#REF!,IF('INHERENT MAP'!$B$5=2023,#REF!,IF('INHERENT MAP'!$B$5=2024,#REF!,#REF!))))</f>
        <v>0</v>
      </c>
      <c r="Y72">
        <f>IF('INHERENT MAP'!$B$5=2021,'РЕЕСТР РИСКОВ_2023'!AD126,IF('INHERENT MAP'!$B$5=2022,#REF!,IF('INHERENT MAP'!$B$5=2023,#REF!,IF('INHERENT MAP'!$B$5=2024,#REF!,#REF!))))</f>
        <v>0</v>
      </c>
      <c r="Z72">
        <f>IF('INHERENT MAP'!$B$5=2021,'РЕЕСТР РИСКОВ_2023'!AE126,IF('INHERENT MAP'!$B$5=2022,#REF!,IF('INHERENT MAP'!$B$5=2023,#REF!,IF('INHERENT MAP'!$B$5=2024,#REF!,#REF!))))</f>
        <v>0</v>
      </c>
      <c r="AA72">
        <f>IF('INHERENT MAP'!$B$5=2021,'РЕЕСТР РИСКОВ_2023'!AF126,IF('INHERENT MAP'!$B$5=2022,#REF!,IF('INHERENT MAP'!$B$5=2023,#REF!,IF('INHERENT MAP'!$B$5=2024,#REF!,#REF!))))</f>
        <v>0</v>
      </c>
      <c r="AB72">
        <f>IF('INHERENT MAP'!$B$5=2021,'РЕЕСТР РИСКОВ_2023'!AG126,IF('INHERENT MAP'!$B$5=2022,#REF!,IF('INHERENT MAP'!$B$5=2023,#REF!,IF('INHERENT MAP'!$B$5=2024,#REF!,#REF!))))</f>
        <v>0</v>
      </c>
      <c r="AC72">
        <f>IF('INHERENT MAP'!$B$5=2021,'РЕЕСТР РИСКОВ_2023'!AH126,IF('INHERENT MAP'!$B$5=2022,#REF!,IF('INHERENT MAP'!$B$5=2023,#REF!,IF('INHERENT MAP'!$B$5=2024,#REF!,#REF!))))</f>
        <v>0</v>
      </c>
      <c r="AD72">
        <f>IF('INHERENT MAP'!$B$5=2021,'РЕЕСТР РИСКОВ_2023'!AI126,IF('INHERENT MAP'!$B$5=2022,#REF!,IF('INHERENT MAP'!$B$5=2023,#REF!,IF('INHERENT MAP'!$B$5=2024,#REF!,#REF!))))</f>
        <v>0</v>
      </c>
      <c r="AE72">
        <f>IF('INHERENT MAP'!$B$5=2021,'РЕЕСТР РИСКОВ_2023'!AK126,IF('INHERENT MAP'!$B$5=2022,#REF!,IF('INHERENT MAP'!$B$5=2023,#REF!,IF('INHERENT MAP'!$B$5=2024,#REF!,#REF!))))</f>
        <v>0</v>
      </c>
      <c r="AF72">
        <f>IF('INHERENT MAP'!$B$5=2021,'РЕЕСТР РИСКОВ_2023'!AL126,IF('INHERENT MAP'!$B$5=2022,#REF!,IF('INHERENT MAP'!$B$5=2023,#REF!,IF('INHERENT MAP'!$B$5=2024,#REF!,#REF!))))</f>
        <v>0</v>
      </c>
      <c r="AG72">
        <f>IF('INHERENT MAP'!$B$5=2021,'РЕЕСТР РИСКОВ_2023'!AM126,IF('INHERENT MAP'!$B$5=2022,#REF!,IF('INHERENT MAP'!$B$5=2023,#REF!,IF('INHERENT MAP'!$B$5=2024,#REF!,#REF!))))</f>
        <v>0</v>
      </c>
      <c r="AH72">
        <f>IF('INHERENT MAP'!$B$5=2021,'РЕЕСТР РИСКОВ_2023'!AN126,IF('INHERENT MAP'!$B$5=2022,#REF!,IF('INHERENT MAP'!$B$5=2023,#REF!,IF('INHERENT MAP'!$B$5=2024,#REF!,#REF!))))</f>
        <v>0.1</v>
      </c>
      <c r="AI72">
        <f>IF('INHERENT MAP'!$B$5=2021,'РЕЕСТР РИСКОВ_2023'!AO126,IF('INHERENT MAP'!$B$5=2022,#REF!,IF('INHERENT MAP'!$B$5=2023,#REF!,IF('INHERENT MAP'!$B$5=2024,#REF!,#REF!))))</f>
        <v>0</v>
      </c>
      <c r="AJ72">
        <f>IF('INHERENT MAP'!$B$5=2021,'РЕЕСТР РИСКОВ_2023'!AP126,IF('INHERENT MAP'!$B$5=2022,#REF!,IF('INHERENT MAP'!$B$5=2023,#REF!,IF('INHERENT MAP'!$B$5=2024,#REF!,#REF!))))</f>
        <v>0</v>
      </c>
      <c r="AK72">
        <f>IF('РЕЕСТР РИСКОВ_2023'!AQ126="",AK71,'РЕЕСТР РИСКОВ_2023'!AQ126)</f>
        <v>-18680.820000000007</v>
      </c>
      <c r="AL72">
        <f>IF('РЕЕСТР РИСКОВ_2023'!AR126="",AL71,'РЕЕСТР РИСКОВ_2023'!AR126)</f>
        <v>0.3</v>
      </c>
      <c r="AM72">
        <f>IF('РЕЕСТР РИСКОВ_2023'!AS126="",AM71,'РЕЕСТР РИСКОВ_2023'!AS126)</f>
        <v>-31134.700000000012</v>
      </c>
      <c r="AN72">
        <f>IF('РЕЕСТР РИСКОВ_2023'!AT126="",AN71,'РЕЕСТР РИСКОВ_2023'!AT126)</f>
        <v>-18680.820000000007</v>
      </c>
      <c r="AO72">
        <f>IF('РЕЕСТР РИСКОВ_2023'!AU126="",AO71,'РЕЕСТР РИСКОВ_2023'!AU126)</f>
        <v>0</v>
      </c>
    </row>
    <row r="73" spans="2:41">
      <c r="B73" t="e">
        <f>IF('INHERENT MAP'!$B$5=2021,IF('РЕЕСТР РИСКОВ_2023'!#REF!="",B72,'РЕЕСТР РИСКОВ_2023'!#REF!),IF('INHERENT MAP'!$B$5=2022,IF(#REF!="",B72,#REF!),IF('INHERENT MAP'!$B$5=2023,IF(#REF!="",B72,#REF!),IF('INHERENT MAP'!$B$5=2024,IF(#REF!="",B72,#REF!),IF('РЕЕСТР РИСКОВ_2023'!#REF!="",B72,'РЕЕСТР РИСКОВ_2023'!#REF!)))))</f>
        <v>#REF!</v>
      </c>
      <c r="C73" t="e">
        <f>IF('INHERENT MAP'!$B$5=2021,IF('РЕЕСТР РИСКОВ_2023'!#REF!="",C72,'РЕЕСТР РИСКОВ_2023'!#REF!),IF('INHERENT MAP'!$B$5=2022,IF(#REF!="",C72,#REF!),IF('INHERENT MAP'!$B$5=2023,IF(#REF!="",C72,#REF!),IF('INHERENT MAP'!$B$5=2024,IF(#REF!="",C72,#REF!),IF('РЕЕСТР РИСКОВ_2023'!#REF!="",C72,'РЕЕСТР РИСКОВ_2023'!#REF!)))))</f>
        <v>#REF!</v>
      </c>
      <c r="D73" t="e">
        <f>IF('INHERENT MAP'!$B$5=2021,IF('РЕЕСТР РИСКОВ_2023'!#REF!="",D72,'РЕЕСТР РИСКОВ_2023'!#REF!),IF('INHERENT MAP'!$B$5=2022,IF(#REF!="",D72,#REF!),IF('INHERENT MAP'!$B$5=2023,IF(#REF!="",D72,#REF!),IF('INHERENT MAP'!$B$5=2024,IF(#REF!="",D72,#REF!),IF('РЕЕСТР РИСКОВ_2023'!#REF!="",D72,'РЕЕСТР РИСКОВ_2023'!#REF!)))))</f>
        <v>#REF!</v>
      </c>
      <c r="E73" t="e">
        <f>IF('INHERENT MAP'!$B$5=2021,IF('РЕЕСТР РИСКОВ_2023'!#REF!="",E72,'РЕЕСТР РИСКОВ_2023'!#REF!),IF('INHERENT MAP'!$B$5=2022,IF(#REF!="",E72,#REF!),IF('INHERENT MAP'!$B$5=2023,IF(#REF!="",E72,#REF!),IF('INHERENT MAP'!$B$5=2024,IF(#REF!="",E72,#REF!),IF('РЕЕСТР РИСКОВ_2023'!#REF!="",E72,'РЕЕСТР РИСКОВ_2023'!#REF!)))))</f>
        <v>#REF!</v>
      </c>
      <c r="F73" t="e">
        <f>IF('INHERENT MAP'!$B$5=2021,IF('РЕЕСТР РИСКОВ_2023'!#REF!="",F72,'РЕЕСТР РИСКОВ_2023'!#REF!),IF('INHERENT MAP'!$B$5=2022,IF(#REF!="",F72,#REF!),IF('INHERENT MAP'!$B$5=2023,IF(#REF!="",F72,#REF!),IF('INHERENT MAP'!$B$5=2024,IF(#REF!="",F72,#REF!),IF('РЕЕСТР РИСКОВ_2023'!#REF!="",F72,'РЕЕСТР РИСКОВ_2023'!#REF!)))))</f>
        <v>#REF!</v>
      </c>
      <c r="G73" t="e">
        <f>IF('INHERENT MAP'!$B$5=2021,IF('РЕЕСТР РИСКОВ_2023'!#REF!="",G72,'РЕЕСТР РИСКОВ_2023'!#REF!),IF('INHERENT MAP'!$B$5=2022,IF(#REF!="",G72,#REF!),IF('INHERENT MAP'!$B$5=2023,IF(#REF!="",G72,#REF!),IF('INHERENT MAP'!$B$5=2024,IF(#REF!="",G72,#REF!),IF('РЕЕСТР РИСКОВ_2023'!#REF!="",G72,'РЕЕСТР РИСКОВ_2023'!#REF!)))))</f>
        <v>#REF!</v>
      </c>
      <c r="H73" t="e">
        <f>IF('INHERENT MAP'!$B$5=2021,'РЕЕСТР РИСКОВ_2023'!#REF!,IF('INHERENT MAP'!$B$5=2022,#REF!,IF('INHERENT MAP'!$B$5=2023,#REF!,IF('INHERENT MAP'!$B$5=2024,#REF!,#REF!))))</f>
        <v>#REF!</v>
      </c>
      <c r="I73" t="e">
        <f>IF('INHERENT MAP'!$B$5=2021,'РЕЕСТР РИСКОВ_2023'!#REF!,IF('INHERENT MAP'!$B$5=2022,#REF!,IF('INHERENT MAP'!$B$5=2023,#REF!,IF('INHERENT MAP'!$B$5=2024,#REF!,#REF!))))</f>
        <v>#REF!</v>
      </c>
      <c r="J73" t="e">
        <f>IF('INHERENT MAP'!$B$5=2021,'РЕЕСТР РИСКОВ_2023'!#REF!,IF('INHERENT MAP'!$B$5=2022,#REF!,IF('INHERENT MAP'!$B$5=2023,#REF!,IF('INHERENT MAP'!$B$5=2024,#REF!,#REF!))))</f>
        <v>#REF!</v>
      </c>
      <c r="K73" t="e">
        <f>IF('INHERENT MAP'!$B$5=2021,'РЕЕСТР РИСКОВ_2023'!#REF!,IF('INHERENT MAP'!$B$5=2022,#REF!,IF('INHERENT MAP'!$B$5=2023,#REF!,IF('INHERENT MAP'!$B$5=2024,#REF!,#REF!))))</f>
        <v>#REF!</v>
      </c>
      <c r="L73" t="e">
        <f>IF('INHERENT MAP'!$B$5=2021,'РЕЕСТР РИСКОВ_2023'!#REF!,IF('INHERENT MAP'!$B$5=2022,#REF!,IF('INHERENT MAP'!$B$5=2023,#REF!,IF('INHERENT MAP'!$B$5=2024,#REF!,#REF!))))</f>
        <v>#REF!</v>
      </c>
      <c r="M73" t="e">
        <f>IF('INHERENT MAP'!$B$5=2021,IF('РЕЕСТР РИСКОВ_2023'!#REF!="",M72,'РЕЕСТР РИСКОВ_2023'!#REF!),IF('INHERENT MAP'!$B$5=2022,IF(#REF!="",M72,#REF!),IF('INHERENT MAP'!$B$5=2023,IF(#REF!="",M72,#REF!),IF('INHERENT MAP'!$B$5=2024,IF(#REF!="",M72,#REF!),IF('РЕЕСТР РИСКОВ_2023'!#REF!="",M72,'РЕЕСТР РИСКОВ_2023'!#REF!)))))</f>
        <v>#REF!</v>
      </c>
      <c r="N73" t="e">
        <f>IF('INHERENT MAP'!$B$5=2021,IF('РЕЕСТР РИСКОВ_2023'!#REF!="",N72,'РЕЕСТР РИСКОВ_2023'!#REF!),IF('INHERENT MAP'!$B$5=2022,IF(#REF!="",N72,#REF!),IF('INHERENT MAP'!$B$5=2023,IF(#REF!="",N72,#REF!),IF('INHERENT MAP'!$B$5=2024,IF(#REF!="",N72,#REF!),IF('РЕЕСТР РИСКОВ_2023'!#REF!="",N72,'РЕЕСТР РИСКОВ_2023'!#REF!)))))</f>
        <v>#REF!</v>
      </c>
      <c r="O73" t="e">
        <f>'РЕЕСТР РИСКОВ_2023'!#REF!</f>
        <v>#REF!</v>
      </c>
      <c r="P73" t="e">
        <f>IF('РЕЕСТР РИСКОВ_2023'!#REF!="",P72,'РЕЕСТР РИСКОВ_2023'!#REF!)</f>
        <v>#REF!</v>
      </c>
      <c r="Q73" t="e">
        <f>IF('РЕЕСТР РИСКОВ_2023'!#REF!="",Q72,'РЕЕСТР РИСКОВ_2023'!#REF!)</f>
        <v>#REF!</v>
      </c>
      <c r="R73" t="e">
        <f>IF('РЕЕСТР РИСКОВ_2023'!#REF!="",R72,'РЕЕСТР РИСКОВ_2023'!#REF!)</f>
        <v>#REF!</v>
      </c>
      <c r="S73" t="e">
        <f>'РЕЕСТР РИСКОВ_2023'!#REF!</f>
        <v>#REF!</v>
      </c>
      <c r="T73" s="94" t="e">
        <f>IF('INHERENT MAP'!$B$5=2021,'РЕЕСТР РИСКОВ_2023'!#REF!,IF('INHERENT MAP'!$B$5=2022,#REF!,IF('INHERENT MAP'!$B$5=2023,#REF!,IF('INHERENT MAP'!$B$5=2024,#REF!,#REF!))))</f>
        <v>#REF!</v>
      </c>
      <c r="U73" t="e">
        <f>IF('INHERENT MAP'!$B$5=2021,'РЕЕСТР РИСКОВ_2023'!#REF!,IF('INHERENT MAP'!$B$5=2022,#REF!,IF('INHERENT MAP'!$B$5=2023,#REF!,IF('INHERENT MAP'!$B$5=2024,#REF!,#REF!))))</f>
        <v>#REF!</v>
      </c>
      <c r="V73" t="e">
        <f>IF('INHERENT MAP'!$B$5=2021,'РЕЕСТР РИСКОВ_2023'!#REF!,IF('INHERENT MAP'!$B$5=2022,#REF!,IF('INHERENT MAP'!$B$5=2023,#REF!,IF('INHERENT MAP'!$B$5=2024,#REF!,#REF!))))</f>
        <v>#REF!</v>
      </c>
      <c r="W73" t="e">
        <f>IF('INHERENT MAP'!$B$5=2021,'РЕЕСТР РИСКОВ_2023'!#REF!,IF('INHERENT MAP'!$B$5=2022,#REF!,IF('INHERENT MAP'!$B$5=2023,#REF!,IF('INHERENT MAP'!$B$5=2024,#REF!,#REF!))))</f>
        <v>#REF!</v>
      </c>
      <c r="X73" s="94" t="e">
        <f>IF('INHERENT MAP'!$B$5=2021,'РЕЕСТР РИСКОВ_2023'!#REF!,IF('INHERENT MAP'!$B$5=2022,#REF!,IF('INHERENT MAP'!$B$5=2023,#REF!,IF('INHERENT MAP'!$B$5=2024,#REF!,#REF!))))</f>
        <v>#REF!</v>
      </c>
      <c r="Y73" t="e">
        <f>IF('INHERENT MAP'!$B$5=2021,'РЕЕСТР РИСКОВ_2023'!#REF!,IF('INHERENT MAP'!$B$5=2022,#REF!,IF('INHERENT MAP'!$B$5=2023,#REF!,IF('INHERENT MAP'!$B$5=2024,#REF!,#REF!))))</f>
        <v>#REF!</v>
      </c>
      <c r="Z73" t="e">
        <f>IF('INHERENT MAP'!$B$5=2021,'РЕЕСТР РИСКОВ_2023'!#REF!,IF('INHERENT MAP'!$B$5=2022,#REF!,IF('INHERENT MAP'!$B$5=2023,#REF!,IF('INHERENT MAP'!$B$5=2024,#REF!,#REF!))))</f>
        <v>#REF!</v>
      </c>
      <c r="AA73" t="e">
        <f>IF('INHERENT MAP'!$B$5=2021,'РЕЕСТР РИСКОВ_2023'!#REF!,IF('INHERENT MAP'!$B$5=2022,#REF!,IF('INHERENT MAP'!$B$5=2023,#REF!,IF('INHERENT MAP'!$B$5=2024,#REF!,#REF!))))</f>
        <v>#REF!</v>
      </c>
      <c r="AB73" t="e">
        <f>IF('INHERENT MAP'!$B$5=2021,'РЕЕСТР РИСКОВ_2023'!#REF!,IF('INHERENT MAP'!$B$5=2022,#REF!,IF('INHERENT MAP'!$B$5=2023,#REF!,IF('INHERENT MAP'!$B$5=2024,#REF!,#REF!))))</f>
        <v>#REF!</v>
      </c>
      <c r="AC73" t="e">
        <f>IF('INHERENT MAP'!$B$5=2021,'РЕЕСТР РИСКОВ_2023'!#REF!,IF('INHERENT MAP'!$B$5=2022,#REF!,IF('INHERENT MAP'!$B$5=2023,#REF!,IF('INHERENT MAP'!$B$5=2024,#REF!,#REF!))))</f>
        <v>#REF!</v>
      </c>
      <c r="AD73" t="e">
        <f>IF('INHERENT MAP'!$B$5=2021,'РЕЕСТР РИСКОВ_2023'!#REF!,IF('INHERENT MAP'!$B$5=2022,#REF!,IF('INHERENT MAP'!$B$5=2023,#REF!,IF('INHERENT MAP'!$B$5=2024,#REF!,#REF!))))</f>
        <v>#REF!</v>
      </c>
      <c r="AE73" t="e">
        <f>IF('INHERENT MAP'!$B$5=2021,'РЕЕСТР РИСКОВ_2023'!#REF!,IF('INHERENT MAP'!$B$5=2022,#REF!,IF('INHERENT MAP'!$B$5=2023,#REF!,IF('INHERENT MAP'!$B$5=2024,#REF!,#REF!))))</f>
        <v>#REF!</v>
      </c>
      <c r="AF73" t="e">
        <f>IF('INHERENT MAP'!$B$5=2021,'РЕЕСТР РИСКОВ_2023'!#REF!,IF('INHERENT MAP'!$B$5=2022,#REF!,IF('INHERENT MAP'!$B$5=2023,#REF!,IF('INHERENT MAP'!$B$5=2024,#REF!,#REF!))))</f>
        <v>#REF!</v>
      </c>
      <c r="AG73" t="e">
        <f>IF('INHERENT MAP'!$B$5=2021,'РЕЕСТР РИСКОВ_2023'!#REF!,IF('INHERENT MAP'!$B$5=2022,#REF!,IF('INHERENT MAP'!$B$5=2023,#REF!,IF('INHERENT MAP'!$B$5=2024,#REF!,#REF!))))</f>
        <v>#REF!</v>
      </c>
      <c r="AH73" t="e">
        <f>IF('INHERENT MAP'!$B$5=2021,'РЕЕСТР РИСКОВ_2023'!#REF!,IF('INHERENT MAP'!$B$5=2022,#REF!,IF('INHERENT MAP'!$B$5=2023,#REF!,IF('INHERENT MAP'!$B$5=2024,#REF!,#REF!))))</f>
        <v>#REF!</v>
      </c>
      <c r="AI73" t="e">
        <f>IF('INHERENT MAP'!$B$5=2021,'РЕЕСТР РИСКОВ_2023'!#REF!,IF('INHERENT MAP'!$B$5=2022,#REF!,IF('INHERENT MAP'!$B$5=2023,#REF!,IF('INHERENT MAP'!$B$5=2024,#REF!,#REF!))))</f>
        <v>#REF!</v>
      </c>
      <c r="AJ73" t="e">
        <f>IF('INHERENT MAP'!$B$5=2021,'РЕЕСТР РИСКОВ_2023'!#REF!,IF('INHERENT MAP'!$B$5=2022,#REF!,IF('INHERENT MAP'!$B$5=2023,#REF!,IF('INHERENT MAP'!$B$5=2024,#REF!,#REF!))))</f>
        <v>#REF!</v>
      </c>
      <c r="AK73" t="e">
        <f>IF('РЕЕСТР РИСКОВ_2023'!#REF!="",AK72,'РЕЕСТР РИСКОВ_2023'!#REF!)</f>
        <v>#REF!</v>
      </c>
      <c r="AL73" t="e">
        <f>IF('РЕЕСТР РИСКОВ_2023'!#REF!="",AL72,'РЕЕСТР РИСКОВ_2023'!#REF!)</f>
        <v>#REF!</v>
      </c>
      <c r="AM73" t="e">
        <f>IF('РЕЕСТР РИСКОВ_2023'!#REF!="",AM72,'РЕЕСТР РИСКОВ_2023'!#REF!)</f>
        <v>#REF!</v>
      </c>
      <c r="AN73" t="e">
        <f>IF('РЕЕСТР РИСКОВ_2023'!#REF!="",AN72,'РЕЕСТР РИСКОВ_2023'!#REF!)</f>
        <v>#REF!</v>
      </c>
      <c r="AO73" t="e">
        <f>IF('РЕЕСТР РИСКОВ_2023'!#REF!="",AO72,'РЕЕСТР РИСКОВ_2023'!#REF!)</f>
        <v>#REF!</v>
      </c>
    </row>
    <row r="74" spans="2:41">
      <c r="B74" t="e">
        <f>IF('INHERENT MAP'!$B$5=2021,IF('РЕЕСТР РИСКОВ_2023'!#REF!="",B73,'РЕЕСТР РИСКОВ_2023'!#REF!),IF('INHERENT MAP'!$B$5=2022,IF(#REF!="",B73,#REF!),IF('INHERENT MAP'!$B$5=2023,IF(#REF!="",B73,#REF!),IF('INHERENT MAP'!$B$5=2024,IF(#REF!="",B73,#REF!),IF('РЕЕСТР РИСКОВ_2023'!#REF!="",B73,'РЕЕСТР РИСКОВ_2023'!#REF!)))))</f>
        <v>#REF!</v>
      </c>
      <c r="C74" t="e">
        <f>IF('INHERENT MAP'!$B$5=2021,IF('РЕЕСТР РИСКОВ_2023'!#REF!="",C73,'РЕЕСТР РИСКОВ_2023'!#REF!),IF('INHERENT MAP'!$B$5=2022,IF(#REF!="",C73,#REF!),IF('INHERENT MAP'!$B$5=2023,IF(#REF!="",C73,#REF!),IF('INHERENT MAP'!$B$5=2024,IF(#REF!="",C73,#REF!),IF('РЕЕСТР РИСКОВ_2023'!#REF!="",C73,'РЕЕСТР РИСКОВ_2023'!#REF!)))))</f>
        <v>#REF!</v>
      </c>
      <c r="D74" t="e">
        <f>IF('INHERENT MAP'!$B$5=2021,IF('РЕЕСТР РИСКОВ_2023'!#REF!="",D73,'РЕЕСТР РИСКОВ_2023'!#REF!),IF('INHERENT MAP'!$B$5=2022,IF(#REF!="",D73,#REF!),IF('INHERENT MAP'!$B$5=2023,IF(#REF!="",D73,#REF!),IF('INHERENT MAP'!$B$5=2024,IF(#REF!="",D73,#REF!),IF('РЕЕСТР РИСКОВ_2023'!#REF!="",D73,'РЕЕСТР РИСКОВ_2023'!#REF!)))))</f>
        <v>#REF!</v>
      </c>
      <c r="E74" t="e">
        <f>IF('INHERENT MAP'!$B$5=2021,IF('РЕЕСТР РИСКОВ_2023'!#REF!="",E73,'РЕЕСТР РИСКОВ_2023'!#REF!),IF('INHERENT MAP'!$B$5=2022,IF(#REF!="",E73,#REF!),IF('INHERENT MAP'!$B$5=2023,IF(#REF!="",E73,#REF!),IF('INHERENT MAP'!$B$5=2024,IF(#REF!="",E73,#REF!),IF('РЕЕСТР РИСКОВ_2023'!#REF!="",E73,'РЕЕСТР РИСКОВ_2023'!#REF!)))))</f>
        <v>#REF!</v>
      </c>
      <c r="F74" t="e">
        <f>IF('INHERENT MAP'!$B$5=2021,IF('РЕЕСТР РИСКОВ_2023'!#REF!="",F73,'РЕЕСТР РИСКОВ_2023'!#REF!),IF('INHERENT MAP'!$B$5=2022,IF(#REF!="",F73,#REF!),IF('INHERENT MAP'!$B$5=2023,IF(#REF!="",F73,#REF!),IF('INHERENT MAP'!$B$5=2024,IF(#REF!="",F73,#REF!),IF('РЕЕСТР РИСКОВ_2023'!#REF!="",F73,'РЕЕСТР РИСКОВ_2023'!#REF!)))))</f>
        <v>#REF!</v>
      </c>
      <c r="G74" t="e">
        <f>IF('INHERENT MAP'!$B$5=2021,IF('РЕЕСТР РИСКОВ_2023'!#REF!="",G73,'РЕЕСТР РИСКОВ_2023'!#REF!),IF('INHERENT MAP'!$B$5=2022,IF(#REF!="",G73,#REF!),IF('INHERENT MAP'!$B$5=2023,IF(#REF!="",G73,#REF!),IF('INHERENT MAP'!$B$5=2024,IF(#REF!="",G73,#REF!),IF('РЕЕСТР РИСКОВ_2023'!#REF!="",G73,'РЕЕСТР РИСКОВ_2023'!#REF!)))))</f>
        <v>#REF!</v>
      </c>
      <c r="H74" t="e">
        <f>IF('INHERENT MAP'!$B$5=2021,'РЕЕСТР РИСКОВ_2023'!#REF!,IF('INHERENT MAP'!$B$5=2022,#REF!,IF('INHERENT MAP'!$B$5=2023,#REF!,IF('INHERENT MAP'!$B$5=2024,#REF!,#REF!))))</f>
        <v>#REF!</v>
      </c>
      <c r="I74" t="e">
        <f>IF('INHERENT MAP'!$B$5=2021,'РЕЕСТР РИСКОВ_2023'!#REF!,IF('INHERENT MAP'!$B$5=2022,#REF!,IF('INHERENT MAP'!$B$5=2023,#REF!,IF('INHERENT MAP'!$B$5=2024,#REF!,#REF!))))</f>
        <v>#REF!</v>
      </c>
      <c r="J74" t="e">
        <f>IF('INHERENT MAP'!$B$5=2021,'РЕЕСТР РИСКОВ_2023'!#REF!,IF('INHERENT MAP'!$B$5=2022,#REF!,IF('INHERENT MAP'!$B$5=2023,#REF!,IF('INHERENT MAP'!$B$5=2024,#REF!,#REF!))))</f>
        <v>#REF!</v>
      </c>
      <c r="K74" t="e">
        <f>IF('INHERENT MAP'!$B$5=2021,'РЕЕСТР РИСКОВ_2023'!#REF!,IF('INHERENT MAP'!$B$5=2022,#REF!,IF('INHERENT MAP'!$B$5=2023,#REF!,IF('INHERENT MAP'!$B$5=2024,#REF!,#REF!))))</f>
        <v>#REF!</v>
      </c>
      <c r="L74" t="e">
        <f>IF('INHERENT MAP'!$B$5=2021,'РЕЕСТР РИСКОВ_2023'!#REF!,IF('INHERENT MAP'!$B$5=2022,#REF!,IF('INHERENT MAP'!$B$5=2023,#REF!,IF('INHERENT MAP'!$B$5=2024,#REF!,#REF!))))</f>
        <v>#REF!</v>
      </c>
      <c r="M74" t="e">
        <f>IF('INHERENT MAP'!$B$5=2021,IF('РЕЕСТР РИСКОВ_2023'!#REF!="",M73,'РЕЕСТР РИСКОВ_2023'!#REF!),IF('INHERENT MAP'!$B$5=2022,IF(#REF!="",M73,#REF!),IF('INHERENT MAP'!$B$5=2023,IF(#REF!="",M73,#REF!),IF('INHERENT MAP'!$B$5=2024,IF(#REF!="",M73,#REF!),IF('РЕЕСТР РИСКОВ_2023'!#REF!="",M73,'РЕЕСТР РИСКОВ_2023'!#REF!)))))</f>
        <v>#REF!</v>
      </c>
      <c r="N74" t="e">
        <f>IF('INHERENT MAP'!$B$5=2021,IF('РЕЕСТР РИСКОВ_2023'!#REF!="",N73,'РЕЕСТР РИСКОВ_2023'!#REF!),IF('INHERENT MAP'!$B$5=2022,IF(#REF!="",N73,#REF!),IF('INHERENT MAP'!$B$5=2023,IF(#REF!="",N73,#REF!),IF('INHERENT MAP'!$B$5=2024,IF(#REF!="",N73,#REF!),IF('РЕЕСТР РИСКОВ_2023'!#REF!="",N73,'РЕЕСТР РИСКОВ_2023'!#REF!)))))</f>
        <v>#REF!</v>
      </c>
      <c r="O74" t="e">
        <f>'РЕЕСТР РИСКОВ_2023'!#REF!</f>
        <v>#REF!</v>
      </c>
      <c r="P74" t="e">
        <f>IF('РЕЕСТР РИСКОВ_2023'!#REF!="",P73,'РЕЕСТР РИСКОВ_2023'!#REF!)</f>
        <v>#REF!</v>
      </c>
      <c r="Q74" t="e">
        <f>IF('РЕЕСТР РИСКОВ_2023'!#REF!="",Q73,'РЕЕСТР РИСКОВ_2023'!#REF!)</f>
        <v>#REF!</v>
      </c>
      <c r="R74" t="e">
        <f>IF('РЕЕСТР РИСКОВ_2023'!#REF!="",R73,'РЕЕСТР РИСКОВ_2023'!#REF!)</f>
        <v>#REF!</v>
      </c>
      <c r="S74" t="e">
        <f>'РЕЕСТР РИСКОВ_2023'!#REF!</f>
        <v>#REF!</v>
      </c>
      <c r="T74" s="94" t="e">
        <f>IF('INHERENT MAP'!$B$5=2021,'РЕЕСТР РИСКОВ_2023'!#REF!,IF('INHERENT MAP'!$B$5=2022,#REF!,IF('INHERENT MAP'!$B$5=2023,#REF!,IF('INHERENT MAP'!$B$5=2024,#REF!,#REF!))))</f>
        <v>#REF!</v>
      </c>
      <c r="U74" t="e">
        <f>IF('INHERENT MAP'!$B$5=2021,'РЕЕСТР РИСКОВ_2023'!#REF!,IF('INHERENT MAP'!$B$5=2022,#REF!,IF('INHERENT MAP'!$B$5=2023,#REF!,IF('INHERENT MAP'!$B$5=2024,#REF!,#REF!))))</f>
        <v>#REF!</v>
      </c>
      <c r="V74" t="e">
        <f>IF('INHERENT MAP'!$B$5=2021,'РЕЕСТР РИСКОВ_2023'!#REF!,IF('INHERENT MAP'!$B$5=2022,#REF!,IF('INHERENT MAP'!$B$5=2023,#REF!,IF('INHERENT MAP'!$B$5=2024,#REF!,#REF!))))</f>
        <v>#REF!</v>
      </c>
      <c r="W74" t="e">
        <f>IF('INHERENT MAP'!$B$5=2021,'РЕЕСТР РИСКОВ_2023'!#REF!,IF('INHERENT MAP'!$B$5=2022,#REF!,IF('INHERENT MAP'!$B$5=2023,#REF!,IF('INHERENT MAP'!$B$5=2024,#REF!,#REF!))))</f>
        <v>#REF!</v>
      </c>
      <c r="X74" s="94" t="e">
        <f>IF('INHERENT MAP'!$B$5=2021,'РЕЕСТР РИСКОВ_2023'!#REF!,IF('INHERENT MAP'!$B$5=2022,#REF!,IF('INHERENT MAP'!$B$5=2023,#REF!,IF('INHERENT MAP'!$B$5=2024,#REF!,#REF!))))</f>
        <v>#REF!</v>
      </c>
      <c r="Y74" t="e">
        <f>IF('INHERENT MAP'!$B$5=2021,'РЕЕСТР РИСКОВ_2023'!#REF!,IF('INHERENT MAP'!$B$5=2022,#REF!,IF('INHERENT MAP'!$B$5=2023,#REF!,IF('INHERENT MAP'!$B$5=2024,#REF!,#REF!))))</f>
        <v>#REF!</v>
      </c>
      <c r="Z74" t="e">
        <f>IF('INHERENT MAP'!$B$5=2021,'РЕЕСТР РИСКОВ_2023'!#REF!,IF('INHERENT MAP'!$B$5=2022,#REF!,IF('INHERENT MAP'!$B$5=2023,#REF!,IF('INHERENT MAP'!$B$5=2024,#REF!,#REF!))))</f>
        <v>#REF!</v>
      </c>
      <c r="AA74" t="e">
        <f>IF('INHERENT MAP'!$B$5=2021,'РЕЕСТР РИСКОВ_2023'!#REF!,IF('INHERENT MAP'!$B$5=2022,#REF!,IF('INHERENT MAP'!$B$5=2023,#REF!,IF('INHERENT MAP'!$B$5=2024,#REF!,#REF!))))</f>
        <v>#REF!</v>
      </c>
      <c r="AB74" t="e">
        <f>IF('INHERENT MAP'!$B$5=2021,'РЕЕСТР РИСКОВ_2023'!#REF!,IF('INHERENT MAP'!$B$5=2022,#REF!,IF('INHERENT MAP'!$B$5=2023,#REF!,IF('INHERENT MAP'!$B$5=2024,#REF!,#REF!))))</f>
        <v>#REF!</v>
      </c>
      <c r="AC74" t="e">
        <f>IF('INHERENT MAP'!$B$5=2021,'РЕЕСТР РИСКОВ_2023'!#REF!,IF('INHERENT MAP'!$B$5=2022,#REF!,IF('INHERENT MAP'!$B$5=2023,#REF!,IF('INHERENT MAP'!$B$5=2024,#REF!,#REF!))))</f>
        <v>#REF!</v>
      </c>
      <c r="AD74" t="e">
        <f>IF('INHERENT MAP'!$B$5=2021,'РЕЕСТР РИСКОВ_2023'!#REF!,IF('INHERENT MAP'!$B$5=2022,#REF!,IF('INHERENT MAP'!$B$5=2023,#REF!,IF('INHERENT MAP'!$B$5=2024,#REF!,#REF!))))</f>
        <v>#REF!</v>
      </c>
      <c r="AE74" t="e">
        <f>IF('INHERENT MAP'!$B$5=2021,'РЕЕСТР РИСКОВ_2023'!#REF!,IF('INHERENT MAP'!$B$5=2022,#REF!,IF('INHERENT MAP'!$B$5=2023,#REF!,IF('INHERENT MAP'!$B$5=2024,#REF!,#REF!))))</f>
        <v>#REF!</v>
      </c>
      <c r="AF74" t="e">
        <f>IF('INHERENT MAP'!$B$5=2021,'РЕЕСТР РИСКОВ_2023'!#REF!,IF('INHERENT MAP'!$B$5=2022,#REF!,IF('INHERENT MAP'!$B$5=2023,#REF!,IF('INHERENT MAP'!$B$5=2024,#REF!,#REF!))))</f>
        <v>#REF!</v>
      </c>
      <c r="AG74" t="e">
        <f>IF('INHERENT MAP'!$B$5=2021,'РЕЕСТР РИСКОВ_2023'!#REF!,IF('INHERENT MAP'!$B$5=2022,#REF!,IF('INHERENT MAP'!$B$5=2023,#REF!,IF('INHERENT MAP'!$B$5=2024,#REF!,#REF!))))</f>
        <v>#REF!</v>
      </c>
      <c r="AH74" t="e">
        <f>IF('INHERENT MAP'!$B$5=2021,'РЕЕСТР РИСКОВ_2023'!#REF!,IF('INHERENT MAP'!$B$5=2022,#REF!,IF('INHERENT MAP'!$B$5=2023,#REF!,IF('INHERENT MAP'!$B$5=2024,#REF!,#REF!))))</f>
        <v>#REF!</v>
      </c>
      <c r="AI74" t="e">
        <f>IF('INHERENT MAP'!$B$5=2021,'РЕЕСТР РИСКОВ_2023'!#REF!,IF('INHERENT MAP'!$B$5=2022,#REF!,IF('INHERENT MAP'!$B$5=2023,#REF!,IF('INHERENT MAP'!$B$5=2024,#REF!,#REF!))))</f>
        <v>#REF!</v>
      </c>
      <c r="AJ74" t="e">
        <f>IF('INHERENT MAP'!$B$5=2021,'РЕЕСТР РИСКОВ_2023'!#REF!,IF('INHERENT MAP'!$B$5=2022,#REF!,IF('INHERENT MAP'!$B$5=2023,#REF!,IF('INHERENT MAP'!$B$5=2024,#REF!,#REF!))))</f>
        <v>#REF!</v>
      </c>
      <c r="AK74" t="e">
        <f>IF('РЕЕСТР РИСКОВ_2023'!#REF!="",AK73,'РЕЕСТР РИСКОВ_2023'!#REF!)</f>
        <v>#REF!</v>
      </c>
      <c r="AL74" t="e">
        <f>IF('РЕЕСТР РИСКОВ_2023'!#REF!="",AL73,'РЕЕСТР РИСКОВ_2023'!#REF!)</f>
        <v>#REF!</v>
      </c>
      <c r="AM74" t="e">
        <f>IF('РЕЕСТР РИСКОВ_2023'!#REF!="",AM73,'РЕЕСТР РИСКОВ_2023'!#REF!)</f>
        <v>#REF!</v>
      </c>
      <c r="AN74" t="e">
        <f>IF('РЕЕСТР РИСКОВ_2023'!#REF!="",AN73,'РЕЕСТР РИСКОВ_2023'!#REF!)</f>
        <v>#REF!</v>
      </c>
      <c r="AO74" t="e">
        <f>IF('РЕЕСТР РИСКОВ_2023'!#REF!="",AO73,'РЕЕСТР РИСКОВ_2023'!#REF!)</f>
        <v>#REF!</v>
      </c>
    </row>
    <row r="75" spans="2:41">
      <c r="B75" t="e">
        <f>IF('INHERENT MAP'!$B$5=2021,IF('РЕЕСТР РИСКОВ_2023'!#REF!="",B74,'РЕЕСТР РИСКОВ_2023'!#REF!),IF('INHERENT MAP'!$B$5=2022,IF(#REF!="",B74,#REF!),IF('INHERENT MAP'!$B$5=2023,IF(#REF!="",B74,#REF!),IF('INHERENT MAP'!$B$5=2024,IF(#REF!="",B74,#REF!),IF('РЕЕСТР РИСКОВ_2023'!#REF!="",B74,'РЕЕСТР РИСКОВ_2023'!#REF!)))))</f>
        <v>#REF!</v>
      </c>
      <c r="C75" t="e">
        <f>IF('INHERENT MAP'!$B$5=2021,IF('РЕЕСТР РИСКОВ_2023'!#REF!="",C74,'РЕЕСТР РИСКОВ_2023'!#REF!),IF('INHERENT MAP'!$B$5=2022,IF(#REF!="",C74,#REF!),IF('INHERENT MAP'!$B$5=2023,IF(#REF!="",C74,#REF!),IF('INHERENT MAP'!$B$5=2024,IF(#REF!="",C74,#REF!),IF('РЕЕСТР РИСКОВ_2023'!#REF!="",C74,'РЕЕСТР РИСКОВ_2023'!#REF!)))))</f>
        <v>#REF!</v>
      </c>
      <c r="D75" t="e">
        <f>IF('INHERENT MAP'!$B$5=2021,IF('РЕЕСТР РИСКОВ_2023'!#REF!="",D74,'РЕЕСТР РИСКОВ_2023'!#REF!),IF('INHERENT MAP'!$B$5=2022,IF(#REF!="",D74,#REF!),IF('INHERENT MAP'!$B$5=2023,IF(#REF!="",D74,#REF!),IF('INHERENT MAP'!$B$5=2024,IF(#REF!="",D74,#REF!),IF('РЕЕСТР РИСКОВ_2023'!#REF!="",D74,'РЕЕСТР РИСКОВ_2023'!#REF!)))))</f>
        <v>#REF!</v>
      </c>
      <c r="E75" t="e">
        <f>IF('INHERENT MAP'!$B$5=2021,IF('РЕЕСТР РИСКОВ_2023'!#REF!="",E74,'РЕЕСТР РИСКОВ_2023'!#REF!),IF('INHERENT MAP'!$B$5=2022,IF(#REF!="",E74,#REF!),IF('INHERENT MAP'!$B$5=2023,IF(#REF!="",E74,#REF!),IF('INHERENT MAP'!$B$5=2024,IF(#REF!="",E74,#REF!),IF('РЕЕСТР РИСКОВ_2023'!#REF!="",E74,'РЕЕСТР РИСКОВ_2023'!#REF!)))))</f>
        <v>#REF!</v>
      </c>
      <c r="F75" t="e">
        <f>IF('INHERENT MAP'!$B$5=2021,IF('РЕЕСТР РИСКОВ_2023'!#REF!="",F74,'РЕЕСТР РИСКОВ_2023'!#REF!),IF('INHERENT MAP'!$B$5=2022,IF(#REF!="",F74,#REF!),IF('INHERENT MAP'!$B$5=2023,IF(#REF!="",F74,#REF!),IF('INHERENT MAP'!$B$5=2024,IF(#REF!="",F74,#REF!),IF('РЕЕСТР РИСКОВ_2023'!#REF!="",F74,'РЕЕСТР РИСКОВ_2023'!#REF!)))))</f>
        <v>#REF!</v>
      </c>
      <c r="G75" t="e">
        <f>IF('INHERENT MAP'!$B$5=2021,IF('РЕЕСТР РИСКОВ_2023'!#REF!="",G74,'РЕЕСТР РИСКОВ_2023'!#REF!),IF('INHERENT MAP'!$B$5=2022,IF(#REF!="",G74,#REF!),IF('INHERENT MAP'!$B$5=2023,IF(#REF!="",G74,#REF!),IF('INHERENT MAP'!$B$5=2024,IF(#REF!="",G74,#REF!),IF('РЕЕСТР РИСКОВ_2023'!#REF!="",G74,'РЕЕСТР РИСКОВ_2023'!#REF!)))))</f>
        <v>#REF!</v>
      </c>
      <c r="H75" t="e">
        <f>IF('INHERENT MAP'!$B$5=2021,'РЕЕСТР РИСКОВ_2023'!#REF!,IF('INHERENT MAP'!$B$5=2022,#REF!,IF('INHERENT MAP'!$B$5=2023,#REF!,IF('INHERENT MAP'!$B$5=2024,#REF!,#REF!))))</f>
        <v>#REF!</v>
      </c>
      <c r="I75" t="e">
        <f>IF('INHERENT MAP'!$B$5=2021,'РЕЕСТР РИСКОВ_2023'!#REF!,IF('INHERENT MAP'!$B$5=2022,#REF!,IF('INHERENT MAP'!$B$5=2023,#REF!,IF('INHERENT MAP'!$B$5=2024,#REF!,#REF!))))</f>
        <v>#REF!</v>
      </c>
      <c r="J75" t="e">
        <f>IF('INHERENT MAP'!$B$5=2021,'РЕЕСТР РИСКОВ_2023'!#REF!,IF('INHERENT MAP'!$B$5=2022,#REF!,IF('INHERENT MAP'!$B$5=2023,#REF!,IF('INHERENT MAP'!$B$5=2024,#REF!,#REF!))))</f>
        <v>#REF!</v>
      </c>
      <c r="K75" t="e">
        <f>IF('INHERENT MAP'!$B$5=2021,'РЕЕСТР РИСКОВ_2023'!#REF!,IF('INHERENT MAP'!$B$5=2022,#REF!,IF('INHERENT MAP'!$B$5=2023,#REF!,IF('INHERENT MAP'!$B$5=2024,#REF!,#REF!))))</f>
        <v>#REF!</v>
      </c>
      <c r="L75" t="e">
        <f>IF('INHERENT MAP'!$B$5=2021,'РЕЕСТР РИСКОВ_2023'!#REF!,IF('INHERENT MAP'!$B$5=2022,#REF!,IF('INHERENT MAP'!$B$5=2023,#REF!,IF('INHERENT MAP'!$B$5=2024,#REF!,#REF!))))</f>
        <v>#REF!</v>
      </c>
      <c r="M75" t="e">
        <f>IF('INHERENT MAP'!$B$5=2021,IF('РЕЕСТР РИСКОВ_2023'!#REF!="",M74,'РЕЕСТР РИСКОВ_2023'!#REF!),IF('INHERENT MAP'!$B$5=2022,IF(#REF!="",M74,#REF!),IF('INHERENT MAP'!$B$5=2023,IF(#REF!="",M74,#REF!),IF('INHERENT MAP'!$B$5=2024,IF(#REF!="",M74,#REF!),IF('РЕЕСТР РИСКОВ_2023'!#REF!="",M74,'РЕЕСТР РИСКОВ_2023'!#REF!)))))</f>
        <v>#REF!</v>
      </c>
      <c r="N75" t="e">
        <f>IF('INHERENT MAP'!$B$5=2021,IF('РЕЕСТР РИСКОВ_2023'!#REF!="",N74,'РЕЕСТР РИСКОВ_2023'!#REF!),IF('INHERENT MAP'!$B$5=2022,IF(#REF!="",N74,#REF!),IF('INHERENT MAP'!$B$5=2023,IF(#REF!="",N74,#REF!),IF('INHERENT MAP'!$B$5=2024,IF(#REF!="",N74,#REF!),IF('РЕЕСТР РИСКОВ_2023'!#REF!="",N74,'РЕЕСТР РИСКОВ_2023'!#REF!)))))</f>
        <v>#REF!</v>
      </c>
      <c r="O75" t="e">
        <f>'РЕЕСТР РИСКОВ_2023'!#REF!</f>
        <v>#REF!</v>
      </c>
      <c r="P75" t="e">
        <f>IF('РЕЕСТР РИСКОВ_2023'!#REF!="",P74,'РЕЕСТР РИСКОВ_2023'!#REF!)</f>
        <v>#REF!</v>
      </c>
      <c r="Q75" t="e">
        <f>IF('РЕЕСТР РИСКОВ_2023'!#REF!="",Q74,'РЕЕСТР РИСКОВ_2023'!#REF!)</f>
        <v>#REF!</v>
      </c>
      <c r="R75" t="e">
        <f>IF('РЕЕСТР РИСКОВ_2023'!#REF!="",R74,'РЕЕСТР РИСКОВ_2023'!#REF!)</f>
        <v>#REF!</v>
      </c>
      <c r="S75" t="e">
        <f>'РЕЕСТР РИСКОВ_2023'!#REF!</f>
        <v>#REF!</v>
      </c>
      <c r="T75" s="94" t="e">
        <f>IF('INHERENT MAP'!$B$5=2021,'РЕЕСТР РИСКОВ_2023'!#REF!,IF('INHERENT MAP'!$B$5=2022,#REF!,IF('INHERENT MAP'!$B$5=2023,#REF!,IF('INHERENT MAP'!$B$5=2024,#REF!,#REF!))))</f>
        <v>#REF!</v>
      </c>
      <c r="U75" t="e">
        <f>IF('INHERENT MAP'!$B$5=2021,'РЕЕСТР РИСКОВ_2023'!#REF!,IF('INHERENT MAP'!$B$5=2022,#REF!,IF('INHERENT MAP'!$B$5=2023,#REF!,IF('INHERENT MAP'!$B$5=2024,#REF!,#REF!))))</f>
        <v>#REF!</v>
      </c>
      <c r="V75" t="e">
        <f>IF('INHERENT MAP'!$B$5=2021,'РЕЕСТР РИСКОВ_2023'!#REF!,IF('INHERENT MAP'!$B$5=2022,#REF!,IF('INHERENT MAP'!$B$5=2023,#REF!,IF('INHERENT MAP'!$B$5=2024,#REF!,#REF!))))</f>
        <v>#REF!</v>
      </c>
      <c r="W75" t="e">
        <f>IF('INHERENT MAP'!$B$5=2021,'РЕЕСТР РИСКОВ_2023'!#REF!,IF('INHERENT MAP'!$B$5=2022,#REF!,IF('INHERENT MAP'!$B$5=2023,#REF!,IF('INHERENT MAP'!$B$5=2024,#REF!,#REF!))))</f>
        <v>#REF!</v>
      </c>
      <c r="X75" s="94" t="e">
        <f>IF('INHERENT MAP'!$B$5=2021,'РЕЕСТР РИСКОВ_2023'!#REF!,IF('INHERENT MAP'!$B$5=2022,#REF!,IF('INHERENT MAP'!$B$5=2023,#REF!,IF('INHERENT MAP'!$B$5=2024,#REF!,#REF!))))</f>
        <v>#REF!</v>
      </c>
      <c r="Y75" t="e">
        <f>IF('INHERENT MAP'!$B$5=2021,'РЕЕСТР РИСКОВ_2023'!#REF!,IF('INHERENT MAP'!$B$5=2022,#REF!,IF('INHERENT MAP'!$B$5=2023,#REF!,IF('INHERENT MAP'!$B$5=2024,#REF!,#REF!))))</f>
        <v>#REF!</v>
      </c>
      <c r="Z75" t="e">
        <f>IF('INHERENT MAP'!$B$5=2021,'РЕЕСТР РИСКОВ_2023'!#REF!,IF('INHERENT MAP'!$B$5=2022,#REF!,IF('INHERENT MAP'!$B$5=2023,#REF!,IF('INHERENT MAP'!$B$5=2024,#REF!,#REF!))))</f>
        <v>#REF!</v>
      </c>
      <c r="AA75" t="e">
        <f>IF('INHERENT MAP'!$B$5=2021,'РЕЕСТР РИСКОВ_2023'!#REF!,IF('INHERENT MAP'!$B$5=2022,#REF!,IF('INHERENT MAP'!$B$5=2023,#REF!,IF('INHERENT MAP'!$B$5=2024,#REF!,#REF!))))</f>
        <v>#REF!</v>
      </c>
      <c r="AB75" t="e">
        <f>IF('INHERENT MAP'!$B$5=2021,'РЕЕСТР РИСКОВ_2023'!#REF!,IF('INHERENT MAP'!$B$5=2022,#REF!,IF('INHERENT MAP'!$B$5=2023,#REF!,IF('INHERENT MAP'!$B$5=2024,#REF!,#REF!))))</f>
        <v>#REF!</v>
      </c>
      <c r="AC75" t="e">
        <f>IF('INHERENT MAP'!$B$5=2021,'РЕЕСТР РИСКОВ_2023'!#REF!,IF('INHERENT MAP'!$B$5=2022,#REF!,IF('INHERENT MAP'!$B$5=2023,#REF!,IF('INHERENT MAP'!$B$5=2024,#REF!,#REF!))))</f>
        <v>#REF!</v>
      </c>
      <c r="AD75" t="e">
        <f>IF('INHERENT MAP'!$B$5=2021,'РЕЕСТР РИСКОВ_2023'!#REF!,IF('INHERENT MAP'!$B$5=2022,#REF!,IF('INHERENT MAP'!$B$5=2023,#REF!,IF('INHERENT MAP'!$B$5=2024,#REF!,#REF!))))</f>
        <v>#REF!</v>
      </c>
      <c r="AE75" t="e">
        <f>IF('INHERENT MAP'!$B$5=2021,'РЕЕСТР РИСКОВ_2023'!#REF!,IF('INHERENT MAP'!$B$5=2022,#REF!,IF('INHERENT MAP'!$B$5=2023,#REF!,IF('INHERENT MAP'!$B$5=2024,#REF!,#REF!))))</f>
        <v>#REF!</v>
      </c>
      <c r="AF75" t="e">
        <f>IF('INHERENT MAP'!$B$5=2021,'РЕЕСТР РИСКОВ_2023'!#REF!,IF('INHERENT MAP'!$B$5=2022,#REF!,IF('INHERENT MAP'!$B$5=2023,#REF!,IF('INHERENT MAP'!$B$5=2024,#REF!,#REF!))))</f>
        <v>#REF!</v>
      </c>
      <c r="AG75" t="e">
        <f>IF('INHERENT MAP'!$B$5=2021,'РЕЕСТР РИСКОВ_2023'!#REF!,IF('INHERENT MAP'!$B$5=2022,#REF!,IF('INHERENT MAP'!$B$5=2023,#REF!,IF('INHERENT MAP'!$B$5=2024,#REF!,#REF!))))</f>
        <v>#REF!</v>
      </c>
      <c r="AH75" t="e">
        <f>IF('INHERENT MAP'!$B$5=2021,'РЕЕСТР РИСКОВ_2023'!#REF!,IF('INHERENT MAP'!$B$5=2022,#REF!,IF('INHERENT MAP'!$B$5=2023,#REF!,IF('INHERENT MAP'!$B$5=2024,#REF!,#REF!))))</f>
        <v>#REF!</v>
      </c>
      <c r="AI75" t="e">
        <f>IF('INHERENT MAP'!$B$5=2021,'РЕЕСТР РИСКОВ_2023'!#REF!,IF('INHERENT MAP'!$B$5=2022,#REF!,IF('INHERENT MAP'!$B$5=2023,#REF!,IF('INHERENT MAP'!$B$5=2024,#REF!,#REF!))))</f>
        <v>#REF!</v>
      </c>
      <c r="AJ75" t="e">
        <f>IF('INHERENT MAP'!$B$5=2021,'РЕЕСТР РИСКОВ_2023'!#REF!,IF('INHERENT MAP'!$B$5=2022,#REF!,IF('INHERENT MAP'!$B$5=2023,#REF!,IF('INHERENT MAP'!$B$5=2024,#REF!,#REF!))))</f>
        <v>#REF!</v>
      </c>
      <c r="AK75" t="e">
        <f>IF('РЕЕСТР РИСКОВ_2023'!#REF!="",AK74,'РЕЕСТР РИСКОВ_2023'!#REF!)</f>
        <v>#REF!</v>
      </c>
      <c r="AL75" t="e">
        <f>IF('РЕЕСТР РИСКОВ_2023'!#REF!="",AL74,'РЕЕСТР РИСКОВ_2023'!#REF!)</f>
        <v>#REF!</v>
      </c>
      <c r="AM75" t="e">
        <f>IF('РЕЕСТР РИСКОВ_2023'!#REF!="",AM74,'РЕЕСТР РИСКОВ_2023'!#REF!)</f>
        <v>#REF!</v>
      </c>
      <c r="AN75" t="e">
        <f>IF('РЕЕСТР РИСКОВ_2023'!#REF!="",AN74,'РЕЕСТР РИСКОВ_2023'!#REF!)</f>
        <v>#REF!</v>
      </c>
      <c r="AO75" t="e">
        <f>IF('РЕЕСТР РИСКОВ_2023'!#REF!="",AO74,'РЕЕСТР РИСКОВ_2023'!#REF!)</f>
        <v>#REF!</v>
      </c>
    </row>
    <row r="76" spans="2:41">
      <c r="B76" t="e">
        <f>IF('INHERENT MAP'!$B$5=2021,IF('РЕЕСТР РИСКОВ_2023'!#REF!="",B75,'РЕЕСТР РИСКОВ_2023'!#REF!),IF('INHERENT MAP'!$B$5=2022,IF(#REF!="",B75,#REF!),IF('INHERENT MAP'!$B$5=2023,IF(#REF!="",B75,#REF!),IF('INHERENT MAP'!$B$5=2024,IF(#REF!="",B75,#REF!),IF('РЕЕСТР РИСКОВ_2023'!#REF!="",B75,'РЕЕСТР РИСКОВ_2023'!#REF!)))))</f>
        <v>#REF!</v>
      </c>
      <c r="C76" t="e">
        <f>IF('INHERENT MAP'!$B$5=2021,IF('РЕЕСТР РИСКОВ_2023'!#REF!="",C75,'РЕЕСТР РИСКОВ_2023'!#REF!),IF('INHERENT MAP'!$B$5=2022,IF(#REF!="",C75,#REF!),IF('INHERENT MAP'!$B$5=2023,IF(#REF!="",C75,#REF!),IF('INHERENT MAP'!$B$5=2024,IF(#REF!="",C75,#REF!),IF('РЕЕСТР РИСКОВ_2023'!#REF!="",C75,'РЕЕСТР РИСКОВ_2023'!#REF!)))))</f>
        <v>#REF!</v>
      </c>
      <c r="D76" t="e">
        <f>IF('INHERENT MAP'!$B$5=2021,IF('РЕЕСТР РИСКОВ_2023'!#REF!="",D75,'РЕЕСТР РИСКОВ_2023'!#REF!),IF('INHERENT MAP'!$B$5=2022,IF(#REF!="",D75,#REF!),IF('INHERENT MAP'!$B$5=2023,IF(#REF!="",D75,#REF!),IF('INHERENT MAP'!$B$5=2024,IF(#REF!="",D75,#REF!),IF('РЕЕСТР РИСКОВ_2023'!#REF!="",D75,'РЕЕСТР РИСКОВ_2023'!#REF!)))))</f>
        <v>#REF!</v>
      </c>
      <c r="E76" t="e">
        <f>IF('INHERENT MAP'!$B$5=2021,IF('РЕЕСТР РИСКОВ_2023'!#REF!="",E75,'РЕЕСТР РИСКОВ_2023'!#REF!),IF('INHERENT MAP'!$B$5=2022,IF(#REF!="",E75,#REF!),IF('INHERENT MAP'!$B$5=2023,IF(#REF!="",E75,#REF!),IF('INHERENT MAP'!$B$5=2024,IF(#REF!="",E75,#REF!),IF('РЕЕСТР РИСКОВ_2023'!#REF!="",E75,'РЕЕСТР РИСКОВ_2023'!#REF!)))))</f>
        <v>#REF!</v>
      </c>
      <c r="F76" t="e">
        <f>IF('INHERENT MAP'!$B$5=2021,IF('РЕЕСТР РИСКОВ_2023'!#REF!="",F75,'РЕЕСТР РИСКОВ_2023'!#REF!),IF('INHERENT MAP'!$B$5=2022,IF(#REF!="",F75,#REF!),IF('INHERENT MAP'!$B$5=2023,IF(#REF!="",F75,#REF!),IF('INHERENT MAP'!$B$5=2024,IF(#REF!="",F75,#REF!),IF('РЕЕСТР РИСКОВ_2023'!#REF!="",F75,'РЕЕСТР РИСКОВ_2023'!#REF!)))))</f>
        <v>#REF!</v>
      </c>
      <c r="G76" t="e">
        <f>IF('INHERENT MAP'!$B$5=2021,IF('РЕЕСТР РИСКОВ_2023'!#REF!="",G75,'РЕЕСТР РИСКОВ_2023'!#REF!),IF('INHERENT MAP'!$B$5=2022,IF(#REF!="",G75,#REF!),IF('INHERENT MAP'!$B$5=2023,IF(#REF!="",G75,#REF!),IF('INHERENT MAP'!$B$5=2024,IF(#REF!="",G75,#REF!),IF('РЕЕСТР РИСКОВ_2023'!#REF!="",G75,'РЕЕСТР РИСКОВ_2023'!#REF!)))))</f>
        <v>#REF!</v>
      </c>
      <c r="H76" t="e">
        <f>IF('INHERENT MAP'!$B$5=2021,'РЕЕСТР РИСКОВ_2023'!#REF!,IF('INHERENT MAP'!$B$5=2022,#REF!,IF('INHERENT MAP'!$B$5=2023,#REF!,IF('INHERENT MAP'!$B$5=2024,#REF!,#REF!))))</f>
        <v>#REF!</v>
      </c>
      <c r="I76" t="e">
        <f>IF('INHERENT MAP'!$B$5=2021,'РЕЕСТР РИСКОВ_2023'!#REF!,IF('INHERENT MAP'!$B$5=2022,#REF!,IF('INHERENT MAP'!$B$5=2023,#REF!,IF('INHERENT MAP'!$B$5=2024,#REF!,#REF!))))</f>
        <v>#REF!</v>
      </c>
      <c r="J76" t="e">
        <f>IF('INHERENT MAP'!$B$5=2021,'РЕЕСТР РИСКОВ_2023'!#REF!,IF('INHERENT MAP'!$B$5=2022,#REF!,IF('INHERENT MAP'!$B$5=2023,#REF!,IF('INHERENT MAP'!$B$5=2024,#REF!,#REF!))))</f>
        <v>#REF!</v>
      </c>
      <c r="K76" t="e">
        <f>IF('INHERENT MAP'!$B$5=2021,'РЕЕСТР РИСКОВ_2023'!#REF!,IF('INHERENT MAP'!$B$5=2022,#REF!,IF('INHERENT MAP'!$B$5=2023,#REF!,IF('INHERENT MAP'!$B$5=2024,#REF!,#REF!))))</f>
        <v>#REF!</v>
      </c>
      <c r="L76" t="e">
        <f>IF('INHERENT MAP'!$B$5=2021,'РЕЕСТР РИСКОВ_2023'!#REF!,IF('INHERENT MAP'!$B$5=2022,#REF!,IF('INHERENT MAP'!$B$5=2023,#REF!,IF('INHERENT MAP'!$B$5=2024,#REF!,#REF!))))</f>
        <v>#REF!</v>
      </c>
      <c r="M76" t="e">
        <f>IF('INHERENT MAP'!$B$5=2021,IF('РЕЕСТР РИСКОВ_2023'!#REF!="",M75,'РЕЕСТР РИСКОВ_2023'!#REF!),IF('INHERENT MAP'!$B$5=2022,IF(#REF!="",M75,#REF!),IF('INHERENT MAP'!$B$5=2023,IF(#REF!="",M75,#REF!),IF('INHERENT MAP'!$B$5=2024,IF(#REF!="",M75,#REF!),IF('РЕЕСТР РИСКОВ_2023'!#REF!="",M75,'РЕЕСТР РИСКОВ_2023'!#REF!)))))</f>
        <v>#REF!</v>
      </c>
      <c r="N76" t="e">
        <f>IF('INHERENT MAP'!$B$5=2021,IF('РЕЕСТР РИСКОВ_2023'!#REF!="",N75,'РЕЕСТР РИСКОВ_2023'!#REF!),IF('INHERENT MAP'!$B$5=2022,IF(#REF!="",N75,#REF!),IF('INHERENT MAP'!$B$5=2023,IF(#REF!="",N75,#REF!),IF('INHERENT MAP'!$B$5=2024,IF(#REF!="",N75,#REF!),IF('РЕЕСТР РИСКОВ_2023'!#REF!="",N75,'РЕЕСТР РИСКОВ_2023'!#REF!)))))</f>
        <v>#REF!</v>
      </c>
      <c r="O76" t="e">
        <f>'РЕЕСТР РИСКОВ_2023'!#REF!</f>
        <v>#REF!</v>
      </c>
      <c r="P76" t="e">
        <f>IF('РЕЕСТР РИСКОВ_2023'!#REF!="",P75,'РЕЕСТР РИСКОВ_2023'!#REF!)</f>
        <v>#REF!</v>
      </c>
      <c r="Q76" t="e">
        <f>IF('РЕЕСТР РИСКОВ_2023'!#REF!="",Q75,'РЕЕСТР РИСКОВ_2023'!#REF!)</f>
        <v>#REF!</v>
      </c>
      <c r="R76" t="e">
        <f>IF('РЕЕСТР РИСКОВ_2023'!#REF!="",R75,'РЕЕСТР РИСКОВ_2023'!#REF!)</f>
        <v>#REF!</v>
      </c>
      <c r="S76" t="e">
        <f>'РЕЕСТР РИСКОВ_2023'!#REF!</f>
        <v>#REF!</v>
      </c>
      <c r="T76" s="94" t="e">
        <f>IF('INHERENT MAP'!$B$5=2021,'РЕЕСТР РИСКОВ_2023'!#REF!,IF('INHERENT MAP'!$B$5=2022,#REF!,IF('INHERENT MAP'!$B$5=2023,#REF!,IF('INHERENT MAP'!$B$5=2024,#REF!,#REF!))))</f>
        <v>#REF!</v>
      </c>
      <c r="U76" t="e">
        <f>IF('INHERENT MAP'!$B$5=2021,'РЕЕСТР РИСКОВ_2023'!#REF!,IF('INHERENT MAP'!$B$5=2022,#REF!,IF('INHERENT MAP'!$B$5=2023,#REF!,IF('INHERENT MAP'!$B$5=2024,#REF!,#REF!))))</f>
        <v>#REF!</v>
      </c>
      <c r="V76" t="e">
        <f>IF('INHERENT MAP'!$B$5=2021,'РЕЕСТР РИСКОВ_2023'!#REF!,IF('INHERENT MAP'!$B$5=2022,#REF!,IF('INHERENT MAP'!$B$5=2023,#REF!,IF('INHERENT MAP'!$B$5=2024,#REF!,#REF!))))</f>
        <v>#REF!</v>
      </c>
      <c r="W76" t="e">
        <f>IF('INHERENT MAP'!$B$5=2021,'РЕЕСТР РИСКОВ_2023'!#REF!,IF('INHERENT MAP'!$B$5=2022,#REF!,IF('INHERENT MAP'!$B$5=2023,#REF!,IF('INHERENT MAP'!$B$5=2024,#REF!,#REF!))))</f>
        <v>#REF!</v>
      </c>
      <c r="X76" s="94" t="e">
        <f>IF('INHERENT MAP'!$B$5=2021,'РЕЕСТР РИСКОВ_2023'!#REF!,IF('INHERENT MAP'!$B$5=2022,#REF!,IF('INHERENT MAP'!$B$5=2023,#REF!,IF('INHERENT MAP'!$B$5=2024,#REF!,#REF!))))</f>
        <v>#REF!</v>
      </c>
      <c r="Y76" t="e">
        <f>IF('INHERENT MAP'!$B$5=2021,'РЕЕСТР РИСКОВ_2023'!#REF!,IF('INHERENT MAP'!$B$5=2022,#REF!,IF('INHERENT MAP'!$B$5=2023,#REF!,IF('INHERENT MAP'!$B$5=2024,#REF!,#REF!))))</f>
        <v>#REF!</v>
      </c>
      <c r="Z76" t="e">
        <f>IF('INHERENT MAP'!$B$5=2021,'РЕЕСТР РИСКОВ_2023'!#REF!,IF('INHERENT MAP'!$B$5=2022,#REF!,IF('INHERENT MAP'!$B$5=2023,#REF!,IF('INHERENT MAP'!$B$5=2024,#REF!,#REF!))))</f>
        <v>#REF!</v>
      </c>
      <c r="AA76" t="e">
        <f>IF('INHERENT MAP'!$B$5=2021,'РЕЕСТР РИСКОВ_2023'!#REF!,IF('INHERENT MAP'!$B$5=2022,#REF!,IF('INHERENT MAP'!$B$5=2023,#REF!,IF('INHERENT MAP'!$B$5=2024,#REF!,#REF!))))</f>
        <v>#REF!</v>
      </c>
      <c r="AB76" t="e">
        <f>IF('INHERENT MAP'!$B$5=2021,'РЕЕСТР РИСКОВ_2023'!#REF!,IF('INHERENT MAP'!$B$5=2022,#REF!,IF('INHERENT MAP'!$B$5=2023,#REF!,IF('INHERENT MAP'!$B$5=2024,#REF!,#REF!))))</f>
        <v>#REF!</v>
      </c>
      <c r="AC76" t="e">
        <f>IF('INHERENT MAP'!$B$5=2021,'РЕЕСТР РИСКОВ_2023'!#REF!,IF('INHERENT MAP'!$B$5=2022,#REF!,IF('INHERENT MAP'!$B$5=2023,#REF!,IF('INHERENT MAP'!$B$5=2024,#REF!,#REF!))))</f>
        <v>#REF!</v>
      </c>
      <c r="AD76" t="e">
        <f>IF('INHERENT MAP'!$B$5=2021,'РЕЕСТР РИСКОВ_2023'!#REF!,IF('INHERENT MAP'!$B$5=2022,#REF!,IF('INHERENT MAP'!$B$5=2023,#REF!,IF('INHERENT MAP'!$B$5=2024,#REF!,#REF!))))</f>
        <v>#REF!</v>
      </c>
      <c r="AE76" t="e">
        <f>IF('INHERENT MAP'!$B$5=2021,'РЕЕСТР РИСКОВ_2023'!#REF!,IF('INHERENT MAP'!$B$5=2022,#REF!,IF('INHERENT MAP'!$B$5=2023,#REF!,IF('INHERENT MAP'!$B$5=2024,#REF!,#REF!))))</f>
        <v>#REF!</v>
      </c>
      <c r="AF76" t="e">
        <f>IF('INHERENT MAP'!$B$5=2021,'РЕЕСТР РИСКОВ_2023'!#REF!,IF('INHERENT MAP'!$B$5=2022,#REF!,IF('INHERENT MAP'!$B$5=2023,#REF!,IF('INHERENT MAP'!$B$5=2024,#REF!,#REF!))))</f>
        <v>#REF!</v>
      </c>
      <c r="AG76" t="e">
        <f>IF('INHERENT MAP'!$B$5=2021,'РЕЕСТР РИСКОВ_2023'!#REF!,IF('INHERENT MAP'!$B$5=2022,#REF!,IF('INHERENT MAP'!$B$5=2023,#REF!,IF('INHERENT MAP'!$B$5=2024,#REF!,#REF!))))</f>
        <v>#REF!</v>
      </c>
      <c r="AH76" t="e">
        <f>IF('INHERENT MAP'!$B$5=2021,'РЕЕСТР РИСКОВ_2023'!#REF!,IF('INHERENT MAP'!$B$5=2022,#REF!,IF('INHERENT MAP'!$B$5=2023,#REF!,IF('INHERENT MAP'!$B$5=2024,#REF!,#REF!))))</f>
        <v>#REF!</v>
      </c>
      <c r="AI76" t="e">
        <f>IF('INHERENT MAP'!$B$5=2021,'РЕЕСТР РИСКОВ_2023'!#REF!,IF('INHERENT MAP'!$B$5=2022,#REF!,IF('INHERENT MAP'!$B$5=2023,#REF!,IF('INHERENT MAP'!$B$5=2024,#REF!,#REF!))))</f>
        <v>#REF!</v>
      </c>
      <c r="AJ76" t="e">
        <f>IF('INHERENT MAP'!$B$5=2021,'РЕЕСТР РИСКОВ_2023'!#REF!,IF('INHERENT MAP'!$B$5=2022,#REF!,IF('INHERENT MAP'!$B$5=2023,#REF!,IF('INHERENT MAP'!$B$5=2024,#REF!,#REF!))))</f>
        <v>#REF!</v>
      </c>
      <c r="AK76" t="e">
        <f>IF('РЕЕСТР РИСКОВ_2023'!#REF!="",AK75,'РЕЕСТР РИСКОВ_2023'!#REF!)</f>
        <v>#REF!</v>
      </c>
      <c r="AL76" t="e">
        <f>IF('РЕЕСТР РИСКОВ_2023'!#REF!="",AL75,'РЕЕСТР РИСКОВ_2023'!#REF!)</f>
        <v>#REF!</v>
      </c>
      <c r="AM76" t="e">
        <f>IF('РЕЕСТР РИСКОВ_2023'!#REF!="",AM75,'РЕЕСТР РИСКОВ_2023'!#REF!)</f>
        <v>#REF!</v>
      </c>
      <c r="AN76" t="e">
        <f>IF('РЕЕСТР РИСКОВ_2023'!#REF!="",AN75,'РЕЕСТР РИСКОВ_2023'!#REF!)</f>
        <v>#REF!</v>
      </c>
      <c r="AO76" t="e">
        <f>IF('РЕЕСТР РИСКОВ_2023'!#REF!="",AO75,'РЕЕСТР РИСКОВ_2023'!#REF!)</f>
        <v>#REF!</v>
      </c>
    </row>
    <row r="77" spans="2:41">
      <c r="B77" t="e">
        <f>IF('INHERENT MAP'!$B$5=2021,IF('РЕЕСТР РИСКОВ_2023'!#REF!="",B76,'РЕЕСТР РИСКОВ_2023'!#REF!),IF('INHERENT MAP'!$B$5=2022,IF(#REF!="",B76,#REF!),IF('INHERENT MAP'!$B$5=2023,IF(#REF!="",B76,#REF!),IF('INHERENT MAP'!$B$5=2024,IF(#REF!="",B76,#REF!),IF('РЕЕСТР РИСКОВ_2023'!#REF!="",B76,'РЕЕСТР РИСКОВ_2023'!#REF!)))))</f>
        <v>#REF!</v>
      </c>
      <c r="C77" t="e">
        <f>IF('INHERENT MAP'!$B$5=2021,IF('РЕЕСТР РИСКОВ_2023'!#REF!="",C76,'РЕЕСТР РИСКОВ_2023'!#REF!),IF('INHERENT MAP'!$B$5=2022,IF(#REF!="",C76,#REF!),IF('INHERENT MAP'!$B$5=2023,IF(#REF!="",C76,#REF!),IF('INHERENT MAP'!$B$5=2024,IF(#REF!="",C76,#REF!),IF('РЕЕСТР РИСКОВ_2023'!#REF!="",C76,'РЕЕСТР РИСКОВ_2023'!#REF!)))))</f>
        <v>#REF!</v>
      </c>
      <c r="D77" t="e">
        <f>IF('INHERENT MAP'!$B$5=2021,IF('РЕЕСТР РИСКОВ_2023'!#REF!="",D76,'РЕЕСТР РИСКОВ_2023'!#REF!),IF('INHERENT MAP'!$B$5=2022,IF(#REF!="",D76,#REF!),IF('INHERENT MAP'!$B$5=2023,IF(#REF!="",D76,#REF!),IF('INHERENT MAP'!$B$5=2024,IF(#REF!="",D76,#REF!),IF('РЕЕСТР РИСКОВ_2023'!#REF!="",D76,'РЕЕСТР РИСКОВ_2023'!#REF!)))))</f>
        <v>#REF!</v>
      </c>
      <c r="E77" t="e">
        <f>IF('INHERENT MAP'!$B$5=2021,IF('РЕЕСТР РИСКОВ_2023'!#REF!="",E76,'РЕЕСТР РИСКОВ_2023'!#REF!),IF('INHERENT MAP'!$B$5=2022,IF(#REF!="",E76,#REF!),IF('INHERENT MAP'!$B$5=2023,IF(#REF!="",E76,#REF!),IF('INHERENT MAP'!$B$5=2024,IF(#REF!="",E76,#REF!),IF('РЕЕСТР РИСКОВ_2023'!#REF!="",E76,'РЕЕСТР РИСКОВ_2023'!#REF!)))))</f>
        <v>#REF!</v>
      </c>
      <c r="F77" t="e">
        <f>IF('INHERENT MAP'!$B$5=2021,IF('РЕЕСТР РИСКОВ_2023'!#REF!="",F76,'РЕЕСТР РИСКОВ_2023'!#REF!),IF('INHERENT MAP'!$B$5=2022,IF(#REF!="",F76,#REF!),IF('INHERENT MAP'!$B$5=2023,IF(#REF!="",F76,#REF!),IF('INHERENT MAP'!$B$5=2024,IF(#REF!="",F76,#REF!),IF('РЕЕСТР РИСКОВ_2023'!#REF!="",F76,'РЕЕСТР РИСКОВ_2023'!#REF!)))))</f>
        <v>#REF!</v>
      </c>
      <c r="G77" t="e">
        <f>IF('INHERENT MAP'!$B$5=2021,IF('РЕЕСТР РИСКОВ_2023'!#REF!="",G76,'РЕЕСТР РИСКОВ_2023'!#REF!),IF('INHERENT MAP'!$B$5=2022,IF(#REF!="",G76,#REF!),IF('INHERENT MAP'!$B$5=2023,IF(#REF!="",G76,#REF!),IF('INHERENT MAP'!$B$5=2024,IF(#REF!="",G76,#REF!),IF('РЕЕСТР РИСКОВ_2023'!#REF!="",G76,'РЕЕСТР РИСКОВ_2023'!#REF!)))))</f>
        <v>#REF!</v>
      </c>
      <c r="H77" t="e">
        <f>IF('INHERENT MAP'!$B$5=2021,'РЕЕСТР РИСКОВ_2023'!#REF!,IF('INHERENT MAP'!$B$5=2022,#REF!,IF('INHERENT MAP'!$B$5=2023,#REF!,IF('INHERENT MAP'!$B$5=2024,#REF!,#REF!))))</f>
        <v>#REF!</v>
      </c>
      <c r="I77" t="e">
        <f>IF('INHERENT MAP'!$B$5=2021,'РЕЕСТР РИСКОВ_2023'!#REF!,IF('INHERENT MAP'!$B$5=2022,#REF!,IF('INHERENT MAP'!$B$5=2023,#REF!,IF('INHERENT MAP'!$B$5=2024,#REF!,#REF!))))</f>
        <v>#REF!</v>
      </c>
      <c r="J77" t="e">
        <f>IF('INHERENT MAP'!$B$5=2021,'РЕЕСТР РИСКОВ_2023'!#REF!,IF('INHERENT MAP'!$B$5=2022,#REF!,IF('INHERENT MAP'!$B$5=2023,#REF!,IF('INHERENT MAP'!$B$5=2024,#REF!,#REF!))))</f>
        <v>#REF!</v>
      </c>
      <c r="K77" t="e">
        <f>IF('INHERENT MAP'!$B$5=2021,'РЕЕСТР РИСКОВ_2023'!#REF!,IF('INHERENT MAP'!$B$5=2022,#REF!,IF('INHERENT MAP'!$B$5=2023,#REF!,IF('INHERENT MAP'!$B$5=2024,#REF!,#REF!))))</f>
        <v>#REF!</v>
      </c>
      <c r="L77" t="e">
        <f>IF('INHERENT MAP'!$B$5=2021,'РЕЕСТР РИСКОВ_2023'!#REF!,IF('INHERENT MAP'!$B$5=2022,#REF!,IF('INHERENT MAP'!$B$5=2023,#REF!,IF('INHERENT MAP'!$B$5=2024,#REF!,#REF!))))</f>
        <v>#REF!</v>
      </c>
      <c r="M77" t="e">
        <f>IF('INHERENT MAP'!$B$5=2021,IF('РЕЕСТР РИСКОВ_2023'!#REF!="",M76,'РЕЕСТР РИСКОВ_2023'!#REF!),IF('INHERENT MAP'!$B$5=2022,IF(#REF!="",M76,#REF!),IF('INHERENT MAP'!$B$5=2023,IF(#REF!="",M76,#REF!),IF('INHERENT MAP'!$B$5=2024,IF(#REF!="",M76,#REF!),IF('РЕЕСТР РИСКОВ_2023'!#REF!="",M76,'РЕЕСТР РИСКОВ_2023'!#REF!)))))</f>
        <v>#REF!</v>
      </c>
      <c r="N77" t="e">
        <f>IF('INHERENT MAP'!$B$5=2021,IF('РЕЕСТР РИСКОВ_2023'!#REF!="",N76,'РЕЕСТР РИСКОВ_2023'!#REF!),IF('INHERENT MAP'!$B$5=2022,IF(#REF!="",N76,#REF!),IF('INHERENT MAP'!$B$5=2023,IF(#REF!="",N76,#REF!),IF('INHERENT MAP'!$B$5=2024,IF(#REF!="",N76,#REF!),IF('РЕЕСТР РИСКОВ_2023'!#REF!="",N76,'РЕЕСТР РИСКОВ_2023'!#REF!)))))</f>
        <v>#REF!</v>
      </c>
      <c r="O77" t="e">
        <f>'РЕЕСТР РИСКОВ_2023'!#REF!</f>
        <v>#REF!</v>
      </c>
      <c r="P77" t="e">
        <f>IF('РЕЕСТР РИСКОВ_2023'!#REF!="",P76,'РЕЕСТР РИСКОВ_2023'!#REF!)</f>
        <v>#REF!</v>
      </c>
      <c r="Q77" t="e">
        <f>IF('РЕЕСТР РИСКОВ_2023'!#REF!="",Q76,'РЕЕСТР РИСКОВ_2023'!#REF!)</f>
        <v>#REF!</v>
      </c>
      <c r="R77" t="e">
        <f>IF('РЕЕСТР РИСКОВ_2023'!#REF!="",R76,'РЕЕСТР РИСКОВ_2023'!#REF!)</f>
        <v>#REF!</v>
      </c>
      <c r="S77" t="e">
        <f>'РЕЕСТР РИСКОВ_2023'!#REF!</f>
        <v>#REF!</v>
      </c>
      <c r="T77" s="94" t="e">
        <f>IF('INHERENT MAP'!$B$5=2021,'РЕЕСТР РИСКОВ_2023'!#REF!,IF('INHERENT MAP'!$B$5=2022,#REF!,IF('INHERENT MAP'!$B$5=2023,#REF!,IF('INHERENT MAP'!$B$5=2024,#REF!,#REF!))))</f>
        <v>#REF!</v>
      </c>
      <c r="U77" t="e">
        <f>IF('INHERENT MAP'!$B$5=2021,'РЕЕСТР РИСКОВ_2023'!#REF!,IF('INHERENT MAP'!$B$5=2022,#REF!,IF('INHERENT MAP'!$B$5=2023,#REF!,IF('INHERENT MAP'!$B$5=2024,#REF!,#REF!))))</f>
        <v>#REF!</v>
      </c>
      <c r="V77" t="e">
        <f>IF('INHERENT MAP'!$B$5=2021,'РЕЕСТР РИСКОВ_2023'!#REF!,IF('INHERENT MAP'!$B$5=2022,#REF!,IF('INHERENT MAP'!$B$5=2023,#REF!,IF('INHERENT MAP'!$B$5=2024,#REF!,#REF!))))</f>
        <v>#REF!</v>
      </c>
      <c r="W77" t="e">
        <f>IF('INHERENT MAP'!$B$5=2021,'РЕЕСТР РИСКОВ_2023'!#REF!,IF('INHERENT MAP'!$B$5=2022,#REF!,IF('INHERENT MAP'!$B$5=2023,#REF!,IF('INHERENT MAP'!$B$5=2024,#REF!,#REF!))))</f>
        <v>#REF!</v>
      </c>
      <c r="X77" s="94" t="e">
        <f>IF('INHERENT MAP'!$B$5=2021,'РЕЕСТР РИСКОВ_2023'!#REF!,IF('INHERENT MAP'!$B$5=2022,#REF!,IF('INHERENT MAP'!$B$5=2023,#REF!,IF('INHERENT MAP'!$B$5=2024,#REF!,#REF!))))</f>
        <v>#REF!</v>
      </c>
      <c r="Y77" t="e">
        <f>IF('INHERENT MAP'!$B$5=2021,'РЕЕСТР РИСКОВ_2023'!#REF!,IF('INHERENT MAP'!$B$5=2022,#REF!,IF('INHERENT MAP'!$B$5=2023,#REF!,IF('INHERENT MAP'!$B$5=2024,#REF!,#REF!))))</f>
        <v>#REF!</v>
      </c>
      <c r="Z77" t="e">
        <f>IF('INHERENT MAP'!$B$5=2021,'РЕЕСТР РИСКОВ_2023'!#REF!,IF('INHERENT MAP'!$B$5=2022,#REF!,IF('INHERENT MAP'!$B$5=2023,#REF!,IF('INHERENT MAP'!$B$5=2024,#REF!,#REF!))))</f>
        <v>#REF!</v>
      </c>
      <c r="AA77" t="e">
        <f>IF('INHERENT MAP'!$B$5=2021,'РЕЕСТР РИСКОВ_2023'!#REF!,IF('INHERENT MAP'!$B$5=2022,#REF!,IF('INHERENT MAP'!$B$5=2023,#REF!,IF('INHERENT MAP'!$B$5=2024,#REF!,#REF!))))</f>
        <v>#REF!</v>
      </c>
      <c r="AB77" t="e">
        <f>IF('INHERENT MAP'!$B$5=2021,'РЕЕСТР РИСКОВ_2023'!#REF!,IF('INHERENT MAP'!$B$5=2022,#REF!,IF('INHERENT MAP'!$B$5=2023,#REF!,IF('INHERENT MAP'!$B$5=2024,#REF!,#REF!))))</f>
        <v>#REF!</v>
      </c>
      <c r="AC77" t="e">
        <f>IF('INHERENT MAP'!$B$5=2021,'РЕЕСТР РИСКОВ_2023'!#REF!,IF('INHERENT MAP'!$B$5=2022,#REF!,IF('INHERENT MAP'!$B$5=2023,#REF!,IF('INHERENT MAP'!$B$5=2024,#REF!,#REF!))))</f>
        <v>#REF!</v>
      </c>
      <c r="AD77" t="e">
        <f>IF('INHERENT MAP'!$B$5=2021,'РЕЕСТР РИСКОВ_2023'!#REF!,IF('INHERENT MAP'!$B$5=2022,#REF!,IF('INHERENT MAP'!$B$5=2023,#REF!,IF('INHERENT MAP'!$B$5=2024,#REF!,#REF!))))</f>
        <v>#REF!</v>
      </c>
      <c r="AE77" t="e">
        <f>IF('INHERENT MAP'!$B$5=2021,'РЕЕСТР РИСКОВ_2023'!#REF!,IF('INHERENT MAP'!$B$5=2022,#REF!,IF('INHERENT MAP'!$B$5=2023,#REF!,IF('INHERENT MAP'!$B$5=2024,#REF!,#REF!))))</f>
        <v>#REF!</v>
      </c>
      <c r="AF77" t="e">
        <f>IF('INHERENT MAP'!$B$5=2021,'РЕЕСТР РИСКОВ_2023'!#REF!,IF('INHERENT MAP'!$B$5=2022,#REF!,IF('INHERENT MAP'!$B$5=2023,#REF!,IF('INHERENT MAP'!$B$5=2024,#REF!,#REF!))))</f>
        <v>#REF!</v>
      </c>
      <c r="AG77" t="e">
        <f>IF('INHERENT MAP'!$B$5=2021,'РЕЕСТР РИСКОВ_2023'!#REF!,IF('INHERENT MAP'!$B$5=2022,#REF!,IF('INHERENT MAP'!$B$5=2023,#REF!,IF('INHERENT MAP'!$B$5=2024,#REF!,#REF!))))</f>
        <v>#REF!</v>
      </c>
      <c r="AH77" t="e">
        <f>IF('INHERENT MAP'!$B$5=2021,'РЕЕСТР РИСКОВ_2023'!#REF!,IF('INHERENT MAP'!$B$5=2022,#REF!,IF('INHERENT MAP'!$B$5=2023,#REF!,IF('INHERENT MAP'!$B$5=2024,#REF!,#REF!))))</f>
        <v>#REF!</v>
      </c>
      <c r="AI77" t="e">
        <f>IF('INHERENT MAP'!$B$5=2021,'РЕЕСТР РИСКОВ_2023'!#REF!,IF('INHERENT MAP'!$B$5=2022,#REF!,IF('INHERENT MAP'!$B$5=2023,#REF!,IF('INHERENT MAP'!$B$5=2024,#REF!,#REF!))))</f>
        <v>#REF!</v>
      </c>
      <c r="AJ77" t="e">
        <f>IF('INHERENT MAP'!$B$5=2021,'РЕЕСТР РИСКОВ_2023'!#REF!,IF('INHERENT MAP'!$B$5=2022,#REF!,IF('INHERENT MAP'!$B$5=2023,#REF!,IF('INHERENT MAP'!$B$5=2024,#REF!,#REF!))))</f>
        <v>#REF!</v>
      </c>
      <c r="AK77" t="e">
        <f>IF('РЕЕСТР РИСКОВ_2023'!#REF!="",AK76,'РЕЕСТР РИСКОВ_2023'!#REF!)</f>
        <v>#REF!</v>
      </c>
      <c r="AL77" t="e">
        <f>IF('РЕЕСТР РИСКОВ_2023'!#REF!="",AL76,'РЕЕСТР РИСКОВ_2023'!#REF!)</f>
        <v>#REF!</v>
      </c>
      <c r="AM77" t="e">
        <f>IF('РЕЕСТР РИСКОВ_2023'!#REF!="",AM76,'РЕЕСТР РИСКОВ_2023'!#REF!)</f>
        <v>#REF!</v>
      </c>
      <c r="AN77" t="e">
        <f>IF('РЕЕСТР РИСКОВ_2023'!#REF!="",AN76,'РЕЕСТР РИСКОВ_2023'!#REF!)</f>
        <v>#REF!</v>
      </c>
      <c r="AO77" t="e">
        <f>IF('РЕЕСТР РИСКОВ_2023'!#REF!="",AO76,'РЕЕСТР РИСКОВ_2023'!#REF!)</f>
        <v>#REF!</v>
      </c>
    </row>
    <row r="78" spans="2:41">
      <c r="B78" t="e">
        <f>IF('INHERENT MAP'!$B$5=2021,IF('РЕЕСТР РИСКОВ_2023'!#REF!="",B77,'РЕЕСТР РИСКОВ_2023'!#REF!),IF('INHERENT MAP'!$B$5=2022,IF(#REF!="",B77,#REF!),IF('INHERENT MAP'!$B$5=2023,IF(#REF!="",B77,#REF!),IF('INHERENT MAP'!$B$5=2024,IF(#REF!="",B77,#REF!),IF('РЕЕСТР РИСКОВ_2023'!#REF!="",B77,'РЕЕСТР РИСКОВ_2023'!#REF!)))))</f>
        <v>#REF!</v>
      </c>
      <c r="C78" t="e">
        <f>IF('INHERENT MAP'!$B$5=2021,IF('РЕЕСТР РИСКОВ_2023'!#REF!="",C77,'РЕЕСТР РИСКОВ_2023'!#REF!),IF('INHERENT MAP'!$B$5=2022,IF(#REF!="",C77,#REF!),IF('INHERENT MAP'!$B$5=2023,IF(#REF!="",C77,#REF!),IF('INHERENT MAP'!$B$5=2024,IF(#REF!="",C77,#REF!),IF('РЕЕСТР РИСКОВ_2023'!#REF!="",C77,'РЕЕСТР РИСКОВ_2023'!#REF!)))))</f>
        <v>#REF!</v>
      </c>
      <c r="D78" t="e">
        <f>IF('INHERENT MAP'!$B$5=2021,IF('РЕЕСТР РИСКОВ_2023'!#REF!="",D77,'РЕЕСТР РИСКОВ_2023'!#REF!),IF('INHERENT MAP'!$B$5=2022,IF(#REF!="",D77,#REF!),IF('INHERENT MAP'!$B$5=2023,IF(#REF!="",D77,#REF!),IF('INHERENT MAP'!$B$5=2024,IF(#REF!="",D77,#REF!),IF('РЕЕСТР РИСКОВ_2023'!#REF!="",D77,'РЕЕСТР РИСКОВ_2023'!#REF!)))))</f>
        <v>#REF!</v>
      </c>
      <c r="E78" t="e">
        <f>IF('INHERENT MAP'!$B$5=2021,IF('РЕЕСТР РИСКОВ_2023'!#REF!="",E77,'РЕЕСТР РИСКОВ_2023'!#REF!),IF('INHERENT MAP'!$B$5=2022,IF(#REF!="",E77,#REF!),IF('INHERENT MAP'!$B$5=2023,IF(#REF!="",E77,#REF!),IF('INHERENT MAP'!$B$5=2024,IF(#REF!="",E77,#REF!),IF('РЕЕСТР РИСКОВ_2023'!#REF!="",E77,'РЕЕСТР РИСКОВ_2023'!#REF!)))))</f>
        <v>#REF!</v>
      </c>
      <c r="F78" t="e">
        <f>IF('INHERENT MAP'!$B$5=2021,IF('РЕЕСТР РИСКОВ_2023'!#REF!="",F77,'РЕЕСТР РИСКОВ_2023'!#REF!),IF('INHERENT MAP'!$B$5=2022,IF(#REF!="",F77,#REF!),IF('INHERENT MAP'!$B$5=2023,IF(#REF!="",F77,#REF!),IF('INHERENT MAP'!$B$5=2024,IF(#REF!="",F77,#REF!),IF('РЕЕСТР РИСКОВ_2023'!#REF!="",F77,'РЕЕСТР РИСКОВ_2023'!#REF!)))))</f>
        <v>#REF!</v>
      </c>
      <c r="G78" t="e">
        <f>IF('INHERENT MAP'!$B$5=2021,IF('РЕЕСТР РИСКОВ_2023'!#REF!="",G77,'РЕЕСТР РИСКОВ_2023'!#REF!),IF('INHERENT MAP'!$B$5=2022,IF(#REF!="",G77,#REF!),IF('INHERENT MAP'!$B$5=2023,IF(#REF!="",G77,#REF!),IF('INHERENT MAP'!$B$5=2024,IF(#REF!="",G77,#REF!),IF('РЕЕСТР РИСКОВ_2023'!#REF!="",G77,'РЕЕСТР РИСКОВ_2023'!#REF!)))))</f>
        <v>#REF!</v>
      </c>
      <c r="H78" t="e">
        <f>IF('INHERENT MAP'!$B$5=2021,'РЕЕСТР РИСКОВ_2023'!#REF!,IF('INHERENT MAP'!$B$5=2022,#REF!,IF('INHERENT MAP'!$B$5=2023,#REF!,IF('INHERENT MAP'!$B$5=2024,#REF!,#REF!))))</f>
        <v>#REF!</v>
      </c>
      <c r="I78" t="e">
        <f>IF('INHERENT MAP'!$B$5=2021,'РЕЕСТР РИСКОВ_2023'!#REF!,IF('INHERENT MAP'!$B$5=2022,#REF!,IF('INHERENT MAP'!$B$5=2023,#REF!,IF('INHERENT MAP'!$B$5=2024,#REF!,#REF!))))</f>
        <v>#REF!</v>
      </c>
      <c r="J78" t="e">
        <f>IF('INHERENT MAP'!$B$5=2021,'РЕЕСТР РИСКОВ_2023'!#REF!,IF('INHERENT MAP'!$B$5=2022,#REF!,IF('INHERENT MAP'!$B$5=2023,#REF!,IF('INHERENT MAP'!$B$5=2024,#REF!,#REF!))))</f>
        <v>#REF!</v>
      </c>
      <c r="K78" t="e">
        <f>IF('INHERENT MAP'!$B$5=2021,'РЕЕСТР РИСКОВ_2023'!#REF!,IF('INHERENT MAP'!$B$5=2022,#REF!,IF('INHERENT MAP'!$B$5=2023,#REF!,IF('INHERENT MAP'!$B$5=2024,#REF!,#REF!))))</f>
        <v>#REF!</v>
      </c>
      <c r="L78" t="e">
        <f>IF('INHERENT MAP'!$B$5=2021,'РЕЕСТР РИСКОВ_2023'!#REF!,IF('INHERENT MAP'!$B$5=2022,#REF!,IF('INHERENT MAP'!$B$5=2023,#REF!,IF('INHERENT MAP'!$B$5=2024,#REF!,#REF!))))</f>
        <v>#REF!</v>
      </c>
      <c r="M78" t="e">
        <f>IF('INHERENT MAP'!$B$5=2021,IF('РЕЕСТР РИСКОВ_2023'!#REF!="",M77,'РЕЕСТР РИСКОВ_2023'!#REF!),IF('INHERENT MAP'!$B$5=2022,IF(#REF!="",M77,#REF!),IF('INHERENT MAP'!$B$5=2023,IF(#REF!="",M77,#REF!),IF('INHERENT MAP'!$B$5=2024,IF(#REF!="",M77,#REF!),IF('РЕЕСТР РИСКОВ_2023'!#REF!="",M77,'РЕЕСТР РИСКОВ_2023'!#REF!)))))</f>
        <v>#REF!</v>
      </c>
      <c r="N78" t="e">
        <f>IF('INHERENT MAP'!$B$5=2021,IF('РЕЕСТР РИСКОВ_2023'!#REF!="",N77,'РЕЕСТР РИСКОВ_2023'!#REF!),IF('INHERENT MAP'!$B$5=2022,IF(#REF!="",N77,#REF!),IF('INHERENT MAP'!$B$5=2023,IF(#REF!="",N77,#REF!),IF('INHERENT MAP'!$B$5=2024,IF(#REF!="",N77,#REF!),IF('РЕЕСТР РИСКОВ_2023'!#REF!="",N77,'РЕЕСТР РИСКОВ_2023'!#REF!)))))</f>
        <v>#REF!</v>
      </c>
      <c r="O78" t="e">
        <f>'РЕЕСТР РИСКОВ_2023'!#REF!</f>
        <v>#REF!</v>
      </c>
      <c r="P78" t="e">
        <f>IF('РЕЕСТР РИСКОВ_2023'!#REF!="",P77,'РЕЕСТР РИСКОВ_2023'!#REF!)</f>
        <v>#REF!</v>
      </c>
      <c r="Q78" t="e">
        <f>IF('РЕЕСТР РИСКОВ_2023'!#REF!="",Q77,'РЕЕСТР РИСКОВ_2023'!#REF!)</f>
        <v>#REF!</v>
      </c>
      <c r="R78" t="e">
        <f>IF('РЕЕСТР РИСКОВ_2023'!#REF!="",R77,'РЕЕСТР РИСКОВ_2023'!#REF!)</f>
        <v>#REF!</v>
      </c>
      <c r="S78" t="e">
        <f>'РЕЕСТР РИСКОВ_2023'!#REF!</f>
        <v>#REF!</v>
      </c>
      <c r="T78" s="94" t="e">
        <f>IF('INHERENT MAP'!$B$5=2021,'РЕЕСТР РИСКОВ_2023'!#REF!,IF('INHERENT MAP'!$B$5=2022,#REF!,IF('INHERENT MAP'!$B$5=2023,#REF!,IF('INHERENT MAP'!$B$5=2024,#REF!,#REF!))))</f>
        <v>#REF!</v>
      </c>
      <c r="U78" t="e">
        <f>IF('INHERENT MAP'!$B$5=2021,'РЕЕСТР РИСКОВ_2023'!#REF!,IF('INHERENT MAP'!$B$5=2022,#REF!,IF('INHERENT MAP'!$B$5=2023,#REF!,IF('INHERENT MAP'!$B$5=2024,#REF!,#REF!))))</f>
        <v>#REF!</v>
      </c>
      <c r="V78" t="e">
        <f>IF('INHERENT MAP'!$B$5=2021,'РЕЕСТР РИСКОВ_2023'!#REF!,IF('INHERENT MAP'!$B$5=2022,#REF!,IF('INHERENT MAP'!$B$5=2023,#REF!,IF('INHERENT MAP'!$B$5=2024,#REF!,#REF!))))</f>
        <v>#REF!</v>
      </c>
      <c r="W78" t="e">
        <f>IF('INHERENT MAP'!$B$5=2021,'РЕЕСТР РИСКОВ_2023'!#REF!,IF('INHERENT MAP'!$B$5=2022,#REF!,IF('INHERENT MAP'!$B$5=2023,#REF!,IF('INHERENT MAP'!$B$5=2024,#REF!,#REF!))))</f>
        <v>#REF!</v>
      </c>
      <c r="X78" s="94" t="e">
        <f>IF('INHERENT MAP'!$B$5=2021,'РЕЕСТР РИСКОВ_2023'!#REF!,IF('INHERENT MAP'!$B$5=2022,#REF!,IF('INHERENT MAP'!$B$5=2023,#REF!,IF('INHERENT MAP'!$B$5=2024,#REF!,#REF!))))</f>
        <v>#REF!</v>
      </c>
      <c r="Y78" t="e">
        <f>IF('INHERENT MAP'!$B$5=2021,'РЕЕСТР РИСКОВ_2023'!#REF!,IF('INHERENT MAP'!$B$5=2022,#REF!,IF('INHERENT MAP'!$B$5=2023,#REF!,IF('INHERENT MAP'!$B$5=2024,#REF!,#REF!))))</f>
        <v>#REF!</v>
      </c>
      <c r="Z78" t="e">
        <f>IF('INHERENT MAP'!$B$5=2021,'РЕЕСТР РИСКОВ_2023'!#REF!,IF('INHERENT MAP'!$B$5=2022,#REF!,IF('INHERENT MAP'!$B$5=2023,#REF!,IF('INHERENT MAP'!$B$5=2024,#REF!,#REF!))))</f>
        <v>#REF!</v>
      </c>
      <c r="AA78" t="e">
        <f>IF('INHERENT MAP'!$B$5=2021,'РЕЕСТР РИСКОВ_2023'!#REF!,IF('INHERENT MAP'!$B$5=2022,#REF!,IF('INHERENT MAP'!$B$5=2023,#REF!,IF('INHERENT MAP'!$B$5=2024,#REF!,#REF!))))</f>
        <v>#REF!</v>
      </c>
      <c r="AB78" t="e">
        <f>IF('INHERENT MAP'!$B$5=2021,'РЕЕСТР РИСКОВ_2023'!#REF!,IF('INHERENT MAP'!$B$5=2022,#REF!,IF('INHERENT MAP'!$B$5=2023,#REF!,IF('INHERENT MAP'!$B$5=2024,#REF!,#REF!))))</f>
        <v>#REF!</v>
      </c>
      <c r="AC78" t="e">
        <f>IF('INHERENT MAP'!$B$5=2021,'РЕЕСТР РИСКОВ_2023'!#REF!,IF('INHERENT MAP'!$B$5=2022,#REF!,IF('INHERENT MAP'!$B$5=2023,#REF!,IF('INHERENT MAP'!$B$5=2024,#REF!,#REF!))))</f>
        <v>#REF!</v>
      </c>
      <c r="AD78" t="e">
        <f>IF('INHERENT MAP'!$B$5=2021,'РЕЕСТР РИСКОВ_2023'!#REF!,IF('INHERENT MAP'!$B$5=2022,#REF!,IF('INHERENT MAP'!$B$5=2023,#REF!,IF('INHERENT MAP'!$B$5=2024,#REF!,#REF!))))</f>
        <v>#REF!</v>
      </c>
      <c r="AE78" t="e">
        <f>IF('INHERENT MAP'!$B$5=2021,'РЕЕСТР РИСКОВ_2023'!#REF!,IF('INHERENT MAP'!$B$5=2022,#REF!,IF('INHERENT MAP'!$B$5=2023,#REF!,IF('INHERENT MAP'!$B$5=2024,#REF!,#REF!))))</f>
        <v>#REF!</v>
      </c>
      <c r="AF78" t="e">
        <f>IF('INHERENT MAP'!$B$5=2021,'РЕЕСТР РИСКОВ_2023'!#REF!,IF('INHERENT MAP'!$B$5=2022,#REF!,IF('INHERENT MAP'!$B$5=2023,#REF!,IF('INHERENT MAP'!$B$5=2024,#REF!,#REF!))))</f>
        <v>#REF!</v>
      </c>
      <c r="AG78" t="e">
        <f>IF('INHERENT MAP'!$B$5=2021,'РЕЕСТР РИСКОВ_2023'!#REF!,IF('INHERENT MAP'!$B$5=2022,#REF!,IF('INHERENT MAP'!$B$5=2023,#REF!,IF('INHERENT MAP'!$B$5=2024,#REF!,#REF!))))</f>
        <v>#REF!</v>
      </c>
      <c r="AH78" t="e">
        <f>IF('INHERENT MAP'!$B$5=2021,'РЕЕСТР РИСКОВ_2023'!#REF!,IF('INHERENT MAP'!$B$5=2022,#REF!,IF('INHERENT MAP'!$B$5=2023,#REF!,IF('INHERENT MAP'!$B$5=2024,#REF!,#REF!))))</f>
        <v>#REF!</v>
      </c>
      <c r="AI78" t="e">
        <f>IF('INHERENT MAP'!$B$5=2021,'РЕЕСТР РИСКОВ_2023'!#REF!,IF('INHERENT MAP'!$B$5=2022,#REF!,IF('INHERENT MAP'!$B$5=2023,#REF!,IF('INHERENT MAP'!$B$5=2024,#REF!,#REF!))))</f>
        <v>#REF!</v>
      </c>
      <c r="AJ78" t="e">
        <f>IF('INHERENT MAP'!$B$5=2021,'РЕЕСТР РИСКОВ_2023'!#REF!,IF('INHERENT MAP'!$B$5=2022,#REF!,IF('INHERENT MAP'!$B$5=2023,#REF!,IF('INHERENT MAP'!$B$5=2024,#REF!,#REF!))))</f>
        <v>#REF!</v>
      </c>
      <c r="AK78" t="e">
        <f>IF('РЕЕСТР РИСКОВ_2023'!#REF!="",AK77,'РЕЕСТР РИСКОВ_2023'!#REF!)</f>
        <v>#REF!</v>
      </c>
      <c r="AL78" t="e">
        <f>IF('РЕЕСТР РИСКОВ_2023'!#REF!="",AL77,'РЕЕСТР РИСКОВ_2023'!#REF!)</f>
        <v>#REF!</v>
      </c>
      <c r="AM78" t="e">
        <f>IF('РЕЕСТР РИСКОВ_2023'!#REF!="",AM77,'РЕЕСТР РИСКОВ_2023'!#REF!)</f>
        <v>#REF!</v>
      </c>
      <c r="AN78" t="e">
        <f>IF('РЕЕСТР РИСКОВ_2023'!#REF!="",AN77,'РЕЕСТР РИСКОВ_2023'!#REF!)</f>
        <v>#REF!</v>
      </c>
      <c r="AO78" t="e">
        <f>IF('РЕЕСТР РИСКОВ_2023'!#REF!="",AO77,'РЕЕСТР РИСКОВ_2023'!#REF!)</f>
        <v>#REF!</v>
      </c>
    </row>
    <row r="79" spans="2:41">
      <c r="B79" t="e">
        <f>IF('INHERENT MAP'!$B$5=2021,IF('РЕЕСТР РИСКОВ_2023'!#REF!="",B78,'РЕЕСТР РИСКОВ_2023'!#REF!),IF('INHERENT MAP'!$B$5=2022,IF(#REF!="",B78,#REF!),IF('INHERENT MAP'!$B$5=2023,IF(#REF!="",B78,#REF!),IF('INHERENT MAP'!$B$5=2024,IF(#REF!="",B78,#REF!),IF('РЕЕСТР РИСКОВ_2023'!#REF!="",B78,'РЕЕСТР РИСКОВ_2023'!#REF!)))))</f>
        <v>#REF!</v>
      </c>
      <c r="C79" t="e">
        <f>IF('INHERENT MAP'!$B$5=2021,IF('РЕЕСТР РИСКОВ_2023'!#REF!="",C78,'РЕЕСТР РИСКОВ_2023'!#REF!),IF('INHERENT MAP'!$B$5=2022,IF(#REF!="",C78,#REF!),IF('INHERENT MAP'!$B$5=2023,IF(#REF!="",C78,#REF!),IF('INHERENT MAP'!$B$5=2024,IF(#REF!="",C78,#REF!),IF('РЕЕСТР РИСКОВ_2023'!#REF!="",C78,'РЕЕСТР РИСКОВ_2023'!#REF!)))))</f>
        <v>#REF!</v>
      </c>
      <c r="D79" t="e">
        <f>IF('INHERENT MAP'!$B$5=2021,IF('РЕЕСТР РИСКОВ_2023'!#REF!="",D78,'РЕЕСТР РИСКОВ_2023'!#REF!),IF('INHERENT MAP'!$B$5=2022,IF(#REF!="",D78,#REF!),IF('INHERENT MAP'!$B$5=2023,IF(#REF!="",D78,#REF!),IF('INHERENT MAP'!$B$5=2024,IF(#REF!="",D78,#REF!),IF('РЕЕСТР РИСКОВ_2023'!#REF!="",D78,'РЕЕСТР РИСКОВ_2023'!#REF!)))))</f>
        <v>#REF!</v>
      </c>
      <c r="E79" t="e">
        <f>IF('INHERENT MAP'!$B$5=2021,IF('РЕЕСТР РИСКОВ_2023'!#REF!="",E78,'РЕЕСТР РИСКОВ_2023'!#REF!),IF('INHERENT MAP'!$B$5=2022,IF(#REF!="",E78,#REF!),IF('INHERENT MAP'!$B$5=2023,IF(#REF!="",E78,#REF!),IF('INHERENT MAP'!$B$5=2024,IF(#REF!="",E78,#REF!),IF('РЕЕСТР РИСКОВ_2023'!#REF!="",E78,'РЕЕСТР РИСКОВ_2023'!#REF!)))))</f>
        <v>#REF!</v>
      </c>
      <c r="F79" t="e">
        <f>IF('INHERENT MAP'!$B$5=2021,IF('РЕЕСТР РИСКОВ_2023'!#REF!="",F78,'РЕЕСТР РИСКОВ_2023'!#REF!),IF('INHERENT MAP'!$B$5=2022,IF(#REF!="",F78,#REF!),IF('INHERENT MAP'!$B$5=2023,IF(#REF!="",F78,#REF!),IF('INHERENT MAP'!$B$5=2024,IF(#REF!="",F78,#REF!),IF('РЕЕСТР РИСКОВ_2023'!#REF!="",F78,'РЕЕСТР РИСКОВ_2023'!#REF!)))))</f>
        <v>#REF!</v>
      </c>
      <c r="G79" t="e">
        <f>IF('INHERENT MAP'!$B$5=2021,IF('РЕЕСТР РИСКОВ_2023'!#REF!="",G78,'РЕЕСТР РИСКОВ_2023'!#REF!),IF('INHERENT MAP'!$B$5=2022,IF(#REF!="",G78,#REF!),IF('INHERENT MAP'!$B$5=2023,IF(#REF!="",G78,#REF!),IF('INHERENT MAP'!$B$5=2024,IF(#REF!="",G78,#REF!),IF('РЕЕСТР РИСКОВ_2023'!#REF!="",G78,'РЕЕСТР РИСКОВ_2023'!#REF!)))))</f>
        <v>#REF!</v>
      </c>
      <c r="H79" t="e">
        <f>IF('INHERENT MAP'!$B$5=2021,'РЕЕСТР РИСКОВ_2023'!#REF!,IF('INHERENT MAP'!$B$5=2022,#REF!,IF('INHERENT MAP'!$B$5=2023,#REF!,IF('INHERENT MAP'!$B$5=2024,#REF!,#REF!))))</f>
        <v>#REF!</v>
      </c>
      <c r="I79" t="e">
        <f>IF('INHERENT MAP'!$B$5=2021,'РЕЕСТР РИСКОВ_2023'!#REF!,IF('INHERENT MAP'!$B$5=2022,#REF!,IF('INHERENT MAP'!$B$5=2023,#REF!,IF('INHERENT MAP'!$B$5=2024,#REF!,#REF!))))</f>
        <v>#REF!</v>
      </c>
      <c r="J79" t="e">
        <f>IF('INHERENT MAP'!$B$5=2021,'РЕЕСТР РИСКОВ_2023'!#REF!,IF('INHERENT MAP'!$B$5=2022,#REF!,IF('INHERENT MAP'!$B$5=2023,#REF!,IF('INHERENT MAP'!$B$5=2024,#REF!,#REF!))))</f>
        <v>#REF!</v>
      </c>
      <c r="K79" t="e">
        <f>IF('INHERENT MAP'!$B$5=2021,'РЕЕСТР РИСКОВ_2023'!#REF!,IF('INHERENT MAP'!$B$5=2022,#REF!,IF('INHERENT MAP'!$B$5=2023,#REF!,IF('INHERENT MAP'!$B$5=2024,#REF!,#REF!))))</f>
        <v>#REF!</v>
      </c>
      <c r="L79" t="e">
        <f>IF('INHERENT MAP'!$B$5=2021,'РЕЕСТР РИСКОВ_2023'!#REF!,IF('INHERENT MAP'!$B$5=2022,#REF!,IF('INHERENT MAP'!$B$5=2023,#REF!,IF('INHERENT MAP'!$B$5=2024,#REF!,#REF!))))</f>
        <v>#REF!</v>
      </c>
      <c r="M79" t="e">
        <f>IF('INHERENT MAP'!$B$5=2021,IF('РЕЕСТР РИСКОВ_2023'!#REF!="",M78,'РЕЕСТР РИСКОВ_2023'!#REF!),IF('INHERENT MAP'!$B$5=2022,IF(#REF!="",M78,#REF!),IF('INHERENT MAP'!$B$5=2023,IF(#REF!="",M78,#REF!),IF('INHERENT MAP'!$B$5=2024,IF(#REF!="",M78,#REF!),IF('РЕЕСТР РИСКОВ_2023'!#REF!="",M78,'РЕЕСТР РИСКОВ_2023'!#REF!)))))</f>
        <v>#REF!</v>
      </c>
      <c r="N79" t="e">
        <f>IF('INHERENT MAP'!$B$5=2021,IF('РЕЕСТР РИСКОВ_2023'!#REF!="",N78,'РЕЕСТР РИСКОВ_2023'!#REF!),IF('INHERENT MAP'!$B$5=2022,IF(#REF!="",N78,#REF!),IF('INHERENT MAP'!$B$5=2023,IF(#REF!="",N78,#REF!),IF('INHERENT MAP'!$B$5=2024,IF(#REF!="",N78,#REF!),IF('РЕЕСТР РИСКОВ_2023'!#REF!="",N78,'РЕЕСТР РИСКОВ_2023'!#REF!)))))</f>
        <v>#REF!</v>
      </c>
      <c r="O79" t="e">
        <f>'РЕЕСТР РИСКОВ_2023'!#REF!</f>
        <v>#REF!</v>
      </c>
      <c r="P79" t="e">
        <f>IF('РЕЕСТР РИСКОВ_2023'!#REF!="",P78,'РЕЕСТР РИСКОВ_2023'!#REF!)</f>
        <v>#REF!</v>
      </c>
      <c r="Q79" t="e">
        <f>IF('РЕЕСТР РИСКОВ_2023'!#REF!="",Q78,'РЕЕСТР РИСКОВ_2023'!#REF!)</f>
        <v>#REF!</v>
      </c>
      <c r="R79" t="e">
        <f>IF('РЕЕСТР РИСКОВ_2023'!#REF!="",R78,'РЕЕСТР РИСКОВ_2023'!#REF!)</f>
        <v>#REF!</v>
      </c>
      <c r="S79" t="e">
        <f>'РЕЕСТР РИСКОВ_2023'!#REF!</f>
        <v>#REF!</v>
      </c>
      <c r="T79" s="94" t="e">
        <f>IF('INHERENT MAP'!$B$5=2021,'РЕЕСТР РИСКОВ_2023'!#REF!,IF('INHERENT MAP'!$B$5=2022,#REF!,IF('INHERENT MAP'!$B$5=2023,#REF!,IF('INHERENT MAP'!$B$5=2024,#REF!,#REF!))))</f>
        <v>#REF!</v>
      </c>
      <c r="U79" t="e">
        <f>IF('INHERENT MAP'!$B$5=2021,'РЕЕСТР РИСКОВ_2023'!#REF!,IF('INHERENT MAP'!$B$5=2022,#REF!,IF('INHERENT MAP'!$B$5=2023,#REF!,IF('INHERENT MAP'!$B$5=2024,#REF!,#REF!))))</f>
        <v>#REF!</v>
      </c>
      <c r="V79" t="e">
        <f>IF('INHERENT MAP'!$B$5=2021,'РЕЕСТР РИСКОВ_2023'!#REF!,IF('INHERENT MAP'!$B$5=2022,#REF!,IF('INHERENT MAP'!$B$5=2023,#REF!,IF('INHERENT MAP'!$B$5=2024,#REF!,#REF!))))</f>
        <v>#REF!</v>
      </c>
      <c r="W79" t="e">
        <f>IF('INHERENT MAP'!$B$5=2021,'РЕЕСТР РИСКОВ_2023'!#REF!,IF('INHERENT MAP'!$B$5=2022,#REF!,IF('INHERENT MAP'!$B$5=2023,#REF!,IF('INHERENT MAP'!$B$5=2024,#REF!,#REF!))))</f>
        <v>#REF!</v>
      </c>
      <c r="X79" s="94" t="e">
        <f>IF('INHERENT MAP'!$B$5=2021,'РЕЕСТР РИСКОВ_2023'!#REF!,IF('INHERENT MAP'!$B$5=2022,#REF!,IF('INHERENT MAP'!$B$5=2023,#REF!,IF('INHERENT MAP'!$B$5=2024,#REF!,#REF!))))</f>
        <v>#REF!</v>
      </c>
      <c r="Y79" t="e">
        <f>IF('INHERENT MAP'!$B$5=2021,'РЕЕСТР РИСКОВ_2023'!#REF!,IF('INHERENT MAP'!$B$5=2022,#REF!,IF('INHERENT MAP'!$B$5=2023,#REF!,IF('INHERENT MAP'!$B$5=2024,#REF!,#REF!))))</f>
        <v>#REF!</v>
      </c>
      <c r="Z79" t="e">
        <f>IF('INHERENT MAP'!$B$5=2021,'РЕЕСТР РИСКОВ_2023'!#REF!,IF('INHERENT MAP'!$B$5=2022,#REF!,IF('INHERENT MAP'!$B$5=2023,#REF!,IF('INHERENT MAP'!$B$5=2024,#REF!,#REF!))))</f>
        <v>#REF!</v>
      </c>
      <c r="AA79" t="e">
        <f>IF('INHERENT MAP'!$B$5=2021,'РЕЕСТР РИСКОВ_2023'!#REF!,IF('INHERENT MAP'!$B$5=2022,#REF!,IF('INHERENT MAP'!$B$5=2023,#REF!,IF('INHERENT MAP'!$B$5=2024,#REF!,#REF!))))</f>
        <v>#REF!</v>
      </c>
      <c r="AB79" t="e">
        <f>IF('INHERENT MAP'!$B$5=2021,'РЕЕСТР РИСКОВ_2023'!#REF!,IF('INHERENT MAP'!$B$5=2022,#REF!,IF('INHERENT MAP'!$B$5=2023,#REF!,IF('INHERENT MAP'!$B$5=2024,#REF!,#REF!))))</f>
        <v>#REF!</v>
      </c>
      <c r="AC79" t="e">
        <f>IF('INHERENT MAP'!$B$5=2021,'РЕЕСТР РИСКОВ_2023'!#REF!,IF('INHERENT MAP'!$B$5=2022,#REF!,IF('INHERENT MAP'!$B$5=2023,#REF!,IF('INHERENT MAP'!$B$5=2024,#REF!,#REF!))))</f>
        <v>#REF!</v>
      </c>
      <c r="AD79" t="e">
        <f>IF('INHERENT MAP'!$B$5=2021,'РЕЕСТР РИСКОВ_2023'!#REF!,IF('INHERENT MAP'!$B$5=2022,#REF!,IF('INHERENT MAP'!$B$5=2023,#REF!,IF('INHERENT MAP'!$B$5=2024,#REF!,#REF!))))</f>
        <v>#REF!</v>
      </c>
      <c r="AE79" t="e">
        <f>IF('INHERENT MAP'!$B$5=2021,'РЕЕСТР РИСКОВ_2023'!#REF!,IF('INHERENT MAP'!$B$5=2022,#REF!,IF('INHERENT MAP'!$B$5=2023,#REF!,IF('INHERENT MAP'!$B$5=2024,#REF!,#REF!))))</f>
        <v>#REF!</v>
      </c>
      <c r="AF79" t="e">
        <f>IF('INHERENT MAP'!$B$5=2021,'РЕЕСТР РИСКОВ_2023'!#REF!,IF('INHERENT MAP'!$B$5=2022,#REF!,IF('INHERENT MAP'!$B$5=2023,#REF!,IF('INHERENT MAP'!$B$5=2024,#REF!,#REF!))))</f>
        <v>#REF!</v>
      </c>
      <c r="AG79" t="e">
        <f>IF('INHERENT MAP'!$B$5=2021,'РЕЕСТР РИСКОВ_2023'!#REF!,IF('INHERENT MAP'!$B$5=2022,#REF!,IF('INHERENT MAP'!$B$5=2023,#REF!,IF('INHERENT MAP'!$B$5=2024,#REF!,#REF!))))</f>
        <v>#REF!</v>
      </c>
      <c r="AH79" t="e">
        <f>IF('INHERENT MAP'!$B$5=2021,'РЕЕСТР РИСКОВ_2023'!#REF!,IF('INHERENT MAP'!$B$5=2022,#REF!,IF('INHERENT MAP'!$B$5=2023,#REF!,IF('INHERENT MAP'!$B$5=2024,#REF!,#REF!))))</f>
        <v>#REF!</v>
      </c>
      <c r="AI79" t="e">
        <f>IF('INHERENT MAP'!$B$5=2021,'РЕЕСТР РИСКОВ_2023'!#REF!,IF('INHERENT MAP'!$B$5=2022,#REF!,IF('INHERENT MAP'!$B$5=2023,#REF!,IF('INHERENT MAP'!$B$5=2024,#REF!,#REF!))))</f>
        <v>#REF!</v>
      </c>
      <c r="AJ79" t="e">
        <f>IF('INHERENT MAP'!$B$5=2021,'РЕЕСТР РИСКОВ_2023'!#REF!,IF('INHERENT MAP'!$B$5=2022,#REF!,IF('INHERENT MAP'!$B$5=2023,#REF!,IF('INHERENT MAP'!$B$5=2024,#REF!,#REF!))))</f>
        <v>#REF!</v>
      </c>
      <c r="AK79" t="e">
        <f>IF('РЕЕСТР РИСКОВ_2023'!#REF!="",AK78,'РЕЕСТР РИСКОВ_2023'!#REF!)</f>
        <v>#REF!</v>
      </c>
      <c r="AL79" t="e">
        <f>IF('РЕЕСТР РИСКОВ_2023'!#REF!="",AL78,'РЕЕСТР РИСКОВ_2023'!#REF!)</f>
        <v>#REF!</v>
      </c>
      <c r="AM79" t="e">
        <f>IF('РЕЕСТР РИСКОВ_2023'!#REF!="",AM78,'РЕЕСТР РИСКОВ_2023'!#REF!)</f>
        <v>#REF!</v>
      </c>
      <c r="AN79" t="e">
        <f>IF('РЕЕСТР РИСКОВ_2023'!#REF!="",AN78,'РЕЕСТР РИСКОВ_2023'!#REF!)</f>
        <v>#REF!</v>
      </c>
      <c r="AO79" t="e">
        <f>IF('РЕЕСТР РИСКОВ_2023'!#REF!="",AO78,'РЕЕСТР РИСКОВ_2023'!#REF!)</f>
        <v>#REF!</v>
      </c>
    </row>
    <row r="80" spans="2:41">
      <c r="B80" t="e">
        <f>IF('INHERENT MAP'!$B$5=2021,IF('РЕЕСТР РИСКОВ_2023'!#REF!="",B79,'РЕЕСТР РИСКОВ_2023'!#REF!),IF('INHERENT MAP'!$B$5=2022,IF(#REF!="",B79,#REF!),IF('INHERENT MAP'!$B$5=2023,IF(#REF!="",B79,#REF!),IF('INHERENT MAP'!$B$5=2024,IF(#REF!="",B79,#REF!),IF('РЕЕСТР РИСКОВ_2023'!#REF!="",B79,'РЕЕСТР РИСКОВ_2023'!#REF!)))))</f>
        <v>#REF!</v>
      </c>
      <c r="C80" t="e">
        <f>IF('INHERENT MAP'!$B$5=2021,IF('РЕЕСТР РИСКОВ_2023'!#REF!="",C79,'РЕЕСТР РИСКОВ_2023'!#REF!),IF('INHERENT MAP'!$B$5=2022,IF(#REF!="",C79,#REF!),IF('INHERENT MAP'!$B$5=2023,IF(#REF!="",C79,#REF!),IF('INHERENT MAP'!$B$5=2024,IF(#REF!="",C79,#REF!),IF('РЕЕСТР РИСКОВ_2023'!#REF!="",C79,'РЕЕСТР РИСКОВ_2023'!#REF!)))))</f>
        <v>#REF!</v>
      </c>
      <c r="D80" t="e">
        <f>IF('INHERENT MAP'!$B$5=2021,IF('РЕЕСТР РИСКОВ_2023'!#REF!="",D79,'РЕЕСТР РИСКОВ_2023'!#REF!),IF('INHERENT MAP'!$B$5=2022,IF(#REF!="",D79,#REF!),IF('INHERENT MAP'!$B$5=2023,IF(#REF!="",D79,#REF!),IF('INHERENT MAP'!$B$5=2024,IF(#REF!="",D79,#REF!),IF('РЕЕСТР РИСКОВ_2023'!#REF!="",D79,'РЕЕСТР РИСКОВ_2023'!#REF!)))))</f>
        <v>#REF!</v>
      </c>
      <c r="E80" t="e">
        <f>IF('INHERENT MAP'!$B$5=2021,IF('РЕЕСТР РИСКОВ_2023'!#REF!="",E79,'РЕЕСТР РИСКОВ_2023'!#REF!),IF('INHERENT MAP'!$B$5=2022,IF(#REF!="",E79,#REF!),IF('INHERENT MAP'!$B$5=2023,IF(#REF!="",E79,#REF!),IF('INHERENT MAP'!$B$5=2024,IF(#REF!="",E79,#REF!),IF('РЕЕСТР РИСКОВ_2023'!#REF!="",E79,'РЕЕСТР РИСКОВ_2023'!#REF!)))))</f>
        <v>#REF!</v>
      </c>
      <c r="F80" t="e">
        <f>IF('INHERENT MAP'!$B$5=2021,IF('РЕЕСТР РИСКОВ_2023'!#REF!="",F79,'РЕЕСТР РИСКОВ_2023'!#REF!),IF('INHERENT MAP'!$B$5=2022,IF(#REF!="",F79,#REF!),IF('INHERENT MAP'!$B$5=2023,IF(#REF!="",F79,#REF!),IF('INHERENT MAP'!$B$5=2024,IF(#REF!="",F79,#REF!),IF('РЕЕСТР РИСКОВ_2023'!#REF!="",F79,'РЕЕСТР РИСКОВ_2023'!#REF!)))))</f>
        <v>#REF!</v>
      </c>
      <c r="G80" t="e">
        <f>IF('INHERENT MAP'!$B$5=2021,IF('РЕЕСТР РИСКОВ_2023'!#REF!="",G79,'РЕЕСТР РИСКОВ_2023'!#REF!),IF('INHERENT MAP'!$B$5=2022,IF(#REF!="",G79,#REF!),IF('INHERENT MAP'!$B$5=2023,IF(#REF!="",G79,#REF!),IF('INHERENT MAP'!$B$5=2024,IF(#REF!="",G79,#REF!),IF('РЕЕСТР РИСКОВ_2023'!#REF!="",G79,'РЕЕСТР РИСКОВ_2023'!#REF!)))))</f>
        <v>#REF!</v>
      </c>
      <c r="H80" t="e">
        <f>IF('INHERENT MAP'!$B$5=2021,'РЕЕСТР РИСКОВ_2023'!#REF!,IF('INHERENT MAP'!$B$5=2022,#REF!,IF('INHERENT MAP'!$B$5=2023,#REF!,IF('INHERENT MAP'!$B$5=2024,#REF!,#REF!))))</f>
        <v>#REF!</v>
      </c>
      <c r="I80" t="e">
        <f>IF('INHERENT MAP'!$B$5=2021,'РЕЕСТР РИСКОВ_2023'!#REF!,IF('INHERENT MAP'!$B$5=2022,#REF!,IF('INHERENT MAP'!$B$5=2023,#REF!,IF('INHERENT MAP'!$B$5=2024,#REF!,#REF!))))</f>
        <v>#REF!</v>
      </c>
      <c r="J80" t="e">
        <f>IF('INHERENT MAP'!$B$5=2021,'РЕЕСТР РИСКОВ_2023'!#REF!,IF('INHERENT MAP'!$B$5=2022,#REF!,IF('INHERENT MAP'!$B$5=2023,#REF!,IF('INHERENT MAP'!$B$5=2024,#REF!,#REF!))))</f>
        <v>#REF!</v>
      </c>
      <c r="K80" t="e">
        <f>IF('INHERENT MAP'!$B$5=2021,'РЕЕСТР РИСКОВ_2023'!#REF!,IF('INHERENT MAP'!$B$5=2022,#REF!,IF('INHERENT MAP'!$B$5=2023,#REF!,IF('INHERENT MAP'!$B$5=2024,#REF!,#REF!))))</f>
        <v>#REF!</v>
      </c>
      <c r="L80" t="e">
        <f>IF('INHERENT MAP'!$B$5=2021,'РЕЕСТР РИСКОВ_2023'!#REF!,IF('INHERENT MAP'!$B$5=2022,#REF!,IF('INHERENT MAP'!$B$5=2023,#REF!,IF('INHERENT MAP'!$B$5=2024,#REF!,#REF!))))</f>
        <v>#REF!</v>
      </c>
      <c r="M80" t="e">
        <f>IF('INHERENT MAP'!$B$5=2021,IF('РЕЕСТР РИСКОВ_2023'!#REF!="",M79,'РЕЕСТР РИСКОВ_2023'!#REF!),IF('INHERENT MAP'!$B$5=2022,IF(#REF!="",M79,#REF!),IF('INHERENT MAP'!$B$5=2023,IF(#REF!="",M79,#REF!),IF('INHERENT MAP'!$B$5=2024,IF(#REF!="",M79,#REF!),IF('РЕЕСТР РИСКОВ_2023'!#REF!="",M79,'РЕЕСТР РИСКОВ_2023'!#REF!)))))</f>
        <v>#REF!</v>
      </c>
      <c r="N80" t="e">
        <f>IF('INHERENT MAP'!$B$5=2021,IF('РЕЕСТР РИСКОВ_2023'!#REF!="",N79,'РЕЕСТР РИСКОВ_2023'!#REF!),IF('INHERENT MAP'!$B$5=2022,IF(#REF!="",N79,#REF!),IF('INHERENT MAP'!$B$5=2023,IF(#REF!="",N79,#REF!),IF('INHERENT MAP'!$B$5=2024,IF(#REF!="",N79,#REF!),IF('РЕЕСТР РИСКОВ_2023'!#REF!="",N79,'РЕЕСТР РИСКОВ_2023'!#REF!)))))</f>
        <v>#REF!</v>
      </c>
      <c r="O80" t="e">
        <f>'РЕЕСТР РИСКОВ_2023'!#REF!</f>
        <v>#REF!</v>
      </c>
      <c r="P80" t="e">
        <f>IF('РЕЕСТР РИСКОВ_2023'!#REF!="",P79,'РЕЕСТР РИСКОВ_2023'!#REF!)</f>
        <v>#REF!</v>
      </c>
      <c r="Q80" t="e">
        <f>IF('РЕЕСТР РИСКОВ_2023'!#REF!="",Q79,'РЕЕСТР РИСКОВ_2023'!#REF!)</f>
        <v>#REF!</v>
      </c>
      <c r="R80" t="e">
        <f>IF('РЕЕСТР РИСКОВ_2023'!#REF!="",R79,'РЕЕСТР РИСКОВ_2023'!#REF!)</f>
        <v>#REF!</v>
      </c>
      <c r="S80" t="e">
        <f>'РЕЕСТР РИСКОВ_2023'!#REF!</f>
        <v>#REF!</v>
      </c>
      <c r="T80" s="94" t="e">
        <f>IF('INHERENT MAP'!$B$5=2021,'РЕЕСТР РИСКОВ_2023'!#REF!,IF('INHERENT MAP'!$B$5=2022,#REF!,IF('INHERENT MAP'!$B$5=2023,#REF!,IF('INHERENT MAP'!$B$5=2024,#REF!,#REF!))))</f>
        <v>#REF!</v>
      </c>
      <c r="U80" t="e">
        <f>IF('INHERENT MAP'!$B$5=2021,'РЕЕСТР РИСКОВ_2023'!#REF!,IF('INHERENT MAP'!$B$5=2022,#REF!,IF('INHERENT MAP'!$B$5=2023,#REF!,IF('INHERENT MAP'!$B$5=2024,#REF!,#REF!))))</f>
        <v>#REF!</v>
      </c>
      <c r="V80" t="e">
        <f>IF('INHERENT MAP'!$B$5=2021,'РЕЕСТР РИСКОВ_2023'!#REF!,IF('INHERENT MAP'!$B$5=2022,#REF!,IF('INHERENT MAP'!$B$5=2023,#REF!,IF('INHERENT MAP'!$B$5=2024,#REF!,#REF!))))</f>
        <v>#REF!</v>
      </c>
      <c r="W80" t="e">
        <f>IF('INHERENT MAP'!$B$5=2021,'РЕЕСТР РИСКОВ_2023'!#REF!,IF('INHERENT MAP'!$B$5=2022,#REF!,IF('INHERENT MAP'!$B$5=2023,#REF!,IF('INHERENT MAP'!$B$5=2024,#REF!,#REF!))))</f>
        <v>#REF!</v>
      </c>
      <c r="X80" s="94" t="e">
        <f>IF('INHERENT MAP'!$B$5=2021,'РЕЕСТР РИСКОВ_2023'!#REF!,IF('INHERENT MAP'!$B$5=2022,#REF!,IF('INHERENT MAP'!$B$5=2023,#REF!,IF('INHERENT MAP'!$B$5=2024,#REF!,#REF!))))</f>
        <v>#REF!</v>
      </c>
      <c r="Y80" t="e">
        <f>IF('INHERENT MAP'!$B$5=2021,'РЕЕСТР РИСКОВ_2023'!#REF!,IF('INHERENT MAP'!$B$5=2022,#REF!,IF('INHERENT MAP'!$B$5=2023,#REF!,IF('INHERENT MAP'!$B$5=2024,#REF!,#REF!))))</f>
        <v>#REF!</v>
      </c>
      <c r="Z80" t="e">
        <f>IF('INHERENT MAP'!$B$5=2021,'РЕЕСТР РИСКОВ_2023'!#REF!,IF('INHERENT MAP'!$B$5=2022,#REF!,IF('INHERENT MAP'!$B$5=2023,#REF!,IF('INHERENT MAP'!$B$5=2024,#REF!,#REF!))))</f>
        <v>#REF!</v>
      </c>
      <c r="AA80" t="e">
        <f>IF('INHERENT MAP'!$B$5=2021,'РЕЕСТР РИСКОВ_2023'!#REF!,IF('INHERENT MAP'!$B$5=2022,#REF!,IF('INHERENT MAP'!$B$5=2023,#REF!,IF('INHERENT MAP'!$B$5=2024,#REF!,#REF!))))</f>
        <v>#REF!</v>
      </c>
      <c r="AB80" t="e">
        <f>IF('INHERENT MAP'!$B$5=2021,'РЕЕСТР РИСКОВ_2023'!#REF!,IF('INHERENT MAP'!$B$5=2022,#REF!,IF('INHERENT MAP'!$B$5=2023,#REF!,IF('INHERENT MAP'!$B$5=2024,#REF!,#REF!))))</f>
        <v>#REF!</v>
      </c>
      <c r="AC80" t="e">
        <f>IF('INHERENT MAP'!$B$5=2021,'РЕЕСТР РИСКОВ_2023'!#REF!,IF('INHERENT MAP'!$B$5=2022,#REF!,IF('INHERENT MAP'!$B$5=2023,#REF!,IF('INHERENT MAP'!$B$5=2024,#REF!,#REF!))))</f>
        <v>#REF!</v>
      </c>
      <c r="AD80" t="e">
        <f>IF('INHERENT MAP'!$B$5=2021,'РЕЕСТР РИСКОВ_2023'!#REF!,IF('INHERENT MAP'!$B$5=2022,#REF!,IF('INHERENT MAP'!$B$5=2023,#REF!,IF('INHERENT MAP'!$B$5=2024,#REF!,#REF!))))</f>
        <v>#REF!</v>
      </c>
      <c r="AE80" t="e">
        <f>IF('INHERENT MAP'!$B$5=2021,'РЕЕСТР РИСКОВ_2023'!#REF!,IF('INHERENT MAP'!$B$5=2022,#REF!,IF('INHERENT MAP'!$B$5=2023,#REF!,IF('INHERENT MAP'!$B$5=2024,#REF!,#REF!))))</f>
        <v>#REF!</v>
      </c>
      <c r="AF80" t="e">
        <f>IF('INHERENT MAP'!$B$5=2021,'РЕЕСТР РИСКОВ_2023'!#REF!,IF('INHERENT MAP'!$B$5=2022,#REF!,IF('INHERENT MAP'!$B$5=2023,#REF!,IF('INHERENT MAP'!$B$5=2024,#REF!,#REF!))))</f>
        <v>#REF!</v>
      </c>
      <c r="AG80" t="e">
        <f>IF('INHERENT MAP'!$B$5=2021,'РЕЕСТР РИСКОВ_2023'!#REF!,IF('INHERENT MAP'!$B$5=2022,#REF!,IF('INHERENT MAP'!$B$5=2023,#REF!,IF('INHERENT MAP'!$B$5=2024,#REF!,#REF!))))</f>
        <v>#REF!</v>
      </c>
      <c r="AH80" t="e">
        <f>IF('INHERENT MAP'!$B$5=2021,'РЕЕСТР РИСКОВ_2023'!#REF!,IF('INHERENT MAP'!$B$5=2022,#REF!,IF('INHERENT MAP'!$B$5=2023,#REF!,IF('INHERENT MAP'!$B$5=2024,#REF!,#REF!))))</f>
        <v>#REF!</v>
      </c>
      <c r="AI80" t="e">
        <f>IF('INHERENT MAP'!$B$5=2021,'РЕЕСТР РИСКОВ_2023'!#REF!,IF('INHERENT MAP'!$B$5=2022,#REF!,IF('INHERENT MAP'!$B$5=2023,#REF!,IF('INHERENT MAP'!$B$5=2024,#REF!,#REF!))))</f>
        <v>#REF!</v>
      </c>
      <c r="AJ80" t="e">
        <f>IF('INHERENT MAP'!$B$5=2021,'РЕЕСТР РИСКОВ_2023'!#REF!,IF('INHERENT MAP'!$B$5=2022,#REF!,IF('INHERENT MAP'!$B$5=2023,#REF!,IF('INHERENT MAP'!$B$5=2024,#REF!,#REF!))))</f>
        <v>#REF!</v>
      </c>
      <c r="AK80" t="e">
        <f>IF('РЕЕСТР РИСКОВ_2023'!#REF!="",AK79,'РЕЕСТР РИСКОВ_2023'!#REF!)</f>
        <v>#REF!</v>
      </c>
      <c r="AL80" t="e">
        <f>IF('РЕЕСТР РИСКОВ_2023'!#REF!="",AL79,'РЕЕСТР РИСКОВ_2023'!#REF!)</f>
        <v>#REF!</v>
      </c>
      <c r="AM80" t="e">
        <f>IF('РЕЕСТР РИСКОВ_2023'!#REF!="",AM79,'РЕЕСТР РИСКОВ_2023'!#REF!)</f>
        <v>#REF!</v>
      </c>
      <c r="AN80" t="e">
        <f>IF('РЕЕСТР РИСКОВ_2023'!#REF!="",AN79,'РЕЕСТР РИСКОВ_2023'!#REF!)</f>
        <v>#REF!</v>
      </c>
      <c r="AO80" t="e">
        <f>IF('РЕЕСТР РИСКОВ_2023'!#REF!="",AO79,'РЕЕСТР РИСКОВ_2023'!#REF!)</f>
        <v>#REF!</v>
      </c>
    </row>
    <row r="81" spans="2:41">
      <c r="B81" t="e">
        <f>IF('INHERENT MAP'!$B$5=2021,IF('РЕЕСТР РИСКОВ_2023'!#REF!="",B80,'РЕЕСТР РИСКОВ_2023'!#REF!),IF('INHERENT MAP'!$B$5=2022,IF(#REF!="",B80,#REF!),IF('INHERENT MAP'!$B$5=2023,IF(#REF!="",B80,#REF!),IF('INHERENT MAP'!$B$5=2024,IF(#REF!="",B80,#REF!),IF('РЕЕСТР РИСКОВ_2023'!#REF!="",B80,'РЕЕСТР РИСКОВ_2023'!#REF!)))))</f>
        <v>#REF!</v>
      </c>
      <c r="C81" t="e">
        <f>IF('INHERENT MAP'!$B$5=2021,IF('РЕЕСТР РИСКОВ_2023'!#REF!="",C80,'РЕЕСТР РИСКОВ_2023'!#REF!),IF('INHERENT MAP'!$B$5=2022,IF(#REF!="",C80,#REF!),IF('INHERENT MAP'!$B$5=2023,IF(#REF!="",C80,#REF!),IF('INHERENT MAP'!$B$5=2024,IF(#REF!="",C80,#REF!),IF('РЕЕСТР РИСКОВ_2023'!#REF!="",C80,'РЕЕСТР РИСКОВ_2023'!#REF!)))))</f>
        <v>#REF!</v>
      </c>
      <c r="D81" t="e">
        <f>IF('INHERENT MAP'!$B$5=2021,IF('РЕЕСТР РИСКОВ_2023'!#REF!="",D80,'РЕЕСТР РИСКОВ_2023'!#REF!),IF('INHERENT MAP'!$B$5=2022,IF(#REF!="",D80,#REF!),IF('INHERENT MAP'!$B$5=2023,IF(#REF!="",D80,#REF!),IF('INHERENT MAP'!$B$5=2024,IF(#REF!="",D80,#REF!),IF('РЕЕСТР РИСКОВ_2023'!#REF!="",D80,'РЕЕСТР РИСКОВ_2023'!#REF!)))))</f>
        <v>#REF!</v>
      </c>
      <c r="E81" t="e">
        <f>IF('INHERENT MAP'!$B$5=2021,IF('РЕЕСТР РИСКОВ_2023'!#REF!="",E80,'РЕЕСТР РИСКОВ_2023'!#REF!),IF('INHERENT MAP'!$B$5=2022,IF(#REF!="",E80,#REF!),IF('INHERENT MAP'!$B$5=2023,IF(#REF!="",E80,#REF!),IF('INHERENT MAP'!$B$5=2024,IF(#REF!="",E80,#REF!),IF('РЕЕСТР РИСКОВ_2023'!#REF!="",E80,'РЕЕСТР РИСКОВ_2023'!#REF!)))))</f>
        <v>#REF!</v>
      </c>
      <c r="F81" t="e">
        <f>IF('INHERENT MAP'!$B$5=2021,IF('РЕЕСТР РИСКОВ_2023'!#REF!="",F80,'РЕЕСТР РИСКОВ_2023'!#REF!),IF('INHERENT MAP'!$B$5=2022,IF(#REF!="",F80,#REF!),IF('INHERENT MAP'!$B$5=2023,IF(#REF!="",F80,#REF!),IF('INHERENT MAP'!$B$5=2024,IF(#REF!="",F80,#REF!),IF('РЕЕСТР РИСКОВ_2023'!#REF!="",F80,'РЕЕСТР РИСКОВ_2023'!#REF!)))))</f>
        <v>#REF!</v>
      </c>
      <c r="G81" t="e">
        <f>IF('INHERENT MAP'!$B$5=2021,IF('РЕЕСТР РИСКОВ_2023'!#REF!="",G80,'РЕЕСТР РИСКОВ_2023'!#REF!),IF('INHERENT MAP'!$B$5=2022,IF(#REF!="",G80,#REF!),IF('INHERENT MAP'!$B$5=2023,IF(#REF!="",G80,#REF!),IF('INHERENT MAP'!$B$5=2024,IF(#REF!="",G80,#REF!),IF('РЕЕСТР РИСКОВ_2023'!#REF!="",G80,'РЕЕСТР РИСКОВ_2023'!#REF!)))))</f>
        <v>#REF!</v>
      </c>
      <c r="H81" t="e">
        <f>IF('INHERENT MAP'!$B$5=2021,'РЕЕСТР РИСКОВ_2023'!#REF!,IF('INHERENT MAP'!$B$5=2022,#REF!,IF('INHERENT MAP'!$B$5=2023,#REF!,IF('INHERENT MAP'!$B$5=2024,#REF!,#REF!))))</f>
        <v>#REF!</v>
      </c>
      <c r="I81" t="e">
        <f>IF('INHERENT MAP'!$B$5=2021,'РЕЕСТР РИСКОВ_2023'!#REF!,IF('INHERENT MAP'!$B$5=2022,#REF!,IF('INHERENT MAP'!$B$5=2023,#REF!,IF('INHERENT MAP'!$B$5=2024,#REF!,#REF!))))</f>
        <v>#REF!</v>
      </c>
      <c r="J81" t="e">
        <f>IF('INHERENT MAP'!$B$5=2021,'РЕЕСТР РИСКОВ_2023'!#REF!,IF('INHERENT MAP'!$B$5=2022,#REF!,IF('INHERENT MAP'!$B$5=2023,#REF!,IF('INHERENT MAP'!$B$5=2024,#REF!,#REF!))))</f>
        <v>#REF!</v>
      </c>
      <c r="K81" t="e">
        <f>IF('INHERENT MAP'!$B$5=2021,'РЕЕСТР РИСКОВ_2023'!#REF!,IF('INHERENT MAP'!$B$5=2022,#REF!,IF('INHERENT MAP'!$B$5=2023,#REF!,IF('INHERENT MAP'!$B$5=2024,#REF!,#REF!))))</f>
        <v>#REF!</v>
      </c>
      <c r="L81" t="e">
        <f>IF('INHERENT MAP'!$B$5=2021,'РЕЕСТР РИСКОВ_2023'!#REF!,IF('INHERENT MAP'!$B$5=2022,#REF!,IF('INHERENT MAP'!$B$5=2023,#REF!,IF('INHERENT MAP'!$B$5=2024,#REF!,#REF!))))</f>
        <v>#REF!</v>
      </c>
      <c r="M81" t="e">
        <f>IF('INHERENT MAP'!$B$5=2021,IF('РЕЕСТР РИСКОВ_2023'!#REF!="",M80,'РЕЕСТР РИСКОВ_2023'!#REF!),IF('INHERENT MAP'!$B$5=2022,IF(#REF!="",M80,#REF!),IF('INHERENT MAP'!$B$5=2023,IF(#REF!="",M80,#REF!),IF('INHERENT MAP'!$B$5=2024,IF(#REF!="",M80,#REF!),IF('РЕЕСТР РИСКОВ_2023'!#REF!="",M80,'РЕЕСТР РИСКОВ_2023'!#REF!)))))</f>
        <v>#REF!</v>
      </c>
      <c r="N81" t="e">
        <f>IF('INHERENT MAP'!$B$5=2021,IF('РЕЕСТР РИСКОВ_2023'!#REF!="",N80,'РЕЕСТР РИСКОВ_2023'!#REF!),IF('INHERENT MAP'!$B$5=2022,IF(#REF!="",N80,#REF!),IF('INHERENT MAP'!$B$5=2023,IF(#REF!="",N80,#REF!),IF('INHERENT MAP'!$B$5=2024,IF(#REF!="",N80,#REF!),IF('РЕЕСТР РИСКОВ_2023'!#REF!="",N80,'РЕЕСТР РИСКОВ_2023'!#REF!)))))</f>
        <v>#REF!</v>
      </c>
      <c r="O81" t="e">
        <f>'РЕЕСТР РИСКОВ_2023'!#REF!</f>
        <v>#REF!</v>
      </c>
      <c r="P81" t="e">
        <f>IF('РЕЕСТР РИСКОВ_2023'!#REF!="",P80,'РЕЕСТР РИСКОВ_2023'!#REF!)</f>
        <v>#REF!</v>
      </c>
      <c r="Q81" t="e">
        <f>IF('РЕЕСТР РИСКОВ_2023'!#REF!="",Q80,'РЕЕСТР РИСКОВ_2023'!#REF!)</f>
        <v>#REF!</v>
      </c>
      <c r="R81" t="e">
        <f>IF('РЕЕСТР РИСКОВ_2023'!#REF!="",R80,'РЕЕСТР РИСКОВ_2023'!#REF!)</f>
        <v>#REF!</v>
      </c>
      <c r="S81" t="e">
        <f>'РЕЕСТР РИСКОВ_2023'!#REF!</f>
        <v>#REF!</v>
      </c>
      <c r="T81" s="94" t="e">
        <f>IF('INHERENT MAP'!$B$5=2021,'РЕЕСТР РИСКОВ_2023'!#REF!,IF('INHERENT MAP'!$B$5=2022,#REF!,IF('INHERENT MAP'!$B$5=2023,#REF!,IF('INHERENT MAP'!$B$5=2024,#REF!,#REF!))))</f>
        <v>#REF!</v>
      </c>
      <c r="U81" t="e">
        <f>IF('INHERENT MAP'!$B$5=2021,'РЕЕСТР РИСКОВ_2023'!#REF!,IF('INHERENT MAP'!$B$5=2022,#REF!,IF('INHERENT MAP'!$B$5=2023,#REF!,IF('INHERENT MAP'!$B$5=2024,#REF!,#REF!))))</f>
        <v>#REF!</v>
      </c>
      <c r="V81" t="e">
        <f>IF('INHERENT MAP'!$B$5=2021,'РЕЕСТР РИСКОВ_2023'!#REF!,IF('INHERENT MAP'!$B$5=2022,#REF!,IF('INHERENT MAP'!$B$5=2023,#REF!,IF('INHERENT MAP'!$B$5=2024,#REF!,#REF!))))</f>
        <v>#REF!</v>
      </c>
      <c r="W81" t="e">
        <f>IF('INHERENT MAP'!$B$5=2021,'РЕЕСТР РИСКОВ_2023'!#REF!,IF('INHERENT MAP'!$B$5=2022,#REF!,IF('INHERENT MAP'!$B$5=2023,#REF!,IF('INHERENT MAP'!$B$5=2024,#REF!,#REF!))))</f>
        <v>#REF!</v>
      </c>
      <c r="X81" s="94" t="e">
        <f>IF('INHERENT MAP'!$B$5=2021,'РЕЕСТР РИСКОВ_2023'!#REF!,IF('INHERENT MAP'!$B$5=2022,#REF!,IF('INHERENT MAP'!$B$5=2023,#REF!,IF('INHERENT MAP'!$B$5=2024,#REF!,#REF!))))</f>
        <v>#REF!</v>
      </c>
      <c r="Y81" t="e">
        <f>IF('INHERENT MAP'!$B$5=2021,'РЕЕСТР РИСКОВ_2023'!#REF!,IF('INHERENT MAP'!$B$5=2022,#REF!,IF('INHERENT MAP'!$B$5=2023,#REF!,IF('INHERENT MAP'!$B$5=2024,#REF!,#REF!))))</f>
        <v>#REF!</v>
      </c>
      <c r="Z81" t="e">
        <f>IF('INHERENT MAP'!$B$5=2021,'РЕЕСТР РИСКОВ_2023'!#REF!,IF('INHERENT MAP'!$B$5=2022,#REF!,IF('INHERENT MAP'!$B$5=2023,#REF!,IF('INHERENT MAP'!$B$5=2024,#REF!,#REF!))))</f>
        <v>#REF!</v>
      </c>
      <c r="AA81" t="e">
        <f>IF('INHERENT MAP'!$B$5=2021,'РЕЕСТР РИСКОВ_2023'!#REF!,IF('INHERENT MAP'!$B$5=2022,#REF!,IF('INHERENT MAP'!$B$5=2023,#REF!,IF('INHERENT MAP'!$B$5=2024,#REF!,#REF!))))</f>
        <v>#REF!</v>
      </c>
      <c r="AB81" t="e">
        <f>IF('INHERENT MAP'!$B$5=2021,'РЕЕСТР РИСКОВ_2023'!#REF!,IF('INHERENT MAP'!$B$5=2022,#REF!,IF('INHERENT MAP'!$B$5=2023,#REF!,IF('INHERENT MAP'!$B$5=2024,#REF!,#REF!))))</f>
        <v>#REF!</v>
      </c>
      <c r="AC81" t="e">
        <f>IF('INHERENT MAP'!$B$5=2021,'РЕЕСТР РИСКОВ_2023'!#REF!,IF('INHERENT MAP'!$B$5=2022,#REF!,IF('INHERENT MAP'!$B$5=2023,#REF!,IF('INHERENT MAP'!$B$5=2024,#REF!,#REF!))))</f>
        <v>#REF!</v>
      </c>
      <c r="AD81" t="e">
        <f>IF('INHERENT MAP'!$B$5=2021,'РЕЕСТР РИСКОВ_2023'!#REF!,IF('INHERENT MAP'!$B$5=2022,#REF!,IF('INHERENT MAP'!$B$5=2023,#REF!,IF('INHERENT MAP'!$B$5=2024,#REF!,#REF!))))</f>
        <v>#REF!</v>
      </c>
      <c r="AE81" t="e">
        <f>IF('INHERENT MAP'!$B$5=2021,'РЕЕСТР РИСКОВ_2023'!#REF!,IF('INHERENT MAP'!$B$5=2022,#REF!,IF('INHERENT MAP'!$B$5=2023,#REF!,IF('INHERENT MAP'!$B$5=2024,#REF!,#REF!))))</f>
        <v>#REF!</v>
      </c>
      <c r="AF81" t="e">
        <f>IF('INHERENT MAP'!$B$5=2021,'РЕЕСТР РИСКОВ_2023'!#REF!,IF('INHERENT MAP'!$B$5=2022,#REF!,IF('INHERENT MAP'!$B$5=2023,#REF!,IF('INHERENT MAP'!$B$5=2024,#REF!,#REF!))))</f>
        <v>#REF!</v>
      </c>
      <c r="AG81" t="e">
        <f>IF('INHERENT MAP'!$B$5=2021,'РЕЕСТР РИСКОВ_2023'!#REF!,IF('INHERENT MAP'!$B$5=2022,#REF!,IF('INHERENT MAP'!$B$5=2023,#REF!,IF('INHERENT MAP'!$B$5=2024,#REF!,#REF!))))</f>
        <v>#REF!</v>
      </c>
      <c r="AH81" t="e">
        <f>IF('INHERENT MAP'!$B$5=2021,'РЕЕСТР РИСКОВ_2023'!#REF!,IF('INHERENT MAP'!$B$5=2022,#REF!,IF('INHERENT MAP'!$B$5=2023,#REF!,IF('INHERENT MAP'!$B$5=2024,#REF!,#REF!))))</f>
        <v>#REF!</v>
      </c>
      <c r="AI81" t="e">
        <f>IF('INHERENT MAP'!$B$5=2021,'РЕЕСТР РИСКОВ_2023'!#REF!,IF('INHERENT MAP'!$B$5=2022,#REF!,IF('INHERENT MAP'!$B$5=2023,#REF!,IF('INHERENT MAP'!$B$5=2024,#REF!,#REF!))))</f>
        <v>#REF!</v>
      </c>
      <c r="AJ81" t="e">
        <f>IF('INHERENT MAP'!$B$5=2021,'РЕЕСТР РИСКОВ_2023'!#REF!,IF('INHERENT MAP'!$B$5=2022,#REF!,IF('INHERENT MAP'!$B$5=2023,#REF!,IF('INHERENT MAP'!$B$5=2024,#REF!,#REF!))))</f>
        <v>#REF!</v>
      </c>
      <c r="AK81" t="e">
        <f>IF('РЕЕСТР РИСКОВ_2023'!#REF!="",AK80,'РЕЕСТР РИСКОВ_2023'!#REF!)</f>
        <v>#REF!</v>
      </c>
      <c r="AL81" t="e">
        <f>IF('РЕЕСТР РИСКОВ_2023'!#REF!="",AL80,'РЕЕСТР РИСКОВ_2023'!#REF!)</f>
        <v>#REF!</v>
      </c>
      <c r="AM81" t="e">
        <f>IF('РЕЕСТР РИСКОВ_2023'!#REF!="",AM80,'РЕЕСТР РИСКОВ_2023'!#REF!)</f>
        <v>#REF!</v>
      </c>
      <c r="AN81" t="e">
        <f>IF('РЕЕСТР РИСКОВ_2023'!#REF!="",AN80,'РЕЕСТР РИСКОВ_2023'!#REF!)</f>
        <v>#REF!</v>
      </c>
      <c r="AO81" t="e">
        <f>IF('РЕЕСТР РИСКОВ_2023'!#REF!="",AO80,'РЕЕСТР РИСКОВ_2023'!#REF!)</f>
        <v>#REF!</v>
      </c>
    </row>
    <row r="82" spans="2:41">
      <c r="B82" t="e">
        <f>IF('INHERENT MAP'!$B$5=2021,IF('РЕЕСТР РИСКОВ_2023'!#REF!="",B81,'РЕЕСТР РИСКОВ_2023'!#REF!),IF('INHERENT MAP'!$B$5=2022,IF(#REF!="",B81,#REF!),IF('INHERENT MAP'!$B$5=2023,IF(#REF!="",B81,#REF!),IF('INHERENT MAP'!$B$5=2024,IF(#REF!="",B81,#REF!),IF('РЕЕСТР РИСКОВ_2023'!#REF!="",B81,'РЕЕСТР РИСКОВ_2023'!#REF!)))))</f>
        <v>#REF!</v>
      </c>
      <c r="C82" t="e">
        <f>IF('INHERENT MAP'!$B$5=2021,IF('РЕЕСТР РИСКОВ_2023'!#REF!="",C81,'РЕЕСТР РИСКОВ_2023'!#REF!),IF('INHERENT MAP'!$B$5=2022,IF(#REF!="",C81,#REF!),IF('INHERENT MAP'!$B$5=2023,IF(#REF!="",C81,#REF!),IF('INHERENT MAP'!$B$5=2024,IF(#REF!="",C81,#REF!),IF('РЕЕСТР РИСКОВ_2023'!#REF!="",C81,'РЕЕСТР РИСКОВ_2023'!#REF!)))))</f>
        <v>#REF!</v>
      </c>
      <c r="D82" t="e">
        <f>IF('INHERENT MAP'!$B$5=2021,IF('РЕЕСТР РИСКОВ_2023'!#REF!="",D81,'РЕЕСТР РИСКОВ_2023'!#REF!),IF('INHERENT MAP'!$B$5=2022,IF(#REF!="",D81,#REF!),IF('INHERENT MAP'!$B$5=2023,IF(#REF!="",D81,#REF!),IF('INHERENT MAP'!$B$5=2024,IF(#REF!="",D81,#REF!),IF('РЕЕСТР РИСКОВ_2023'!#REF!="",D81,'РЕЕСТР РИСКОВ_2023'!#REF!)))))</f>
        <v>#REF!</v>
      </c>
      <c r="E82" t="e">
        <f>IF('INHERENT MAP'!$B$5=2021,IF('РЕЕСТР РИСКОВ_2023'!#REF!="",E81,'РЕЕСТР РИСКОВ_2023'!#REF!),IF('INHERENT MAP'!$B$5=2022,IF(#REF!="",E81,#REF!),IF('INHERENT MAP'!$B$5=2023,IF(#REF!="",E81,#REF!),IF('INHERENT MAP'!$B$5=2024,IF(#REF!="",E81,#REF!),IF('РЕЕСТР РИСКОВ_2023'!#REF!="",E81,'РЕЕСТР РИСКОВ_2023'!#REF!)))))</f>
        <v>#REF!</v>
      </c>
      <c r="F82" t="e">
        <f>IF('INHERENT MAP'!$B$5=2021,IF('РЕЕСТР РИСКОВ_2023'!#REF!="",F81,'РЕЕСТР РИСКОВ_2023'!#REF!),IF('INHERENT MAP'!$B$5=2022,IF(#REF!="",F81,#REF!),IF('INHERENT MAP'!$B$5=2023,IF(#REF!="",F81,#REF!),IF('INHERENT MAP'!$B$5=2024,IF(#REF!="",F81,#REF!),IF('РЕЕСТР РИСКОВ_2023'!#REF!="",F81,'РЕЕСТР РИСКОВ_2023'!#REF!)))))</f>
        <v>#REF!</v>
      </c>
      <c r="G82" t="e">
        <f>IF('INHERENT MAP'!$B$5=2021,IF('РЕЕСТР РИСКОВ_2023'!#REF!="",G81,'РЕЕСТР РИСКОВ_2023'!#REF!),IF('INHERENT MAP'!$B$5=2022,IF(#REF!="",G81,#REF!),IF('INHERENT MAP'!$B$5=2023,IF(#REF!="",G81,#REF!),IF('INHERENT MAP'!$B$5=2024,IF(#REF!="",G81,#REF!),IF('РЕЕСТР РИСКОВ_2023'!#REF!="",G81,'РЕЕСТР РИСКОВ_2023'!#REF!)))))</f>
        <v>#REF!</v>
      </c>
      <c r="H82" t="e">
        <f>IF('INHERENT MAP'!$B$5=2021,'РЕЕСТР РИСКОВ_2023'!#REF!,IF('INHERENT MAP'!$B$5=2022,#REF!,IF('INHERENT MAP'!$B$5=2023,#REF!,IF('INHERENT MAP'!$B$5=2024,#REF!,#REF!))))</f>
        <v>#REF!</v>
      </c>
      <c r="I82" t="e">
        <f>IF('INHERENT MAP'!$B$5=2021,'РЕЕСТР РИСКОВ_2023'!#REF!,IF('INHERENT MAP'!$B$5=2022,#REF!,IF('INHERENT MAP'!$B$5=2023,#REF!,IF('INHERENT MAP'!$B$5=2024,#REF!,#REF!))))</f>
        <v>#REF!</v>
      </c>
      <c r="J82" t="e">
        <f>IF('INHERENT MAP'!$B$5=2021,'РЕЕСТР РИСКОВ_2023'!#REF!,IF('INHERENT MAP'!$B$5=2022,#REF!,IF('INHERENT MAP'!$B$5=2023,#REF!,IF('INHERENT MAP'!$B$5=2024,#REF!,#REF!))))</f>
        <v>#REF!</v>
      </c>
      <c r="K82" t="e">
        <f>IF('INHERENT MAP'!$B$5=2021,'РЕЕСТР РИСКОВ_2023'!#REF!,IF('INHERENT MAP'!$B$5=2022,#REF!,IF('INHERENT MAP'!$B$5=2023,#REF!,IF('INHERENT MAP'!$B$5=2024,#REF!,#REF!))))</f>
        <v>#REF!</v>
      </c>
      <c r="L82" t="e">
        <f>IF('INHERENT MAP'!$B$5=2021,'РЕЕСТР РИСКОВ_2023'!#REF!,IF('INHERENT MAP'!$B$5=2022,#REF!,IF('INHERENT MAP'!$B$5=2023,#REF!,IF('INHERENT MAP'!$B$5=2024,#REF!,#REF!))))</f>
        <v>#REF!</v>
      </c>
      <c r="M82" t="e">
        <f>IF('INHERENT MAP'!$B$5=2021,IF('РЕЕСТР РИСКОВ_2023'!#REF!="",M81,'РЕЕСТР РИСКОВ_2023'!#REF!),IF('INHERENT MAP'!$B$5=2022,IF(#REF!="",M81,#REF!),IF('INHERENT MAP'!$B$5=2023,IF(#REF!="",M81,#REF!),IF('INHERENT MAP'!$B$5=2024,IF(#REF!="",M81,#REF!),IF('РЕЕСТР РИСКОВ_2023'!#REF!="",M81,'РЕЕСТР РИСКОВ_2023'!#REF!)))))</f>
        <v>#REF!</v>
      </c>
      <c r="N82" t="e">
        <f>IF('INHERENT MAP'!$B$5=2021,IF('РЕЕСТР РИСКОВ_2023'!#REF!="",N81,'РЕЕСТР РИСКОВ_2023'!#REF!),IF('INHERENT MAP'!$B$5=2022,IF(#REF!="",N81,#REF!),IF('INHERENT MAP'!$B$5=2023,IF(#REF!="",N81,#REF!),IF('INHERENT MAP'!$B$5=2024,IF(#REF!="",N81,#REF!),IF('РЕЕСТР РИСКОВ_2023'!#REF!="",N81,'РЕЕСТР РИСКОВ_2023'!#REF!)))))</f>
        <v>#REF!</v>
      </c>
      <c r="O82" t="e">
        <f>'РЕЕСТР РИСКОВ_2023'!#REF!</f>
        <v>#REF!</v>
      </c>
      <c r="P82" t="e">
        <f>IF('РЕЕСТР РИСКОВ_2023'!#REF!="",P81,'РЕЕСТР РИСКОВ_2023'!#REF!)</f>
        <v>#REF!</v>
      </c>
      <c r="Q82" t="e">
        <f>IF('РЕЕСТР РИСКОВ_2023'!#REF!="",Q81,'РЕЕСТР РИСКОВ_2023'!#REF!)</f>
        <v>#REF!</v>
      </c>
      <c r="R82" t="e">
        <f>IF('РЕЕСТР РИСКОВ_2023'!#REF!="",R81,'РЕЕСТР РИСКОВ_2023'!#REF!)</f>
        <v>#REF!</v>
      </c>
      <c r="S82" t="e">
        <f>'РЕЕСТР РИСКОВ_2023'!#REF!</f>
        <v>#REF!</v>
      </c>
      <c r="T82" s="94" t="e">
        <f>IF('INHERENT MAP'!$B$5=2021,'РЕЕСТР РИСКОВ_2023'!#REF!,IF('INHERENT MAP'!$B$5=2022,#REF!,IF('INHERENT MAP'!$B$5=2023,#REF!,IF('INHERENT MAP'!$B$5=2024,#REF!,#REF!))))</f>
        <v>#REF!</v>
      </c>
      <c r="U82" t="e">
        <f>IF('INHERENT MAP'!$B$5=2021,'РЕЕСТР РИСКОВ_2023'!#REF!,IF('INHERENT MAP'!$B$5=2022,#REF!,IF('INHERENT MAP'!$B$5=2023,#REF!,IF('INHERENT MAP'!$B$5=2024,#REF!,#REF!))))</f>
        <v>#REF!</v>
      </c>
      <c r="V82" t="e">
        <f>IF('INHERENT MAP'!$B$5=2021,'РЕЕСТР РИСКОВ_2023'!#REF!,IF('INHERENT MAP'!$B$5=2022,#REF!,IF('INHERENT MAP'!$B$5=2023,#REF!,IF('INHERENT MAP'!$B$5=2024,#REF!,#REF!))))</f>
        <v>#REF!</v>
      </c>
      <c r="W82" t="e">
        <f>IF('INHERENT MAP'!$B$5=2021,'РЕЕСТР РИСКОВ_2023'!#REF!,IF('INHERENT MAP'!$B$5=2022,#REF!,IF('INHERENT MAP'!$B$5=2023,#REF!,IF('INHERENT MAP'!$B$5=2024,#REF!,#REF!))))</f>
        <v>#REF!</v>
      </c>
      <c r="X82" s="94" t="e">
        <f>IF('INHERENT MAP'!$B$5=2021,'РЕЕСТР РИСКОВ_2023'!#REF!,IF('INHERENT MAP'!$B$5=2022,#REF!,IF('INHERENT MAP'!$B$5=2023,#REF!,IF('INHERENT MAP'!$B$5=2024,#REF!,#REF!))))</f>
        <v>#REF!</v>
      </c>
      <c r="Y82" t="e">
        <f>IF('INHERENT MAP'!$B$5=2021,'РЕЕСТР РИСКОВ_2023'!#REF!,IF('INHERENT MAP'!$B$5=2022,#REF!,IF('INHERENT MAP'!$B$5=2023,#REF!,IF('INHERENT MAP'!$B$5=2024,#REF!,#REF!))))</f>
        <v>#REF!</v>
      </c>
      <c r="Z82" t="e">
        <f>IF('INHERENT MAP'!$B$5=2021,'РЕЕСТР РИСКОВ_2023'!#REF!,IF('INHERENT MAP'!$B$5=2022,#REF!,IF('INHERENT MAP'!$B$5=2023,#REF!,IF('INHERENT MAP'!$B$5=2024,#REF!,#REF!))))</f>
        <v>#REF!</v>
      </c>
      <c r="AA82" t="e">
        <f>IF('INHERENT MAP'!$B$5=2021,'РЕЕСТР РИСКОВ_2023'!#REF!,IF('INHERENT MAP'!$B$5=2022,#REF!,IF('INHERENT MAP'!$B$5=2023,#REF!,IF('INHERENT MAP'!$B$5=2024,#REF!,#REF!))))</f>
        <v>#REF!</v>
      </c>
      <c r="AB82" t="e">
        <f>IF('INHERENT MAP'!$B$5=2021,'РЕЕСТР РИСКОВ_2023'!#REF!,IF('INHERENT MAP'!$B$5=2022,#REF!,IF('INHERENT MAP'!$B$5=2023,#REF!,IF('INHERENT MAP'!$B$5=2024,#REF!,#REF!))))</f>
        <v>#REF!</v>
      </c>
      <c r="AC82" t="e">
        <f>IF('INHERENT MAP'!$B$5=2021,'РЕЕСТР РИСКОВ_2023'!#REF!,IF('INHERENT MAP'!$B$5=2022,#REF!,IF('INHERENT MAP'!$B$5=2023,#REF!,IF('INHERENT MAP'!$B$5=2024,#REF!,#REF!))))</f>
        <v>#REF!</v>
      </c>
      <c r="AD82" t="e">
        <f>IF('INHERENT MAP'!$B$5=2021,'РЕЕСТР РИСКОВ_2023'!#REF!,IF('INHERENT MAP'!$B$5=2022,#REF!,IF('INHERENT MAP'!$B$5=2023,#REF!,IF('INHERENT MAP'!$B$5=2024,#REF!,#REF!))))</f>
        <v>#REF!</v>
      </c>
      <c r="AE82" t="e">
        <f>IF('INHERENT MAP'!$B$5=2021,'РЕЕСТР РИСКОВ_2023'!#REF!,IF('INHERENT MAP'!$B$5=2022,#REF!,IF('INHERENT MAP'!$B$5=2023,#REF!,IF('INHERENT MAP'!$B$5=2024,#REF!,#REF!))))</f>
        <v>#REF!</v>
      </c>
      <c r="AF82" t="e">
        <f>IF('INHERENT MAP'!$B$5=2021,'РЕЕСТР РИСКОВ_2023'!#REF!,IF('INHERENT MAP'!$B$5=2022,#REF!,IF('INHERENT MAP'!$B$5=2023,#REF!,IF('INHERENT MAP'!$B$5=2024,#REF!,#REF!))))</f>
        <v>#REF!</v>
      </c>
      <c r="AG82" t="e">
        <f>IF('INHERENT MAP'!$B$5=2021,'РЕЕСТР РИСКОВ_2023'!#REF!,IF('INHERENT MAP'!$B$5=2022,#REF!,IF('INHERENT MAP'!$B$5=2023,#REF!,IF('INHERENT MAP'!$B$5=2024,#REF!,#REF!))))</f>
        <v>#REF!</v>
      </c>
      <c r="AH82" t="e">
        <f>IF('INHERENT MAP'!$B$5=2021,'РЕЕСТР РИСКОВ_2023'!#REF!,IF('INHERENT MAP'!$B$5=2022,#REF!,IF('INHERENT MAP'!$B$5=2023,#REF!,IF('INHERENT MAP'!$B$5=2024,#REF!,#REF!))))</f>
        <v>#REF!</v>
      </c>
      <c r="AI82" t="e">
        <f>IF('INHERENT MAP'!$B$5=2021,'РЕЕСТР РИСКОВ_2023'!#REF!,IF('INHERENT MAP'!$B$5=2022,#REF!,IF('INHERENT MAP'!$B$5=2023,#REF!,IF('INHERENT MAP'!$B$5=2024,#REF!,#REF!))))</f>
        <v>#REF!</v>
      </c>
      <c r="AJ82" t="e">
        <f>IF('INHERENT MAP'!$B$5=2021,'РЕЕСТР РИСКОВ_2023'!#REF!,IF('INHERENT MAP'!$B$5=2022,#REF!,IF('INHERENT MAP'!$B$5=2023,#REF!,IF('INHERENT MAP'!$B$5=2024,#REF!,#REF!))))</f>
        <v>#REF!</v>
      </c>
      <c r="AK82" t="e">
        <f>IF('РЕЕСТР РИСКОВ_2023'!#REF!="",AK81,'РЕЕСТР РИСКОВ_2023'!#REF!)</f>
        <v>#REF!</v>
      </c>
      <c r="AL82" t="e">
        <f>IF('РЕЕСТР РИСКОВ_2023'!#REF!="",AL81,'РЕЕСТР РИСКОВ_2023'!#REF!)</f>
        <v>#REF!</v>
      </c>
      <c r="AM82" t="e">
        <f>IF('РЕЕСТР РИСКОВ_2023'!#REF!="",AM81,'РЕЕСТР РИСКОВ_2023'!#REF!)</f>
        <v>#REF!</v>
      </c>
      <c r="AN82" t="e">
        <f>IF('РЕЕСТР РИСКОВ_2023'!#REF!="",AN81,'РЕЕСТР РИСКОВ_2023'!#REF!)</f>
        <v>#REF!</v>
      </c>
      <c r="AO82" t="e">
        <f>IF('РЕЕСТР РИСКОВ_2023'!#REF!="",AO81,'РЕЕСТР РИСКОВ_2023'!#REF!)</f>
        <v>#REF!</v>
      </c>
    </row>
    <row r="83" spans="2:41">
      <c r="B83" t="e">
        <f>IF('INHERENT MAP'!$B$5=2021,IF('РЕЕСТР РИСКОВ_2023'!#REF!="",B82,'РЕЕСТР РИСКОВ_2023'!#REF!),IF('INHERENT MAP'!$B$5=2022,IF(#REF!="",B82,#REF!),IF('INHERENT MAP'!$B$5=2023,IF(#REF!="",B82,#REF!),IF('INHERENT MAP'!$B$5=2024,IF(#REF!="",B82,#REF!),IF('РЕЕСТР РИСКОВ_2023'!#REF!="",B82,'РЕЕСТР РИСКОВ_2023'!#REF!)))))</f>
        <v>#REF!</v>
      </c>
      <c r="C83" t="e">
        <f>IF('INHERENT MAP'!$B$5=2021,IF('РЕЕСТР РИСКОВ_2023'!#REF!="",C82,'РЕЕСТР РИСКОВ_2023'!#REF!),IF('INHERENT MAP'!$B$5=2022,IF(#REF!="",C82,#REF!),IF('INHERENT MAP'!$B$5=2023,IF(#REF!="",C82,#REF!),IF('INHERENT MAP'!$B$5=2024,IF(#REF!="",C82,#REF!),IF('РЕЕСТР РИСКОВ_2023'!#REF!="",C82,'РЕЕСТР РИСКОВ_2023'!#REF!)))))</f>
        <v>#REF!</v>
      </c>
      <c r="D83" t="e">
        <f>IF('INHERENT MAP'!$B$5=2021,IF('РЕЕСТР РИСКОВ_2023'!#REF!="",D82,'РЕЕСТР РИСКОВ_2023'!#REF!),IF('INHERENT MAP'!$B$5=2022,IF(#REF!="",D82,#REF!),IF('INHERENT MAP'!$B$5=2023,IF(#REF!="",D82,#REF!),IF('INHERENT MAP'!$B$5=2024,IF(#REF!="",D82,#REF!),IF('РЕЕСТР РИСКОВ_2023'!#REF!="",D82,'РЕЕСТР РИСКОВ_2023'!#REF!)))))</f>
        <v>#REF!</v>
      </c>
      <c r="E83" t="e">
        <f>IF('INHERENT MAP'!$B$5=2021,IF('РЕЕСТР РИСКОВ_2023'!#REF!="",E82,'РЕЕСТР РИСКОВ_2023'!#REF!),IF('INHERENT MAP'!$B$5=2022,IF(#REF!="",E82,#REF!),IF('INHERENT MAP'!$B$5=2023,IF(#REF!="",E82,#REF!),IF('INHERENT MAP'!$B$5=2024,IF(#REF!="",E82,#REF!),IF('РЕЕСТР РИСКОВ_2023'!#REF!="",E82,'РЕЕСТР РИСКОВ_2023'!#REF!)))))</f>
        <v>#REF!</v>
      </c>
      <c r="F83" t="e">
        <f>IF('INHERENT MAP'!$B$5=2021,IF('РЕЕСТР РИСКОВ_2023'!#REF!="",F82,'РЕЕСТР РИСКОВ_2023'!#REF!),IF('INHERENT MAP'!$B$5=2022,IF(#REF!="",F82,#REF!),IF('INHERENT MAP'!$B$5=2023,IF(#REF!="",F82,#REF!),IF('INHERENT MAP'!$B$5=2024,IF(#REF!="",F82,#REF!),IF('РЕЕСТР РИСКОВ_2023'!#REF!="",F82,'РЕЕСТР РИСКОВ_2023'!#REF!)))))</f>
        <v>#REF!</v>
      </c>
      <c r="G83" t="e">
        <f>IF('INHERENT MAP'!$B$5=2021,IF('РЕЕСТР РИСКОВ_2023'!#REF!="",G82,'РЕЕСТР РИСКОВ_2023'!#REF!),IF('INHERENT MAP'!$B$5=2022,IF(#REF!="",G82,#REF!),IF('INHERENT MAP'!$B$5=2023,IF(#REF!="",G82,#REF!),IF('INHERENT MAP'!$B$5=2024,IF(#REF!="",G82,#REF!),IF('РЕЕСТР РИСКОВ_2023'!#REF!="",G82,'РЕЕСТР РИСКОВ_2023'!#REF!)))))</f>
        <v>#REF!</v>
      </c>
      <c r="H83" t="e">
        <f>IF('INHERENT MAP'!$B$5=2021,'РЕЕСТР РИСКОВ_2023'!#REF!,IF('INHERENT MAP'!$B$5=2022,#REF!,IF('INHERENT MAP'!$B$5=2023,#REF!,IF('INHERENT MAP'!$B$5=2024,#REF!,#REF!))))</f>
        <v>#REF!</v>
      </c>
      <c r="I83" t="e">
        <f>IF('INHERENT MAP'!$B$5=2021,'РЕЕСТР РИСКОВ_2023'!#REF!,IF('INHERENT MAP'!$B$5=2022,#REF!,IF('INHERENT MAP'!$B$5=2023,#REF!,IF('INHERENT MAP'!$B$5=2024,#REF!,#REF!))))</f>
        <v>#REF!</v>
      </c>
      <c r="J83" t="e">
        <f>IF('INHERENT MAP'!$B$5=2021,'РЕЕСТР РИСКОВ_2023'!#REF!,IF('INHERENT MAP'!$B$5=2022,#REF!,IF('INHERENT MAP'!$B$5=2023,#REF!,IF('INHERENT MAP'!$B$5=2024,#REF!,#REF!))))</f>
        <v>#REF!</v>
      </c>
      <c r="K83" t="e">
        <f>IF('INHERENT MAP'!$B$5=2021,'РЕЕСТР РИСКОВ_2023'!#REF!,IF('INHERENT MAP'!$B$5=2022,#REF!,IF('INHERENT MAP'!$B$5=2023,#REF!,IF('INHERENT MAP'!$B$5=2024,#REF!,#REF!))))</f>
        <v>#REF!</v>
      </c>
      <c r="L83" t="e">
        <f>IF('INHERENT MAP'!$B$5=2021,'РЕЕСТР РИСКОВ_2023'!#REF!,IF('INHERENT MAP'!$B$5=2022,#REF!,IF('INHERENT MAP'!$B$5=2023,#REF!,IF('INHERENT MAP'!$B$5=2024,#REF!,#REF!))))</f>
        <v>#REF!</v>
      </c>
      <c r="M83" t="e">
        <f>IF('INHERENT MAP'!$B$5=2021,IF('РЕЕСТР РИСКОВ_2023'!#REF!="",M82,'РЕЕСТР РИСКОВ_2023'!#REF!),IF('INHERENT MAP'!$B$5=2022,IF(#REF!="",M82,#REF!),IF('INHERENT MAP'!$B$5=2023,IF(#REF!="",M82,#REF!),IF('INHERENT MAP'!$B$5=2024,IF(#REF!="",M82,#REF!),IF('РЕЕСТР РИСКОВ_2023'!#REF!="",M82,'РЕЕСТР РИСКОВ_2023'!#REF!)))))</f>
        <v>#REF!</v>
      </c>
      <c r="N83" t="e">
        <f>IF('INHERENT MAP'!$B$5=2021,IF('РЕЕСТР РИСКОВ_2023'!#REF!="",N82,'РЕЕСТР РИСКОВ_2023'!#REF!),IF('INHERENT MAP'!$B$5=2022,IF(#REF!="",N82,#REF!),IF('INHERENT MAP'!$B$5=2023,IF(#REF!="",N82,#REF!),IF('INHERENT MAP'!$B$5=2024,IF(#REF!="",N82,#REF!),IF('РЕЕСТР РИСКОВ_2023'!#REF!="",N82,'РЕЕСТР РИСКОВ_2023'!#REF!)))))</f>
        <v>#REF!</v>
      </c>
      <c r="O83" t="e">
        <f>'РЕЕСТР РИСКОВ_2023'!#REF!</f>
        <v>#REF!</v>
      </c>
      <c r="P83" t="e">
        <f>IF('РЕЕСТР РИСКОВ_2023'!#REF!="",P82,'РЕЕСТР РИСКОВ_2023'!#REF!)</f>
        <v>#REF!</v>
      </c>
      <c r="Q83" t="e">
        <f>IF('РЕЕСТР РИСКОВ_2023'!#REF!="",Q82,'РЕЕСТР РИСКОВ_2023'!#REF!)</f>
        <v>#REF!</v>
      </c>
      <c r="R83" t="e">
        <f>IF('РЕЕСТР РИСКОВ_2023'!#REF!="",R82,'РЕЕСТР РИСКОВ_2023'!#REF!)</f>
        <v>#REF!</v>
      </c>
      <c r="S83" t="e">
        <f>'РЕЕСТР РИСКОВ_2023'!#REF!</f>
        <v>#REF!</v>
      </c>
      <c r="T83" s="94" t="e">
        <f>IF('INHERENT MAP'!$B$5=2021,'РЕЕСТР РИСКОВ_2023'!#REF!,IF('INHERENT MAP'!$B$5=2022,#REF!,IF('INHERENT MAP'!$B$5=2023,#REF!,IF('INHERENT MAP'!$B$5=2024,#REF!,#REF!))))</f>
        <v>#REF!</v>
      </c>
      <c r="U83" t="e">
        <f>IF('INHERENT MAP'!$B$5=2021,'РЕЕСТР РИСКОВ_2023'!#REF!,IF('INHERENT MAP'!$B$5=2022,#REF!,IF('INHERENT MAP'!$B$5=2023,#REF!,IF('INHERENT MAP'!$B$5=2024,#REF!,#REF!))))</f>
        <v>#REF!</v>
      </c>
      <c r="V83" t="e">
        <f>IF('INHERENT MAP'!$B$5=2021,'РЕЕСТР РИСКОВ_2023'!#REF!,IF('INHERENT MAP'!$B$5=2022,#REF!,IF('INHERENT MAP'!$B$5=2023,#REF!,IF('INHERENT MAP'!$B$5=2024,#REF!,#REF!))))</f>
        <v>#REF!</v>
      </c>
      <c r="W83" t="e">
        <f>IF('INHERENT MAP'!$B$5=2021,'РЕЕСТР РИСКОВ_2023'!#REF!,IF('INHERENT MAP'!$B$5=2022,#REF!,IF('INHERENT MAP'!$B$5=2023,#REF!,IF('INHERENT MAP'!$B$5=2024,#REF!,#REF!))))</f>
        <v>#REF!</v>
      </c>
      <c r="X83" s="94" t="e">
        <f>IF('INHERENT MAP'!$B$5=2021,'РЕЕСТР РИСКОВ_2023'!#REF!,IF('INHERENT MAP'!$B$5=2022,#REF!,IF('INHERENT MAP'!$B$5=2023,#REF!,IF('INHERENT MAP'!$B$5=2024,#REF!,#REF!))))</f>
        <v>#REF!</v>
      </c>
      <c r="Y83" t="e">
        <f>IF('INHERENT MAP'!$B$5=2021,'РЕЕСТР РИСКОВ_2023'!#REF!,IF('INHERENT MAP'!$B$5=2022,#REF!,IF('INHERENT MAP'!$B$5=2023,#REF!,IF('INHERENT MAP'!$B$5=2024,#REF!,#REF!))))</f>
        <v>#REF!</v>
      </c>
      <c r="Z83" t="e">
        <f>IF('INHERENT MAP'!$B$5=2021,'РЕЕСТР РИСКОВ_2023'!#REF!,IF('INHERENT MAP'!$B$5=2022,#REF!,IF('INHERENT MAP'!$B$5=2023,#REF!,IF('INHERENT MAP'!$B$5=2024,#REF!,#REF!))))</f>
        <v>#REF!</v>
      </c>
      <c r="AA83" t="e">
        <f>IF('INHERENT MAP'!$B$5=2021,'РЕЕСТР РИСКОВ_2023'!#REF!,IF('INHERENT MAP'!$B$5=2022,#REF!,IF('INHERENT MAP'!$B$5=2023,#REF!,IF('INHERENT MAP'!$B$5=2024,#REF!,#REF!))))</f>
        <v>#REF!</v>
      </c>
      <c r="AB83" t="e">
        <f>IF('INHERENT MAP'!$B$5=2021,'РЕЕСТР РИСКОВ_2023'!#REF!,IF('INHERENT MAP'!$B$5=2022,#REF!,IF('INHERENT MAP'!$B$5=2023,#REF!,IF('INHERENT MAP'!$B$5=2024,#REF!,#REF!))))</f>
        <v>#REF!</v>
      </c>
      <c r="AC83" t="e">
        <f>IF('INHERENT MAP'!$B$5=2021,'РЕЕСТР РИСКОВ_2023'!#REF!,IF('INHERENT MAP'!$B$5=2022,#REF!,IF('INHERENT MAP'!$B$5=2023,#REF!,IF('INHERENT MAP'!$B$5=2024,#REF!,#REF!))))</f>
        <v>#REF!</v>
      </c>
      <c r="AD83" t="e">
        <f>IF('INHERENT MAP'!$B$5=2021,'РЕЕСТР РИСКОВ_2023'!#REF!,IF('INHERENT MAP'!$B$5=2022,#REF!,IF('INHERENT MAP'!$B$5=2023,#REF!,IF('INHERENT MAP'!$B$5=2024,#REF!,#REF!))))</f>
        <v>#REF!</v>
      </c>
      <c r="AE83" t="e">
        <f>IF('INHERENT MAP'!$B$5=2021,'РЕЕСТР РИСКОВ_2023'!#REF!,IF('INHERENT MAP'!$B$5=2022,#REF!,IF('INHERENT MAP'!$B$5=2023,#REF!,IF('INHERENT MAP'!$B$5=2024,#REF!,#REF!))))</f>
        <v>#REF!</v>
      </c>
      <c r="AF83" t="e">
        <f>IF('INHERENT MAP'!$B$5=2021,'РЕЕСТР РИСКОВ_2023'!#REF!,IF('INHERENT MAP'!$B$5=2022,#REF!,IF('INHERENT MAP'!$B$5=2023,#REF!,IF('INHERENT MAP'!$B$5=2024,#REF!,#REF!))))</f>
        <v>#REF!</v>
      </c>
      <c r="AG83" t="e">
        <f>IF('INHERENT MAP'!$B$5=2021,'РЕЕСТР РИСКОВ_2023'!#REF!,IF('INHERENT MAP'!$B$5=2022,#REF!,IF('INHERENT MAP'!$B$5=2023,#REF!,IF('INHERENT MAP'!$B$5=2024,#REF!,#REF!))))</f>
        <v>#REF!</v>
      </c>
      <c r="AH83" t="e">
        <f>IF('INHERENT MAP'!$B$5=2021,'РЕЕСТР РИСКОВ_2023'!#REF!,IF('INHERENT MAP'!$B$5=2022,#REF!,IF('INHERENT MAP'!$B$5=2023,#REF!,IF('INHERENT MAP'!$B$5=2024,#REF!,#REF!))))</f>
        <v>#REF!</v>
      </c>
      <c r="AI83" t="e">
        <f>IF('INHERENT MAP'!$B$5=2021,'РЕЕСТР РИСКОВ_2023'!#REF!,IF('INHERENT MAP'!$B$5=2022,#REF!,IF('INHERENT MAP'!$B$5=2023,#REF!,IF('INHERENT MAP'!$B$5=2024,#REF!,#REF!))))</f>
        <v>#REF!</v>
      </c>
      <c r="AJ83" t="e">
        <f>IF('INHERENT MAP'!$B$5=2021,'РЕЕСТР РИСКОВ_2023'!#REF!,IF('INHERENT MAP'!$B$5=2022,#REF!,IF('INHERENT MAP'!$B$5=2023,#REF!,IF('INHERENT MAP'!$B$5=2024,#REF!,#REF!))))</f>
        <v>#REF!</v>
      </c>
      <c r="AK83" t="e">
        <f>IF('РЕЕСТР РИСКОВ_2023'!#REF!="",AK82,'РЕЕСТР РИСКОВ_2023'!#REF!)</f>
        <v>#REF!</v>
      </c>
      <c r="AL83" t="e">
        <f>IF('РЕЕСТР РИСКОВ_2023'!#REF!="",AL82,'РЕЕСТР РИСКОВ_2023'!#REF!)</f>
        <v>#REF!</v>
      </c>
      <c r="AM83" t="e">
        <f>IF('РЕЕСТР РИСКОВ_2023'!#REF!="",AM82,'РЕЕСТР РИСКОВ_2023'!#REF!)</f>
        <v>#REF!</v>
      </c>
      <c r="AN83" t="e">
        <f>IF('РЕЕСТР РИСКОВ_2023'!#REF!="",AN82,'РЕЕСТР РИСКОВ_2023'!#REF!)</f>
        <v>#REF!</v>
      </c>
      <c r="AO83" t="e">
        <f>IF('РЕЕСТР РИСКОВ_2023'!#REF!="",AO82,'РЕЕСТР РИСКОВ_2023'!#REF!)</f>
        <v>#REF!</v>
      </c>
    </row>
    <row r="84" spans="2:41">
      <c r="B84" t="e">
        <f>IF('INHERENT MAP'!$B$5=2021,IF('РЕЕСТР РИСКОВ_2023'!#REF!="",B83,'РЕЕСТР РИСКОВ_2023'!#REF!),IF('INHERENT MAP'!$B$5=2022,IF(#REF!="",B83,#REF!),IF('INHERENT MAP'!$B$5=2023,IF(#REF!="",B83,#REF!),IF('INHERENT MAP'!$B$5=2024,IF(#REF!="",B83,#REF!),IF('РЕЕСТР РИСКОВ_2023'!#REF!="",B83,'РЕЕСТР РИСКОВ_2023'!#REF!)))))</f>
        <v>#REF!</v>
      </c>
      <c r="C84" t="e">
        <f>IF('INHERENT MAP'!$B$5=2021,IF('РЕЕСТР РИСКОВ_2023'!#REF!="",C83,'РЕЕСТР РИСКОВ_2023'!#REF!),IF('INHERENT MAP'!$B$5=2022,IF(#REF!="",C83,#REF!),IF('INHERENT MAP'!$B$5=2023,IF(#REF!="",C83,#REF!),IF('INHERENT MAP'!$B$5=2024,IF(#REF!="",C83,#REF!),IF('РЕЕСТР РИСКОВ_2023'!#REF!="",C83,'РЕЕСТР РИСКОВ_2023'!#REF!)))))</f>
        <v>#REF!</v>
      </c>
      <c r="D84" t="e">
        <f>IF('INHERENT MAP'!$B$5=2021,IF('РЕЕСТР РИСКОВ_2023'!#REF!="",D83,'РЕЕСТР РИСКОВ_2023'!#REF!),IF('INHERENT MAP'!$B$5=2022,IF(#REF!="",D83,#REF!),IF('INHERENT MAP'!$B$5=2023,IF(#REF!="",D83,#REF!),IF('INHERENT MAP'!$B$5=2024,IF(#REF!="",D83,#REF!),IF('РЕЕСТР РИСКОВ_2023'!#REF!="",D83,'РЕЕСТР РИСКОВ_2023'!#REF!)))))</f>
        <v>#REF!</v>
      </c>
      <c r="E84" t="e">
        <f>IF('INHERENT MAP'!$B$5=2021,IF('РЕЕСТР РИСКОВ_2023'!#REF!="",E83,'РЕЕСТР РИСКОВ_2023'!#REF!),IF('INHERENT MAP'!$B$5=2022,IF(#REF!="",E83,#REF!),IF('INHERENT MAP'!$B$5=2023,IF(#REF!="",E83,#REF!),IF('INHERENT MAP'!$B$5=2024,IF(#REF!="",E83,#REF!),IF('РЕЕСТР РИСКОВ_2023'!#REF!="",E83,'РЕЕСТР РИСКОВ_2023'!#REF!)))))</f>
        <v>#REF!</v>
      </c>
      <c r="F84" t="e">
        <f>IF('INHERENT MAP'!$B$5=2021,IF('РЕЕСТР РИСКОВ_2023'!#REF!="",F83,'РЕЕСТР РИСКОВ_2023'!#REF!),IF('INHERENT MAP'!$B$5=2022,IF(#REF!="",F83,#REF!),IF('INHERENT MAP'!$B$5=2023,IF(#REF!="",F83,#REF!),IF('INHERENT MAP'!$B$5=2024,IF(#REF!="",F83,#REF!),IF('РЕЕСТР РИСКОВ_2023'!#REF!="",F83,'РЕЕСТР РИСКОВ_2023'!#REF!)))))</f>
        <v>#REF!</v>
      </c>
      <c r="G84" t="e">
        <f>IF('INHERENT MAP'!$B$5=2021,IF('РЕЕСТР РИСКОВ_2023'!#REF!="",G83,'РЕЕСТР РИСКОВ_2023'!#REF!),IF('INHERENT MAP'!$B$5=2022,IF(#REF!="",G83,#REF!),IF('INHERENT MAP'!$B$5=2023,IF(#REF!="",G83,#REF!),IF('INHERENT MAP'!$B$5=2024,IF(#REF!="",G83,#REF!),IF('РЕЕСТР РИСКОВ_2023'!#REF!="",G83,'РЕЕСТР РИСКОВ_2023'!#REF!)))))</f>
        <v>#REF!</v>
      </c>
      <c r="H84" t="e">
        <f>IF('INHERENT MAP'!$B$5=2021,'РЕЕСТР РИСКОВ_2023'!#REF!,IF('INHERENT MAP'!$B$5=2022,#REF!,IF('INHERENT MAP'!$B$5=2023,#REF!,IF('INHERENT MAP'!$B$5=2024,#REF!,#REF!))))</f>
        <v>#REF!</v>
      </c>
      <c r="I84" t="e">
        <f>IF('INHERENT MAP'!$B$5=2021,'РЕЕСТР РИСКОВ_2023'!#REF!,IF('INHERENT MAP'!$B$5=2022,#REF!,IF('INHERENT MAP'!$B$5=2023,#REF!,IF('INHERENT MAP'!$B$5=2024,#REF!,#REF!))))</f>
        <v>#REF!</v>
      </c>
      <c r="J84" t="e">
        <f>IF('INHERENT MAP'!$B$5=2021,'РЕЕСТР РИСКОВ_2023'!#REF!,IF('INHERENT MAP'!$B$5=2022,#REF!,IF('INHERENT MAP'!$B$5=2023,#REF!,IF('INHERENT MAP'!$B$5=2024,#REF!,#REF!))))</f>
        <v>#REF!</v>
      </c>
      <c r="K84" t="e">
        <f>IF('INHERENT MAP'!$B$5=2021,'РЕЕСТР РИСКОВ_2023'!#REF!,IF('INHERENT MAP'!$B$5=2022,#REF!,IF('INHERENT MAP'!$B$5=2023,#REF!,IF('INHERENT MAP'!$B$5=2024,#REF!,#REF!))))</f>
        <v>#REF!</v>
      </c>
      <c r="L84" t="e">
        <f>IF('INHERENT MAP'!$B$5=2021,'РЕЕСТР РИСКОВ_2023'!#REF!,IF('INHERENT MAP'!$B$5=2022,#REF!,IF('INHERENT MAP'!$B$5=2023,#REF!,IF('INHERENT MAP'!$B$5=2024,#REF!,#REF!))))</f>
        <v>#REF!</v>
      </c>
      <c r="M84" t="e">
        <f>IF('INHERENT MAP'!$B$5=2021,IF('РЕЕСТР РИСКОВ_2023'!#REF!="",M83,'РЕЕСТР РИСКОВ_2023'!#REF!),IF('INHERENT MAP'!$B$5=2022,IF(#REF!="",M83,#REF!),IF('INHERENT MAP'!$B$5=2023,IF(#REF!="",M83,#REF!),IF('INHERENT MAP'!$B$5=2024,IF(#REF!="",M83,#REF!),IF('РЕЕСТР РИСКОВ_2023'!#REF!="",M83,'РЕЕСТР РИСКОВ_2023'!#REF!)))))</f>
        <v>#REF!</v>
      </c>
      <c r="N84" t="e">
        <f>IF('INHERENT MAP'!$B$5=2021,IF('РЕЕСТР РИСКОВ_2023'!#REF!="",N83,'РЕЕСТР РИСКОВ_2023'!#REF!),IF('INHERENT MAP'!$B$5=2022,IF(#REF!="",N83,#REF!),IF('INHERENT MAP'!$B$5=2023,IF(#REF!="",N83,#REF!),IF('INHERENT MAP'!$B$5=2024,IF(#REF!="",N83,#REF!),IF('РЕЕСТР РИСКОВ_2023'!#REF!="",N83,'РЕЕСТР РИСКОВ_2023'!#REF!)))))</f>
        <v>#REF!</v>
      </c>
      <c r="O84" t="e">
        <f>'РЕЕСТР РИСКОВ_2023'!#REF!</f>
        <v>#REF!</v>
      </c>
      <c r="P84" t="e">
        <f>IF('РЕЕСТР РИСКОВ_2023'!#REF!="",P83,'РЕЕСТР РИСКОВ_2023'!#REF!)</f>
        <v>#REF!</v>
      </c>
      <c r="Q84" t="e">
        <f>IF('РЕЕСТР РИСКОВ_2023'!#REF!="",Q83,'РЕЕСТР РИСКОВ_2023'!#REF!)</f>
        <v>#REF!</v>
      </c>
      <c r="R84" t="e">
        <f>IF('РЕЕСТР РИСКОВ_2023'!#REF!="",R83,'РЕЕСТР РИСКОВ_2023'!#REF!)</f>
        <v>#REF!</v>
      </c>
      <c r="S84" t="e">
        <f>'РЕЕСТР РИСКОВ_2023'!#REF!</f>
        <v>#REF!</v>
      </c>
      <c r="T84" s="94" t="e">
        <f>IF('INHERENT MAP'!$B$5=2021,'РЕЕСТР РИСКОВ_2023'!#REF!,IF('INHERENT MAP'!$B$5=2022,#REF!,IF('INHERENT MAP'!$B$5=2023,#REF!,IF('INHERENT MAP'!$B$5=2024,#REF!,#REF!))))</f>
        <v>#REF!</v>
      </c>
      <c r="U84" t="e">
        <f>IF('INHERENT MAP'!$B$5=2021,'РЕЕСТР РИСКОВ_2023'!#REF!,IF('INHERENT MAP'!$B$5=2022,#REF!,IF('INHERENT MAP'!$B$5=2023,#REF!,IF('INHERENT MAP'!$B$5=2024,#REF!,#REF!))))</f>
        <v>#REF!</v>
      </c>
      <c r="V84" t="e">
        <f>IF('INHERENT MAP'!$B$5=2021,'РЕЕСТР РИСКОВ_2023'!#REF!,IF('INHERENT MAP'!$B$5=2022,#REF!,IF('INHERENT MAP'!$B$5=2023,#REF!,IF('INHERENT MAP'!$B$5=2024,#REF!,#REF!))))</f>
        <v>#REF!</v>
      </c>
      <c r="W84" t="e">
        <f>IF('INHERENT MAP'!$B$5=2021,'РЕЕСТР РИСКОВ_2023'!#REF!,IF('INHERENT MAP'!$B$5=2022,#REF!,IF('INHERENT MAP'!$B$5=2023,#REF!,IF('INHERENT MAP'!$B$5=2024,#REF!,#REF!))))</f>
        <v>#REF!</v>
      </c>
      <c r="X84" s="94" t="e">
        <f>IF('INHERENT MAP'!$B$5=2021,'РЕЕСТР РИСКОВ_2023'!#REF!,IF('INHERENT MAP'!$B$5=2022,#REF!,IF('INHERENT MAP'!$B$5=2023,#REF!,IF('INHERENT MAP'!$B$5=2024,#REF!,#REF!))))</f>
        <v>#REF!</v>
      </c>
      <c r="Y84" t="e">
        <f>IF('INHERENT MAP'!$B$5=2021,'РЕЕСТР РИСКОВ_2023'!#REF!,IF('INHERENT MAP'!$B$5=2022,#REF!,IF('INHERENT MAP'!$B$5=2023,#REF!,IF('INHERENT MAP'!$B$5=2024,#REF!,#REF!))))</f>
        <v>#REF!</v>
      </c>
      <c r="Z84" t="e">
        <f>IF('INHERENT MAP'!$B$5=2021,'РЕЕСТР РИСКОВ_2023'!#REF!,IF('INHERENT MAP'!$B$5=2022,#REF!,IF('INHERENT MAP'!$B$5=2023,#REF!,IF('INHERENT MAP'!$B$5=2024,#REF!,#REF!))))</f>
        <v>#REF!</v>
      </c>
      <c r="AA84" t="e">
        <f>IF('INHERENT MAP'!$B$5=2021,'РЕЕСТР РИСКОВ_2023'!#REF!,IF('INHERENT MAP'!$B$5=2022,#REF!,IF('INHERENT MAP'!$B$5=2023,#REF!,IF('INHERENT MAP'!$B$5=2024,#REF!,#REF!))))</f>
        <v>#REF!</v>
      </c>
      <c r="AB84" t="e">
        <f>IF('INHERENT MAP'!$B$5=2021,'РЕЕСТР РИСКОВ_2023'!#REF!,IF('INHERENT MAP'!$B$5=2022,#REF!,IF('INHERENT MAP'!$B$5=2023,#REF!,IF('INHERENT MAP'!$B$5=2024,#REF!,#REF!))))</f>
        <v>#REF!</v>
      </c>
      <c r="AC84" t="e">
        <f>IF('INHERENT MAP'!$B$5=2021,'РЕЕСТР РИСКОВ_2023'!#REF!,IF('INHERENT MAP'!$B$5=2022,#REF!,IF('INHERENT MAP'!$B$5=2023,#REF!,IF('INHERENT MAP'!$B$5=2024,#REF!,#REF!))))</f>
        <v>#REF!</v>
      </c>
      <c r="AD84" t="e">
        <f>IF('INHERENT MAP'!$B$5=2021,'РЕЕСТР РИСКОВ_2023'!#REF!,IF('INHERENT MAP'!$B$5=2022,#REF!,IF('INHERENT MAP'!$B$5=2023,#REF!,IF('INHERENT MAP'!$B$5=2024,#REF!,#REF!))))</f>
        <v>#REF!</v>
      </c>
      <c r="AE84" t="e">
        <f>IF('INHERENT MAP'!$B$5=2021,'РЕЕСТР РИСКОВ_2023'!#REF!,IF('INHERENT MAP'!$B$5=2022,#REF!,IF('INHERENT MAP'!$B$5=2023,#REF!,IF('INHERENT MAP'!$B$5=2024,#REF!,#REF!))))</f>
        <v>#REF!</v>
      </c>
      <c r="AF84" t="e">
        <f>IF('INHERENT MAP'!$B$5=2021,'РЕЕСТР РИСКОВ_2023'!#REF!,IF('INHERENT MAP'!$B$5=2022,#REF!,IF('INHERENT MAP'!$B$5=2023,#REF!,IF('INHERENT MAP'!$B$5=2024,#REF!,#REF!))))</f>
        <v>#REF!</v>
      </c>
      <c r="AG84" t="e">
        <f>IF('INHERENT MAP'!$B$5=2021,'РЕЕСТР РИСКОВ_2023'!#REF!,IF('INHERENT MAP'!$B$5=2022,#REF!,IF('INHERENT MAP'!$B$5=2023,#REF!,IF('INHERENT MAP'!$B$5=2024,#REF!,#REF!))))</f>
        <v>#REF!</v>
      </c>
      <c r="AH84" t="e">
        <f>IF('INHERENT MAP'!$B$5=2021,'РЕЕСТР РИСКОВ_2023'!#REF!,IF('INHERENT MAP'!$B$5=2022,#REF!,IF('INHERENT MAP'!$B$5=2023,#REF!,IF('INHERENT MAP'!$B$5=2024,#REF!,#REF!))))</f>
        <v>#REF!</v>
      </c>
      <c r="AI84" t="e">
        <f>IF('INHERENT MAP'!$B$5=2021,'РЕЕСТР РИСКОВ_2023'!#REF!,IF('INHERENT MAP'!$B$5=2022,#REF!,IF('INHERENT MAP'!$B$5=2023,#REF!,IF('INHERENT MAP'!$B$5=2024,#REF!,#REF!))))</f>
        <v>#REF!</v>
      </c>
      <c r="AJ84" t="e">
        <f>IF('INHERENT MAP'!$B$5=2021,'РЕЕСТР РИСКОВ_2023'!#REF!,IF('INHERENT MAP'!$B$5=2022,#REF!,IF('INHERENT MAP'!$B$5=2023,#REF!,IF('INHERENT MAP'!$B$5=2024,#REF!,#REF!))))</f>
        <v>#REF!</v>
      </c>
      <c r="AK84" t="e">
        <f>IF('РЕЕСТР РИСКОВ_2023'!#REF!="",AK83,'РЕЕСТР РИСКОВ_2023'!#REF!)</f>
        <v>#REF!</v>
      </c>
      <c r="AL84" t="e">
        <f>IF('РЕЕСТР РИСКОВ_2023'!#REF!="",AL83,'РЕЕСТР РИСКОВ_2023'!#REF!)</f>
        <v>#REF!</v>
      </c>
      <c r="AM84" t="e">
        <f>IF('РЕЕСТР РИСКОВ_2023'!#REF!="",AM83,'РЕЕСТР РИСКОВ_2023'!#REF!)</f>
        <v>#REF!</v>
      </c>
      <c r="AN84" t="e">
        <f>IF('РЕЕСТР РИСКОВ_2023'!#REF!="",AN83,'РЕЕСТР РИСКОВ_2023'!#REF!)</f>
        <v>#REF!</v>
      </c>
      <c r="AO84" t="e">
        <f>IF('РЕЕСТР РИСКОВ_2023'!#REF!="",AO83,'РЕЕСТР РИСКОВ_2023'!#REF!)</f>
        <v>#REF!</v>
      </c>
    </row>
    <row r="85" spans="2:41">
      <c r="B85" t="e">
        <f>IF('INHERENT MAP'!$B$5=2021,IF('РЕЕСТР РИСКОВ_2023'!#REF!="",B84,'РЕЕСТР РИСКОВ_2023'!#REF!),IF('INHERENT MAP'!$B$5=2022,IF(#REF!="",B84,#REF!),IF('INHERENT MAP'!$B$5=2023,IF(#REF!="",B84,#REF!),IF('INHERENT MAP'!$B$5=2024,IF(#REF!="",B84,#REF!),IF('РЕЕСТР РИСКОВ_2023'!#REF!="",B84,'РЕЕСТР РИСКОВ_2023'!#REF!)))))</f>
        <v>#REF!</v>
      </c>
      <c r="C85" t="e">
        <f>IF('INHERENT MAP'!$B$5=2021,IF('РЕЕСТР РИСКОВ_2023'!#REF!="",C84,'РЕЕСТР РИСКОВ_2023'!#REF!),IF('INHERENT MAP'!$B$5=2022,IF(#REF!="",C84,#REF!),IF('INHERENT MAP'!$B$5=2023,IF(#REF!="",C84,#REF!),IF('INHERENT MAP'!$B$5=2024,IF(#REF!="",C84,#REF!),IF('РЕЕСТР РИСКОВ_2023'!#REF!="",C84,'РЕЕСТР РИСКОВ_2023'!#REF!)))))</f>
        <v>#REF!</v>
      </c>
      <c r="D85" t="e">
        <f>IF('INHERENT MAP'!$B$5=2021,IF('РЕЕСТР РИСКОВ_2023'!#REF!="",D84,'РЕЕСТР РИСКОВ_2023'!#REF!),IF('INHERENT MAP'!$B$5=2022,IF(#REF!="",D84,#REF!),IF('INHERENT MAP'!$B$5=2023,IF(#REF!="",D84,#REF!),IF('INHERENT MAP'!$B$5=2024,IF(#REF!="",D84,#REF!),IF('РЕЕСТР РИСКОВ_2023'!#REF!="",D84,'РЕЕСТР РИСКОВ_2023'!#REF!)))))</f>
        <v>#REF!</v>
      </c>
      <c r="E85" t="e">
        <f>IF('INHERENT MAP'!$B$5=2021,IF('РЕЕСТР РИСКОВ_2023'!#REF!="",E84,'РЕЕСТР РИСКОВ_2023'!#REF!),IF('INHERENT MAP'!$B$5=2022,IF(#REF!="",E84,#REF!),IF('INHERENT MAP'!$B$5=2023,IF(#REF!="",E84,#REF!),IF('INHERENT MAP'!$B$5=2024,IF(#REF!="",E84,#REF!),IF('РЕЕСТР РИСКОВ_2023'!#REF!="",E84,'РЕЕСТР РИСКОВ_2023'!#REF!)))))</f>
        <v>#REF!</v>
      </c>
      <c r="F85" t="e">
        <f>IF('INHERENT MAP'!$B$5=2021,IF('РЕЕСТР РИСКОВ_2023'!#REF!="",F84,'РЕЕСТР РИСКОВ_2023'!#REF!),IF('INHERENT MAP'!$B$5=2022,IF(#REF!="",F84,#REF!),IF('INHERENT MAP'!$B$5=2023,IF(#REF!="",F84,#REF!),IF('INHERENT MAP'!$B$5=2024,IF(#REF!="",F84,#REF!),IF('РЕЕСТР РИСКОВ_2023'!#REF!="",F84,'РЕЕСТР РИСКОВ_2023'!#REF!)))))</f>
        <v>#REF!</v>
      </c>
      <c r="G85" t="e">
        <f>IF('INHERENT MAP'!$B$5=2021,IF('РЕЕСТР РИСКОВ_2023'!#REF!="",G84,'РЕЕСТР РИСКОВ_2023'!#REF!),IF('INHERENT MAP'!$B$5=2022,IF(#REF!="",G84,#REF!),IF('INHERENT MAP'!$B$5=2023,IF(#REF!="",G84,#REF!),IF('INHERENT MAP'!$B$5=2024,IF(#REF!="",G84,#REF!),IF('РЕЕСТР РИСКОВ_2023'!#REF!="",G84,'РЕЕСТР РИСКОВ_2023'!#REF!)))))</f>
        <v>#REF!</v>
      </c>
      <c r="H85" t="e">
        <f>IF('INHERENT MAP'!$B$5=2021,'РЕЕСТР РИСКОВ_2023'!#REF!,IF('INHERENT MAP'!$B$5=2022,#REF!,IF('INHERENT MAP'!$B$5=2023,#REF!,IF('INHERENT MAP'!$B$5=2024,#REF!,#REF!))))</f>
        <v>#REF!</v>
      </c>
      <c r="I85" t="e">
        <f>IF('INHERENT MAP'!$B$5=2021,'РЕЕСТР РИСКОВ_2023'!#REF!,IF('INHERENT MAP'!$B$5=2022,#REF!,IF('INHERENT MAP'!$B$5=2023,#REF!,IF('INHERENT MAP'!$B$5=2024,#REF!,#REF!))))</f>
        <v>#REF!</v>
      </c>
      <c r="J85" t="e">
        <f>IF('INHERENT MAP'!$B$5=2021,'РЕЕСТР РИСКОВ_2023'!#REF!,IF('INHERENT MAP'!$B$5=2022,#REF!,IF('INHERENT MAP'!$B$5=2023,#REF!,IF('INHERENT MAP'!$B$5=2024,#REF!,#REF!))))</f>
        <v>#REF!</v>
      </c>
      <c r="K85" t="e">
        <f>IF('INHERENT MAP'!$B$5=2021,'РЕЕСТР РИСКОВ_2023'!#REF!,IF('INHERENT MAP'!$B$5=2022,#REF!,IF('INHERENT MAP'!$B$5=2023,#REF!,IF('INHERENT MAP'!$B$5=2024,#REF!,#REF!))))</f>
        <v>#REF!</v>
      </c>
      <c r="L85" t="e">
        <f>IF('INHERENT MAP'!$B$5=2021,'РЕЕСТР РИСКОВ_2023'!#REF!,IF('INHERENT MAP'!$B$5=2022,#REF!,IF('INHERENT MAP'!$B$5=2023,#REF!,IF('INHERENT MAP'!$B$5=2024,#REF!,#REF!))))</f>
        <v>#REF!</v>
      </c>
      <c r="M85" t="e">
        <f>IF('INHERENT MAP'!$B$5=2021,IF('РЕЕСТР РИСКОВ_2023'!#REF!="",M84,'РЕЕСТР РИСКОВ_2023'!#REF!),IF('INHERENT MAP'!$B$5=2022,IF(#REF!="",M84,#REF!),IF('INHERENT MAP'!$B$5=2023,IF(#REF!="",M84,#REF!),IF('INHERENT MAP'!$B$5=2024,IF(#REF!="",M84,#REF!),IF('РЕЕСТР РИСКОВ_2023'!#REF!="",M84,'РЕЕСТР РИСКОВ_2023'!#REF!)))))</f>
        <v>#REF!</v>
      </c>
      <c r="N85" t="e">
        <f>IF('INHERENT MAP'!$B$5=2021,IF('РЕЕСТР РИСКОВ_2023'!#REF!="",N84,'РЕЕСТР РИСКОВ_2023'!#REF!),IF('INHERENT MAP'!$B$5=2022,IF(#REF!="",N84,#REF!),IF('INHERENT MAP'!$B$5=2023,IF(#REF!="",N84,#REF!),IF('INHERENT MAP'!$B$5=2024,IF(#REF!="",N84,#REF!),IF('РЕЕСТР РИСКОВ_2023'!#REF!="",N84,'РЕЕСТР РИСКОВ_2023'!#REF!)))))</f>
        <v>#REF!</v>
      </c>
      <c r="O85" t="e">
        <f>'РЕЕСТР РИСКОВ_2023'!#REF!</f>
        <v>#REF!</v>
      </c>
      <c r="P85" t="e">
        <f>IF('РЕЕСТР РИСКОВ_2023'!#REF!="",P84,'РЕЕСТР РИСКОВ_2023'!#REF!)</f>
        <v>#REF!</v>
      </c>
      <c r="Q85" t="e">
        <f>IF('РЕЕСТР РИСКОВ_2023'!#REF!="",Q84,'РЕЕСТР РИСКОВ_2023'!#REF!)</f>
        <v>#REF!</v>
      </c>
      <c r="R85" t="e">
        <f>IF('РЕЕСТР РИСКОВ_2023'!#REF!="",R84,'РЕЕСТР РИСКОВ_2023'!#REF!)</f>
        <v>#REF!</v>
      </c>
      <c r="S85" t="e">
        <f>'РЕЕСТР РИСКОВ_2023'!#REF!</f>
        <v>#REF!</v>
      </c>
      <c r="T85" s="94" t="e">
        <f>IF('INHERENT MAP'!$B$5=2021,'РЕЕСТР РИСКОВ_2023'!#REF!,IF('INHERENT MAP'!$B$5=2022,#REF!,IF('INHERENT MAP'!$B$5=2023,#REF!,IF('INHERENT MAP'!$B$5=2024,#REF!,#REF!))))</f>
        <v>#REF!</v>
      </c>
      <c r="U85" t="e">
        <f>IF('INHERENT MAP'!$B$5=2021,'РЕЕСТР РИСКОВ_2023'!#REF!,IF('INHERENT MAP'!$B$5=2022,#REF!,IF('INHERENT MAP'!$B$5=2023,#REF!,IF('INHERENT MAP'!$B$5=2024,#REF!,#REF!))))</f>
        <v>#REF!</v>
      </c>
      <c r="V85" t="e">
        <f>IF('INHERENT MAP'!$B$5=2021,'РЕЕСТР РИСКОВ_2023'!#REF!,IF('INHERENT MAP'!$B$5=2022,#REF!,IF('INHERENT MAP'!$B$5=2023,#REF!,IF('INHERENT MAP'!$B$5=2024,#REF!,#REF!))))</f>
        <v>#REF!</v>
      </c>
      <c r="W85" t="e">
        <f>IF('INHERENT MAP'!$B$5=2021,'РЕЕСТР РИСКОВ_2023'!#REF!,IF('INHERENT MAP'!$B$5=2022,#REF!,IF('INHERENT MAP'!$B$5=2023,#REF!,IF('INHERENT MAP'!$B$5=2024,#REF!,#REF!))))</f>
        <v>#REF!</v>
      </c>
      <c r="X85" s="94" t="e">
        <f>IF('INHERENT MAP'!$B$5=2021,'РЕЕСТР РИСКОВ_2023'!#REF!,IF('INHERENT MAP'!$B$5=2022,#REF!,IF('INHERENT MAP'!$B$5=2023,#REF!,IF('INHERENT MAP'!$B$5=2024,#REF!,#REF!))))</f>
        <v>#REF!</v>
      </c>
      <c r="Y85" t="e">
        <f>IF('INHERENT MAP'!$B$5=2021,'РЕЕСТР РИСКОВ_2023'!#REF!,IF('INHERENT MAP'!$B$5=2022,#REF!,IF('INHERENT MAP'!$B$5=2023,#REF!,IF('INHERENT MAP'!$B$5=2024,#REF!,#REF!))))</f>
        <v>#REF!</v>
      </c>
      <c r="Z85" t="e">
        <f>IF('INHERENT MAP'!$B$5=2021,'РЕЕСТР РИСКОВ_2023'!#REF!,IF('INHERENT MAP'!$B$5=2022,#REF!,IF('INHERENT MAP'!$B$5=2023,#REF!,IF('INHERENT MAP'!$B$5=2024,#REF!,#REF!))))</f>
        <v>#REF!</v>
      </c>
      <c r="AA85" t="e">
        <f>IF('INHERENT MAP'!$B$5=2021,'РЕЕСТР РИСКОВ_2023'!#REF!,IF('INHERENT MAP'!$B$5=2022,#REF!,IF('INHERENT MAP'!$B$5=2023,#REF!,IF('INHERENT MAP'!$B$5=2024,#REF!,#REF!))))</f>
        <v>#REF!</v>
      </c>
      <c r="AB85" t="e">
        <f>IF('INHERENT MAP'!$B$5=2021,'РЕЕСТР РИСКОВ_2023'!#REF!,IF('INHERENT MAP'!$B$5=2022,#REF!,IF('INHERENT MAP'!$B$5=2023,#REF!,IF('INHERENT MAP'!$B$5=2024,#REF!,#REF!))))</f>
        <v>#REF!</v>
      </c>
      <c r="AC85" t="e">
        <f>IF('INHERENT MAP'!$B$5=2021,'РЕЕСТР РИСКОВ_2023'!#REF!,IF('INHERENT MAP'!$B$5=2022,#REF!,IF('INHERENT MAP'!$B$5=2023,#REF!,IF('INHERENT MAP'!$B$5=2024,#REF!,#REF!))))</f>
        <v>#REF!</v>
      </c>
      <c r="AD85" t="e">
        <f>IF('INHERENT MAP'!$B$5=2021,'РЕЕСТР РИСКОВ_2023'!#REF!,IF('INHERENT MAP'!$B$5=2022,#REF!,IF('INHERENT MAP'!$B$5=2023,#REF!,IF('INHERENT MAP'!$B$5=2024,#REF!,#REF!))))</f>
        <v>#REF!</v>
      </c>
      <c r="AE85" t="e">
        <f>IF('INHERENT MAP'!$B$5=2021,'РЕЕСТР РИСКОВ_2023'!#REF!,IF('INHERENT MAP'!$B$5=2022,#REF!,IF('INHERENT MAP'!$B$5=2023,#REF!,IF('INHERENT MAP'!$B$5=2024,#REF!,#REF!))))</f>
        <v>#REF!</v>
      </c>
      <c r="AF85" t="e">
        <f>IF('INHERENT MAP'!$B$5=2021,'РЕЕСТР РИСКОВ_2023'!#REF!,IF('INHERENT MAP'!$B$5=2022,#REF!,IF('INHERENT MAP'!$B$5=2023,#REF!,IF('INHERENT MAP'!$B$5=2024,#REF!,#REF!))))</f>
        <v>#REF!</v>
      </c>
      <c r="AG85" t="e">
        <f>IF('INHERENT MAP'!$B$5=2021,'РЕЕСТР РИСКОВ_2023'!#REF!,IF('INHERENT MAP'!$B$5=2022,#REF!,IF('INHERENT MAP'!$B$5=2023,#REF!,IF('INHERENT MAP'!$B$5=2024,#REF!,#REF!))))</f>
        <v>#REF!</v>
      </c>
      <c r="AH85" t="e">
        <f>IF('INHERENT MAP'!$B$5=2021,'РЕЕСТР РИСКОВ_2023'!#REF!,IF('INHERENT MAP'!$B$5=2022,#REF!,IF('INHERENT MAP'!$B$5=2023,#REF!,IF('INHERENT MAP'!$B$5=2024,#REF!,#REF!))))</f>
        <v>#REF!</v>
      </c>
      <c r="AI85" t="e">
        <f>IF('INHERENT MAP'!$B$5=2021,'РЕЕСТР РИСКОВ_2023'!#REF!,IF('INHERENT MAP'!$B$5=2022,#REF!,IF('INHERENT MAP'!$B$5=2023,#REF!,IF('INHERENT MAP'!$B$5=2024,#REF!,#REF!))))</f>
        <v>#REF!</v>
      </c>
      <c r="AJ85" t="e">
        <f>IF('INHERENT MAP'!$B$5=2021,'РЕЕСТР РИСКОВ_2023'!#REF!,IF('INHERENT MAP'!$B$5=2022,#REF!,IF('INHERENT MAP'!$B$5=2023,#REF!,IF('INHERENT MAP'!$B$5=2024,#REF!,#REF!))))</f>
        <v>#REF!</v>
      </c>
      <c r="AK85" t="e">
        <f>IF('РЕЕСТР РИСКОВ_2023'!#REF!="",AK84,'РЕЕСТР РИСКОВ_2023'!#REF!)</f>
        <v>#REF!</v>
      </c>
      <c r="AL85" t="e">
        <f>IF('РЕЕСТР РИСКОВ_2023'!#REF!="",AL84,'РЕЕСТР РИСКОВ_2023'!#REF!)</f>
        <v>#REF!</v>
      </c>
      <c r="AM85" t="e">
        <f>IF('РЕЕСТР РИСКОВ_2023'!#REF!="",AM84,'РЕЕСТР РИСКОВ_2023'!#REF!)</f>
        <v>#REF!</v>
      </c>
      <c r="AN85" t="e">
        <f>IF('РЕЕСТР РИСКОВ_2023'!#REF!="",AN84,'РЕЕСТР РИСКОВ_2023'!#REF!)</f>
        <v>#REF!</v>
      </c>
      <c r="AO85" t="e">
        <f>IF('РЕЕСТР РИСКОВ_2023'!#REF!="",AO84,'РЕЕСТР РИСКОВ_2023'!#REF!)</f>
        <v>#REF!</v>
      </c>
    </row>
    <row r="86" spans="2:41">
      <c r="B86" t="e">
        <f>IF('INHERENT MAP'!$B$5=2021,IF('РЕЕСТР РИСКОВ_2023'!#REF!="",B85,'РЕЕСТР РИСКОВ_2023'!#REF!),IF('INHERENT MAP'!$B$5=2022,IF(#REF!="",B85,#REF!),IF('INHERENT MAP'!$B$5=2023,IF(#REF!="",B85,#REF!),IF('INHERENT MAP'!$B$5=2024,IF(#REF!="",B85,#REF!),IF('РЕЕСТР РИСКОВ_2023'!#REF!="",B85,'РЕЕСТР РИСКОВ_2023'!#REF!)))))</f>
        <v>#REF!</v>
      </c>
      <c r="C86" t="e">
        <f>IF('INHERENT MAP'!$B$5=2021,IF('РЕЕСТР РИСКОВ_2023'!#REF!="",C85,'РЕЕСТР РИСКОВ_2023'!#REF!),IF('INHERENT MAP'!$B$5=2022,IF(#REF!="",C85,#REF!),IF('INHERENT MAP'!$B$5=2023,IF(#REF!="",C85,#REF!),IF('INHERENT MAP'!$B$5=2024,IF(#REF!="",C85,#REF!),IF('РЕЕСТР РИСКОВ_2023'!#REF!="",C85,'РЕЕСТР РИСКОВ_2023'!#REF!)))))</f>
        <v>#REF!</v>
      </c>
      <c r="D86" t="e">
        <f>IF('INHERENT MAP'!$B$5=2021,IF('РЕЕСТР РИСКОВ_2023'!#REF!="",D85,'РЕЕСТР РИСКОВ_2023'!#REF!),IF('INHERENT MAP'!$B$5=2022,IF(#REF!="",D85,#REF!),IF('INHERENT MAP'!$B$5=2023,IF(#REF!="",D85,#REF!),IF('INHERENT MAP'!$B$5=2024,IF(#REF!="",D85,#REF!),IF('РЕЕСТР РИСКОВ_2023'!#REF!="",D85,'РЕЕСТР РИСКОВ_2023'!#REF!)))))</f>
        <v>#REF!</v>
      </c>
      <c r="E86" t="e">
        <f>IF('INHERENT MAP'!$B$5=2021,IF('РЕЕСТР РИСКОВ_2023'!#REF!="",E85,'РЕЕСТР РИСКОВ_2023'!#REF!),IF('INHERENT MAP'!$B$5=2022,IF(#REF!="",E85,#REF!),IF('INHERENT MAP'!$B$5=2023,IF(#REF!="",E85,#REF!),IF('INHERENT MAP'!$B$5=2024,IF(#REF!="",E85,#REF!),IF('РЕЕСТР РИСКОВ_2023'!#REF!="",E85,'РЕЕСТР РИСКОВ_2023'!#REF!)))))</f>
        <v>#REF!</v>
      </c>
      <c r="F86" t="e">
        <f>IF('INHERENT MAP'!$B$5=2021,IF('РЕЕСТР РИСКОВ_2023'!#REF!="",F85,'РЕЕСТР РИСКОВ_2023'!#REF!),IF('INHERENT MAP'!$B$5=2022,IF(#REF!="",F85,#REF!),IF('INHERENT MAP'!$B$5=2023,IF(#REF!="",F85,#REF!),IF('INHERENT MAP'!$B$5=2024,IF(#REF!="",F85,#REF!),IF('РЕЕСТР РИСКОВ_2023'!#REF!="",F85,'РЕЕСТР РИСКОВ_2023'!#REF!)))))</f>
        <v>#REF!</v>
      </c>
      <c r="G86" t="e">
        <f>IF('INHERENT MAP'!$B$5=2021,IF('РЕЕСТР РИСКОВ_2023'!#REF!="",G85,'РЕЕСТР РИСКОВ_2023'!#REF!),IF('INHERENT MAP'!$B$5=2022,IF(#REF!="",G85,#REF!),IF('INHERENT MAP'!$B$5=2023,IF(#REF!="",G85,#REF!),IF('INHERENT MAP'!$B$5=2024,IF(#REF!="",G85,#REF!),IF('РЕЕСТР РИСКОВ_2023'!#REF!="",G85,'РЕЕСТР РИСКОВ_2023'!#REF!)))))</f>
        <v>#REF!</v>
      </c>
      <c r="H86" t="e">
        <f>IF('INHERENT MAP'!$B$5=2021,'РЕЕСТР РИСКОВ_2023'!#REF!,IF('INHERENT MAP'!$B$5=2022,#REF!,IF('INHERENT MAP'!$B$5=2023,#REF!,IF('INHERENT MAP'!$B$5=2024,#REF!,#REF!))))</f>
        <v>#REF!</v>
      </c>
      <c r="I86" t="e">
        <f>IF('INHERENT MAP'!$B$5=2021,'РЕЕСТР РИСКОВ_2023'!#REF!,IF('INHERENT MAP'!$B$5=2022,#REF!,IF('INHERENT MAP'!$B$5=2023,#REF!,IF('INHERENT MAP'!$B$5=2024,#REF!,#REF!))))</f>
        <v>#REF!</v>
      </c>
      <c r="J86" t="e">
        <f>IF('INHERENT MAP'!$B$5=2021,'РЕЕСТР РИСКОВ_2023'!#REF!,IF('INHERENT MAP'!$B$5=2022,#REF!,IF('INHERENT MAP'!$B$5=2023,#REF!,IF('INHERENT MAP'!$B$5=2024,#REF!,#REF!))))</f>
        <v>#REF!</v>
      </c>
      <c r="K86" t="e">
        <f>IF('INHERENT MAP'!$B$5=2021,'РЕЕСТР РИСКОВ_2023'!#REF!,IF('INHERENT MAP'!$B$5=2022,#REF!,IF('INHERENT MAP'!$B$5=2023,#REF!,IF('INHERENT MAP'!$B$5=2024,#REF!,#REF!))))</f>
        <v>#REF!</v>
      </c>
      <c r="L86" t="e">
        <f>IF('INHERENT MAP'!$B$5=2021,'РЕЕСТР РИСКОВ_2023'!#REF!,IF('INHERENT MAP'!$B$5=2022,#REF!,IF('INHERENT MAP'!$B$5=2023,#REF!,IF('INHERENT MAP'!$B$5=2024,#REF!,#REF!))))</f>
        <v>#REF!</v>
      </c>
      <c r="M86" t="e">
        <f>IF('INHERENT MAP'!$B$5=2021,IF('РЕЕСТР РИСКОВ_2023'!#REF!="",M85,'РЕЕСТР РИСКОВ_2023'!#REF!),IF('INHERENT MAP'!$B$5=2022,IF(#REF!="",M85,#REF!),IF('INHERENT MAP'!$B$5=2023,IF(#REF!="",M85,#REF!),IF('INHERENT MAP'!$B$5=2024,IF(#REF!="",M85,#REF!),IF('РЕЕСТР РИСКОВ_2023'!#REF!="",M85,'РЕЕСТР РИСКОВ_2023'!#REF!)))))</f>
        <v>#REF!</v>
      </c>
      <c r="N86" t="e">
        <f>IF('INHERENT MAP'!$B$5=2021,IF('РЕЕСТР РИСКОВ_2023'!#REF!="",N85,'РЕЕСТР РИСКОВ_2023'!#REF!),IF('INHERENT MAP'!$B$5=2022,IF(#REF!="",N85,#REF!),IF('INHERENT MAP'!$B$5=2023,IF(#REF!="",N85,#REF!),IF('INHERENT MAP'!$B$5=2024,IF(#REF!="",N85,#REF!),IF('РЕЕСТР РИСКОВ_2023'!#REF!="",N85,'РЕЕСТР РИСКОВ_2023'!#REF!)))))</f>
        <v>#REF!</v>
      </c>
      <c r="O86" t="e">
        <f>'РЕЕСТР РИСКОВ_2023'!#REF!</f>
        <v>#REF!</v>
      </c>
      <c r="P86" t="e">
        <f>IF('РЕЕСТР РИСКОВ_2023'!#REF!="",P85,'РЕЕСТР РИСКОВ_2023'!#REF!)</f>
        <v>#REF!</v>
      </c>
      <c r="Q86" t="e">
        <f>IF('РЕЕСТР РИСКОВ_2023'!#REF!="",Q85,'РЕЕСТР РИСКОВ_2023'!#REF!)</f>
        <v>#REF!</v>
      </c>
      <c r="R86" t="e">
        <f>IF('РЕЕСТР РИСКОВ_2023'!#REF!="",R85,'РЕЕСТР РИСКОВ_2023'!#REF!)</f>
        <v>#REF!</v>
      </c>
      <c r="S86" t="e">
        <f>'РЕЕСТР РИСКОВ_2023'!#REF!</f>
        <v>#REF!</v>
      </c>
      <c r="T86" s="94" t="e">
        <f>IF('INHERENT MAP'!$B$5=2021,'РЕЕСТР РИСКОВ_2023'!#REF!,IF('INHERENT MAP'!$B$5=2022,#REF!,IF('INHERENT MAP'!$B$5=2023,#REF!,IF('INHERENT MAP'!$B$5=2024,#REF!,#REF!))))</f>
        <v>#REF!</v>
      </c>
      <c r="U86" t="e">
        <f>IF('INHERENT MAP'!$B$5=2021,'РЕЕСТР РИСКОВ_2023'!#REF!,IF('INHERENT MAP'!$B$5=2022,#REF!,IF('INHERENT MAP'!$B$5=2023,#REF!,IF('INHERENT MAP'!$B$5=2024,#REF!,#REF!))))</f>
        <v>#REF!</v>
      </c>
      <c r="V86" t="e">
        <f>IF('INHERENT MAP'!$B$5=2021,'РЕЕСТР РИСКОВ_2023'!#REF!,IF('INHERENT MAP'!$B$5=2022,#REF!,IF('INHERENT MAP'!$B$5=2023,#REF!,IF('INHERENT MAP'!$B$5=2024,#REF!,#REF!))))</f>
        <v>#REF!</v>
      </c>
      <c r="W86" t="e">
        <f>IF('INHERENT MAP'!$B$5=2021,'РЕЕСТР РИСКОВ_2023'!#REF!,IF('INHERENT MAP'!$B$5=2022,#REF!,IF('INHERENT MAP'!$B$5=2023,#REF!,IF('INHERENT MAP'!$B$5=2024,#REF!,#REF!))))</f>
        <v>#REF!</v>
      </c>
      <c r="X86" s="94" t="e">
        <f>IF('INHERENT MAP'!$B$5=2021,'РЕЕСТР РИСКОВ_2023'!#REF!,IF('INHERENT MAP'!$B$5=2022,#REF!,IF('INHERENT MAP'!$B$5=2023,#REF!,IF('INHERENT MAP'!$B$5=2024,#REF!,#REF!))))</f>
        <v>#REF!</v>
      </c>
      <c r="Y86" t="e">
        <f>IF('INHERENT MAP'!$B$5=2021,'РЕЕСТР РИСКОВ_2023'!#REF!,IF('INHERENT MAP'!$B$5=2022,#REF!,IF('INHERENT MAP'!$B$5=2023,#REF!,IF('INHERENT MAP'!$B$5=2024,#REF!,#REF!))))</f>
        <v>#REF!</v>
      </c>
      <c r="Z86" t="e">
        <f>IF('INHERENT MAP'!$B$5=2021,'РЕЕСТР РИСКОВ_2023'!#REF!,IF('INHERENT MAP'!$B$5=2022,#REF!,IF('INHERENT MAP'!$B$5=2023,#REF!,IF('INHERENT MAP'!$B$5=2024,#REF!,#REF!))))</f>
        <v>#REF!</v>
      </c>
      <c r="AA86" t="e">
        <f>IF('INHERENT MAP'!$B$5=2021,'РЕЕСТР РИСКОВ_2023'!#REF!,IF('INHERENT MAP'!$B$5=2022,#REF!,IF('INHERENT MAP'!$B$5=2023,#REF!,IF('INHERENT MAP'!$B$5=2024,#REF!,#REF!))))</f>
        <v>#REF!</v>
      </c>
      <c r="AB86" t="e">
        <f>IF('INHERENT MAP'!$B$5=2021,'РЕЕСТР РИСКОВ_2023'!#REF!,IF('INHERENT MAP'!$B$5=2022,#REF!,IF('INHERENT MAP'!$B$5=2023,#REF!,IF('INHERENT MAP'!$B$5=2024,#REF!,#REF!))))</f>
        <v>#REF!</v>
      </c>
      <c r="AC86" t="e">
        <f>IF('INHERENT MAP'!$B$5=2021,'РЕЕСТР РИСКОВ_2023'!#REF!,IF('INHERENT MAP'!$B$5=2022,#REF!,IF('INHERENT MAP'!$B$5=2023,#REF!,IF('INHERENT MAP'!$B$5=2024,#REF!,#REF!))))</f>
        <v>#REF!</v>
      </c>
      <c r="AD86" t="e">
        <f>IF('INHERENT MAP'!$B$5=2021,'РЕЕСТР РИСКОВ_2023'!#REF!,IF('INHERENT MAP'!$B$5=2022,#REF!,IF('INHERENT MAP'!$B$5=2023,#REF!,IF('INHERENT MAP'!$B$5=2024,#REF!,#REF!))))</f>
        <v>#REF!</v>
      </c>
      <c r="AE86" t="e">
        <f>IF('INHERENT MAP'!$B$5=2021,'РЕЕСТР РИСКОВ_2023'!#REF!,IF('INHERENT MAP'!$B$5=2022,#REF!,IF('INHERENT MAP'!$B$5=2023,#REF!,IF('INHERENT MAP'!$B$5=2024,#REF!,#REF!))))</f>
        <v>#REF!</v>
      </c>
      <c r="AF86" t="e">
        <f>IF('INHERENT MAP'!$B$5=2021,'РЕЕСТР РИСКОВ_2023'!#REF!,IF('INHERENT MAP'!$B$5=2022,#REF!,IF('INHERENT MAP'!$B$5=2023,#REF!,IF('INHERENT MAP'!$B$5=2024,#REF!,#REF!))))</f>
        <v>#REF!</v>
      </c>
      <c r="AG86" t="e">
        <f>IF('INHERENT MAP'!$B$5=2021,'РЕЕСТР РИСКОВ_2023'!#REF!,IF('INHERENT MAP'!$B$5=2022,#REF!,IF('INHERENT MAP'!$B$5=2023,#REF!,IF('INHERENT MAP'!$B$5=2024,#REF!,#REF!))))</f>
        <v>#REF!</v>
      </c>
      <c r="AH86" t="e">
        <f>IF('INHERENT MAP'!$B$5=2021,'РЕЕСТР РИСКОВ_2023'!#REF!,IF('INHERENT MAP'!$B$5=2022,#REF!,IF('INHERENT MAP'!$B$5=2023,#REF!,IF('INHERENT MAP'!$B$5=2024,#REF!,#REF!))))</f>
        <v>#REF!</v>
      </c>
      <c r="AI86" t="e">
        <f>IF('INHERENT MAP'!$B$5=2021,'РЕЕСТР РИСКОВ_2023'!#REF!,IF('INHERENT MAP'!$B$5=2022,#REF!,IF('INHERENT MAP'!$B$5=2023,#REF!,IF('INHERENT MAP'!$B$5=2024,#REF!,#REF!))))</f>
        <v>#REF!</v>
      </c>
      <c r="AJ86" t="e">
        <f>IF('INHERENT MAP'!$B$5=2021,'РЕЕСТР РИСКОВ_2023'!#REF!,IF('INHERENT MAP'!$B$5=2022,#REF!,IF('INHERENT MAP'!$B$5=2023,#REF!,IF('INHERENT MAP'!$B$5=2024,#REF!,#REF!))))</f>
        <v>#REF!</v>
      </c>
      <c r="AK86" t="e">
        <f>IF('РЕЕСТР РИСКОВ_2023'!#REF!="",AK85,'РЕЕСТР РИСКОВ_2023'!#REF!)</f>
        <v>#REF!</v>
      </c>
      <c r="AL86" t="e">
        <f>IF('РЕЕСТР РИСКОВ_2023'!#REF!="",AL85,'РЕЕСТР РИСКОВ_2023'!#REF!)</f>
        <v>#REF!</v>
      </c>
      <c r="AM86" t="e">
        <f>IF('РЕЕСТР РИСКОВ_2023'!#REF!="",AM85,'РЕЕСТР РИСКОВ_2023'!#REF!)</f>
        <v>#REF!</v>
      </c>
      <c r="AN86" t="e">
        <f>IF('РЕЕСТР РИСКОВ_2023'!#REF!="",AN85,'РЕЕСТР РИСКОВ_2023'!#REF!)</f>
        <v>#REF!</v>
      </c>
      <c r="AO86" t="e">
        <f>IF('РЕЕСТР РИСКОВ_2023'!#REF!="",AO85,'РЕЕСТР РИСКОВ_2023'!#REF!)</f>
        <v>#REF!</v>
      </c>
    </row>
    <row r="87" spans="2:41">
      <c r="B87" t="e">
        <f>IF('INHERENT MAP'!$B$5=2021,IF('РЕЕСТР РИСКОВ_2023'!#REF!="",B86,'РЕЕСТР РИСКОВ_2023'!#REF!),IF('INHERENT MAP'!$B$5=2022,IF(#REF!="",B86,#REF!),IF('INHERENT MAP'!$B$5=2023,IF(#REF!="",B86,#REF!),IF('INHERENT MAP'!$B$5=2024,IF(#REF!="",B86,#REF!),IF('РЕЕСТР РИСКОВ_2023'!#REF!="",B86,'РЕЕСТР РИСКОВ_2023'!#REF!)))))</f>
        <v>#REF!</v>
      </c>
      <c r="C87" t="e">
        <f>IF('INHERENT MAP'!$B$5=2021,IF('РЕЕСТР РИСКОВ_2023'!#REF!="",C86,'РЕЕСТР РИСКОВ_2023'!#REF!),IF('INHERENT MAP'!$B$5=2022,IF(#REF!="",C86,#REF!),IF('INHERENT MAP'!$B$5=2023,IF(#REF!="",C86,#REF!),IF('INHERENT MAP'!$B$5=2024,IF(#REF!="",C86,#REF!),IF('РЕЕСТР РИСКОВ_2023'!#REF!="",C86,'РЕЕСТР РИСКОВ_2023'!#REF!)))))</f>
        <v>#REF!</v>
      </c>
      <c r="D87" t="e">
        <f>IF('INHERENT MAP'!$B$5=2021,IF('РЕЕСТР РИСКОВ_2023'!#REF!="",D86,'РЕЕСТР РИСКОВ_2023'!#REF!),IF('INHERENT MAP'!$B$5=2022,IF(#REF!="",D86,#REF!),IF('INHERENT MAP'!$B$5=2023,IF(#REF!="",D86,#REF!),IF('INHERENT MAP'!$B$5=2024,IF(#REF!="",D86,#REF!),IF('РЕЕСТР РИСКОВ_2023'!#REF!="",D86,'РЕЕСТР РИСКОВ_2023'!#REF!)))))</f>
        <v>#REF!</v>
      </c>
      <c r="E87" t="e">
        <f>IF('INHERENT MAP'!$B$5=2021,IF('РЕЕСТР РИСКОВ_2023'!#REF!="",E86,'РЕЕСТР РИСКОВ_2023'!#REF!),IF('INHERENT MAP'!$B$5=2022,IF(#REF!="",E86,#REF!),IF('INHERENT MAP'!$B$5=2023,IF(#REF!="",E86,#REF!),IF('INHERENT MAP'!$B$5=2024,IF(#REF!="",E86,#REF!),IF('РЕЕСТР РИСКОВ_2023'!#REF!="",E86,'РЕЕСТР РИСКОВ_2023'!#REF!)))))</f>
        <v>#REF!</v>
      </c>
      <c r="F87" t="e">
        <f>IF('INHERENT MAP'!$B$5=2021,IF('РЕЕСТР РИСКОВ_2023'!#REF!="",F86,'РЕЕСТР РИСКОВ_2023'!#REF!),IF('INHERENT MAP'!$B$5=2022,IF(#REF!="",F86,#REF!),IF('INHERENT MAP'!$B$5=2023,IF(#REF!="",F86,#REF!),IF('INHERENT MAP'!$B$5=2024,IF(#REF!="",F86,#REF!),IF('РЕЕСТР РИСКОВ_2023'!#REF!="",F86,'РЕЕСТР РИСКОВ_2023'!#REF!)))))</f>
        <v>#REF!</v>
      </c>
      <c r="G87" t="e">
        <f>IF('INHERENT MAP'!$B$5=2021,IF('РЕЕСТР РИСКОВ_2023'!#REF!="",G86,'РЕЕСТР РИСКОВ_2023'!#REF!),IF('INHERENT MAP'!$B$5=2022,IF(#REF!="",G86,#REF!),IF('INHERENT MAP'!$B$5=2023,IF(#REF!="",G86,#REF!),IF('INHERENT MAP'!$B$5=2024,IF(#REF!="",G86,#REF!),IF('РЕЕСТР РИСКОВ_2023'!#REF!="",G86,'РЕЕСТР РИСКОВ_2023'!#REF!)))))</f>
        <v>#REF!</v>
      </c>
      <c r="H87" t="e">
        <f>IF('INHERENT MAP'!$B$5=2021,'РЕЕСТР РИСКОВ_2023'!#REF!,IF('INHERENT MAP'!$B$5=2022,#REF!,IF('INHERENT MAP'!$B$5=2023,#REF!,IF('INHERENT MAP'!$B$5=2024,#REF!,#REF!))))</f>
        <v>#REF!</v>
      </c>
      <c r="I87" t="e">
        <f>IF('INHERENT MAP'!$B$5=2021,'РЕЕСТР РИСКОВ_2023'!#REF!,IF('INHERENT MAP'!$B$5=2022,#REF!,IF('INHERENT MAP'!$B$5=2023,#REF!,IF('INHERENT MAP'!$B$5=2024,#REF!,#REF!))))</f>
        <v>#REF!</v>
      </c>
      <c r="J87" t="e">
        <f>IF('INHERENT MAP'!$B$5=2021,'РЕЕСТР РИСКОВ_2023'!#REF!,IF('INHERENT MAP'!$B$5=2022,#REF!,IF('INHERENT MAP'!$B$5=2023,#REF!,IF('INHERENT MAP'!$B$5=2024,#REF!,#REF!))))</f>
        <v>#REF!</v>
      </c>
      <c r="K87" t="e">
        <f>IF('INHERENT MAP'!$B$5=2021,'РЕЕСТР РИСКОВ_2023'!#REF!,IF('INHERENT MAP'!$B$5=2022,#REF!,IF('INHERENT MAP'!$B$5=2023,#REF!,IF('INHERENT MAP'!$B$5=2024,#REF!,#REF!))))</f>
        <v>#REF!</v>
      </c>
      <c r="L87" t="e">
        <f>IF('INHERENT MAP'!$B$5=2021,'РЕЕСТР РИСКОВ_2023'!#REF!,IF('INHERENT MAP'!$B$5=2022,#REF!,IF('INHERENT MAP'!$B$5=2023,#REF!,IF('INHERENT MAP'!$B$5=2024,#REF!,#REF!))))</f>
        <v>#REF!</v>
      </c>
      <c r="M87" t="e">
        <f>IF('INHERENT MAP'!$B$5=2021,IF('РЕЕСТР РИСКОВ_2023'!#REF!="",M86,'РЕЕСТР РИСКОВ_2023'!#REF!),IF('INHERENT MAP'!$B$5=2022,IF(#REF!="",M86,#REF!),IF('INHERENT MAP'!$B$5=2023,IF(#REF!="",M86,#REF!),IF('INHERENT MAP'!$B$5=2024,IF(#REF!="",M86,#REF!),IF('РЕЕСТР РИСКОВ_2023'!#REF!="",M86,'РЕЕСТР РИСКОВ_2023'!#REF!)))))</f>
        <v>#REF!</v>
      </c>
      <c r="N87" t="e">
        <f>IF('INHERENT MAP'!$B$5=2021,IF('РЕЕСТР РИСКОВ_2023'!#REF!="",N86,'РЕЕСТР РИСКОВ_2023'!#REF!),IF('INHERENT MAP'!$B$5=2022,IF(#REF!="",N86,#REF!),IF('INHERENT MAP'!$B$5=2023,IF(#REF!="",N86,#REF!),IF('INHERENT MAP'!$B$5=2024,IF(#REF!="",N86,#REF!),IF('РЕЕСТР РИСКОВ_2023'!#REF!="",N86,'РЕЕСТР РИСКОВ_2023'!#REF!)))))</f>
        <v>#REF!</v>
      </c>
      <c r="O87" t="e">
        <f>'РЕЕСТР РИСКОВ_2023'!#REF!</f>
        <v>#REF!</v>
      </c>
      <c r="P87" t="e">
        <f>IF('РЕЕСТР РИСКОВ_2023'!#REF!="",P86,'РЕЕСТР РИСКОВ_2023'!#REF!)</f>
        <v>#REF!</v>
      </c>
      <c r="Q87" t="e">
        <f>IF('РЕЕСТР РИСКОВ_2023'!#REF!="",Q86,'РЕЕСТР РИСКОВ_2023'!#REF!)</f>
        <v>#REF!</v>
      </c>
      <c r="R87" t="e">
        <f>IF('РЕЕСТР РИСКОВ_2023'!#REF!="",R86,'РЕЕСТР РИСКОВ_2023'!#REF!)</f>
        <v>#REF!</v>
      </c>
      <c r="S87" t="e">
        <f>'РЕЕСТР РИСКОВ_2023'!#REF!</f>
        <v>#REF!</v>
      </c>
      <c r="T87" s="94" t="e">
        <f>IF('INHERENT MAP'!$B$5=2021,'РЕЕСТР РИСКОВ_2023'!#REF!,IF('INHERENT MAP'!$B$5=2022,#REF!,IF('INHERENT MAP'!$B$5=2023,#REF!,IF('INHERENT MAP'!$B$5=2024,#REF!,#REF!))))</f>
        <v>#REF!</v>
      </c>
      <c r="U87" t="e">
        <f>IF('INHERENT MAP'!$B$5=2021,'РЕЕСТР РИСКОВ_2023'!#REF!,IF('INHERENT MAP'!$B$5=2022,#REF!,IF('INHERENT MAP'!$B$5=2023,#REF!,IF('INHERENT MAP'!$B$5=2024,#REF!,#REF!))))</f>
        <v>#REF!</v>
      </c>
      <c r="V87" t="e">
        <f>IF('INHERENT MAP'!$B$5=2021,'РЕЕСТР РИСКОВ_2023'!#REF!,IF('INHERENT MAP'!$B$5=2022,#REF!,IF('INHERENT MAP'!$B$5=2023,#REF!,IF('INHERENT MAP'!$B$5=2024,#REF!,#REF!))))</f>
        <v>#REF!</v>
      </c>
      <c r="W87" t="e">
        <f>IF('INHERENT MAP'!$B$5=2021,'РЕЕСТР РИСКОВ_2023'!#REF!,IF('INHERENT MAP'!$B$5=2022,#REF!,IF('INHERENT MAP'!$B$5=2023,#REF!,IF('INHERENT MAP'!$B$5=2024,#REF!,#REF!))))</f>
        <v>#REF!</v>
      </c>
      <c r="X87" s="94" t="e">
        <f>IF('INHERENT MAP'!$B$5=2021,'РЕЕСТР РИСКОВ_2023'!#REF!,IF('INHERENT MAP'!$B$5=2022,#REF!,IF('INHERENT MAP'!$B$5=2023,#REF!,IF('INHERENT MAP'!$B$5=2024,#REF!,#REF!))))</f>
        <v>#REF!</v>
      </c>
      <c r="Y87" t="e">
        <f>IF('INHERENT MAP'!$B$5=2021,'РЕЕСТР РИСКОВ_2023'!#REF!,IF('INHERENT MAP'!$B$5=2022,#REF!,IF('INHERENT MAP'!$B$5=2023,#REF!,IF('INHERENT MAP'!$B$5=2024,#REF!,#REF!))))</f>
        <v>#REF!</v>
      </c>
      <c r="Z87" t="e">
        <f>IF('INHERENT MAP'!$B$5=2021,'РЕЕСТР РИСКОВ_2023'!#REF!,IF('INHERENT MAP'!$B$5=2022,#REF!,IF('INHERENT MAP'!$B$5=2023,#REF!,IF('INHERENT MAP'!$B$5=2024,#REF!,#REF!))))</f>
        <v>#REF!</v>
      </c>
      <c r="AA87" t="e">
        <f>IF('INHERENT MAP'!$B$5=2021,'РЕЕСТР РИСКОВ_2023'!#REF!,IF('INHERENT MAP'!$B$5=2022,#REF!,IF('INHERENT MAP'!$B$5=2023,#REF!,IF('INHERENT MAP'!$B$5=2024,#REF!,#REF!))))</f>
        <v>#REF!</v>
      </c>
      <c r="AB87" t="e">
        <f>IF('INHERENT MAP'!$B$5=2021,'РЕЕСТР РИСКОВ_2023'!#REF!,IF('INHERENT MAP'!$B$5=2022,#REF!,IF('INHERENT MAP'!$B$5=2023,#REF!,IF('INHERENT MAP'!$B$5=2024,#REF!,#REF!))))</f>
        <v>#REF!</v>
      </c>
      <c r="AC87" t="e">
        <f>IF('INHERENT MAP'!$B$5=2021,'РЕЕСТР РИСКОВ_2023'!#REF!,IF('INHERENT MAP'!$B$5=2022,#REF!,IF('INHERENT MAP'!$B$5=2023,#REF!,IF('INHERENT MAP'!$B$5=2024,#REF!,#REF!))))</f>
        <v>#REF!</v>
      </c>
      <c r="AD87" t="e">
        <f>IF('INHERENT MAP'!$B$5=2021,'РЕЕСТР РИСКОВ_2023'!#REF!,IF('INHERENT MAP'!$B$5=2022,#REF!,IF('INHERENT MAP'!$B$5=2023,#REF!,IF('INHERENT MAP'!$B$5=2024,#REF!,#REF!))))</f>
        <v>#REF!</v>
      </c>
      <c r="AE87" t="e">
        <f>IF('INHERENT MAP'!$B$5=2021,'РЕЕСТР РИСКОВ_2023'!#REF!,IF('INHERENT MAP'!$B$5=2022,#REF!,IF('INHERENT MAP'!$B$5=2023,#REF!,IF('INHERENT MAP'!$B$5=2024,#REF!,#REF!))))</f>
        <v>#REF!</v>
      </c>
      <c r="AF87" t="e">
        <f>IF('INHERENT MAP'!$B$5=2021,'РЕЕСТР РИСКОВ_2023'!#REF!,IF('INHERENT MAP'!$B$5=2022,#REF!,IF('INHERENT MAP'!$B$5=2023,#REF!,IF('INHERENT MAP'!$B$5=2024,#REF!,#REF!))))</f>
        <v>#REF!</v>
      </c>
      <c r="AG87" t="e">
        <f>IF('INHERENT MAP'!$B$5=2021,'РЕЕСТР РИСКОВ_2023'!#REF!,IF('INHERENT MAP'!$B$5=2022,#REF!,IF('INHERENT MAP'!$B$5=2023,#REF!,IF('INHERENT MAP'!$B$5=2024,#REF!,#REF!))))</f>
        <v>#REF!</v>
      </c>
      <c r="AH87" t="e">
        <f>IF('INHERENT MAP'!$B$5=2021,'РЕЕСТР РИСКОВ_2023'!#REF!,IF('INHERENT MAP'!$B$5=2022,#REF!,IF('INHERENT MAP'!$B$5=2023,#REF!,IF('INHERENT MAP'!$B$5=2024,#REF!,#REF!))))</f>
        <v>#REF!</v>
      </c>
      <c r="AI87" t="e">
        <f>IF('INHERENT MAP'!$B$5=2021,'РЕЕСТР РИСКОВ_2023'!#REF!,IF('INHERENT MAP'!$B$5=2022,#REF!,IF('INHERENT MAP'!$B$5=2023,#REF!,IF('INHERENT MAP'!$B$5=2024,#REF!,#REF!))))</f>
        <v>#REF!</v>
      </c>
      <c r="AJ87" t="e">
        <f>IF('INHERENT MAP'!$B$5=2021,'РЕЕСТР РИСКОВ_2023'!#REF!,IF('INHERENT MAP'!$B$5=2022,#REF!,IF('INHERENT MAP'!$B$5=2023,#REF!,IF('INHERENT MAP'!$B$5=2024,#REF!,#REF!))))</f>
        <v>#REF!</v>
      </c>
      <c r="AK87" t="e">
        <f>IF('РЕЕСТР РИСКОВ_2023'!#REF!="",AK86,'РЕЕСТР РИСКОВ_2023'!#REF!)</f>
        <v>#REF!</v>
      </c>
      <c r="AL87" t="e">
        <f>IF('РЕЕСТР РИСКОВ_2023'!#REF!="",AL86,'РЕЕСТР РИСКОВ_2023'!#REF!)</f>
        <v>#REF!</v>
      </c>
      <c r="AM87" t="e">
        <f>IF('РЕЕСТР РИСКОВ_2023'!#REF!="",AM86,'РЕЕСТР РИСКОВ_2023'!#REF!)</f>
        <v>#REF!</v>
      </c>
      <c r="AN87" t="e">
        <f>IF('РЕЕСТР РИСКОВ_2023'!#REF!="",AN86,'РЕЕСТР РИСКОВ_2023'!#REF!)</f>
        <v>#REF!</v>
      </c>
      <c r="AO87" t="e">
        <f>IF('РЕЕСТР РИСКОВ_2023'!#REF!="",AO86,'РЕЕСТР РИСКОВ_2023'!#REF!)</f>
        <v>#REF!</v>
      </c>
    </row>
    <row r="88" spans="2:41">
      <c r="B88" t="e">
        <f>IF('INHERENT MAP'!$B$5=2021,IF('РЕЕСТР РИСКОВ_2023'!#REF!="",B87,'РЕЕСТР РИСКОВ_2023'!#REF!),IF('INHERENT MAP'!$B$5=2022,IF(#REF!="",B87,#REF!),IF('INHERENT MAP'!$B$5=2023,IF(#REF!="",B87,#REF!),IF('INHERENT MAP'!$B$5=2024,IF(#REF!="",B87,#REF!),IF('РЕЕСТР РИСКОВ_2023'!#REF!="",B87,'РЕЕСТР РИСКОВ_2023'!#REF!)))))</f>
        <v>#REF!</v>
      </c>
      <c r="C88" t="e">
        <f>IF('INHERENT MAP'!$B$5=2021,IF('РЕЕСТР РИСКОВ_2023'!#REF!="",C87,'РЕЕСТР РИСКОВ_2023'!#REF!),IF('INHERENT MAP'!$B$5=2022,IF(#REF!="",C87,#REF!),IF('INHERENT MAP'!$B$5=2023,IF(#REF!="",C87,#REF!),IF('INHERENT MAP'!$B$5=2024,IF(#REF!="",C87,#REF!),IF('РЕЕСТР РИСКОВ_2023'!#REF!="",C87,'РЕЕСТР РИСКОВ_2023'!#REF!)))))</f>
        <v>#REF!</v>
      </c>
      <c r="D88" t="e">
        <f>IF('INHERENT MAP'!$B$5=2021,IF('РЕЕСТР РИСКОВ_2023'!#REF!="",D87,'РЕЕСТР РИСКОВ_2023'!#REF!),IF('INHERENT MAP'!$B$5=2022,IF(#REF!="",D87,#REF!),IF('INHERENT MAP'!$B$5=2023,IF(#REF!="",D87,#REF!),IF('INHERENT MAP'!$B$5=2024,IF(#REF!="",D87,#REF!),IF('РЕЕСТР РИСКОВ_2023'!#REF!="",D87,'РЕЕСТР РИСКОВ_2023'!#REF!)))))</f>
        <v>#REF!</v>
      </c>
      <c r="E88" t="e">
        <f>IF('INHERENT MAP'!$B$5=2021,IF('РЕЕСТР РИСКОВ_2023'!#REF!="",E87,'РЕЕСТР РИСКОВ_2023'!#REF!),IF('INHERENT MAP'!$B$5=2022,IF(#REF!="",E87,#REF!),IF('INHERENT MAP'!$B$5=2023,IF(#REF!="",E87,#REF!),IF('INHERENT MAP'!$B$5=2024,IF(#REF!="",E87,#REF!),IF('РЕЕСТР РИСКОВ_2023'!#REF!="",E87,'РЕЕСТР РИСКОВ_2023'!#REF!)))))</f>
        <v>#REF!</v>
      </c>
      <c r="F88" t="e">
        <f>IF('INHERENT MAP'!$B$5=2021,IF('РЕЕСТР РИСКОВ_2023'!#REF!="",F87,'РЕЕСТР РИСКОВ_2023'!#REF!),IF('INHERENT MAP'!$B$5=2022,IF(#REF!="",F87,#REF!),IF('INHERENT MAP'!$B$5=2023,IF(#REF!="",F87,#REF!),IF('INHERENT MAP'!$B$5=2024,IF(#REF!="",F87,#REF!),IF('РЕЕСТР РИСКОВ_2023'!#REF!="",F87,'РЕЕСТР РИСКОВ_2023'!#REF!)))))</f>
        <v>#REF!</v>
      </c>
      <c r="G88" t="e">
        <f>IF('INHERENT MAP'!$B$5=2021,IF('РЕЕСТР РИСКОВ_2023'!#REF!="",G87,'РЕЕСТР РИСКОВ_2023'!#REF!),IF('INHERENT MAP'!$B$5=2022,IF(#REF!="",G87,#REF!),IF('INHERENT MAP'!$B$5=2023,IF(#REF!="",G87,#REF!),IF('INHERENT MAP'!$B$5=2024,IF(#REF!="",G87,#REF!),IF('РЕЕСТР РИСКОВ_2023'!#REF!="",G87,'РЕЕСТР РИСКОВ_2023'!#REF!)))))</f>
        <v>#REF!</v>
      </c>
      <c r="H88" t="e">
        <f>IF('INHERENT MAP'!$B$5=2021,'РЕЕСТР РИСКОВ_2023'!#REF!,IF('INHERENT MAP'!$B$5=2022,#REF!,IF('INHERENT MAP'!$B$5=2023,#REF!,IF('INHERENT MAP'!$B$5=2024,#REF!,#REF!))))</f>
        <v>#REF!</v>
      </c>
      <c r="I88" t="e">
        <f>IF('INHERENT MAP'!$B$5=2021,'РЕЕСТР РИСКОВ_2023'!#REF!,IF('INHERENT MAP'!$B$5=2022,#REF!,IF('INHERENT MAP'!$B$5=2023,#REF!,IF('INHERENT MAP'!$B$5=2024,#REF!,#REF!))))</f>
        <v>#REF!</v>
      </c>
      <c r="J88" t="e">
        <f>IF('INHERENT MAP'!$B$5=2021,'РЕЕСТР РИСКОВ_2023'!#REF!,IF('INHERENT MAP'!$B$5=2022,#REF!,IF('INHERENT MAP'!$B$5=2023,#REF!,IF('INHERENT MAP'!$B$5=2024,#REF!,#REF!))))</f>
        <v>#REF!</v>
      </c>
      <c r="K88" t="e">
        <f>IF('INHERENT MAP'!$B$5=2021,'РЕЕСТР РИСКОВ_2023'!#REF!,IF('INHERENT MAP'!$B$5=2022,#REF!,IF('INHERENT MAP'!$B$5=2023,#REF!,IF('INHERENT MAP'!$B$5=2024,#REF!,#REF!))))</f>
        <v>#REF!</v>
      </c>
      <c r="L88" t="e">
        <f>IF('INHERENT MAP'!$B$5=2021,'РЕЕСТР РИСКОВ_2023'!#REF!,IF('INHERENT MAP'!$B$5=2022,#REF!,IF('INHERENT MAP'!$B$5=2023,#REF!,IF('INHERENT MAP'!$B$5=2024,#REF!,#REF!))))</f>
        <v>#REF!</v>
      </c>
      <c r="M88" t="e">
        <f>IF('INHERENT MAP'!$B$5=2021,IF('РЕЕСТР РИСКОВ_2023'!#REF!="",M87,'РЕЕСТР РИСКОВ_2023'!#REF!),IF('INHERENT MAP'!$B$5=2022,IF(#REF!="",M87,#REF!),IF('INHERENT MAP'!$B$5=2023,IF(#REF!="",M87,#REF!),IF('INHERENT MAP'!$B$5=2024,IF(#REF!="",M87,#REF!),IF('РЕЕСТР РИСКОВ_2023'!#REF!="",M87,'РЕЕСТР РИСКОВ_2023'!#REF!)))))</f>
        <v>#REF!</v>
      </c>
      <c r="N88" t="e">
        <f>IF('INHERENT MAP'!$B$5=2021,IF('РЕЕСТР РИСКОВ_2023'!#REF!="",N87,'РЕЕСТР РИСКОВ_2023'!#REF!),IF('INHERENT MAP'!$B$5=2022,IF(#REF!="",N87,#REF!),IF('INHERENT MAP'!$B$5=2023,IF(#REF!="",N87,#REF!),IF('INHERENT MAP'!$B$5=2024,IF(#REF!="",N87,#REF!),IF('РЕЕСТР РИСКОВ_2023'!#REF!="",N87,'РЕЕСТР РИСКОВ_2023'!#REF!)))))</f>
        <v>#REF!</v>
      </c>
      <c r="O88" t="e">
        <f>'РЕЕСТР РИСКОВ_2023'!#REF!</f>
        <v>#REF!</v>
      </c>
      <c r="P88" t="e">
        <f>IF('РЕЕСТР РИСКОВ_2023'!#REF!="",P87,'РЕЕСТР РИСКОВ_2023'!#REF!)</f>
        <v>#REF!</v>
      </c>
      <c r="Q88" t="e">
        <f>IF('РЕЕСТР РИСКОВ_2023'!#REF!="",Q87,'РЕЕСТР РИСКОВ_2023'!#REF!)</f>
        <v>#REF!</v>
      </c>
      <c r="R88" t="e">
        <f>IF('РЕЕСТР РИСКОВ_2023'!#REF!="",R87,'РЕЕСТР РИСКОВ_2023'!#REF!)</f>
        <v>#REF!</v>
      </c>
      <c r="S88" t="e">
        <f>'РЕЕСТР РИСКОВ_2023'!#REF!</f>
        <v>#REF!</v>
      </c>
      <c r="T88" s="94" t="e">
        <f>IF('INHERENT MAP'!$B$5=2021,'РЕЕСТР РИСКОВ_2023'!#REF!,IF('INHERENT MAP'!$B$5=2022,#REF!,IF('INHERENT MAP'!$B$5=2023,#REF!,IF('INHERENT MAP'!$B$5=2024,#REF!,#REF!))))</f>
        <v>#REF!</v>
      </c>
      <c r="U88" t="e">
        <f>IF('INHERENT MAP'!$B$5=2021,'РЕЕСТР РИСКОВ_2023'!#REF!,IF('INHERENT MAP'!$B$5=2022,#REF!,IF('INHERENT MAP'!$B$5=2023,#REF!,IF('INHERENT MAP'!$B$5=2024,#REF!,#REF!))))</f>
        <v>#REF!</v>
      </c>
      <c r="V88" t="e">
        <f>IF('INHERENT MAP'!$B$5=2021,'РЕЕСТР РИСКОВ_2023'!#REF!,IF('INHERENT MAP'!$B$5=2022,#REF!,IF('INHERENT MAP'!$B$5=2023,#REF!,IF('INHERENT MAP'!$B$5=2024,#REF!,#REF!))))</f>
        <v>#REF!</v>
      </c>
      <c r="W88" t="e">
        <f>IF('INHERENT MAP'!$B$5=2021,'РЕЕСТР РИСКОВ_2023'!#REF!,IF('INHERENT MAP'!$B$5=2022,#REF!,IF('INHERENT MAP'!$B$5=2023,#REF!,IF('INHERENT MAP'!$B$5=2024,#REF!,#REF!))))</f>
        <v>#REF!</v>
      </c>
      <c r="X88" s="94" t="e">
        <f>IF('INHERENT MAP'!$B$5=2021,'РЕЕСТР РИСКОВ_2023'!#REF!,IF('INHERENT MAP'!$B$5=2022,#REF!,IF('INHERENT MAP'!$B$5=2023,#REF!,IF('INHERENT MAP'!$B$5=2024,#REF!,#REF!))))</f>
        <v>#REF!</v>
      </c>
      <c r="Y88" t="e">
        <f>IF('INHERENT MAP'!$B$5=2021,'РЕЕСТР РИСКОВ_2023'!#REF!,IF('INHERENT MAP'!$B$5=2022,#REF!,IF('INHERENT MAP'!$B$5=2023,#REF!,IF('INHERENT MAP'!$B$5=2024,#REF!,#REF!))))</f>
        <v>#REF!</v>
      </c>
      <c r="Z88" t="e">
        <f>IF('INHERENT MAP'!$B$5=2021,'РЕЕСТР РИСКОВ_2023'!#REF!,IF('INHERENT MAP'!$B$5=2022,#REF!,IF('INHERENT MAP'!$B$5=2023,#REF!,IF('INHERENT MAP'!$B$5=2024,#REF!,#REF!))))</f>
        <v>#REF!</v>
      </c>
      <c r="AA88" t="e">
        <f>IF('INHERENT MAP'!$B$5=2021,'РЕЕСТР РИСКОВ_2023'!#REF!,IF('INHERENT MAP'!$B$5=2022,#REF!,IF('INHERENT MAP'!$B$5=2023,#REF!,IF('INHERENT MAP'!$B$5=2024,#REF!,#REF!))))</f>
        <v>#REF!</v>
      </c>
      <c r="AB88" t="e">
        <f>IF('INHERENT MAP'!$B$5=2021,'РЕЕСТР РИСКОВ_2023'!#REF!,IF('INHERENT MAP'!$B$5=2022,#REF!,IF('INHERENT MAP'!$B$5=2023,#REF!,IF('INHERENT MAP'!$B$5=2024,#REF!,#REF!))))</f>
        <v>#REF!</v>
      </c>
      <c r="AC88" t="e">
        <f>IF('INHERENT MAP'!$B$5=2021,'РЕЕСТР РИСКОВ_2023'!#REF!,IF('INHERENT MAP'!$B$5=2022,#REF!,IF('INHERENT MAP'!$B$5=2023,#REF!,IF('INHERENT MAP'!$B$5=2024,#REF!,#REF!))))</f>
        <v>#REF!</v>
      </c>
      <c r="AD88" t="e">
        <f>IF('INHERENT MAP'!$B$5=2021,'РЕЕСТР РИСКОВ_2023'!#REF!,IF('INHERENT MAP'!$B$5=2022,#REF!,IF('INHERENT MAP'!$B$5=2023,#REF!,IF('INHERENT MAP'!$B$5=2024,#REF!,#REF!))))</f>
        <v>#REF!</v>
      </c>
      <c r="AE88" t="e">
        <f>IF('INHERENT MAP'!$B$5=2021,'РЕЕСТР РИСКОВ_2023'!#REF!,IF('INHERENT MAP'!$B$5=2022,#REF!,IF('INHERENT MAP'!$B$5=2023,#REF!,IF('INHERENT MAP'!$B$5=2024,#REF!,#REF!))))</f>
        <v>#REF!</v>
      </c>
      <c r="AF88" t="e">
        <f>IF('INHERENT MAP'!$B$5=2021,'РЕЕСТР РИСКОВ_2023'!#REF!,IF('INHERENT MAP'!$B$5=2022,#REF!,IF('INHERENT MAP'!$B$5=2023,#REF!,IF('INHERENT MAP'!$B$5=2024,#REF!,#REF!))))</f>
        <v>#REF!</v>
      </c>
      <c r="AG88" t="e">
        <f>IF('INHERENT MAP'!$B$5=2021,'РЕЕСТР РИСКОВ_2023'!#REF!,IF('INHERENT MAP'!$B$5=2022,#REF!,IF('INHERENT MAP'!$B$5=2023,#REF!,IF('INHERENT MAP'!$B$5=2024,#REF!,#REF!))))</f>
        <v>#REF!</v>
      </c>
      <c r="AH88" t="e">
        <f>IF('INHERENT MAP'!$B$5=2021,'РЕЕСТР РИСКОВ_2023'!#REF!,IF('INHERENT MAP'!$B$5=2022,#REF!,IF('INHERENT MAP'!$B$5=2023,#REF!,IF('INHERENT MAP'!$B$5=2024,#REF!,#REF!))))</f>
        <v>#REF!</v>
      </c>
      <c r="AI88" t="e">
        <f>IF('INHERENT MAP'!$B$5=2021,'РЕЕСТР РИСКОВ_2023'!#REF!,IF('INHERENT MAP'!$B$5=2022,#REF!,IF('INHERENT MAP'!$B$5=2023,#REF!,IF('INHERENT MAP'!$B$5=2024,#REF!,#REF!))))</f>
        <v>#REF!</v>
      </c>
      <c r="AJ88" t="e">
        <f>IF('INHERENT MAP'!$B$5=2021,'РЕЕСТР РИСКОВ_2023'!#REF!,IF('INHERENT MAP'!$B$5=2022,#REF!,IF('INHERENT MAP'!$B$5=2023,#REF!,IF('INHERENT MAP'!$B$5=2024,#REF!,#REF!))))</f>
        <v>#REF!</v>
      </c>
      <c r="AK88" t="e">
        <f>IF('РЕЕСТР РИСКОВ_2023'!#REF!="",AK87,'РЕЕСТР РИСКОВ_2023'!#REF!)</f>
        <v>#REF!</v>
      </c>
      <c r="AL88" t="e">
        <f>IF('РЕЕСТР РИСКОВ_2023'!#REF!="",AL87,'РЕЕСТР РИСКОВ_2023'!#REF!)</f>
        <v>#REF!</v>
      </c>
      <c r="AM88" t="e">
        <f>IF('РЕЕСТР РИСКОВ_2023'!#REF!="",AM87,'РЕЕСТР РИСКОВ_2023'!#REF!)</f>
        <v>#REF!</v>
      </c>
      <c r="AN88" t="e">
        <f>IF('РЕЕСТР РИСКОВ_2023'!#REF!="",AN87,'РЕЕСТР РИСКОВ_2023'!#REF!)</f>
        <v>#REF!</v>
      </c>
      <c r="AO88" t="e">
        <f>IF('РЕЕСТР РИСКОВ_2023'!#REF!="",AO87,'РЕЕСТР РИСКОВ_2023'!#REF!)</f>
        <v>#REF!</v>
      </c>
    </row>
    <row r="89" spans="2:41">
      <c r="B89" t="e">
        <f>IF('INHERENT MAP'!$B$5=2021,IF('РЕЕСТР РИСКОВ_2023'!#REF!="",B88,'РЕЕСТР РИСКОВ_2023'!#REF!),IF('INHERENT MAP'!$B$5=2022,IF(#REF!="",B88,#REF!),IF('INHERENT MAP'!$B$5=2023,IF(#REF!="",B88,#REF!),IF('INHERENT MAP'!$B$5=2024,IF(#REF!="",B88,#REF!),IF('РЕЕСТР РИСКОВ_2023'!#REF!="",B88,'РЕЕСТР РИСКОВ_2023'!#REF!)))))</f>
        <v>#REF!</v>
      </c>
      <c r="C89" t="e">
        <f>IF('INHERENT MAP'!$B$5=2021,IF('РЕЕСТР РИСКОВ_2023'!#REF!="",C88,'РЕЕСТР РИСКОВ_2023'!#REF!),IF('INHERENT MAP'!$B$5=2022,IF(#REF!="",C88,#REF!),IF('INHERENT MAP'!$B$5=2023,IF(#REF!="",C88,#REF!),IF('INHERENT MAP'!$B$5=2024,IF(#REF!="",C88,#REF!),IF('РЕЕСТР РИСКОВ_2023'!#REF!="",C88,'РЕЕСТР РИСКОВ_2023'!#REF!)))))</f>
        <v>#REF!</v>
      </c>
      <c r="D89" t="e">
        <f>IF('INHERENT MAP'!$B$5=2021,IF('РЕЕСТР РИСКОВ_2023'!#REF!="",D88,'РЕЕСТР РИСКОВ_2023'!#REF!),IF('INHERENT MAP'!$B$5=2022,IF(#REF!="",D88,#REF!),IF('INHERENT MAP'!$B$5=2023,IF(#REF!="",D88,#REF!),IF('INHERENT MAP'!$B$5=2024,IF(#REF!="",D88,#REF!),IF('РЕЕСТР РИСКОВ_2023'!#REF!="",D88,'РЕЕСТР РИСКОВ_2023'!#REF!)))))</f>
        <v>#REF!</v>
      </c>
      <c r="E89" t="e">
        <f>IF('INHERENT MAP'!$B$5=2021,IF('РЕЕСТР РИСКОВ_2023'!#REF!="",E88,'РЕЕСТР РИСКОВ_2023'!#REF!),IF('INHERENT MAP'!$B$5=2022,IF(#REF!="",E88,#REF!),IF('INHERENT MAP'!$B$5=2023,IF(#REF!="",E88,#REF!),IF('INHERENT MAP'!$B$5=2024,IF(#REF!="",E88,#REF!),IF('РЕЕСТР РИСКОВ_2023'!#REF!="",E88,'РЕЕСТР РИСКОВ_2023'!#REF!)))))</f>
        <v>#REF!</v>
      </c>
      <c r="F89" t="e">
        <f>IF('INHERENT MAP'!$B$5=2021,IF('РЕЕСТР РИСКОВ_2023'!#REF!="",F88,'РЕЕСТР РИСКОВ_2023'!#REF!),IF('INHERENT MAP'!$B$5=2022,IF(#REF!="",F88,#REF!),IF('INHERENT MAP'!$B$5=2023,IF(#REF!="",F88,#REF!),IF('INHERENT MAP'!$B$5=2024,IF(#REF!="",F88,#REF!),IF('РЕЕСТР РИСКОВ_2023'!#REF!="",F88,'РЕЕСТР РИСКОВ_2023'!#REF!)))))</f>
        <v>#REF!</v>
      </c>
      <c r="G89" t="e">
        <f>IF('INHERENT MAP'!$B$5=2021,IF('РЕЕСТР РИСКОВ_2023'!#REF!="",G88,'РЕЕСТР РИСКОВ_2023'!#REF!),IF('INHERENT MAP'!$B$5=2022,IF(#REF!="",G88,#REF!),IF('INHERENT MAP'!$B$5=2023,IF(#REF!="",G88,#REF!),IF('INHERENT MAP'!$B$5=2024,IF(#REF!="",G88,#REF!),IF('РЕЕСТР РИСКОВ_2023'!#REF!="",G88,'РЕЕСТР РИСКОВ_2023'!#REF!)))))</f>
        <v>#REF!</v>
      </c>
      <c r="H89" t="e">
        <f>IF('INHERENT MAP'!$B$5=2021,'РЕЕСТР РИСКОВ_2023'!#REF!,IF('INHERENT MAP'!$B$5=2022,#REF!,IF('INHERENT MAP'!$B$5=2023,#REF!,IF('INHERENT MAP'!$B$5=2024,#REF!,#REF!))))</f>
        <v>#REF!</v>
      </c>
      <c r="I89" t="e">
        <f>IF('INHERENT MAP'!$B$5=2021,'РЕЕСТР РИСКОВ_2023'!#REF!,IF('INHERENT MAP'!$B$5=2022,#REF!,IF('INHERENT MAP'!$B$5=2023,#REF!,IF('INHERENT MAP'!$B$5=2024,#REF!,#REF!))))</f>
        <v>#REF!</v>
      </c>
      <c r="J89" t="e">
        <f>IF('INHERENT MAP'!$B$5=2021,'РЕЕСТР РИСКОВ_2023'!#REF!,IF('INHERENT MAP'!$B$5=2022,#REF!,IF('INHERENT MAP'!$B$5=2023,#REF!,IF('INHERENT MAP'!$B$5=2024,#REF!,#REF!))))</f>
        <v>#REF!</v>
      </c>
      <c r="K89" t="e">
        <f>IF('INHERENT MAP'!$B$5=2021,'РЕЕСТР РИСКОВ_2023'!#REF!,IF('INHERENT MAP'!$B$5=2022,#REF!,IF('INHERENT MAP'!$B$5=2023,#REF!,IF('INHERENT MAP'!$B$5=2024,#REF!,#REF!))))</f>
        <v>#REF!</v>
      </c>
      <c r="L89" t="e">
        <f>IF('INHERENT MAP'!$B$5=2021,'РЕЕСТР РИСКОВ_2023'!#REF!,IF('INHERENT MAP'!$B$5=2022,#REF!,IF('INHERENT MAP'!$B$5=2023,#REF!,IF('INHERENT MAP'!$B$5=2024,#REF!,#REF!))))</f>
        <v>#REF!</v>
      </c>
      <c r="M89" t="e">
        <f>IF('INHERENT MAP'!$B$5=2021,IF('РЕЕСТР РИСКОВ_2023'!#REF!="",M88,'РЕЕСТР РИСКОВ_2023'!#REF!),IF('INHERENT MAP'!$B$5=2022,IF(#REF!="",M88,#REF!),IF('INHERENT MAP'!$B$5=2023,IF(#REF!="",M88,#REF!),IF('INHERENT MAP'!$B$5=2024,IF(#REF!="",M88,#REF!),IF('РЕЕСТР РИСКОВ_2023'!#REF!="",M88,'РЕЕСТР РИСКОВ_2023'!#REF!)))))</f>
        <v>#REF!</v>
      </c>
      <c r="N89" t="e">
        <f>IF('INHERENT MAP'!$B$5=2021,IF('РЕЕСТР РИСКОВ_2023'!#REF!="",N88,'РЕЕСТР РИСКОВ_2023'!#REF!),IF('INHERENT MAP'!$B$5=2022,IF(#REF!="",N88,#REF!),IF('INHERENT MAP'!$B$5=2023,IF(#REF!="",N88,#REF!),IF('INHERENT MAP'!$B$5=2024,IF(#REF!="",N88,#REF!),IF('РЕЕСТР РИСКОВ_2023'!#REF!="",N88,'РЕЕСТР РИСКОВ_2023'!#REF!)))))</f>
        <v>#REF!</v>
      </c>
      <c r="O89" t="e">
        <f>'РЕЕСТР РИСКОВ_2023'!#REF!</f>
        <v>#REF!</v>
      </c>
      <c r="P89" t="e">
        <f>IF('РЕЕСТР РИСКОВ_2023'!#REF!="",P88,'РЕЕСТР РИСКОВ_2023'!#REF!)</f>
        <v>#REF!</v>
      </c>
      <c r="Q89" t="e">
        <f>IF('РЕЕСТР РИСКОВ_2023'!#REF!="",Q88,'РЕЕСТР РИСКОВ_2023'!#REF!)</f>
        <v>#REF!</v>
      </c>
      <c r="R89" t="e">
        <f>IF('РЕЕСТР РИСКОВ_2023'!#REF!="",R88,'РЕЕСТР РИСКОВ_2023'!#REF!)</f>
        <v>#REF!</v>
      </c>
      <c r="S89" t="e">
        <f>'РЕЕСТР РИСКОВ_2023'!#REF!</f>
        <v>#REF!</v>
      </c>
      <c r="T89" s="94" t="e">
        <f>IF('INHERENT MAP'!$B$5=2021,'РЕЕСТР РИСКОВ_2023'!#REF!,IF('INHERENT MAP'!$B$5=2022,#REF!,IF('INHERENT MAP'!$B$5=2023,#REF!,IF('INHERENT MAP'!$B$5=2024,#REF!,#REF!))))</f>
        <v>#REF!</v>
      </c>
      <c r="U89" t="e">
        <f>IF('INHERENT MAP'!$B$5=2021,'РЕЕСТР РИСКОВ_2023'!#REF!,IF('INHERENT MAP'!$B$5=2022,#REF!,IF('INHERENT MAP'!$B$5=2023,#REF!,IF('INHERENT MAP'!$B$5=2024,#REF!,#REF!))))</f>
        <v>#REF!</v>
      </c>
      <c r="V89" t="e">
        <f>IF('INHERENT MAP'!$B$5=2021,'РЕЕСТР РИСКОВ_2023'!#REF!,IF('INHERENT MAP'!$B$5=2022,#REF!,IF('INHERENT MAP'!$B$5=2023,#REF!,IF('INHERENT MAP'!$B$5=2024,#REF!,#REF!))))</f>
        <v>#REF!</v>
      </c>
      <c r="W89" t="e">
        <f>IF('INHERENT MAP'!$B$5=2021,'РЕЕСТР РИСКОВ_2023'!#REF!,IF('INHERENT MAP'!$B$5=2022,#REF!,IF('INHERENT MAP'!$B$5=2023,#REF!,IF('INHERENT MAP'!$B$5=2024,#REF!,#REF!))))</f>
        <v>#REF!</v>
      </c>
      <c r="X89" s="94" t="e">
        <f>IF('INHERENT MAP'!$B$5=2021,'РЕЕСТР РИСКОВ_2023'!#REF!,IF('INHERENT MAP'!$B$5=2022,#REF!,IF('INHERENT MAP'!$B$5=2023,#REF!,IF('INHERENT MAP'!$B$5=2024,#REF!,#REF!))))</f>
        <v>#REF!</v>
      </c>
      <c r="Y89" t="e">
        <f>IF('INHERENT MAP'!$B$5=2021,'РЕЕСТР РИСКОВ_2023'!#REF!,IF('INHERENT MAP'!$B$5=2022,#REF!,IF('INHERENT MAP'!$B$5=2023,#REF!,IF('INHERENT MAP'!$B$5=2024,#REF!,#REF!))))</f>
        <v>#REF!</v>
      </c>
      <c r="Z89" t="e">
        <f>IF('INHERENT MAP'!$B$5=2021,'РЕЕСТР РИСКОВ_2023'!#REF!,IF('INHERENT MAP'!$B$5=2022,#REF!,IF('INHERENT MAP'!$B$5=2023,#REF!,IF('INHERENT MAP'!$B$5=2024,#REF!,#REF!))))</f>
        <v>#REF!</v>
      </c>
      <c r="AA89" t="e">
        <f>IF('INHERENT MAP'!$B$5=2021,'РЕЕСТР РИСКОВ_2023'!#REF!,IF('INHERENT MAP'!$B$5=2022,#REF!,IF('INHERENT MAP'!$B$5=2023,#REF!,IF('INHERENT MAP'!$B$5=2024,#REF!,#REF!))))</f>
        <v>#REF!</v>
      </c>
      <c r="AB89" t="e">
        <f>IF('INHERENT MAP'!$B$5=2021,'РЕЕСТР РИСКОВ_2023'!#REF!,IF('INHERENT MAP'!$B$5=2022,#REF!,IF('INHERENT MAP'!$B$5=2023,#REF!,IF('INHERENT MAP'!$B$5=2024,#REF!,#REF!))))</f>
        <v>#REF!</v>
      </c>
      <c r="AC89" t="e">
        <f>IF('INHERENT MAP'!$B$5=2021,'РЕЕСТР РИСКОВ_2023'!#REF!,IF('INHERENT MAP'!$B$5=2022,#REF!,IF('INHERENT MAP'!$B$5=2023,#REF!,IF('INHERENT MAP'!$B$5=2024,#REF!,#REF!))))</f>
        <v>#REF!</v>
      </c>
      <c r="AD89" t="e">
        <f>IF('INHERENT MAP'!$B$5=2021,'РЕЕСТР РИСКОВ_2023'!#REF!,IF('INHERENT MAP'!$B$5=2022,#REF!,IF('INHERENT MAP'!$B$5=2023,#REF!,IF('INHERENT MAP'!$B$5=2024,#REF!,#REF!))))</f>
        <v>#REF!</v>
      </c>
      <c r="AE89" t="e">
        <f>IF('INHERENT MAP'!$B$5=2021,'РЕЕСТР РИСКОВ_2023'!#REF!,IF('INHERENT MAP'!$B$5=2022,#REF!,IF('INHERENT MAP'!$B$5=2023,#REF!,IF('INHERENT MAP'!$B$5=2024,#REF!,#REF!))))</f>
        <v>#REF!</v>
      </c>
      <c r="AF89" t="e">
        <f>IF('INHERENT MAP'!$B$5=2021,'РЕЕСТР РИСКОВ_2023'!#REF!,IF('INHERENT MAP'!$B$5=2022,#REF!,IF('INHERENT MAP'!$B$5=2023,#REF!,IF('INHERENT MAP'!$B$5=2024,#REF!,#REF!))))</f>
        <v>#REF!</v>
      </c>
      <c r="AG89" t="e">
        <f>IF('INHERENT MAP'!$B$5=2021,'РЕЕСТР РИСКОВ_2023'!#REF!,IF('INHERENT MAP'!$B$5=2022,#REF!,IF('INHERENT MAP'!$B$5=2023,#REF!,IF('INHERENT MAP'!$B$5=2024,#REF!,#REF!))))</f>
        <v>#REF!</v>
      </c>
      <c r="AH89" t="e">
        <f>IF('INHERENT MAP'!$B$5=2021,'РЕЕСТР РИСКОВ_2023'!#REF!,IF('INHERENT MAP'!$B$5=2022,#REF!,IF('INHERENT MAP'!$B$5=2023,#REF!,IF('INHERENT MAP'!$B$5=2024,#REF!,#REF!))))</f>
        <v>#REF!</v>
      </c>
      <c r="AI89" t="e">
        <f>IF('INHERENT MAP'!$B$5=2021,'РЕЕСТР РИСКОВ_2023'!#REF!,IF('INHERENT MAP'!$B$5=2022,#REF!,IF('INHERENT MAP'!$B$5=2023,#REF!,IF('INHERENT MAP'!$B$5=2024,#REF!,#REF!))))</f>
        <v>#REF!</v>
      </c>
      <c r="AJ89" t="e">
        <f>IF('INHERENT MAP'!$B$5=2021,'РЕЕСТР РИСКОВ_2023'!#REF!,IF('INHERENT MAP'!$B$5=2022,#REF!,IF('INHERENT MAP'!$B$5=2023,#REF!,IF('INHERENT MAP'!$B$5=2024,#REF!,#REF!))))</f>
        <v>#REF!</v>
      </c>
      <c r="AK89" t="e">
        <f>IF('РЕЕСТР РИСКОВ_2023'!#REF!="",AK88,'РЕЕСТР РИСКОВ_2023'!#REF!)</f>
        <v>#REF!</v>
      </c>
      <c r="AL89" t="e">
        <f>IF('РЕЕСТР РИСКОВ_2023'!#REF!="",AL88,'РЕЕСТР РИСКОВ_2023'!#REF!)</f>
        <v>#REF!</v>
      </c>
      <c r="AM89" t="e">
        <f>IF('РЕЕСТР РИСКОВ_2023'!#REF!="",AM88,'РЕЕСТР РИСКОВ_2023'!#REF!)</f>
        <v>#REF!</v>
      </c>
      <c r="AN89" t="e">
        <f>IF('РЕЕСТР РИСКОВ_2023'!#REF!="",AN88,'РЕЕСТР РИСКОВ_2023'!#REF!)</f>
        <v>#REF!</v>
      </c>
      <c r="AO89" t="e">
        <f>IF('РЕЕСТР РИСКОВ_2023'!#REF!="",AO88,'РЕЕСТР РИСКОВ_2023'!#REF!)</f>
        <v>#REF!</v>
      </c>
    </row>
    <row r="90" spans="2:41">
      <c r="B90" t="e">
        <f>IF('INHERENT MAP'!$B$5=2021,IF('РЕЕСТР РИСКОВ_2023'!#REF!="",B89,'РЕЕСТР РИСКОВ_2023'!#REF!),IF('INHERENT MAP'!$B$5=2022,IF(#REF!="",B89,#REF!),IF('INHERENT MAP'!$B$5=2023,IF(#REF!="",B89,#REF!),IF('INHERENT MAP'!$B$5=2024,IF(#REF!="",B89,#REF!),IF('РЕЕСТР РИСКОВ_2023'!#REF!="",B89,'РЕЕСТР РИСКОВ_2023'!#REF!)))))</f>
        <v>#REF!</v>
      </c>
      <c r="C90" t="e">
        <f>IF('INHERENT MAP'!$B$5=2021,IF('РЕЕСТР РИСКОВ_2023'!#REF!="",C89,'РЕЕСТР РИСКОВ_2023'!#REF!),IF('INHERENT MAP'!$B$5=2022,IF(#REF!="",C89,#REF!),IF('INHERENT MAP'!$B$5=2023,IF(#REF!="",C89,#REF!),IF('INHERENT MAP'!$B$5=2024,IF(#REF!="",C89,#REF!),IF('РЕЕСТР РИСКОВ_2023'!#REF!="",C89,'РЕЕСТР РИСКОВ_2023'!#REF!)))))</f>
        <v>#REF!</v>
      </c>
      <c r="D90" t="e">
        <f>IF('INHERENT MAP'!$B$5=2021,IF('РЕЕСТР РИСКОВ_2023'!#REF!="",D89,'РЕЕСТР РИСКОВ_2023'!#REF!),IF('INHERENT MAP'!$B$5=2022,IF(#REF!="",D89,#REF!),IF('INHERENT MAP'!$B$5=2023,IF(#REF!="",D89,#REF!),IF('INHERENT MAP'!$B$5=2024,IF(#REF!="",D89,#REF!),IF('РЕЕСТР РИСКОВ_2023'!#REF!="",D89,'РЕЕСТР РИСКОВ_2023'!#REF!)))))</f>
        <v>#REF!</v>
      </c>
      <c r="E90" t="e">
        <f>IF('INHERENT MAP'!$B$5=2021,IF('РЕЕСТР РИСКОВ_2023'!#REF!="",E89,'РЕЕСТР РИСКОВ_2023'!#REF!),IF('INHERENT MAP'!$B$5=2022,IF(#REF!="",E89,#REF!),IF('INHERENT MAP'!$B$5=2023,IF(#REF!="",E89,#REF!),IF('INHERENT MAP'!$B$5=2024,IF(#REF!="",E89,#REF!),IF('РЕЕСТР РИСКОВ_2023'!#REF!="",E89,'РЕЕСТР РИСКОВ_2023'!#REF!)))))</f>
        <v>#REF!</v>
      </c>
      <c r="F90" t="e">
        <f>IF('INHERENT MAP'!$B$5=2021,IF('РЕЕСТР РИСКОВ_2023'!#REF!="",F89,'РЕЕСТР РИСКОВ_2023'!#REF!),IF('INHERENT MAP'!$B$5=2022,IF(#REF!="",F89,#REF!),IF('INHERENT MAP'!$B$5=2023,IF(#REF!="",F89,#REF!),IF('INHERENT MAP'!$B$5=2024,IF(#REF!="",F89,#REF!),IF('РЕЕСТР РИСКОВ_2023'!#REF!="",F89,'РЕЕСТР РИСКОВ_2023'!#REF!)))))</f>
        <v>#REF!</v>
      </c>
      <c r="G90" t="e">
        <f>IF('INHERENT MAP'!$B$5=2021,IF('РЕЕСТР РИСКОВ_2023'!#REF!="",G89,'РЕЕСТР РИСКОВ_2023'!#REF!),IF('INHERENT MAP'!$B$5=2022,IF(#REF!="",G89,#REF!),IF('INHERENT MAP'!$B$5=2023,IF(#REF!="",G89,#REF!),IF('INHERENT MAP'!$B$5=2024,IF(#REF!="",G89,#REF!),IF('РЕЕСТР РИСКОВ_2023'!#REF!="",G89,'РЕЕСТР РИСКОВ_2023'!#REF!)))))</f>
        <v>#REF!</v>
      </c>
      <c r="H90" t="e">
        <f>IF('INHERENT MAP'!$B$5=2021,'РЕЕСТР РИСКОВ_2023'!#REF!,IF('INHERENT MAP'!$B$5=2022,#REF!,IF('INHERENT MAP'!$B$5=2023,#REF!,IF('INHERENT MAP'!$B$5=2024,#REF!,#REF!))))</f>
        <v>#REF!</v>
      </c>
      <c r="I90" t="e">
        <f>IF('INHERENT MAP'!$B$5=2021,'РЕЕСТР РИСКОВ_2023'!#REF!,IF('INHERENT MAP'!$B$5=2022,#REF!,IF('INHERENT MAP'!$B$5=2023,#REF!,IF('INHERENT MAP'!$B$5=2024,#REF!,#REF!))))</f>
        <v>#REF!</v>
      </c>
      <c r="J90" t="e">
        <f>IF('INHERENT MAP'!$B$5=2021,'РЕЕСТР РИСКОВ_2023'!#REF!,IF('INHERENT MAP'!$B$5=2022,#REF!,IF('INHERENT MAP'!$B$5=2023,#REF!,IF('INHERENT MAP'!$B$5=2024,#REF!,#REF!))))</f>
        <v>#REF!</v>
      </c>
      <c r="K90" t="e">
        <f>IF('INHERENT MAP'!$B$5=2021,'РЕЕСТР РИСКОВ_2023'!#REF!,IF('INHERENT MAP'!$B$5=2022,#REF!,IF('INHERENT MAP'!$B$5=2023,#REF!,IF('INHERENT MAP'!$B$5=2024,#REF!,#REF!))))</f>
        <v>#REF!</v>
      </c>
      <c r="L90" t="e">
        <f>IF('INHERENT MAP'!$B$5=2021,'РЕЕСТР РИСКОВ_2023'!#REF!,IF('INHERENT MAP'!$B$5=2022,#REF!,IF('INHERENT MAP'!$B$5=2023,#REF!,IF('INHERENT MAP'!$B$5=2024,#REF!,#REF!))))</f>
        <v>#REF!</v>
      </c>
      <c r="M90" t="e">
        <f>IF('INHERENT MAP'!$B$5=2021,IF('РЕЕСТР РИСКОВ_2023'!#REF!="",M89,'РЕЕСТР РИСКОВ_2023'!#REF!),IF('INHERENT MAP'!$B$5=2022,IF(#REF!="",M89,#REF!),IF('INHERENT MAP'!$B$5=2023,IF(#REF!="",M89,#REF!),IF('INHERENT MAP'!$B$5=2024,IF(#REF!="",M89,#REF!),IF('РЕЕСТР РИСКОВ_2023'!#REF!="",M89,'РЕЕСТР РИСКОВ_2023'!#REF!)))))</f>
        <v>#REF!</v>
      </c>
      <c r="N90" t="e">
        <f>IF('INHERENT MAP'!$B$5=2021,IF('РЕЕСТР РИСКОВ_2023'!#REF!="",N89,'РЕЕСТР РИСКОВ_2023'!#REF!),IF('INHERENT MAP'!$B$5=2022,IF(#REF!="",N89,#REF!),IF('INHERENT MAP'!$B$5=2023,IF(#REF!="",N89,#REF!),IF('INHERENT MAP'!$B$5=2024,IF(#REF!="",N89,#REF!),IF('РЕЕСТР РИСКОВ_2023'!#REF!="",N89,'РЕЕСТР РИСКОВ_2023'!#REF!)))))</f>
        <v>#REF!</v>
      </c>
      <c r="O90" t="e">
        <f>'РЕЕСТР РИСКОВ_2023'!#REF!</f>
        <v>#REF!</v>
      </c>
      <c r="P90" t="e">
        <f>IF('РЕЕСТР РИСКОВ_2023'!#REF!="",P89,'РЕЕСТР РИСКОВ_2023'!#REF!)</f>
        <v>#REF!</v>
      </c>
      <c r="Q90" t="e">
        <f>IF('РЕЕСТР РИСКОВ_2023'!#REF!="",Q89,'РЕЕСТР РИСКОВ_2023'!#REF!)</f>
        <v>#REF!</v>
      </c>
      <c r="R90" t="e">
        <f>IF('РЕЕСТР РИСКОВ_2023'!#REF!="",R89,'РЕЕСТР РИСКОВ_2023'!#REF!)</f>
        <v>#REF!</v>
      </c>
      <c r="S90" t="e">
        <f>'РЕЕСТР РИСКОВ_2023'!#REF!</f>
        <v>#REF!</v>
      </c>
      <c r="T90" s="94" t="e">
        <f>IF('INHERENT MAP'!$B$5=2021,'РЕЕСТР РИСКОВ_2023'!#REF!,IF('INHERENT MAP'!$B$5=2022,#REF!,IF('INHERENT MAP'!$B$5=2023,#REF!,IF('INHERENT MAP'!$B$5=2024,#REF!,#REF!))))</f>
        <v>#REF!</v>
      </c>
      <c r="U90" t="e">
        <f>IF('INHERENT MAP'!$B$5=2021,'РЕЕСТР РИСКОВ_2023'!#REF!,IF('INHERENT MAP'!$B$5=2022,#REF!,IF('INHERENT MAP'!$B$5=2023,#REF!,IF('INHERENT MAP'!$B$5=2024,#REF!,#REF!))))</f>
        <v>#REF!</v>
      </c>
      <c r="V90" t="e">
        <f>IF('INHERENT MAP'!$B$5=2021,'РЕЕСТР РИСКОВ_2023'!#REF!,IF('INHERENT MAP'!$B$5=2022,#REF!,IF('INHERENT MAP'!$B$5=2023,#REF!,IF('INHERENT MAP'!$B$5=2024,#REF!,#REF!))))</f>
        <v>#REF!</v>
      </c>
      <c r="W90" t="e">
        <f>IF('INHERENT MAP'!$B$5=2021,'РЕЕСТР РИСКОВ_2023'!#REF!,IF('INHERENT MAP'!$B$5=2022,#REF!,IF('INHERENT MAP'!$B$5=2023,#REF!,IF('INHERENT MAP'!$B$5=2024,#REF!,#REF!))))</f>
        <v>#REF!</v>
      </c>
      <c r="X90" s="94" t="e">
        <f>IF('INHERENT MAP'!$B$5=2021,'РЕЕСТР РИСКОВ_2023'!#REF!,IF('INHERENT MAP'!$B$5=2022,#REF!,IF('INHERENT MAP'!$B$5=2023,#REF!,IF('INHERENT MAP'!$B$5=2024,#REF!,#REF!))))</f>
        <v>#REF!</v>
      </c>
      <c r="Y90" t="e">
        <f>IF('INHERENT MAP'!$B$5=2021,'РЕЕСТР РИСКОВ_2023'!#REF!,IF('INHERENT MAP'!$B$5=2022,#REF!,IF('INHERENT MAP'!$B$5=2023,#REF!,IF('INHERENT MAP'!$B$5=2024,#REF!,#REF!))))</f>
        <v>#REF!</v>
      </c>
      <c r="Z90" t="e">
        <f>IF('INHERENT MAP'!$B$5=2021,'РЕЕСТР РИСКОВ_2023'!#REF!,IF('INHERENT MAP'!$B$5=2022,#REF!,IF('INHERENT MAP'!$B$5=2023,#REF!,IF('INHERENT MAP'!$B$5=2024,#REF!,#REF!))))</f>
        <v>#REF!</v>
      </c>
      <c r="AA90" t="e">
        <f>IF('INHERENT MAP'!$B$5=2021,'РЕЕСТР РИСКОВ_2023'!#REF!,IF('INHERENT MAP'!$B$5=2022,#REF!,IF('INHERENT MAP'!$B$5=2023,#REF!,IF('INHERENT MAP'!$B$5=2024,#REF!,#REF!))))</f>
        <v>#REF!</v>
      </c>
      <c r="AB90" t="e">
        <f>IF('INHERENT MAP'!$B$5=2021,'РЕЕСТР РИСКОВ_2023'!#REF!,IF('INHERENT MAP'!$B$5=2022,#REF!,IF('INHERENT MAP'!$B$5=2023,#REF!,IF('INHERENT MAP'!$B$5=2024,#REF!,#REF!))))</f>
        <v>#REF!</v>
      </c>
      <c r="AC90" t="e">
        <f>IF('INHERENT MAP'!$B$5=2021,'РЕЕСТР РИСКОВ_2023'!#REF!,IF('INHERENT MAP'!$B$5=2022,#REF!,IF('INHERENT MAP'!$B$5=2023,#REF!,IF('INHERENT MAP'!$B$5=2024,#REF!,#REF!))))</f>
        <v>#REF!</v>
      </c>
      <c r="AD90" t="e">
        <f>IF('INHERENT MAP'!$B$5=2021,'РЕЕСТР РИСКОВ_2023'!#REF!,IF('INHERENT MAP'!$B$5=2022,#REF!,IF('INHERENT MAP'!$B$5=2023,#REF!,IF('INHERENT MAP'!$B$5=2024,#REF!,#REF!))))</f>
        <v>#REF!</v>
      </c>
      <c r="AE90" t="e">
        <f>IF('INHERENT MAP'!$B$5=2021,'РЕЕСТР РИСКОВ_2023'!#REF!,IF('INHERENT MAP'!$B$5=2022,#REF!,IF('INHERENT MAP'!$B$5=2023,#REF!,IF('INHERENT MAP'!$B$5=2024,#REF!,#REF!))))</f>
        <v>#REF!</v>
      </c>
      <c r="AF90" t="e">
        <f>IF('INHERENT MAP'!$B$5=2021,'РЕЕСТР РИСКОВ_2023'!#REF!,IF('INHERENT MAP'!$B$5=2022,#REF!,IF('INHERENT MAP'!$B$5=2023,#REF!,IF('INHERENT MAP'!$B$5=2024,#REF!,#REF!))))</f>
        <v>#REF!</v>
      </c>
      <c r="AG90" t="e">
        <f>IF('INHERENT MAP'!$B$5=2021,'РЕЕСТР РИСКОВ_2023'!#REF!,IF('INHERENT MAP'!$B$5=2022,#REF!,IF('INHERENT MAP'!$B$5=2023,#REF!,IF('INHERENT MAP'!$B$5=2024,#REF!,#REF!))))</f>
        <v>#REF!</v>
      </c>
      <c r="AH90" t="e">
        <f>IF('INHERENT MAP'!$B$5=2021,'РЕЕСТР РИСКОВ_2023'!#REF!,IF('INHERENT MAP'!$B$5=2022,#REF!,IF('INHERENT MAP'!$B$5=2023,#REF!,IF('INHERENT MAP'!$B$5=2024,#REF!,#REF!))))</f>
        <v>#REF!</v>
      </c>
      <c r="AI90" t="e">
        <f>IF('INHERENT MAP'!$B$5=2021,'РЕЕСТР РИСКОВ_2023'!#REF!,IF('INHERENT MAP'!$B$5=2022,#REF!,IF('INHERENT MAP'!$B$5=2023,#REF!,IF('INHERENT MAP'!$B$5=2024,#REF!,#REF!))))</f>
        <v>#REF!</v>
      </c>
      <c r="AJ90" t="e">
        <f>IF('INHERENT MAP'!$B$5=2021,'РЕЕСТР РИСКОВ_2023'!#REF!,IF('INHERENT MAP'!$B$5=2022,#REF!,IF('INHERENT MAP'!$B$5=2023,#REF!,IF('INHERENT MAP'!$B$5=2024,#REF!,#REF!))))</f>
        <v>#REF!</v>
      </c>
      <c r="AK90" t="e">
        <f>IF('РЕЕСТР РИСКОВ_2023'!#REF!="",AK89,'РЕЕСТР РИСКОВ_2023'!#REF!)</f>
        <v>#REF!</v>
      </c>
      <c r="AL90" t="e">
        <f>IF('РЕЕСТР РИСКОВ_2023'!#REF!="",AL89,'РЕЕСТР РИСКОВ_2023'!#REF!)</f>
        <v>#REF!</v>
      </c>
      <c r="AM90" t="e">
        <f>IF('РЕЕСТР РИСКОВ_2023'!#REF!="",AM89,'РЕЕСТР РИСКОВ_2023'!#REF!)</f>
        <v>#REF!</v>
      </c>
      <c r="AN90" t="e">
        <f>IF('РЕЕСТР РИСКОВ_2023'!#REF!="",AN89,'РЕЕСТР РИСКОВ_2023'!#REF!)</f>
        <v>#REF!</v>
      </c>
      <c r="AO90" t="e">
        <f>IF('РЕЕСТР РИСКОВ_2023'!#REF!="",AO89,'РЕЕСТР РИСКОВ_2023'!#REF!)</f>
        <v>#REF!</v>
      </c>
    </row>
    <row r="91" spans="2:41">
      <c r="B91" t="e">
        <f>IF('INHERENT MAP'!$B$5=2021,IF('РЕЕСТР РИСКОВ_2023'!#REF!="",B90,'РЕЕСТР РИСКОВ_2023'!#REF!),IF('INHERENT MAP'!$B$5=2022,IF(#REF!="",B90,#REF!),IF('INHERENT MAP'!$B$5=2023,IF(#REF!="",B90,#REF!),IF('INHERENT MAP'!$B$5=2024,IF(#REF!="",B90,#REF!),IF('РЕЕСТР РИСКОВ_2023'!#REF!="",B90,'РЕЕСТР РИСКОВ_2023'!#REF!)))))</f>
        <v>#REF!</v>
      </c>
      <c r="C91" t="e">
        <f>IF('INHERENT MAP'!$B$5=2021,IF('РЕЕСТР РИСКОВ_2023'!#REF!="",C90,'РЕЕСТР РИСКОВ_2023'!#REF!),IF('INHERENT MAP'!$B$5=2022,IF(#REF!="",C90,#REF!),IF('INHERENT MAP'!$B$5=2023,IF(#REF!="",C90,#REF!),IF('INHERENT MAP'!$B$5=2024,IF(#REF!="",C90,#REF!),IF('РЕЕСТР РИСКОВ_2023'!#REF!="",C90,'РЕЕСТР РИСКОВ_2023'!#REF!)))))</f>
        <v>#REF!</v>
      </c>
      <c r="D91" t="e">
        <f>IF('INHERENT MAP'!$B$5=2021,IF('РЕЕСТР РИСКОВ_2023'!#REF!="",D90,'РЕЕСТР РИСКОВ_2023'!#REF!),IF('INHERENT MAP'!$B$5=2022,IF(#REF!="",D90,#REF!),IF('INHERENT MAP'!$B$5=2023,IF(#REF!="",D90,#REF!),IF('INHERENT MAP'!$B$5=2024,IF(#REF!="",D90,#REF!),IF('РЕЕСТР РИСКОВ_2023'!#REF!="",D90,'РЕЕСТР РИСКОВ_2023'!#REF!)))))</f>
        <v>#REF!</v>
      </c>
      <c r="E91" t="e">
        <f>IF('INHERENT MAP'!$B$5=2021,IF('РЕЕСТР РИСКОВ_2023'!#REF!="",E90,'РЕЕСТР РИСКОВ_2023'!#REF!),IF('INHERENT MAP'!$B$5=2022,IF(#REF!="",E90,#REF!),IF('INHERENT MAP'!$B$5=2023,IF(#REF!="",E90,#REF!),IF('INHERENT MAP'!$B$5=2024,IF(#REF!="",E90,#REF!),IF('РЕЕСТР РИСКОВ_2023'!#REF!="",E90,'РЕЕСТР РИСКОВ_2023'!#REF!)))))</f>
        <v>#REF!</v>
      </c>
      <c r="F91" t="e">
        <f>IF('INHERENT MAP'!$B$5=2021,IF('РЕЕСТР РИСКОВ_2023'!#REF!="",F90,'РЕЕСТР РИСКОВ_2023'!#REF!),IF('INHERENT MAP'!$B$5=2022,IF(#REF!="",F90,#REF!),IF('INHERENT MAP'!$B$5=2023,IF(#REF!="",F90,#REF!),IF('INHERENT MAP'!$B$5=2024,IF(#REF!="",F90,#REF!),IF('РЕЕСТР РИСКОВ_2023'!#REF!="",F90,'РЕЕСТР РИСКОВ_2023'!#REF!)))))</f>
        <v>#REF!</v>
      </c>
      <c r="G91" t="e">
        <f>IF('INHERENT MAP'!$B$5=2021,IF('РЕЕСТР РИСКОВ_2023'!#REF!="",G90,'РЕЕСТР РИСКОВ_2023'!#REF!),IF('INHERENT MAP'!$B$5=2022,IF(#REF!="",G90,#REF!),IF('INHERENT MAP'!$B$5=2023,IF(#REF!="",G90,#REF!),IF('INHERENT MAP'!$B$5=2024,IF(#REF!="",G90,#REF!),IF('РЕЕСТР РИСКОВ_2023'!#REF!="",G90,'РЕЕСТР РИСКОВ_2023'!#REF!)))))</f>
        <v>#REF!</v>
      </c>
      <c r="H91" t="e">
        <f>IF('INHERENT MAP'!$B$5=2021,'РЕЕСТР РИСКОВ_2023'!#REF!,IF('INHERENT MAP'!$B$5=2022,#REF!,IF('INHERENT MAP'!$B$5=2023,#REF!,IF('INHERENT MAP'!$B$5=2024,#REF!,#REF!))))</f>
        <v>#REF!</v>
      </c>
      <c r="I91" t="e">
        <f>IF('INHERENT MAP'!$B$5=2021,'РЕЕСТР РИСКОВ_2023'!#REF!,IF('INHERENT MAP'!$B$5=2022,#REF!,IF('INHERENT MAP'!$B$5=2023,#REF!,IF('INHERENT MAP'!$B$5=2024,#REF!,#REF!))))</f>
        <v>#REF!</v>
      </c>
      <c r="J91" t="e">
        <f>IF('INHERENT MAP'!$B$5=2021,'РЕЕСТР РИСКОВ_2023'!#REF!,IF('INHERENT MAP'!$B$5=2022,#REF!,IF('INHERENT MAP'!$B$5=2023,#REF!,IF('INHERENT MAP'!$B$5=2024,#REF!,#REF!))))</f>
        <v>#REF!</v>
      </c>
      <c r="K91" t="e">
        <f>IF('INHERENT MAP'!$B$5=2021,'РЕЕСТР РИСКОВ_2023'!#REF!,IF('INHERENT MAP'!$B$5=2022,#REF!,IF('INHERENT MAP'!$B$5=2023,#REF!,IF('INHERENT MAP'!$B$5=2024,#REF!,#REF!))))</f>
        <v>#REF!</v>
      </c>
      <c r="L91" t="e">
        <f>IF('INHERENT MAP'!$B$5=2021,'РЕЕСТР РИСКОВ_2023'!#REF!,IF('INHERENT MAP'!$B$5=2022,#REF!,IF('INHERENT MAP'!$B$5=2023,#REF!,IF('INHERENT MAP'!$B$5=2024,#REF!,#REF!))))</f>
        <v>#REF!</v>
      </c>
      <c r="M91" t="e">
        <f>IF('INHERENT MAP'!$B$5=2021,IF('РЕЕСТР РИСКОВ_2023'!#REF!="",M90,'РЕЕСТР РИСКОВ_2023'!#REF!),IF('INHERENT MAP'!$B$5=2022,IF(#REF!="",M90,#REF!),IF('INHERENT MAP'!$B$5=2023,IF(#REF!="",M90,#REF!),IF('INHERENT MAP'!$B$5=2024,IF(#REF!="",M90,#REF!),IF('РЕЕСТР РИСКОВ_2023'!#REF!="",M90,'РЕЕСТР РИСКОВ_2023'!#REF!)))))</f>
        <v>#REF!</v>
      </c>
      <c r="N91" t="e">
        <f>IF('INHERENT MAP'!$B$5=2021,IF('РЕЕСТР РИСКОВ_2023'!#REF!="",N90,'РЕЕСТР РИСКОВ_2023'!#REF!),IF('INHERENT MAP'!$B$5=2022,IF(#REF!="",N90,#REF!),IF('INHERENT MAP'!$B$5=2023,IF(#REF!="",N90,#REF!),IF('INHERENT MAP'!$B$5=2024,IF(#REF!="",N90,#REF!),IF('РЕЕСТР РИСКОВ_2023'!#REF!="",N90,'РЕЕСТР РИСКОВ_2023'!#REF!)))))</f>
        <v>#REF!</v>
      </c>
      <c r="O91" t="e">
        <f>'РЕЕСТР РИСКОВ_2023'!#REF!</f>
        <v>#REF!</v>
      </c>
      <c r="P91" t="e">
        <f>IF('РЕЕСТР РИСКОВ_2023'!#REF!="",P90,'РЕЕСТР РИСКОВ_2023'!#REF!)</f>
        <v>#REF!</v>
      </c>
      <c r="Q91" t="e">
        <f>IF('РЕЕСТР РИСКОВ_2023'!#REF!="",Q90,'РЕЕСТР РИСКОВ_2023'!#REF!)</f>
        <v>#REF!</v>
      </c>
      <c r="R91" t="e">
        <f>IF('РЕЕСТР РИСКОВ_2023'!#REF!="",R90,'РЕЕСТР РИСКОВ_2023'!#REF!)</f>
        <v>#REF!</v>
      </c>
      <c r="S91" t="e">
        <f>'РЕЕСТР РИСКОВ_2023'!#REF!</f>
        <v>#REF!</v>
      </c>
      <c r="T91" s="94" t="e">
        <f>IF('INHERENT MAP'!$B$5=2021,'РЕЕСТР РИСКОВ_2023'!#REF!,IF('INHERENT MAP'!$B$5=2022,#REF!,IF('INHERENT MAP'!$B$5=2023,#REF!,IF('INHERENT MAP'!$B$5=2024,#REF!,#REF!))))</f>
        <v>#REF!</v>
      </c>
      <c r="U91" t="e">
        <f>IF('INHERENT MAP'!$B$5=2021,'РЕЕСТР РИСКОВ_2023'!#REF!,IF('INHERENT MAP'!$B$5=2022,#REF!,IF('INHERENT MAP'!$B$5=2023,#REF!,IF('INHERENT MAP'!$B$5=2024,#REF!,#REF!))))</f>
        <v>#REF!</v>
      </c>
      <c r="V91" t="e">
        <f>IF('INHERENT MAP'!$B$5=2021,'РЕЕСТР РИСКОВ_2023'!#REF!,IF('INHERENT MAP'!$B$5=2022,#REF!,IF('INHERENT MAP'!$B$5=2023,#REF!,IF('INHERENT MAP'!$B$5=2024,#REF!,#REF!))))</f>
        <v>#REF!</v>
      </c>
      <c r="W91" t="e">
        <f>IF('INHERENT MAP'!$B$5=2021,'РЕЕСТР РИСКОВ_2023'!#REF!,IF('INHERENT MAP'!$B$5=2022,#REF!,IF('INHERENT MAP'!$B$5=2023,#REF!,IF('INHERENT MAP'!$B$5=2024,#REF!,#REF!))))</f>
        <v>#REF!</v>
      </c>
      <c r="X91" s="94" t="e">
        <f>IF('INHERENT MAP'!$B$5=2021,'РЕЕСТР РИСКОВ_2023'!#REF!,IF('INHERENT MAP'!$B$5=2022,#REF!,IF('INHERENT MAP'!$B$5=2023,#REF!,IF('INHERENT MAP'!$B$5=2024,#REF!,#REF!))))</f>
        <v>#REF!</v>
      </c>
      <c r="Y91" t="e">
        <f>IF('INHERENT MAP'!$B$5=2021,'РЕЕСТР РИСКОВ_2023'!#REF!,IF('INHERENT MAP'!$B$5=2022,#REF!,IF('INHERENT MAP'!$B$5=2023,#REF!,IF('INHERENT MAP'!$B$5=2024,#REF!,#REF!))))</f>
        <v>#REF!</v>
      </c>
      <c r="Z91" t="e">
        <f>IF('INHERENT MAP'!$B$5=2021,'РЕЕСТР РИСКОВ_2023'!#REF!,IF('INHERENT MAP'!$B$5=2022,#REF!,IF('INHERENT MAP'!$B$5=2023,#REF!,IF('INHERENT MAP'!$B$5=2024,#REF!,#REF!))))</f>
        <v>#REF!</v>
      </c>
      <c r="AA91" t="e">
        <f>IF('INHERENT MAP'!$B$5=2021,'РЕЕСТР РИСКОВ_2023'!#REF!,IF('INHERENT MAP'!$B$5=2022,#REF!,IF('INHERENT MAP'!$B$5=2023,#REF!,IF('INHERENT MAP'!$B$5=2024,#REF!,#REF!))))</f>
        <v>#REF!</v>
      </c>
      <c r="AB91" t="e">
        <f>IF('INHERENT MAP'!$B$5=2021,'РЕЕСТР РИСКОВ_2023'!#REF!,IF('INHERENT MAP'!$B$5=2022,#REF!,IF('INHERENT MAP'!$B$5=2023,#REF!,IF('INHERENT MAP'!$B$5=2024,#REF!,#REF!))))</f>
        <v>#REF!</v>
      </c>
      <c r="AC91" t="e">
        <f>IF('INHERENT MAP'!$B$5=2021,'РЕЕСТР РИСКОВ_2023'!#REF!,IF('INHERENT MAP'!$B$5=2022,#REF!,IF('INHERENT MAP'!$B$5=2023,#REF!,IF('INHERENT MAP'!$B$5=2024,#REF!,#REF!))))</f>
        <v>#REF!</v>
      </c>
      <c r="AD91" t="e">
        <f>IF('INHERENT MAP'!$B$5=2021,'РЕЕСТР РИСКОВ_2023'!#REF!,IF('INHERENT MAP'!$B$5=2022,#REF!,IF('INHERENT MAP'!$B$5=2023,#REF!,IF('INHERENT MAP'!$B$5=2024,#REF!,#REF!))))</f>
        <v>#REF!</v>
      </c>
      <c r="AE91" t="e">
        <f>IF('INHERENT MAP'!$B$5=2021,'РЕЕСТР РИСКОВ_2023'!#REF!,IF('INHERENT MAP'!$B$5=2022,#REF!,IF('INHERENT MAP'!$B$5=2023,#REF!,IF('INHERENT MAP'!$B$5=2024,#REF!,#REF!))))</f>
        <v>#REF!</v>
      </c>
      <c r="AF91" t="e">
        <f>IF('INHERENT MAP'!$B$5=2021,'РЕЕСТР РИСКОВ_2023'!#REF!,IF('INHERENT MAP'!$B$5=2022,#REF!,IF('INHERENT MAP'!$B$5=2023,#REF!,IF('INHERENT MAP'!$B$5=2024,#REF!,#REF!))))</f>
        <v>#REF!</v>
      </c>
      <c r="AG91" t="e">
        <f>IF('INHERENT MAP'!$B$5=2021,'РЕЕСТР РИСКОВ_2023'!#REF!,IF('INHERENT MAP'!$B$5=2022,#REF!,IF('INHERENT MAP'!$B$5=2023,#REF!,IF('INHERENT MAP'!$B$5=2024,#REF!,#REF!))))</f>
        <v>#REF!</v>
      </c>
      <c r="AH91" t="e">
        <f>IF('INHERENT MAP'!$B$5=2021,'РЕЕСТР РИСКОВ_2023'!#REF!,IF('INHERENT MAP'!$B$5=2022,#REF!,IF('INHERENT MAP'!$B$5=2023,#REF!,IF('INHERENT MAP'!$B$5=2024,#REF!,#REF!))))</f>
        <v>#REF!</v>
      </c>
      <c r="AI91" t="e">
        <f>IF('INHERENT MAP'!$B$5=2021,'РЕЕСТР РИСКОВ_2023'!#REF!,IF('INHERENT MAP'!$B$5=2022,#REF!,IF('INHERENT MAP'!$B$5=2023,#REF!,IF('INHERENT MAP'!$B$5=2024,#REF!,#REF!))))</f>
        <v>#REF!</v>
      </c>
      <c r="AJ91" t="e">
        <f>IF('INHERENT MAP'!$B$5=2021,'РЕЕСТР РИСКОВ_2023'!#REF!,IF('INHERENT MAP'!$B$5=2022,#REF!,IF('INHERENT MAP'!$B$5=2023,#REF!,IF('INHERENT MAP'!$B$5=2024,#REF!,#REF!))))</f>
        <v>#REF!</v>
      </c>
      <c r="AK91" t="e">
        <f>IF('РЕЕСТР РИСКОВ_2023'!#REF!="",AK90,'РЕЕСТР РИСКОВ_2023'!#REF!)</f>
        <v>#REF!</v>
      </c>
      <c r="AL91" t="e">
        <f>IF('РЕЕСТР РИСКОВ_2023'!#REF!="",AL90,'РЕЕСТР РИСКОВ_2023'!#REF!)</f>
        <v>#REF!</v>
      </c>
      <c r="AM91" t="e">
        <f>IF('РЕЕСТР РИСКОВ_2023'!#REF!="",AM90,'РЕЕСТР РИСКОВ_2023'!#REF!)</f>
        <v>#REF!</v>
      </c>
      <c r="AN91" t="e">
        <f>IF('РЕЕСТР РИСКОВ_2023'!#REF!="",AN90,'РЕЕСТР РИСКОВ_2023'!#REF!)</f>
        <v>#REF!</v>
      </c>
      <c r="AO91" t="e">
        <f>IF('РЕЕСТР РИСКОВ_2023'!#REF!="",AO90,'РЕЕСТР РИСКОВ_2023'!#REF!)</f>
        <v>#REF!</v>
      </c>
    </row>
    <row r="92" spans="2:41">
      <c r="B92" t="e">
        <f>IF('INHERENT MAP'!$B$5=2021,IF('РЕЕСТР РИСКОВ_2023'!#REF!="",B91,'РЕЕСТР РИСКОВ_2023'!#REF!),IF('INHERENT MAP'!$B$5=2022,IF(#REF!="",B91,#REF!),IF('INHERENT MAP'!$B$5=2023,IF(#REF!="",B91,#REF!),IF('INHERENT MAP'!$B$5=2024,IF(#REF!="",B91,#REF!),IF('РЕЕСТР РИСКОВ_2023'!#REF!="",B91,'РЕЕСТР РИСКОВ_2023'!#REF!)))))</f>
        <v>#REF!</v>
      </c>
      <c r="C92" t="e">
        <f>IF('INHERENT MAP'!$B$5=2021,IF('РЕЕСТР РИСКОВ_2023'!#REF!="",C91,'РЕЕСТР РИСКОВ_2023'!#REF!),IF('INHERENT MAP'!$B$5=2022,IF(#REF!="",C91,#REF!),IF('INHERENT MAP'!$B$5=2023,IF(#REF!="",C91,#REF!),IF('INHERENT MAP'!$B$5=2024,IF(#REF!="",C91,#REF!),IF('РЕЕСТР РИСКОВ_2023'!#REF!="",C91,'РЕЕСТР РИСКОВ_2023'!#REF!)))))</f>
        <v>#REF!</v>
      </c>
      <c r="D92" t="e">
        <f>IF('INHERENT MAP'!$B$5=2021,IF('РЕЕСТР РИСКОВ_2023'!#REF!="",D91,'РЕЕСТР РИСКОВ_2023'!#REF!),IF('INHERENT MAP'!$B$5=2022,IF(#REF!="",D91,#REF!),IF('INHERENT MAP'!$B$5=2023,IF(#REF!="",D91,#REF!),IF('INHERENT MAP'!$B$5=2024,IF(#REF!="",D91,#REF!),IF('РЕЕСТР РИСКОВ_2023'!#REF!="",D91,'РЕЕСТР РИСКОВ_2023'!#REF!)))))</f>
        <v>#REF!</v>
      </c>
      <c r="E92" t="e">
        <f>IF('INHERENT MAP'!$B$5=2021,IF('РЕЕСТР РИСКОВ_2023'!#REF!="",E91,'РЕЕСТР РИСКОВ_2023'!#REF!),IF('INHERENT MAP'!$B$5=2022,IF(#REF!="",E91,#REF!),IF('INHERENT MAP'!$B$5=2023,IF(#REF!="",E91,#REF!),IF('INHERENT MAP'!$B$5=2024,IF(#REF!="",E91,#REF!),IF('РЕЕСТР РИСКОВ_2023'!#REF!="",E91,'РЕЕСТР РИСКОВ_2023'!#REF!)))))</f>
        <v>#REF!</v>
      </c>
      <c r="F92" t="e">
        <f>IF('INHERENT MAP'!$B$5=2021,IF('РЕЕСТР РИСКОВ_2023'!#REF!="",F91,'РЕЕСТР РИСКОВ_2023'!#REF!),IF('INHERENT MAP'!$B$5=2022,IF(#REF!="",F91,#REF!),IF('INHERENT MAP'!$B$5=2023,IF(#REF!="",F91,#REF!),IF('INHERENT MAP'!$B$5=2024,IF(#REF!="",F91,#REF!),IF('РЕЕСТР РИСКОВ_2023'!#REF!="",F91,'РЕЕСТР РИСКОВ_2023'!#REF!)))))</f>
        <v>#REF!</v>
      </c>
      <c r="G92" t="e">
        <f>IF('INHERENT MAP'!$B$5=2021,IF('РЕЕСТР РИСКОВ_2023'!#REF!="",G91,'РЕЕСТР РИСКОВ_2023'!#REF!),IF('INHERENT MAP'!$B$5=2022,IF(#REF!="",G91,#REF!),IF('INHERENT MAP'!$B$5=2023,IF(#REF!="",G91,#REF!),IF('INHERENT MAP'!$B$5=2024,IF(#REF!="",G91,#REF!),IF('РЕЕСТР РИСКОВ_2023'!#REF!="",G91,'РЕЕСТР РИСКОВ_2023'!#REF!)))))</f>
        <v>#REF!</v>
      </c>
      <c r="H92" t="e">
        <f>IF('INHERENT MAP'!$B$5=2021,'РЕЕСТР РИСКОВ_2023'!#REF!,IF('INHERENT MAP'!$B$5=2022,#REF!,IF('INHERENT MAP'!$B$5=2023,#REF!,IF('INHERENT MAP'!$B$5=2024,#REF!,#REF!))))</f>
        <v>#REF!</v>
      </c>
      <c r="I92" t="e">
        <f>IF('INHERENT MAP'!$B$5=2021,'РЕЕСТР РИСКОВ_2023'!#REF!,IF('INHERENT MAP'!$B$5=2022,#REF!,IF('INHERENT MAP'!$B$5=2023,#REF!,IF('INHERENT MAP'!$B$5=2024,#REF!,#REF!))))</f>
        <v>#REF!</v>
      </c>
      <c r="J92" t="e">
        <f>IF('INHERENT MAP'!$B$5=2021,'РЕЕСТР РИСКОВ_2023'!#REF!,IF('INHERENT MAP'!$B$5=2022,#REF!,IF('INHERENT MAP'!$B$5=2023,#REF!,IF('INHERENT MAP'!$B$5=2024,#REF!,#REF!))))</f>
        <v>#REF!</v>
      </c>
      <c r="K92" t="e">
        <f>IF('INHERENT MAP'!$B$5=2021,'РЕЕСТР РИСКОВ_2023'!#REF!,IF('INHERENT MAP'!$B$5=2022,#REF!,IF('INHERENT MAP'!$B$5=2023,#REF!,IF('INHERENT MAP'!$B$5=2024,#REF!,#REF!))))</f>
        <v>#REF!</v>
      </c>
      <c r="L92" t="e">
        <f>IF('INHERENT MAP'!$B$5=2021,'РЕЕСТР РИСКОВ_2023'!#REF!,IF('INHERENT MAP'!$B$5=2022,#REF!,IF('INHERENT MAP'!$B$5=2023,#REF!,IF('INHERENT MAP'!$B$5=2024,#REF!,#REF!))))</f>
        <v>#REF!</v>
      </c>
      <c r="M92" t="e">
        <f>IF('INHERENT MAP'!$B$5=2021,IF('РЕЕСТР РИСКОВ_2023'!#REF!="",M91,'РЕЕСТР РИСКОВ_2023'!#REF!),IF('INHERENT MAP'!$B$5=2022,IF(#REF!="",M91,#REF!),IF('INHERENT MAP'!$B$5=2023,IF(#REF!="",M91,#REF!),IF('INHERENT MAP'!$B$5=2024,IF(#REF!="",M91,#REF!),IF('РЕЕСТР РИСКОВ_2023'!#REF!="",M91,'РЕЕСТР РИСКОВ_2023'!#REF!)))))</f>
        <v>#REF!</v>
      </c>
      <c r="N92" t="e">
        <f>IF('INHERENT MAP'!$B$5=2021,IF('РЕЕСТР РИСКОВ_2023'!#REF!="",N91,'РЕЕСТР РИСКОВ_2023'!#REF!),IF('INHERENT MAP'!$B$5=2022,IF(#REF!="",N91,#REF!),IF('INHERENT MAP'!$B$5=2023,IF(#REF!="",N91,#REF!),IF('INHERENT MAP'!$B$5=2024,IF(#REF!="",N91,#REF!),IF('РЕЕСТР РИСКОВ_2023'!#REF!="",N91,'РЕЕСТР РИСКОВ_2023'!#REF!)))))</f>
        <v>#REF!</v>
      </c>
      <c r="O92" t="e">
        <f>'РЕЕСТР РИСКОВ_2023'!#REF!</f>
        <v>#REF!</v>
      </c>
      <c r="P92" t="e">
        <f>IF('РЕЕСТР РИСКОВ_2023'!#REF!="",P91,'РЕЕСТР РИСКОВ_2023'!#REF!)</f>
        <v>#REF!</v>
      </c>
      <c r="Q92" t="e">
        <f>IF('РЕЕСТР РИСКОВ_2023'!#REF!="",Q91,'РЕЕСТР РИСКОВ_2023'!#REF!)</f>
        <v>#REF!</v>
      </c>
      <c r="R92" t="e">
        <f>IF('РЕЕСТР РИСКОВ_2023'!#REF!="",R91,'РЕЕСТР РИСКОВ_2023'!#REF!)</f>
        <v>#REF!</v>
      </c>
      <c r="S92" t="e">
        <f>'РЕЕСТР РИСКОВ_2023'!#REF!</f>
        <v>#REF!</v>
      </c>
      <c r="T92" s="94" t="e">
        <f>IF('INHERENT MAP'!$B$5=2021,'РЕЕСТР РИСКОВ_2023'!#REF!,IF('INHERENT MAP'!$B$5=2022,#REF!,IF('INHERENT MAP'!$B$5=2023,#REF!,IF('INHERENT MAP'!$B$5=2024,#REF!,#REF!))))</f>
        <v>#REF!</v>
      </c>
      <c r="U92" t="e">
        <f>IF('INHERENT MAP'!$B$5=2021,'РЕЕСТР РИСКОВ_2023'!#REF!,IF('INHERENT MAP'!$B$5=2022,#REF!,IF('INHERENT MAP'!$B$5=2023,#REF!,IF('INHERENT MAP'!$B$5=2024,#REF!,#REF!))))</f>
        <v>#REF!</v>
      </c>
      <c r="V92" t="e">
        <f>IF('INHERENT MAP'!$B$5=2021,'РЕЕСТР РИСКОВ_2023'!#REF!,IF('INHERENT MAP'!$B$5=2022,#REF!,IF('INHERENT MAP'!$B$5=2023,#REF!,IF('INHERENT MAP'!$B$5=2024,#REF!,#REF!))))</f>
        <v>#REF!</v>
      </c>
      <c r="W92" t="e">
        <f>IF('INHERENT MAP'!$B$5=2021,'РЕЕСТР РИСКОВ_2023'!#REF!,IF('INHERENT MAP'!$B$5=2022,#REF!,IF('INHERENT MAP'!$B$5=2023,#REF!,IF('INHERENT MAP'!$B$5=2024,#REF!,#REF!))))</f>
        <v>#REF!</v>
      </c>
      <c r="X92" s="94" t="e">
        <f>IF('INHERENT MAP'!$B$5=2021,'РЕЕСТР РИСКОВ_2023'!#REF!,IF('INHERENT MAP'!$B$5=2022,#REF!,IF('INHERENT MAP'!$B$5=2023,#REF!,IF('INHERENT MAP'!$B$5=2024,#REF!,#REF!))))</f>
        <v>#REF!</v>
      </c>
      <c r="Y92" t="e">
        <f>IF('INHERENT MAP'!$B$5=2021,'РЕЕСТР РИСКОВ_2023'!#REF!,IF('INHERENT MAP'!$B$5=2022,#REF!,IF('INHERENT MAP'!$B$5=2023,#REF!,IF('INHERENT MAP'!$B$5=2024,#REF!,#REF!))))</f>
        <v>#REF!</v>
      </c>
      <c r="Z92" t="e">
        <f>IF('INHERENT MAP'!$B$5=2021,'РЕЕСТР РИСКОВ_2023'!#REF!,IF('INHERENT MAP'!$B$5=2022,#REF!,IF('INHERENT MAP'!$B$5=2023,#REF!,IF('INHERENT MAP'!$B$5=2024,#REF!,#REF!))))</f>
        <v>#REF!</v>
      </c>
      <c r="AA92" t="e">
        <f>IF('INHERENT MAP'!$B$5=2021,'РЕЕСТР РИСКОВ_2023'!#REF!,IF('INHERENT MAP'!$B$5=2022,#REF!,IF('INHERENT MAP'!$B$5=2023,#REF!,IF('INHERENT MAP'!$B$5=2024,#REF!,#REF!))))</f>
        <v>#REF!</v>
      </c>
      <c r="AB92" t="e">
        <f>IF('INHERENT MAP'!$B$5=2021,'РЕЕСТР РИСКОВ_2023'!#REF!,IF('INHERENT MAP'!$B$5=2022,#REF!,IF('INHERENT MAP'!$B$5=2023,#REF!,IF('INHERENT MAP'!$B$5=2024,#REF!,#REF!))))</f>
        <v>#REF!</v>
      </c>
      <c r="AC92" t="e">
        <f>IF('INHERENT MAP'!$B$5=2021,'РЕЕСТР РИСКОВ_2023'!#REF!,IF('INHERENT MAP'!$B$5=2022,#REF!,IF('INHERENT MAP'!$B$5=2023,#REF!,IF('INHERENT MAP'!$B$5=2024,#REF!,#REF!))))</f>
        <v>#REF!</v>
      </c>
      <c r="AD92" t="e">
        <f>IF('INHERENT MAP'!$B$5=2021,'РЕЕСТР РИСКОВ_2023'!#REF!,IF('INHERENT MAP'!$B$5=2022,#REF!,IF('INHERENT MAP'!$B$5=2023,#REF!,IF('INHERENT MAP'!$B$5=2024,#REF!,#REF!))))</f>
        <v>#REF!</v>
      </c>
      <c r="AE92" t="e">
        <f>IF('INHERENT MAP'!$B$5=2021,'РЕЕСТР РИСКОВ_2023'!#REF!,IF('INHERENT MAP'!$B$5=2022,#REF!,IF('INHERENT MAP'!$B$5=2023,#REF!,IF('INHERENT MAP'!$B$5=2024,#REF!,#REF!))))</f>
        <v>#REF!</v>
      </c>
      <c r="AF92" t="e">
        <f>IF('INHERENT MAP'!$B$5=2021,'РЕЕСТР РИСКОВ_2023'!#REF!,IF('INHERENT MAP'!$B$5=2022,#REF!,IF('INHERENT MAP'!$B$5=2023,#REF!,IF('INHERENT MAP'!$B$5=2024,#REF!,#REF!))))</f>
        <v>#REF!</v>
      </c>
      <c r="AG92" t="e">
        <f>IF('INHERENT MAP'!$B$5=2021,'РЕЕСТР РИСКОВ_2023'!#REF!,IF('INHERENT MAP'!$B$5=2022,#REF!,IF('INHERENT MAP'!$B$5=2023,#REF!,IF('INHERENT MAP'!$B$5=2024,#REF!,#REF!))))</f>
        <v>#REF!</v>
      </c>
      <c r="AH92" t="e">
        <f>IF('INHERENT MAP'!$B$5=2021,'РЕЕСТР РИСКОВ_2023'!#REF!,IF('INHERENT MAP'!$B$5=2022,#REF!,IF('INHERENT MAP'!$B$5=2023,#REF!,IF('INHERENT MAP'!$B$5=2024,#REF!,#REF!))))</f>
        <v>#REF!</v>
      </c>
      <c r="AI92" t="e">
        <f>IF('INHERENT MAP'!$B$5=2021,'РЕЕСТР РИСКОВ_2023'!#REF!,IF('INHERENT MAP'!$B$5=2022,#REF!,IF('INHERENT MAP'!$B$5=2023,#REF!,IF('INHERENT MAP'!$B$5=2024,#REF!,#REF!))))</f>
        <v>#REF!</v>
      </c>
      <c r="AJ92" t="e">
        <f>IF('INHERENT MAP'!$B$5=2021,'РЕЕСТР РИСКОВ_2023'!#REF!,IF('INHERENT MAP'!$B$5=2022,#REF!,IF('INHERENT MAP'!$B$5=2023,#REF!,IF('INHERENT MAP'!$B$5=2024,#REF!,#REF!))))</f>
        <v>#REF!</v>
      </c>
      <c r="AK92" t="e">
        <f>IF('РЕЕСТР РИСКОВ_2023'!#REF!="",AK91,'РЕЕСТР РИСКОВ_2023'!#REF!)</f>
        <v>#REF!</v>
      </c>
      <c r="AL92" t="e">
        <f>IF('РЕЕСТР РИСКОВ_2023'!#REF!="",AL91,'РЕЕСТР РИСКОВ_2023'!#REF!)</f>
        <v>#REF!</v>
      </c>
      <c r="AM92" t="e">
        <f>IF('РЕЕСТР РИСКОВ_2023'!#REF!="",AM91,'РЕЕСТР РИСКОВ_2023'!#REF!)</f>
        <v>#REF!</v>
      </c>
      <c r="AN92" t="e">
        <f>IF('РЕЕСТР РИСКОВ_2023'!#REF!="",AN91,'РЕЕСТР РИСКОВ_2023'!#REF!)</f>
        <v>#REF!</v>
      </c>
      <c r="AO92" t="e">
        <f>IF('РЕЕСТР РИСКОВ_2023'!#REF!="",AO91,'РЕЕСТР РИСКОВ_2023'!#REF!)</f>
        <v>#REF!</v>
      </c>
    </row>
    <row r="93" spans="2:41">
      <c r="B93" t="e">
        <f>IF('INHERENT MAP'!$B$5=2021,IF('РЕЕСТР РИСКОВ_2023'!#REF!="",B92,'РЕЕСТР РИСКОВ_2023'!#REF!),IF('INHERENT MAP'!$B$5=2022,IF(#REF!="",B92,#REF!),IF('INHERENT MAP'!$B$5=2023,IF(#REF!="",B92,#REF!),IF('INHERENT MAP'!$B$5=2024,IF(#REF!="",B92,#REF!),IF('РЕЕСТР РИСКОВ_2023'!#REF!="",B92,'РЕЕСТР РИСКОВ_2023'!#REF!)))))</f>
        <v>#REF!</v>
      </c>
      <c r="C93" t="e">
        <f>IF('INHERENT MAP'!$B$5=2021,IF('РЕЕСТР РИСКОВ_2023'!#REF!="",C92,'РЕЕСТР РИСКОВ_2023'!#REF!),IF('INHERENT MAP'!$B$5=2022,IF(#REF!="",C92,#REF!),IF('INHERENT MAP'!$B$5=2023,IF(#REF!="",C92,#REF!),IF('INHERENT MAP'!$B$5=2024,IF(#REF!="",C92,#REF!),IF('РЕЕСТР РИСКОВ_2023'!#REF!="",C92,'РЕЕСТР РИСКОВ_2023'!#REF!)))))</f>
        <v>#REF!</v>
      </c>
      <c r="D93" t="e">
        <f>IF('INHERENT MAP'!$B$5=2021,IF('РЕЕСТР РИСКОВ_2023'!#REF!="",D92,'РЕЕСТР РИСКОВ_2023'!#REF!),IF('INHERENT MAP'!$B$5=2022,IF(#REF!="",D92,#REF!),IF('INHERENT MAP'!$B$5=2023,IF(#REF!="",D92,#REF!),IF('INHERENT MAP'!$B$5=2024,IF(#REF!="",D92,#REF!),IF('РЕЕСТР РИСКОВ_2023'!#REF!="",D92,'РЕЕСТР РИСКОВ_2023'!#REF!)))))</f>
        <v>#REF!</v>
      </c>
      <c r="E93" t="e">
        <f>IF('INHERENT MAP'!$B$5=2021,IF('РЕЕСТР РИСКОВ_2023'!#REF!="",E92,'РЕЕСТР РИСКОВ_2023'!#REF!),IF('INHERENT MAP'!$B$5=2022,IF(#REF!="",E92,#REF!),IF('INHERENT MAP'!$B$5=2023,IF(#REF!="",E92,#REF!),IF('INHERENT MAP'!$B$5=2024,IF(#REF!="",E92,#REF!),IF('РЕЕСТР РИСКОВ_2023'!#REF!="",E92,'РЕЕСТР РИСКОВ_2023'!#REF!)))))</f>
        <v>#REF!</v>
      </c>
      <c r="F93" t="e">
        <f>IF('INHERENT MAP'!$B$5=2021,IF('РЕЕСТР РИСКОВ_2023'!#REF!="",F92,'РЕЕСТР РИСКОВ_2023'!#REF!),IF('INHERENT MAP'!$B$5=2022,IF(#REF!="",F92,#REF!),IF('INHERENT MAP'!$B$5=2023,IF(#REF!="",F92,#REF!),IF('INHERENT MAP'!$B$5=2024,IF(#REF!="",F92,#REF!),IF('РЕЕСТР РИСКОВ_2023'!#REF!="",F92,'РЕЕСТР РИСКОВ_2023'!#REF!)))))</f>
        <v>#REF!</v>
      </c>
      <c r="G93" t="e">
        <f>IF('INHERENT MAP'!$B$5=2021,IF('РЕЕСТР РИСКОВ_2023'!#REF!="",G92,'РЕЕСТР РИСКОВ_2023'!#REF!),IF('INHERENT MAP'!$B$5=2022,IF(#REF!="",G92,#REF!),IF('INHERENT MAP'!$B$5=2023,IF(#REF!="",G92,#REF!),IF('INHERENT MAP'!$B$5=2024,IF(#REF!="",G92,#REF!),IF('РЕЕСТР РИСКОВ_2023'!#REF!="",G92,'РЕЕСТР РИСКОВ_2023'!#REF!)))))</f>
        <v>#REF!</v>
      </c>
      <c r="H93" t="e">
        <f>IF('INHERENT MAP'!$B$5=2021,'РЕЕСТР РИСКОВ_2023'!#REF!,IF('INHERENT MAP'!$B$5=2022,#REF!,IF('INHERENT MAP'!$B$5=2023,#REF!,IF('INHERENT MAP'!$B$5=2024,#REF!,#REF!))))</f>
        <v>#REF!</v>
      </c>
      <c r="I93" t="e">
        <f>IF('INHERENT MAP'!$B$5=2021,'РЕЕСТР РИСКОВ_2023'!#REF!,IF('INHERENT MAP'!$B$5=2022,#REF!,IF('INHERENT MAP'!$B$5=2023,#REF!,IF('INHERENT MAP'!$B$5=2024,#REF!,#REF!))))</f>
        <v>#REF!</v>
      </c>
      <c r="J93" t="e">
        <f>IF('INHERENT MAP'!$B$5=2021,'РЕЕСТР РИСКОВ_2023'!#REF!,IF('INHERENT MAP'!$B$5=2022,#REF!,IF('INHERENT MAP'!$B$5=2023,#REF!,IF('INHERENT MAP'!$B$5=2024,#REF!,#REF!))))</f>
        <v>#REF!</v>
      </c>
      <c r="K93" t="e">
        <f>IF('INHERENT MAP'!$B$5=2021,'РЕЕСТР РИСКОВ_2023'!#REF!,IF('INHERENT MAP'!$B$5=2022,#REF!,IF('INHERENT MAP'!$B$5=2023,#REF!,IF('INHERENT MAP'!$B$5=2024,#REF!,#REF!))))</f>
        <v>#REF!</v>
      </c>
      <c r="L93" t="e">
        <f>IF('INHERENT MAP'!$B$5=2021,'РЕЕСТР РИСКОВ_2023'!#REF!,IF('INHERENT MAP'!$B$5=2022,#REF!,IF('INHERENT MAP'!$B$5=2023,#REF!,IF('INHERENT MAP'!$B$5=2024,#REF!,#REF!))))</f>
        <v>#REF!</v>
      </c>
      <c r="M93" t="e">
        <f>IF('INHERENT MAP'!$B$5=2021,IF('РЕЕСТР РИСКОВ_2023'!#REF!="",M92,'РЕЕСТР РИСКОВ_2023'!#REF!),IF('INHERENT MAP'!$B$5=2022,IF(#REF!="",M92,#REF!),IF('INHERENT MAP'!$B$5=2023,IF(#REF!="",M92,#REF!),IF('INHERENT MAP'!$B$5=2024,IF(#REF!="",M92,#REF!),IF('РЕЕСТР РИСКОВ_2023'!#REF!="",M92,'РЕЕСТР РИСКОВ_2023'!#REF!)))))</f>
        <v>#REF!</v>
      </c>
      <c r="N93" t="e">
        <f>IF('INHERENT MAP'!$B$5=2021,IF('РЕЕСТР РИСКОВ_2023'!#REF!="",N92,'РЕЕСТР РИСКОВ_2023'!#REF!),IF('INHERENT MAP'!$B$5=2022,IF(#REF!="",N92,#REF!),IF('INHERENT MAP'!$B$5=2023,IF(#REF!="",N92,#REF!),IF('INHERENT MAP'!$B$5=2024,IF(#REF!="",N92,#REF!),IF('РЕЕСТР РИСКОВ_2023'!#REF!="",N92,'РЕЕСТР РИСКОВ_2023'!#REF!)))))</f>
        <v>#REF!</v>
      </c>
      <c r="O93" t="e">
        <f>'РЕЕСТР РИСКОВ_2023'!#REF!</f>
        <v>#REF!</v>
      </c>
      <c r="P93" t="e">
        <f>IF('РЕЕСТР РИСКОВ_2023'!#REF!="",P92,'РЕЕСТР РИСКОВ_2023'!#REF!)</f>
        <v>#REF!</v>
      </c>
      <c r="Q93" t="e">
        <f>IF('РЕЕСТР РИСКОВ_2023'!#REF!="",Q92,'РЕЕСТР РИСКОВ_2023'!#REF!)</f>
        <v>#REF!</v>
      </c>
      <c r="R93" t="e">
        <f>IF('РЕЕСТР РИСКОВ_2023'!#REF!="",R92,'РЕЕСТР РИСКОВ_2023'!#REF!)</f>
        <v>#REF!</v>
      </c>
      <c r="S93" t="e">
        <f>'РЕЕСТР РИСКОВ_2023'!#REF!</f>
        <v>#REF!</v>
      </c>
      <c r="T93" s="94" t="e">
        <f>IF('INHERENT MAP'!$B$5=2021,'РЕЕСТР РИСКОВ_2023'!#REF!,IF('INHERENT MAP'!$B$5=2022,#REF!,IF('INHERENT MAP'!$B$5=2023,#REF!,IF('INHERENT MAP'!$B$5=2024,#REF!,#REF!))))</f>
        <v>#REF!</v>
      </c>
      <c r="U93" t="e">
        <f>IF('INHERENT MAP'!$B$5=2021,'РЕЕСТР РИСКОВ_2023'!#REF!,IF('INHERENT MAP'!$B$5=2022,#REF!,IF('INHERENT MAP'!$B$5=2023,#REF!,IF('INHERENT MAP'!$B$5=2024,#REF!,#REF!))))</f>
        <v>#REF!</v>
      </c>
      <c r="V93" t="e">
        <f>IF('INHERENT MAP'!$B$5=2021,'РЕЕСТР РИСКОВ_2023'!#REF!,IF('INHERENT MAP'!$B$5=2022,#REF!,IF('INHERENT MAP'!$B$5=2023,#REF!,IF('INHERENT MAP'!$B$5=2024,#REF!,#REF!))))</f>
        <v>#REF!</v>
      </c>
      <c r="W93" t="e">
        <f>IF('INHERENT MAP'!$B$5=2021,'РЕЕСТР РИСКОВ_2023'!#REF!,IF('INHERENT MAP'!$B$5=2022,#REF!,IF('INHERENT MAP'!$B$5=2023,#REF!,IF('INHERENT MAP'!$B$5=2024,#REF!,#REF!))))</f>
        <v>#REF!</v>
      </c>
      <c r="X93" s="94" t="e">
        <f>IF('INHERENT MAP'!$B$5=2021,'РЕЕСТР РИСКОВ_2023'!#REF!,IF('INHERENT MAP'!$B$5=2022,#REF!,IF('INHERENT MAP'!$B$5=2023,#REF!,IF('INHERENT MAP'!$B$5=2024,#REF!,#REF!))))</f>
        <v>#REF!</v>
      </c>
      <c r="Y93" t="e">
        <f>IF('INHERENT MAP'!$B$5=2021,'РЕЕСТР РИСКОВ_2023'!#REF!,IF('INHERENT MAP'!$B$5=2022,#REF!,IF('INHERENT MAP'!$B$5=2023,#REF!,IF('INHERENT MAP'!$B$5=2024,#REF!,#REF!))))</f>
        <v>#REF!</v>
      </c>
      <c r="Z93" t="e">
        <f>IF('INHERENT MAP'!$B$5=2021,'РЕЕСТР РИСКОВ_2023'!#REF!,IF('INHERENT MAP'!$B$5=2022,#REF!,IF('INHERENT MAP'!$B$5=2023,#REF!,IF('INHERENT MAP'!$B$5=2024,#REF!,#REF!))))</f>
        <v>#REF!</v>
      </c>
      <c r="AA93" t="e">
        <f>IF('INHERENT MAP'!$B$5=2021,'РЕЕСТР РИСКОВ_2023'!#REF!,IF('INHERENT MAP'!$B$5=2022,#REF!,IF('INHERENT MAP'!$B$5=2023,#REF!,IF('INHERENT MAP'!$B$5=2024,#REF!,#REF!))))</f>
        <v>#REF!</v>
      </c>
      <c r="AB93" t="e">
        <f>IF('INHERENT MAP'!$B$5=2021,'РЕЕСТР РИСКОВ_2023'!#REF!,IF('INHERENT MAP'!$B$5=2022,#REF!,IF('INHERENT MAP'!$B$5=2023,#REF!,IF('INHERENT MAP'!$B$5=2024,#REF!,#REF!))))</f>
        <v>#REF!</v>
      </c>
      <c r="AC93" t="e">
        <f>IF('INHERENT MAP'!$B$5=2021,'РЕЕСТР РИСКОВ_2023'!#REF!,IF('INHERENT MAP'!$B$5=2022,#REF!,IF('INHERENT MAP'!$B$5=2023,#REF!,IF('INHERENT MAP'!$B$5=2024,#REF!,#REF!))))</f>
        <v>#REF!</v>
      </c>
      <c r="AD93" t="e">
        <f>IF('INHERENT MAP'!$B$5=2021,'РЕЕСТР РИСКОВ_2023'!#REF!,IF('INHERENT MAP'!$B$5=2022,#REF!,IF('INHERENT MAP'!$B$5=2023,#REF!,IF('INHERENT MAP'!$B$5=2024,#REF!,#REF!))))</f>
        <v>#REF!</v>
      </c>
      <c r="AE93" t="e">
        <f>IF('INHERENT MAP'!$B$5=2021,'РЕЕСТР РИСКОВ_2023'!#REF!,IF('INHERENT MAP'!$B$5=2022,#REF!,IF('INHERENT MAP'!$B$5=2023,#REF!,IF('INHERENT MAP'!$B$5=2024,#REF!,#REF!))))</f>
        <v>#REF!</v>
      </c>
      <c r="AF93" t="e">
        <f>IF('INHERENT MAP'!$B$5=2021,'РЕЕСТР РИСКОВ_2023'!#REF!,IF('INHERENT MAP'!$B$5=2022,#REF!,IF('INHERENT MAP'!$B$5=2023,#REF!,IF('INHERENT MAP'!$B$5=2024,#REF!,#REF!))))</f>
        <v>#REF!</v>
      </c>
      <c r="AG93" t="e">
        <f>IF('INHERENT MAP'!$B$5=2021,'РЕЕСТР РИСКОВ_2023'!#REF!,IF('INHERENT MAP'!$B$5=2022,#REF!,IF('INHERENT MAP'!$B$5=2023,#REF!,IF('INHERENT MAP'!$B$5=2024,#REF!,#REF!))))</f>
        <v>#REF!</v>
      </c>
      <c r="AH93" t="e">
        <f>IF('INHERENT MAP'!$B$5=2021,'РЕЕСТР РИСКОВ_2023'!#REF!,IF('INHERENT MAP'!$B$5=2022,#REF!,IF('INHERENT MAP'!$B$5=2023,#REF!,IF('INHERENT MAP'!$B$5=2024,#REF!,#REF!))))</f>
        <v>#REF!</v>
      </c>
      <c r="AI93" t="e">
        <f>IF('INHERENT MAP'!$B$5=2021,'РЕЕСТР РИСКОВ_2023'!#REF!,IF('INHERENT MAP'!$B$5=2022,#REF!,IF('INHERENT MAP'!$B$5=2023,#REF!,IF('INHERENT MAP'!$B$5=2024,#REF!,#REF!))))</f>
        <v>#REF!</v>
      </c>
      <c r="AJ93" t="e">
        <f>IF('INHERENT MAP'!$B$5=2021,'РЕЕСТР РИСКОВ_2023'!#REF!,IF('INHERENT MAP'!$B$5=2022,#REF!,IF('INHERENT MAP'!$B$5=2023,#REF!,IF('INHERENT MAP'!$B$5=2024,#REF!,#REF!))))</f>
        <v>#REF!</v>
      </c>
      <c r="AK93" t="e">
        <f>IF('РЕЕСТР РИСКОВ_2023'!#REF!="",AK92,'РЕЕСТР РИСКОВ_2023'!#REF!)</f>
        <v>#REF!</v>
      </c>
      <c r="AL93" t="e">
        <f>IF('РЕЕСТР РИСКОВ_2023'!#REF!="",AL92,'РЕЕСТР РИСКОВ_2023'!#REF!)</f>
        <v>#REF!</v>
      </c>
      <c r="AM93" t="e">
        <f>IF('РЕЕСТР РИСКОВ_2023'!#REF!="",AM92,'РЕЕСТР РИСКОВ_2023'!#REF!)</f>
        <v>#REF!</v>
      </c>
      <c r="AN93" t="e">
        <f>IF('РЕЕСТР РИСКОВ_2023'!#REF!="",AN92,'РЕЕСТР РИСКОВ_2023'!#REF!)</f>
        <v>#REF!</v>
      </c>
      <c r="AO93" t="e">
        <f>IF('РЕЕСТР РИСКОВ_2023'!#REF!="",AO92,'РЕЕСТР РИСКОВ_2023'!#REF!)</f>
        <v>#REF!</v>
      </c>
    </row>
    <row r="94" spans="2:41">
      <c r="B94" t="e">
        <f>IF('INHERENT MAP'!$B$5=2021,IF('РЕЕСТР РИСКОВ_2023'!#REF!="",B93,'РЕЕСТР РИСКОВ_2023'!#REF!),IF('INHERENT MAP'!$B$5=2022,IF(#REF!="",B93,#REF!),IF('INHERENT MAP'!$B$5=2023,IF(#REF!="",B93,#REF!),IF('INHERENT MAP'!$B$5=2024,IF(#REF!="",B93,#REF!),IF('РЕЕСТР РИСКОВ_2023'!#REF!="",B93,'РЕЕСТР РИСКОВ_2023'!#REF!)))))</f>
        <v>#REF!</v>
      </c>
      <c r="C94" t="e">
        <f>IF('INHERENT MAP'!$B$5=2021,IF('РЕЕСТР РИСКОВ_2023'!#REF!="",C93,'РЕЕСТР РИСКОВ_2023'!#REF!),IF('INHERENT MAP'!$B$5=2022,IF(#REF!="",C93,#REF!),IF('INHERENT MAP'!$B$5=2023,IF(#REF!="",C93,#REF!),IF('INHERENT MAP'!$B$5=2024,IF(#REF!="",C93,#REF!),IF('РЕЕСТР РИСКОВ_2023'!#REF!="",C93,'РЕЕСТР РИСКОВ_2023'!#REF!)))))</f>
        <v>#REF!</v>
      </c>
      <c r="D94" t="e">
        <f>IF('INHERENT MAP'!$B$5=2021,IF('РЕЕСТР РИСКОВ_2023'!#REF!="",D93,'РЕЕСТР РИСКОВ_2023'!#REF!),IF('INHERENT MAP'!$B$5=2022,IF(#REF!="",D93,#REF!),IF('INHERENT MAP'!$B$5=2023,IF(#REF!="",D93,#REF!),IF('INHERENT MAP'!$B$5=2024,IF(#REF!="",D93,#REF!),IF('РЕЕСТР РИСКОВ_2023'!#REF!="",D93,'РЕЕСТР РИСКОВ_2023'!#REF!)))))</f>
        <v>#REF!</v>
      </c>
      <c r="E94" t="e">
        <f>IF('INHERENT MAP'!$B$5=2021,IF('РЕЕСТР РИСКОВ_2023'!#REF!="",E93,'РЕЕСТР РИСКОВ_2023'!#REF!),IF('INHERENT MAP'!$B$5=2022,IF(#REF!="",E93,#REF!),IF('INHERENT MAP'!$B$5=2023,IF(#REF!="",E93,#REF!),IF('INHERENT MAP'!$B$5=2024,IF(#REF!="",E93,#REF!),IF('РЕЕСТР РИСКОВ_2023'!#REF!="",E93,'РЕЕСТР РИСКОВ_2023'!#REF!)))))</f>
        <v>#REF!</v>
      </c>
      <c r="F94" t="e">
        <f>IF('INHERENT MAP'!$B$5=2021,IF('РЕЕСТР РИСКОВ_2023'!#REF!="",F93,'РЕЕСТР РИСКОВ_2023'!#REF!),IF('INHERENT MAP'!$B$5=2022,IF(#REF!="",F93,#REF!),IF('INHERENT MAP'!$B$5=2023,IF(#REF!="",F93,#REF!),IF('INHERENT MAP'!$B$5=2024,IF(#REF!="",F93,#REF!),IF('РЕЕСТР РИСКОВ_2023'!#REF!="",F93,'РЕЕСТР РИСКОВ_2023'!#REF!)))))</f>
        <v>#REF!</v>
      </c>
      <c r="G94" t="e">
        <f>IF('INHERENT MAP'!$B$5=2021,IF('РЕЕСТР РИСКОВ_2023'!#REF!="",G93,'РЕЕСТР РИСКОВ_2023'!#REF!),IF('INHERENT MAP'!$B$5=2022,IF(#REF!="",G93,#REF!),IF('INHERENT MAP'!$B$5=2023,IF(#REF!="",G93,#REF!),IF('INHERENT MAP'!$B$5=2024,IF(#REF!="",G93,#REF!),IF('РЕЕСТР РИСКОВ_2023'!#REF!="",G93,'РЕЕСТР РИСКОВ_2023'!#REF!)))))</f>
        <v>#REF!</v>
      </c>
      <c r="H94" t="e">
        <f>IF('INHERENT MAP'!$B$5=2021,'РЕЕСТР РИСКОВ_2023'!#REF!,IF('INHERENT MAP'!$B$5=2022,#REF!,IF('INHERENT MAP'!$B$5=2023,#REF!,IF('INHERENT MAP'!$B$5=2024,#REF!,#REF!))))</f>
        <v>#REF!</v>
      </c>
      <c r="I94" t="e">
        <f>IF('INHERENT MAP'!$B$5=2021,'РЕЕСТР РИСКОВ_2023'!#REF!,IF('INHERENT MAP'!$B$5=2022,#REF!,IF('INHERENT MAP'!$B$5=2023,#REF!,IF('INHERENT MAP'!$B$5=2024,#REF!,#REF!))))</f>
        <v>#REF!</v>
      </c>
      <c r="J94" t="e">
        <f>IF('INHERENT MAP'!$B$5=2021,'РЕЕСТР РИСКОВ_2023'!#REF!,IF('INHERENT MAP'!$B$5=2022,#REF!,IF('INHERENT MAP'!$B$5=2023,#REF!,IF('INHERENT MAP'!$B$5=2024,#REF!,#REF!))))</f>
        <v>#REF!</v>
      </c>
      <c r="K94" t="e">
        <f>IF('INHERENT MAP'!$B$5=2021,'РЕЕСТР РИСКОВ_2023'!#REF!,IF('INHERENT MAP'!$B$5=2022,#REF!,IF('INHERENT MAP'!$B$5=2023,#REF!,IF('INHERENT MAP'!$B$5=2024,#REF!,#REF!))))</f>
        <v>#REF!</v>
      </c>
      <c r="L94" t="e">
        <f>IF('INHERENT MAP'!$B$5=2021,'РЕЕСТР РИСКОВ_2023'!#REF!,IF('INHERENT MAP'!$B$5=2022,#REF!,IF('INHERENT MAP'!$B$5=2023,#REF!,IF('INHERENT MAP'!$B$5=2024,#REF!,#REF!))))</f>
        <v>#REF!</v>
      </c>
      <c r="M94" t="e">
        <f>IF('INHERENT MAP'!$B$5=2021,IF('РЕЕСТР РИСКОВ_2023'!#REF!="",M93,'РЕЕСТР РИСКОВ_2023'!#REF!),IF('INHERENT MAP'!$B$5=2022,IF(#REF!="",M93,#REF!),IF('INHERENT MAP'!$B$5=2023,IF(#REF!="",M93,#REF!),IF('INHERENT MAP'!$B$5=2024,IF(#REF!="",M93,#REF!),IF('РЕЕСТР РИСКОВ_2023'!#REF!="",M93,'РЕЕСТР РИСКОВ_2023'!#REF!)))))</f>
        <v>#REF!</v>
      </c>
      <c r="N94" t="e">
        <f>IF('INHERENT MAP'!$B$5=2021,IF('РЕЕСТР РИСКОВ_2023'!#REF!="",N93,'РЕЕСТР РИСКОВ_2023'!#REF!),IF('INHERENT MAP'!$B$5=2022,IF(#REF!="",N93,#REF!),IF('INHERENT MAP'!$B$5=2023,IF(#REF!="",N93,#REF!),IF('INHERENT MAP'!$B$5=2024,IF(#REF!="",N93,#REF!),IF('РЕЕСТР РИСКОВ_2023'!#REF!="",N93,'РЕЕСТР РИСКОВ_2023'!#REF!)))))</f>
        <v>#REF!</v>
      </c>
      <c r="O94" t="e">
        <f>'РЕЕСТР РИСКОВ_2023'!#REF!</f>
        <v>#REF!</v>
      </c>
      <c r="P94" t="e">
        <f>IF('РЕЕСТР РИСКОВ_2023'!#REF!="",P93,'РЕЕСТР РИСКОВ_2023'!#REF!)</f>
        <v>#REF!</v>
      </c>
      <c r="Q94" t="e">
        <f>IF('РЕЕСТР РИСКОВ_2023'!#REF!="",Q93,'РЕЕСТР РИСКОВ_2023'!#REF!)</f>
        <v>#REF!</v>
      </c>
      <c r="R94" t="e">
        <f>IF('РЕЕСТР РИСКОВ_2023'!#REF!="",R93,'РЕЕСТР РИСКОВ_2023'!#REF!)</f>
        <v>#REF!</v>
      </c>
      <c r="S94" t="e">
        <f>'РЕЕСТР РИСКОВ_2023'!#REF!</f>
        <v>#REF!</v>
      </c>
      <c r="T94" s="94" t="e">
        <f>IF('INHERENT MAP'!$B$5=2021,'РЕЕСТР РИСКОВ_2023'!#REF!,IF('INHERENT MAP'!$B$5=2022,#REF!,IF('INHERENT MAP'!$B$5=2023,#REF!,IF('INHERENT MAP'!$B$5=2024,#REF!,#REF!))))</f>
        <v>#REF!</v>
      </c>
      <c r="U94" t="e">
        <f>IF('INHERENT MAP'!$B$5=2021,'РЕЕСТР РИСКОВ_2023'!#REF!,IF('INHERENT MAP'!$B$5=2022,#REF!,IF('INHERENT MAP'!$B$5=2023,#REF!,IF('INHERENT MAP'!$B$5=2024,#REF!,#REF!))))</f>
        <v>#REF!</v>
      </c>
      <c r="V94" t="e">
        <f>IF('INHERENT MAP'!$B$5=2021,'РЕЕСТР РИСКОВ_2023'!#REF!,IF('INHERENT MAP'!$B$5=2022,#REF!,IF('INHERENT MAP'!$B$5=2023,#REF!,IF('INHERENT MAP'!$B$5=2024,#REF!,#REF!))))</f>
        <v>#REF!</v>
      </c>
      <c r="W94" t="e">
        <f>IF('INHERENT MAP'!$B$5=2021,'РЕЕСТР РИСКОВ_2023'!#REF!,IF('INHERENT MAP'!$B$5=2022,#REF!,IF('INHERENT MAP'!$B$5=2023,#REF!,IF('INHERENT MAP'!$B$5=2024,#REF!,#REF!))))</f>
        <v>#REF!</v>
      </c>
      <c r="X94" s="94" t="e">
        <f>IF('INHERENT MAP'!$B$5=2021,'РЕЕСТР РИСКОВ_2023'!#REF!,IF('INHERENT MAP'!$B$5=2022,#REF!,IF('INHERENT MAP'!$B$5=2023,#REF!,IF('INHERENT MAP'!$B$5=2024,#REF!,#REF!))))</f>
        <v>#REF!</v>
      </c>
      <c r="Y94" t="e">
        <f>IF('INHERENT MAP'!$B$5=2021,'РЕЕСТР РИСКОВ_2023'!#REF!,IF('INHERENT MAP'!$B$5=2022,#REF!,IF('INHERENT MAP'!$B$5=2023,#REF!,IF('INHERENT MAP'!$B$5=2024,#REF!,#REF!))))</f>
        <v>#REF!</v>
      </c>
      <c r="Z94" t="e">
        <f>IF('INHERENT MAP'!$B$5=2021,'РЕЕСТР РИСКОВ_2023'!#REF!,IF('INHERENT MAP'!$B$5=2022,#REF!,IF('INHERENT MAP'!$B$5=2023,#REF!,IF('INHERENT MAP'!$B$5=2024,#REF!,#REF!))))</f>
        <v>#REF!</v>
      </c>
      <c r="AA94" t="e">
        <f>IF('INHERENT MAP'!$B$5=2021,'РЕЕСТР РИСКОВ_2023'!#REF!,IF('INHERENT MAP'!$B$5=2022,#REF!,IF('INHERENT MAP'!$B$5=2023,#REF!,IF('INHERENT MAP'!$B$5=2024,#REF!,#REF!))))</f>
        <v>#REF!</v>
      </c>
      <c r="AB94" t="e">
        <f>IF('INHERENT MAP'!$B$5=2021,'РЕЕСТР РИСКОВ_2023'!#REF!,IF('INHERENT MAP'!$B$5=2022,#REF!,IF('INHERENT MAP'!$B$5=2023,#REF!,IF('INHERENT MAP'!$B$5=2024,#REF!,#REF!))))</f>
        <v>#REF!</v>
      </c>
      <c r="AC94" t="e">
        <f>IF('INHERENT MAP'!$B$5=2021,'РЕЕСТР РИСКОВ_2023'!#REF!,IF('INHERENT MAP'!$B$5=2022,#REF!,IF('INHERENT MAP'!$B$5=2023,#REF!,IF('INHERENT MAP'!$B$5=2024,#REF!,#REF!))))</f>
        <v>#REF!</v>
      </c>
      <c r="AD94" t="e">
        <f>IF('INHERENT MAP'!$B$5=2021,'РЕЕСТР РИСКОВ_2023'!#REF!,IF('INHERENT MAP'!$B$5=2022,#REF!,IF('INHERENT MAP'!$B$5=2023,#REF!,IF('INHERENT MAP'!$B$5=2024,#REF!,#REF!))))</f>
        <v>#REF!</v>
      </c>
      <c r="AE94" t="e">
        <f>IF('INHERENT MAP'!$B$5=2021,'РЕЕСТР РИСКОВ_2023'!#REF!,IF('INHERENT MAP'!$B$5=2022,#REF!,IF('INHERENT MAP'!$B$5=2023,#REF!,IF('INHERENT MAP'!$B$5=2024,#REF!,#REF!))))</f>
        <v>#REF!</v>
      </c>
      <c r="AF94" t="e">
        <f>IF('INHERENT MAP'!$B$5=2021,'РЕЕСТР РИСКОВ_2023'!#REF!,IF('INHERENT MAP'!$B$5=2022,#REF!,IF('INHERENT MAP'!$B$5=2023,#REF!,IF('INHERENT MAP'!$B$5=2024,#REF!,#REF!))))</f>
        <v>#REF!</v>
      </c>
      <c r="AG94" t="e">
        <f>IF('INHERENT MAP'!$B$5=2021,'РЕЕСТР РИСКОВ_2023'!#REF!,IF('INHERENT MAP'!$B$5=2022,#REF!,IF('INHERENT MAP'!$B$5=2023,#REF!,IF('INHERENT MAP'!$B$5=2024,#REF!,#REF!))))</f>
        <v>#REF!</v>
      </c>
      <c r="AH94" t="e">
        <f>IF('INHERENT MAP'!$B$5=2021,'РЕЕСТР РИСКОВ_2023'!#REF!,IF('INHERENT MAP'!$B$5=2022,#REF!,IF('INHERENT MAP'!$B$5=2023,#REF!,IF('INHERENT MAP'!$B$5=2024,#REF!,#REF!))))</f>
        <v>#REF!</v>
      </c>
      <c r="AI94" t="e">
        <f>IF('INHERENT MAP'!$B$5=2021,'РЕЕСТР РИСКОВ_2023'!#REF!,IF('INHERENT MAP'!$B$5=2022,#REF!,IF('INHERENT MAP'!$B$5=2023,#REF!,IF('INHERENT MAP'!$B$5=2024,#REF!,#REF!))))</f>
        <v>#REF!</v>
      </c>
      <c r="AJ94" t="e">
        <f>IF('INHERENT MAP'!$B$5=2021,'РЕЕСТР РИСКОВ_2023'!#REF!,IF('INHERENT MAP'!$B$5=2022,#REF!,IF('INHERENT MAP'!$B$5=2023,#REF!,IF('INHERENT MAP'!$B$5=2024,#REF!,#REF!))))</f>
        <v>#REF!</v>
      </c>
      <c r="AK94" t="e">
        <f>IF('РЕЕСТР РИСКОВ_2023'!#REF!="",AK93,'РЕЕСТР РИСКОВ_2023'!#REF!)</f>
        <v>#REF!</v>
      </c>
      <c r="AL94" t="e">
        <f>IF('РЕЕСТР РИСКОВ_2023'!#REF!="",AL93,'РЕЕСТР РИСКОВ_2023'!#REF!)</f>
        <v>#REF!</v>
      </c>
      <c r="AM94" t="e">
        <f>IF('РЕЕСТР РИСКОВ_2023'!#REF!="",AM93,'РЕЕСТР РИСКОВ_2023'!#REF!)</f>
        <v>#REF!</v>
      </c>
      <c r="AN94" t="e">
        <f>IF('РЕЕСТР РИСКОВ_2023'!#REF!="",AN93,'РЕЕСТР РИСКОВ_2023'!#REF!)</f>
        <v>#REF!</v>
      </c>
      <c r="AO94" t="e">
        <f>IF('РЕЕСТР РИСКОВ_2023'!#REF!="",AO93,'РЕЕСТР РИСКОВ_2023'!#REF!)</f>
        <v>#REF!</v>
      </c>
    </row>
    <row r="95" spans="2:41">
      <c r="B95" t="e">
        <f>IF('INHERENT MAP'!$B$5=2021,IF('РЕЕСТР РИСКОВ_2023'!#REF!="",B94,'РЕЕСТР РИСКОВ_2023'!#REF!),IF('INHERENT MAP'!$B$5=2022,IF(#REF!="",B94,#REF!),IF('INHERENT MAP'!$B$5=2023,IF(#REF!="",B94,#REF!),IF('INHERENT MAP'!$B$5=2024,IF(#REF!="",B94,#REF!),IF('РЕЕСТР РИСКОВ_2023'!#REF!="",B94,'РЕЕСТР РИСКОВ_2023'!#REF!)))))</f>
        <v>#REF!</v>
      </c>
      <c r="C95" t="e">
        <f>IF('INHERENT MAP'!$B$5=2021,IF('РЕЕСТР РИСКОВ_2023'!#REF!="",C94,'РЕЕСТР РИСКОВ_2023'!#REF!),IF('INHERENT MAP'!$B$5=2022,IF(#REF!="",C94,#REF!),IF('INHERENT MAP'!$B$5=2023,IF(#REF!="",C94,#REF!),IF('INHERENT MAP'!$B$5=2024,IF(#REF!="",C94,#REF!),IF('РЕЕСТР РИСКОВ_2023'!#REF!="",C94,'РЕЕСТР РИСКОВ_2023'!#REF!)))))</f>
        <v>#REF!</v>
      </c>
      <c r="D95" t="e">
        <f>IF('INHERENT MAP'!$B$5=2021,IF('РЕЕСТР РИСКОВ_2023'!#REF!="",D94,'РЕЕСТР РИСКОВ_2023'!#REF!),IF('INHERENT MAP'!$B$5=2022,IF(#REF!="",D94,#REF!),IF('INHERENT MAP'!$B$5=2023,IF(#REF!="",D94,#REF!),IF('INHERENT MAP'!$B$5=2024,IF(#REF!="",D94,#REF!),IF('РЕЕСТР РИСКОВ_2023'!#REF!="",D94,'РЕЕСТР РИСКОВ_2023'!#REF!)))))</f>
        <v>#REF!</v>
      </c>
      <c r="E95" t="e">
        <f>IF('INHERENT MAP'!$B$5=2021,IF('РЕЕСТР РИСКОВ_2023'!#REF!="",E94,'РЕЕСТР РИСКОВ_2023'!#REF!),IF('INHERENT MAP'!$B$5=2022,IF(#REF!="",E94,#REF!),IF('INHERENT MAP'!$B$5=2023,IF(#REF!="",E94,#REF!),IF('INHERENT MAP'!$B$5=2024,IF(#REF!="",E94,#REF!),IF('РЕЕСТР РИСКОВ_2023'!#REF!="",E94,'РЕЕСТР РИСКОВ_2023'!#REF!)))))</f>
        <v>#REF!</v>
      </c>
      <c r="F95" t="e">
        <f>IF('INHERENT MAP'!$B$5=2021,IF('РЕЕСТР РИСКОВ_2023'!#REF!="",F94,'РЕЕСТР РИСКОВ_2023'!#REF!),IF('INHERENT MAP'!$B$5=2022,IF(#REF!="",F94,#REF!),IF('INHERENT MAP'!$B$5=2023,IF(#REF!="",F94,#REF!),IF('INHERENT MAP'!$B$5=2024,IF(#REF!="",F94,#REF!),IF('РЕЕСТР РИСКОВ_2023'!#REF!="",F94,'РЕЕСТР РИСКОВ_2023'!#REF!)))))</f>
        <v>#REF!</v>
      </c>
      <c r="G95" t="e">
        <f>IF('INHERENT MAP'!$B$5=2021,IF('РЕЕСТР РИСКОВ_2023'!#REF!="",G94,'РЕЕСТР РИСКОВ_2023'!#REF!),IF('INHERENT MAP'!$B$5=2022,IF(#REF!="",G94,#REF!),IF('INHERENT MAP'!$B$5=2023,IF(#REF!="",G94,#REF!),IF('INHERENT MAP'!$B$5=2024,IF(#REF!="",G94,#REF!),IF('РЕЕСТР РИСКОВ_2023'!#REF!="",G94,'РЕЕСТР РИСКОВ_2023'!#REF!)))))</f>
        <v>#REF!</v>
      </c>
      <c r="H95" t="e">
        <f>IF('INHERENT MAP'!$B$5=2021,'РЕЕСТР РИСКОВ_2023'!#REF!,IF('INHERENT MAP'!$B$5=2022,#REF!,IF('INHERENT MAP'!$B$5=2023,#REF!,IF('INHERENT MAP'!$B$5=2024,#REF!,#REF!))))</f>
        <v>#REF!</v>
      </c>
      <c r="I95" t="e">
        <f>IF('INHERENT MAP'!$B$5=2021,'РЕЕСТР РИСКОВ_2023'!#REF!,IF('INHERENT MAP'!$B$5=2022,#REF!,IF('INHERENT MAP'!$B$5=2023,#REF!,IF('INHERENT MAP'!$B$5=2024,#REF!,#REF!))))</f>
        <v>#REF!</v>
      </c>
      <c r="J95" t="e">
        <f>IF('INHERENT MAP'!$B$5=2021,'РЕЕСТР РИСКОВ_2023'!#REF!,IF('INHERENT MAP'!$B$5=2022,#REF!,IF('INHERENT MAP'!$B$5=2023,#REF!,IF('INHERENT MAP'!$B$5=2024,#REF!,#REF!))))</f>
        <v>#REF!</v>
      </c>
      <c r="K95" t="e">
        <f>IF('INHERENT MAP'!$B$5=2021,'РЕЕСТР РИСКОВ_2023'!#REF!,IF('INHERENT MAP'!$B$5=2022,#REF!,IF('INHERENT MAP'!$B$5=2023,#REF!,IF('INHERENT MAP'!$B$5=2024,#REF!,#REF!))))</f>
        <v>#REF!</v>
      </c>
      <c r="L95" t="e">
        <f>IF('INHERENT MAP'!$B$5=2021,'РЕЕСТР РИСКОВ_2023'!#REF!,IF('INHERENT MAP'!$B$5=2022,#REF!,IF('INHERENT MAP'!$B$5=2023,#REF!,IF('INHERENT MAP'!$B$5=2024,#REF!,#REF!))))</f>
        <v>#REF!</v>
      </c>
      <c r="M95" t="e">
        <f>IF('INHERENT MAP'!$B$5=2021,IF('РЕЕСТР РИСКОВ_2023'!#REF!="",M94,'РЕЕСТР РИСКОВ_2023'!#REF!),IF('INHERENT MAP'!$B$5=2022,IF(#REF!="",M94,#REF!),IF('INHERENT MAP'!$B$5=2023,IF(#REF!="",M94,#REF!),IF('INHERENT MAP'!$B$5=2024,IF(#REF!="",M94,#REF!),IF('РЕЕСТР РИСКОВ_2023'!#REF!="",M94,'РЕЕСТР РИСКОВ_2023'!#REF!)))))</f>
        <v>#REF!</v>
      </c>
      <c r="N95" t="e">
        <f>IF('INHERENT MAP'!$B$5=2021,IF('РЕЕСТР РИСКОВ_2023'!#REF!="",N94,'РЕЕСТР РИСКОВ_2023'!#REF!),IF('INHERENT MAP'!$B$5=2022,IF(#REF!="",N94,#REF!),IF('INHERENT MAP'!$B$5=2023,IF(#REF!="",N94,#REF!),IF('INHERENT MAP'!$B$5=2024,IF(#REF!="",N94,#REF!),IF('РЕЕСТР РИСКОВ_2023'!#REF!="",N94,'РЕЕСТР РИСКОВ_2023'!#REF!)))))</f>
        <v>#REF!</v>
      </c>
      <c r="O95" t="e">
        <f>'РЕЕСТР РИСКОВ_2023'!#REF!</f>
        <v>#REF!</v>
      </c>
      <c r="P95" t="e">
        <f>IF('РЕЕСТР РИСКОВ_2023'!#REF!="",P94,'РЕЕСТР РИСКОВ_2023'!#REF!)</f>
        <v>#REF!</v>
      </c>
      <c r="Q95" t="e">
        <f>IF('РЕЕСТР РИСКОВ_2023'!#REF!="",Q94,'РЕЕСТР РИСКОВ_2023'!#REF!)</f>
        <v>#REF!</v>
      </c>
      <c r="R95" t="e">
        <f>IF('РЕЕСТР РИСКОВ_2023'!#REF!="",R94,'РЕЕСТР РИСКОВ_2023'!#REF!)</f>
        <v>#REF!</v>
      </c>
      <c r="S95" t="e">
        <f>'РЕЕСТР РИСКОВ_2023'!#REF!</f>
        <v>#REF!</v>
      </c>
      <c r="T95" s="94" t="e">
        <f>IF('INHERENT MAP'!$B$5=2021,'РЕЕСТР РИСКОВ_2023'!#REF!,IF('INHERENT MAP'!$B$5=2022,#REF!,IF('INHERENT MAP'!$B$5=2023,#REF!,IF('INHERENT MAP'!$B$5=2024,#REF!,#REF!))))</f>
        <v>#REF!</v>
      </c>
      <c r="U95" t="e">
        <f>IF('INHERENT MAP'!$B$5=2021,'РЕЕСТР РИСКОВ_2023'!#REF!,IF('INHERENT MAP'!$B$5=2022,#REF!,IF('INHERENT MAP'!$B$5=2023,#REF!,IF('INHERENT MAP'!$B$5=2024,#REF!,#REF!))))</f>
        <v>#REF!</v>
      </c>
      <c r="V95" t="e">
        <f>IF('INHERENT MAP'!$B$5=2021,'РЕЕСТР РИСКОВ_2023'!#REF!,IF('INHERENT MAP'!$B$5=2022,#REF!,IF('INHERENT MAP'!$B$5=2023,#REF!,IF('INHERENT MAP'!$B$5=2024,#REF!,#REF!))))</f>
        <v>#REF!</v>
      </c>
      <c r="W95" t="e">
        <f>IF('INHERENT MAP'!$B$5=2021,'РЕЕСТР РИСКОВ_2023'!#REF!,IF('INHERENT MAP'!$B$5=2022,#REF!,IF('INHERENT MAP'!$B$5=2023,#REF!,IF('INHERENT MAP'!$B$5=2024,#REF!,#REF!))))</f>
        <v>#REF!</v>
      </c>
      <c r="X95" s="94" t="e">
        <f>IF('INHERENT MAP'!$B$5=2021,'РЕЕСТР РИСКОВ_2023'!#REF!,IF('INHERENT MAP'!$B$5=2022,#REF!,IF('INHERENT MAP'!$B$5=2023,#REF!,IF('INHERENT MAP'!$B$5=2024,#REF!,#REF!))))</f>
        <v>#REF!</v>
      </c>
      <c r="Y95" t="e">
        <f>IF('INHERENT MAP'!$B$5=2021,'РЕЕСТР РИСКОВ_2023'!#REF!,IF('INHERENT MAP'!$B$5=2022,#REF!,IF('INHERENT MAP'!$B$5=2023,#REF!,IF('INHERENT MAP'!$B$5=2024,#REF!,#REF!))))</f>
        <v>#REF!</v>
      </c>
      <c r="Z95" t="e">
        <f>IF('INHERENT MAP'!$B$5=2021,'РЕЕСТР РИСКОВ_2023'!#REF!,IF('INHERENT MAP'!$B$5=2022,#REF!,IF('INHERENT MAP'!$B$5=2023,#REF!,IF('INHERENT MAP'!$B$5=2024,#REF!,#REF!))))</f>
        <v>#REF!</v>
      </c>
      <c r="AA95" t="e">
        <f>IF('INHERENT MAP'!$B$5=2021,'РЕЕСТР РИСКОВ_2023'!#REF!,IF('INHERENT MAP'!$B$5=2022,#REF!,IF('INHERENT MAP'!$B$5=2023,#REF!,IF('INHERENT MAP'!$B$5=2024,#REF!,#REF!))))</f>
        <v>#REF!</v>
      </c>
      <c r="AB95" t="e">
        <f>IF('INHERENT MAP'!$B$5=2021,'РЕЕСТР РИСКОВ_2023'!#REF!,IF('INHERENT MAP'!$B$5=2022,#REF!,IF('INHERENT MAP'!$B$5=2023,#REF!,IF('INHERENT MAP'!$B$5=2024,#REF!,#REF!))))</f>
        <v>#REF!</v>
      </c>
      <c r="AC95" t="e">
        <f>IF('INHERENT MAP'!$B$5=2021,'РЕЕСТР РИСКОВ_2023'!#REF!,IF('INHERENT MAP'!$B$5=2022,#REF!,IF('INHERENT MAP'!$B$5=2023,#REF!,IF('INHERENT MAP'!$B$5=2024,#REF!,#REF!))))</f>
        <v>#REF!</v>
      </c>
      <c r="AD95" t="e">
        <f>IF('INHERENT MAP'!$B$5=2021,'РЕЕСТР РИСКОВ_2023'!#REF!,IF('INHERENT MAP'!$B$5=2022,#REF!,IF('INHERENT MAP'!$B$5=2023,#REF!,IF('INHERENT MAP'!$B$5=2024,#REF!,#REF!))))</f>
        <v>#REF!</v>
      </c>
      <c r="AE95" t="e">
        <f>IF('INHERENT MAP'!$B$5=2021,'РЕЕСТР РИСКОВ_2023'!#REF!,IF('INHERENT MAP'!$B$5=2022,#REF!,IF('INHERENT MAP'!$B$5=2023,#REF!,IF('INHERENT MAP'!$B$5=2024,#REF!,#REF!))))</f>
        <v>#REF!</v>
      </c>
      <c r="AF95" t="e">
        <f>IF('INHERENT MAP'!$B$5=2021,'РЕЕСТР РИСКОВ_2023'!#REF!,IF('INHERENT MAP'!$B$5=2022,#REF!,IF('INHERENT MAP'!$B$5=2023,#REF!,IF('INHERENT MAP'!$B$5=2024,#REF!,#REF!))))</f>
        <v>#REF!</v>
      </c>
      <c r="AG95" t="e">
        <f>IF('INHERENT MAP'!$B$5=2021,'РЕЕСТР РИСКОВ_2023'!#REF!,IF('INHERENT MAP'!$B$5=2022,#REF!,IF('INHERENT MAP'!$B$5=2023,#REF!,IF('INHERENT MAP'!$B$5=2024,#REF!,#REF!))))</f>
        <v>#REF!</v>
      </c>
      <c r="AH95" t="e">
        <f>IF('INHERENT MAP'!$B$5=2021,'РЕЕСТР РИСКОВ_2023'!#REF!,IF('INHERENT MAP'!$B$5=2022,#REF!,IF('INHERENT MAP'!$B$5=2023,#REF!,IF('INHERENT MAP'!$B$5=2024,#REF!,#REF!))))</f>
        <v>#REF!</v>
      </c>
      <c r="AI95" t="e">
        <f>IF('INHERENT MAP'!$B$5=2021,'РЕЕСТР РИСКОВ_2023'!#REF!,IF('INHERENT MAP'!$B$5=2022,#REF!,IF('INHERENT MAP'!$B$5=2023,#REF!,IF('INHERENT MAP'!$B$5=2024,#REF!,#REF!))))</f>
        <v>#REF!</v>
      </c>
      <c r="AJ95" t="e">
        <f>IF('INHERENT MAP'!$B$5=2021,'РЕЕСТР РИСКОВ_2023'!#REF!,IF('INHERENT MAP'!$B$5=2022,#REF!,IF('INHERENT MAP'!$B$5=2023,#REF!,IF('INHERENT MAP'!$B$5=2024,#REF!,#REF!))))</f>
        <v>#REF!</v>
      </c>
      <c r="AK95" t="e">
        <f>IF('РЕЕСТР РИСКОВ_2023'!#REF!="",AK94,'РЕЕСТР РИСКОВ_2023'!#REF!)</f>
        <v>#REF!</v>
      </c>
      <c r="AL95" t="e">
        <f>IF('РЕЕСТР РИСКОВ_2023'!#REF!="",AL94,'РЕЕСТР РИСКОВ_2023'!#REF!)</f>
        <v>#REF!</v>
      </c>
      <c r="AM95" t="e">
        <f>IF('РЕЕСТР РИСКОВ_2023'!#REF!="",AM94,'РЕЕСТР РИСКОВ_2023'!#REF!)</f>
        <v>#REF!</v>
      </c>
      <c r="AN95" t="e">
        <f>IF('РЕЕСТР РИСКОВ_2023'!#REF!="",AN94,'РЕЕСТР РИСКОВ_2023'!#REF!)</f>
        <v>#REF!</v>
      </c>
      <c r="AO95" t="e">
        <f>IF('РЕЕСТР РИСКОВ_2023'!#REF!="",AO94,'РЕЕСТР РИСКОВ_2023'!#REF!)</f>
        <v>#REF!</v>
      </c>
    </row>
    <row r="96" spans="2:41">
      <c r="B96" t="e">
        <f>IF('INHERENT MAP'!$B$5=2021,IF('РЕЕСТР РИСКОВ_2023'!#REF!="",B95,'РЕЕСТР РИСКОВ_2023'!#REF!),IF('INHERENT MAP'!$B$5=2022,IF(#REF!="",B95,#REF!),IF('INHERENT MAP'!$B$5=2023,IF(#REF!="",B95,#REF!),IF('INHERENT MAP'!$B$5=2024,IF(#REF!="",B95,#REF!),IF('РЕЕСТР РИСКОВ_2023'!#REF!="",B95,'РЕЕСТР РИСКОВ_2023'!#REF!)))))</f>
        <v>#REF!</v>
      </c>
      <c r="C96" t="e">
        <f>IF('INHERENT MAP'!$B$5=2021,IF('РЕЕСТР РИСКОВ_2023'!#REF!="",C95,'РЕЕСТР РИСКОВ_2023'!#REF!),IF('INHERENT MAP'!$B$5=2022,IF(#REF!="",C95,#REF!),IF('INHERENT MAP'!$B$5=2023,IF(#REF!="",C95,#REF!),IF('INHERENT MAP'!$B$5=2024,IF(#REF!="",C95,#REF!),IF('РЕЕСТР РИСКОВ_2023'!#REF!="",C95,'РЕЕСТР РИСКОВ_2023'!#REF!)))))</f>
        <v>#REF!</v>
      </c>
      <c r="D96" t="e">
        <f>IF('INHERENT MAP'!$B$5=2021,IF('РЕЕСТР РИСКОВ_2023'!#REF!="",D95,'РЕЕСТР РИСКОВ_2023'!#REF!),IF('INHERENT MAP'!$B$5=2022,IF(#REF!="",D95,#REF!),IF('INHERENT MAP'!$B$5=2023,IF(#REF!="",D95,#REF!),IF('INHERENT MAP'!$B$5=2024,IF(#REF!="",D95,#REF!),IF('РЕЕСТР РИСКОВ_2023'!#REF!="",D95,'РЕЕСТР РИСКОВ_2023'!#REF!)))))</f>
        <v>#REF!</v>
      </c>
      <c r="E96" t="e">
        <f>IF('INHERENT MAP'!$B$5=2021,IF('РЕЕСТР РИСКОВ_2023'!#REF!="",E95,'РЕЕСТР РИСКОВ_2023'!#REF!),IF('INHERENT MAP'!$B$5=2022,IF(#REF!="",E95,#REF!),IF('INHERENT MAP'!$B$5=2023,IF(#REF!="",E95,#REF!),IF('INHERENT MAP'!$B$5=2024,IF(#REF!="",E95,#REF!),IF('РЕЕСТР РИСКОВ_2023'!#REF!="",E95,'РЕЕСТР РИСКОВ_2023'!#REF!)))))</f>
        <v>#REF!</v>
      </c>
      <c r="F96" t="e">
        <f>IF('INHERENT MAP'!$B$5=2021,IF('РЕЕСТР РИСКОВ_2023'!#REF!="",F95,'РЕЕСТР РИСКОВ_2023'!#REF!),IF('INHERENT MAP'!$B$5=2022,IF(#REF!="",F95,#REF!),IF('INHERENT MAP'!$B$5=2023,IF(#REF!="",F95,#REF!),IF('INHERENT MAP'!$B$5=2024,IF(#REF!="",F95,#REF!),IF('РЕЕСТР РИСКОВ_2023'!#REF!="",F95,'РЕЕСТР РИСКОВ_2023'!#REF!)))))</f>
        <v>#REF!</v>
      </c>
      <c r="G96" t="e">
        <f>IF('INHERENT MAP'!$B$5=2021,IF('РЕЕСТР РИСКОВ_2023'!#REF!="",G95,'РЕЕСТР РИСКОВ_2023'!#REF!),IF('INHERENT MAP'!$B$5=2022,IF(#REF!="",G95,#REF!),IF('INHERENT MAP'!$B$5=2023,IF(#REF!="",G95,#REF!),IF('INHERENT MAP'!$B$5=2024,IF(#REF!="",G95,#REF!),IF('РЕЕСТР РИСКОВ_2023'!#REF!="",G95,'РЕЕСТР РИСКОВ_2023'!#REF!)))))</f>
        <v>#REF!</v>
      </c>
      <c r="H96" t="e">
        <f>IF('INHERENT MAP'!$B$5=2021,'РЕЕСТР РИСКОВ_2023'!#REF!,IF('INHERENT MAP'!$B$5=2022,#REF!,IF('INHERENT MAP'!$B$5=2023,#REF!,IF('INHERENT MAP'!$B$5=2024,#REF!,#REF!))))</f>
        <v>#REF!</v>
      </c>
      <c r="I96" t="e">
        <f>IF('INHERENT MAP'!$B$5=2021,'РЕЕСТР РИСКОВ_2023'!#REF!,IF('INHERENT MAP'!$B$5=2022,#REF!,IF('INHERENT MAP'!$B$5=2023,#REF!,IF('INHERENT MAP'!$B$5=2024,#REF!,#REF!))))</f>
        <v>#REF!</v>
      </c>
      <c r="J96" t="e">
        <f>IF('INHERENT MAP'!$B$5=2021,'РЕЕСТР РИСКОВ_2023'!#REF!,IF('INHERENT MAP'!$B$5=2022,#REF!,IF('INHERENT MAP'!$B$5=2023,#REF!,IF('INHERENT MAP'!$B$5=2024,#REF!,#REF!))))</f>
        <v>#REF!</v>
      </c>
      <c r="K96" t="e">
        <f>IF('INHERENT MAP'!$B$5=2021,'РЕЕСТР РИСКОВ_2023'!#REF!,IF('INHERENT MAP'!$B$5=2022,#REF!,IF('INHERENT MAP'!$B$5=2023,#REF!,IF('INHERENT MAP'!$B$5=2024,#REF!,#REF!))))</f>
        <v>#REF!</v>
      </c>
      <c r="L96" t="e">
        <f>IF('INHERENT MAP'!$B$5=2021,'РЕЕСТР РИСКОВ_2023'!#REF!,IF('INHERENT MAP'!$B$5=2022,#REF!,IF('INHERENT MAP'!$B$5=2023,#REF!,IF('INHERENT MAP'!$B$5=2024,#REF!,#REF!))))</f>
        <v>#REF!</v>
      </c>
      <c r="M96" t="e">
        <f>IF('INHERENT MAP'!$B$5=2021,IF('РЕЕСТР РИСКОВ_2023'!#REF!="",M95,'РЕЕСТР РИСКОВ_2023'!#REF!),IF('INHERENT MAP'!$B$5=2022,IF(#REF!="",M95,#REF!),IF('INHERENT MAP'!$B$5=2023,IF(#REF!="",M95,#REF!),IF('INHERENT MAP'!$B$5=2024,IF(#REF!="",M95,#REF!),IF('РЕЕСТР РИСКОВ_2023'!#REF!="",M95,'РЕЕСТР РИСКОВ_2023'!#REF!)))))</f>
        <v>#REF!</v>
      </c>
      <c r="N96" t="e">
        <f>IF('INHERENT MAP'!$B$5=2021,IF('РЕЕСТР РИСКОВ_2023'!#REF!="",N95,'РЕЕСТР РИСКОВ_2023'!#REF!),IF('INHERENT MAP'!$B$5=2022,IF(#REF!="",N95,#REF!),IF('INHERENT MAP'!$B$5=2023,IF(#REF!="",N95,#REF!),IF('INHERENT MAP'!$B$5=2024,IF(#REF!="",N95,#REF!),IF('РЕЕСТР РИСКОВ_2023'!#REF!="",N95,'РЕЕСТР РИСКОВ_2023'!#REF!)))))</f>
        <v>#REF!</v>
      </c>
      <c r="O96" t="e">
        <f>'РЕЕСТР РИСКОВ_2023'!#REF!</f>
        <v>#REF!</v>
      </c>
      <c r="P96" t="e">
        <f>IF('РЕЕСТР РИСКОВ_2023'!#REF!="",P95,'РЕЕСТР РИСКОВ_2023'!#REF!)</f>
        <v>#REF!</v>
      </c>
      <c r="Q96" t="e">
        <f>IF('РЕЕСТР РИСКОВ_2023'!#REF!="",Q95,'РЕЕСТР РИСКОВ_2023'!#REF!)</f>
        <v>#REF!</v>
      </c>
      <c r="R96" t="e">
        <f>IF('РЕЕСТР РИСКОВ_2023'!#REF!="",R95,'РЕЕСТР РИСКОВ_2023'!#REF!)</f>
        <v>#REF!</v>
      </c>
      <c r="S96" t="e">
        <f>'РЕЕСТР РИСКОВ_2023'!#REF!</f>
        <v>#REF!</v>
      </c>
      <c r="T96" s="94" t="e">
        <f>IF('INHERENT MAP'!$B$5=2021,'РЕЕСТР РИСКОВ_2023'!#REF!,IF('INHERENT MAP'!$B$5=2022,#REF!,IF('INHERENT MAP'!$B$5=2023,#REF!,IF('INHERENT MAP'!$B$5=2024,#REF!,#REF!))))</f>
        <v>#REF!</v>
      </c>
      <c r="U96" t="e">
        <f>IF('INHERENT MAP'!$B$5=2021,'РЕЕСТР РИСКОВ_2023'!#REF!,IF('INHERENT MAP'!$B$5=2022,#REF!,IF('INHERENT MAP'!$B$5=2023,#REF!,IF('INHERENT MAP'!$B$5=2024,#REF!,#REF!))))</f>
        <v>#REF!</v>
      </c>
      <c r="V96" t="e">
        <f>IF('INHERENT MAP'!$B$5=2021,'РЕЕСТР РИСКОВ_2023'!#REF!,IF('INHERENT MAP'!$B$5=2022,#REF!,IF('INHERENT MAP'!$B$5=2023,#REF!,IF('INHERENT MAP'!$B$5=2024,#REF!,#REF!))))</f>
        <v>#REF!</v>
      </c>
      <c r="W96" t="e">
        <f>IF('INHERENT MAP'!$B$5=2021,'РЕЕСТР РИСКОВ_2023'!#REF!,IF('INHERENT MAP'!$B$5=2022,#REF!,IF('INHERENT MAP'!$B$5=2023,#REF!,IF('INHERENT MAP'!$B$5=2024,#REF!,#REF!))))</f>
        <v>#REF!</v>
      </c>
      <c r="X96" s="94" t="e">
        <f>IF('INHERENT MAP'!$B$5=2021,'РЕЕСТР РИСКОВ_2023'!#REF!,IF('INHERENT MAP'!$B$5=2022,#REF!,IF('INHERENT MAP'!$B$5=2023,#REF!,IF('INHERENT MAP'!$B$5=2024,#REF!,#REF!))))</f>
        <v>#REF!</v>
      </c>
      <c r="Y96" t="e">
        <f>IF('INHERENT MAP'!$B$5=2021,'РЕЕСТР РИСКОВ_2023'!#REF!,IF('INHERENT MAP'!$B$5=2022,#REF!,IF('INHERENT MAP'!$B$5=2023,#REF!,IF('INHERENT MAP'!$B$5=2024,#REF!,#REF!))))</f>
        <v>#REF!</v>
      </c>
      <c r="Z96" t="e">
        <f>IF('INHERENT MAP'!$B$5=2021,'РЕЕСТР РИСКОВ_2023'!#REF!,IF('INHERENT MAP'!$B$5=2022,#REF!,IF('INHERENT MAP'!$B$5=2023,#REF!,IF('INHERENT MAP'!$B$5=2024,#REF!,#REF!))))</f>
        <v>#REF!</v>
      </c>
      <c r="AA96" t="e">
        <f>IF('INHERENT MAP'!$B$5=2021,'РЕЕСТР РИСКОВ_2023'!#REF!,IF('INHERENT MAP'!$B$5=2022,#REF!,IF('INHERENT MAP'!$B$5=2023,#REF!,IF('INHERENT MAP'!$B$5=2024,#REF!,#REF!))))</f>
        <v>#REF!</v>
      </c>
      <c r="AB96" t="e">
        <f>IF('INHERENT MAP'!$B$5=2021,'РЕЕСТР РИСКОВ_2023'!#REF!,IF('INHERENT MAP'!$B$5=2022,#REF!,IF('INHERENT MAP'!$B$5=2023,#REF!,IF('INHERENT MAP'!$B$5=2024,#REF!,#REF!))))</f>
        <v>#REF!</v>
      </c>
      <c r="AC96" t="e">
        <f>IF('INHERENT MAP'!$B$5=2021,'РЕЕСТР РИСКОВ_2023'!#REF!,IF('INHERENT MAP'!$B$5=2022,#REF!,IF('INHERENT MAP'!$B$5=2023,#REF!,IF('INHERENT MAP'!$B$5=2024,#REF!,#REF!))))</f>
        <v>#REF!</v>
      </c>
      <c r="AD96" t="e">
        <f>IF('INHERENT MAP'!$B$5=2021,'РЕЕСТР РИСКОВ_2023'!#REF!,IF('INHERENT MAP'!$B$5=2022,#REF!,IF('INHERENT MAP'!$B$5=2023,#REF!,IF('INHERENT MAP'!$B$5=2024,#REF!,#REF!))))</f>
        <v>#REF!</v>
      </c>
      <c r="AE96" t="e">
        <f>IF('INHERENT MAP'!$B$5=2021,'РЕЕСТР РИСКОВ_2023'!#REF!,IF('INHERENT MAP'!$B$5=2022,#REF!,IF('INHERENT MAP'!$B$5=2023,#REF!,IF('INHERENT MAP'!$B$5=2024,#REF!,#REF!))))</f>
        <v>#REF!</v>
      </c>
      <c r="AF96" t="e">
        <f>IF('INHERENT MAP'!$B$5=2021,'РЕЕСТР РИСКОВ_2023'!#REF!,IF('INHERENT MAP'!$B$5=2022,#REF!,IF('INHERENT MAP'!$B$5=2023,#REF!,IF('INHERENT MAP'!$B$5=2024,#REF!,#REF!))))</f>
        <v>#REF!</v>
      </c>
      <c r="AG96" t="e">
        <f>IF('INHERENT MAP'!$B$5=2021,'РЕЕСТР РИСКОВ_2023'!#REF!,IF('INHERENT MAP'!$B$5=2022,#REF!,IF('INHERENT MAP'!$B$5=2023,#REF!,IF('INHERENT MAP'!$B$5=2024,#REF!,#REF!))))</f>
        <v>#REF!</v>
      </c>
      <c r="AH96" t="e">
        <f>IF('INHERENT MAP'!$B$5=2021,'РЕЕСТР РИСКОВ_2023'!#REF!,IF('INHERENT MAP'!$B$5=2022,#REF!,IF('INHERENT MAP'!$B$5=2023,#REF!,IF('INHERENT MAP'!$B$5=2024,#REF!,#REF!))))</f>
        <v>#REF!</v>
      </c>
      <c r="AI96" t="e">
        <f>IF('INHERENT MAP'!$B$5=2021,'РЕЕСТР РИСКОВ_2023'!#REF!,IF('INHERENT MAP'!$B$5=2022,#REF!,IF('INHERENT MAP'!$B$5=2023,#REF!,IF('INHERENT MAP'!$B$5=2024,#REF!,#REF!))))</f>
        <v>#REF!</v>
      </c>
      <c r="AJ96" t="e">
        <f>IF('INHERENT MAP'!$B$5=2021,'РЕЕСТР РИСКОВ_2023'!#REF!,IF('INHERENT MAP'!$B$5=2022,#REF!,IF('INHERENT MAP'!$B$5=2023,#REF!,IF('INHERENT MAP'!$B$5=2024,#REF!,#REF!))))</f>
        <v>#REF!</v>
      </c>
      <c r="AK96" t="e">
        <f>IF('РЕЕСТР РИСКОВ_2023'!#REF!="",AK95,'РЕЕСТР РИСКОВ_2023'!#REF!)</f>
        <v>#REF!</v>
      </c>
      <c r="AL96" t="e">
        <f>IF('РЕЕСТР РИСКОВ_2023'!#REF!="",AL95,'РЕЕСТР РИСКОВ_2023'!#REF!)</f>
        <v>#REF!</v>
      </c>
      <c r="AM96" t="e">
        <f>IF('РЕЕСТР РИСКОВ_2023'!#REF!="",AM95,'РЕЕСТР РИСКОВ_2023'!#REF!)</f>
        <v>#REF!</v>
      </c>
      <c r="AN96" t="e">
        <f>IF('РЕЕСТР РИСКОВ_2023'!#REF!="",AN95,'РЕЕСТР РИСКОВ_2023'!#REF!)</f>
        <v>#REF!</v>
      </c>
      <c r="AO96" t="e">
        <f>IF('РЕЕСТР РИСКОВ_2023'!#REF!="",AO95,'РЕЕСТР РИСКОВ_2023'!#REF!)</f>
        <v>#REF!</v>
      </c>
    </row>
    <row r="97" spans="2:41">
      <c r="B97" t="e">
        <f>IF('INHERENT MAP'!$B$5=2021,IF('РЕЕСТР РИСКОВ_2023'!#REF!="",B96,'РЕЕСТР РИСКОВ_2023'!#REF!),IF('INHERENT MAP'!$B$5=2022,IF(#REF!="",B96,#REF!),IF('INHERENT MAP'!$B$5=2023,IF(#REF!="",B96,#REF!),IF('INHERENT MAP'!$B$5=2024,IF(#REF!="",B96,#REF!),IF('РЕЕСТР РИСКОВ_2023'!#REF!="",B96,'РЕЕСТР РИСКОВ_2023'!#REF!)))))</f>
        <v>#REF!</v>
      </c>
      <c r="C97" t="e">
        <f>IF('INHERENT MAP'!$B$5=2021,IF('РЕЕСТР РИСКОВ_2023'!#REF!="",C96,'РЕЕСТР РИСКОВ_2023'!#REF!),IF('INHERENT MAP'!$B$5=2022,IF(#REF!="",C96,#REF!),IF('INHERENT MAP'!$B$5=2023,IF(#REF!="",C96,#REF!),IF('INHERENT MAP'!$B$5=2024,IF(#REF!="",C96,#REF!),IF('РЕЕСТР РИСКОВ_2023'!#REF!="",C96,'РЕЕСТР РИСКОВ_2023'!#REF!)))))</f>
        <v>#REF!</v>
      </c>
      <c r="D97" t="e">
        <f>IF('INHERENT MAP'!$B$5=2021,IF('РЕЕСТР РИСКОВ_2023'!#REF!="",D96,'РЕЕСТР РИСКОВ_2023'!#REF!),IF('INHERENT MAP'!$B$5=2022,IF(#REF!="",D96,#REF!),IF('INHERENT MAP'!$B$5=2023,IF(#REF!="",D96,#REF!),IF('INHERENT MAP'!$B$5=2024,IF(#REF!="",D96,#REF!),IF('РЕЕСТР РИСКОВ_2023'!#REF!="",D96,'РЕЕСТР РИСКОВ_2023'!#REF!)))))</f>
        <v>#REF!</v>
      </c>
      <c r="E97" t="e">
        <f>IF('INHERENT MAP'!$B$5=2021,IF('РЕЕСТР РИСКОВ_2023'!#REF!="",E96,'РЕЕСТР РИСКОВ_2023'!#REF!),IF('INHERENT MAP'!$B$5=2022,IF(#REF!="",E96,#REF!),IF('INHERENT MAP'!$B$5=2023,IF(#REF!="",E96,#REF!),IF('INHERENT MAP'!$B$5=2024,IF(#REF!="",E96,#REF!),IF('РЕЕСТР РИСКОВ_2023'!#REF!="",E96,'РЕЕСТР РИСКОВ_2023'!#REF!)))))</f>
        <v>#REF!</v>
      </c>
      <c r="F97" t="e">
        <f>IF('INHERENT MAP'!$B$5=2021,IF('РЕЕСТР РИСКОВ_2023'!#REF!="",F96,'РЕЕСТР РИСКОВ_2023'!#REF!),IF('INHERENT MAP'!$B$5=2022,IF(#REF!="",F96,#REF!),IF('INHERENT MAP'!$B$5=2023,IF(#REF!="",F96,#REF!),IF('INHERENT MAP'!$B$5=2024,IF(#REF!="",F96,#REF!),IF('РЕЕСТР РИСКОВ_2023'!#REF!="",F96,'РЕЕСТР РИСКОВ_2023'!#REF!)))))</f>
        <v>#REF!</v>
      </c>
      <c r="G97" t="e">
        <f>IF('INHERENT MAP'!$B$5=2021,IF('РЕЕСТР РИСКОВ_2023'!#REF!="",G96,'РЕЕСТР РИСКОВ_2023'!#REF!),IF('INHERENT MAP'!$B$5=2022,IF(#REF!="",G96,#REF!),IF('INHERENT MAP'!$B$5=2023,IF(#REF!="",G96,#REF!),IF('INHERENT MAP'!$B$5=2024,IF(#REF!="",G96,#REF!),IF('РЕЕСТР РИСКОВ_2023'!#REF!="",G96,'РЕЕСТР РИСКОВ_2023'!#REF!)))))</f>
        <v>#REF!</v>
      </c>
      <c r="H97" t="e">
        <f>IF('INHERENT MAP'!$B$5=2021,'РЕЕСТР РИСКОВ_2023'!#REF!,IF('INHERENT MAP'!$B$5=2022,#REF!,IF('INHERENT MAP'!$B$5=2023,#REF!,IF('INHERENT MAP'!$B$5=2024,#REF!,#REF!))))</f>
        <v>#REF!</v>
      </c>
      <c r="I97" t="e">
        <f>IF('INHERENT MAP'!$B$5=2021,'РЕЕСТР РИСКОВ_2023'!#REF!,IF('INHERENT MAP'!$B$5=2022,#REF!,IF('INHERENT MAP'!$B$5=2023,#REF!,IF('INHERENT MAP'!$B$5=2024,#REF!,#REF!))))</f>
        <v>#REF!</v>
      </c>
      <c r="J97" t="e">
        <f>IF('INHERENT MAP'!$B$5=2021,'РЕЕСТР РИСКОВ_2023'!#REF!,IF('INHERENT MAP'!$B$5=2022,#REF!,IF('INHERENT MAP'!$B$5=2023,#REF!,IF('INHERENT MAP'!$B$5=2024,#REF!,#REF!))))</f>
        <v>#REF!</v>
      </c>
      <c r="K97" t="e">
        <f>IF('INHERENT MAP'!$B$5=2021,'РЕЕСТР РИСКОВ_2023'!#REF!,IF('INHERENT MAP'!$B$5=2022,#REF!,IF('INHERENT MAP'!$B$5=2023,#REF!,IF('INHERENT MAP'!$B$5=2024,#REF!,#REF!))))</f>
        <v>#REF!</v>
      </c>
      <c r="L97" t="e">
        <f>IF('INHERENT MAP'!$B$5=2021,'РЕЕСТР РИСКОВ_2023'!#REF!,IF('INHERENT MAP'!$B$5=2022,#REF!,IF('INHERENT MAP'!$B$5=2023,#REF!,IF('INHERENT MAP'!$B$5=2024,#REF!,#REF!))))</f>
        <v>#REF!</v>
      </c>
      <c r="M97" t="e">
        <f>IF('INHERENT MAP'!$B$5=2021,IF('РЕЕСТР РИСКОВ_2023'!#REF!="",M96,'РЕЕСТР РИСКОВ_2023'!#REF!),IF('INHERENT MAP'!$B$5=2022,IF(#REF!="",M96,#REF!),IF('INHERENT MAP'!$B$5=2023,IF(#REF!="",M96,#REF!),IF('INHERENT MAP'!$B$5=2024,IF(#REF!="",M96,#REF!),IF('РЕЕСТР РИСКОВ_2023'!#REF!="",M96,'РЕЕСТР РИСКОВ_2023'!#REF!)))))</f>
        <v>#REF!</v>
      </c>
      <c r="N97" t="e">
        <f>IF('INHERENT MAP'!$B$5=2021,IF('РЕЕСТР РИСКОВ_2023'!#REF!="",N96,'РЕЕСТР РИСКОВ_2023'!#REF!),IF('INHERENT MAP'!$B$5=2022,IF(#REF!="",N96,#REF!),IF('INHERENT MAP'!$B$5=2023,IF(#REF!="",N96,#REF!),IF('INHERENT MAP'!$B$5=2024,IF(#REF!="",N96,#REF!),IF('РЕЕСТР РИСКОВ_2023'!#REF!="",N96,'РЕЕСТР РИСКОВ_2023'!#REF!)))))</f>
        <v>#REF!</v>
      </c>
      <c r="O97" t="e">
        <f>'РЕЕСТР РИСКОВ_2023'!#REF!</f>
        <v>#REF!</v>
      </c>
      <c r="P97" t="e">
        <f>IF('РЕЕСТР РИСКОВ_2023'!#REF!="",P96,'РЕЕСТР РИСКОВ_2023'!#REF!)</f>
        <v>#REF!</v>
      </c>
      <c r="Q97" t="e">
        <f>IF('РЕЕСТР РИСКОВ_2023'!#REF!="",Q96,'РЕЕСТР РИСКОВ_2023'!#REF!)</f>
        <v>#REF!</v>
      </c>
      <c r="R97" t="e">
        <f>IF('РЕЕСТР РИСКОВ_2023'!#REF!="",R96,'РЕЕСТР РИСКОВ_2023'!#REF!)</f>
        <v>#REF!</v>
      </c>
      <c r="S97" t="e">
        <f>'РЕЕСТР РИСКОВ_2023'!#REF!</f>
        <v>#REF!</v>
      </c>
      <c r="T97" s="94" t="e">
        <f>IF('INHERENT MAP'!$B$5=2021,'РЕЕСТР РИСКОВ_2023'!#REF!,IF('INHERENT MAP'!$B$5=2022,#REF!,IF('INHERENT MAP'!$B$5=2023,#REF!,IF('INHERENT MAP'!$B$5=2024,#REF!,#REF!))))</f>
        <v>#REF!</v>
      </c>
      <c r="U97" t="e">
        <f>IF('INHERENT MAP'!$B$5=2021,'РЕЕСТР РИСКОВ_2023'!#REF!,IF('INHERENT MAP'!$B$5=2022,#REF!,IF('INHERENT MAP'!$B$5=2023,#REF!,IF('INHERENT MAP'!$B$5=2024,#REF!,#REF!))))</f>
        <v>#REF!</v>
      </c>
      <c r="V97" t="e">
        <f>IF('INHERENT MAP'!$B$5=2021,'РЕЕСТР РИСКОВ_2023'!#REF!,IF('INHERENT MAP'!$B$5=2022,#REF!,IF('INHERENT MAP'!$B$5=2023,#REF!,IF('INHERENT MAP'!$B$5=2024,#REF!,#REF!))))</f>
        <v>#REF!</v>
      </c>
      <c r="W97" t="e">
        <f>IF('INHERENT MAP'!$B$5=2021,'РЕЕСТР РИСКОВ_2023'!#REF!,IF('INHERENT MAP'!$B$5=2022,#REF!,IF('INHERENT MAP'!$B$5=2023,#REF!,IF('INHERENT MAP'!$B$5=2024,#REF!,#REF!))))</f>
        <v>#REF!</v>
      </c>
      <c r="X97" s="94" t="e">
        <f>IF('INHERENT MAP'!$B$5=2021,'РЕЕСТР РИСКОВ_2023'!#REF!,IF('INHERENT MAP'!$B$5=2022,#REF!,IF('INHERENT MAP'!$B$5=2023,#REF!,IF('INHERENT MAP'!$B$5=2024,#REF!,#REF!))))</f>
        <v>#REF!</v>
      </c>
      <c r="Y97" t="e">
        <f>IF('INHERENT MAP'!$B$5=2021,'РЕЕСТР РИСКОВ_2023'!#REF!,IF('INHERENT MAP'!$B$5=2022,#REF!,IF('INHERENT MAP'!$B$5=2023,#REF!,IF('INHERENT MAP'!$B$5=2024,#REF!,#REF!))))</f>
        <v>#REF!</v>
      </c>
      <c r="Z97" t="e">
        <f>IF('INHERENT MAP'!$B$5=2021,'РЕЕСТР РИСКОВ_2023'!#REF!,IF('INHERENT MAP'!$B$5=2022,#REF!,IF('INHERENT MAP'!$B$5=2023,#REF!,IF('INHERENT MAP'!$B$5=2024,#REF!,#REF!))))</f>
        <v>#REF!</v>
      </c>
      <c r="AA97" t="e">
        <f>IF('INHERENT MAP'!$B$5=2021,'РЕЕСТР РИСКОВ_2023'!#REF!,IF('INHERENT MAP'!$B$5=2022,#REF!,IF('INHERENT MAP'!$B$5=2023,#REF!,IF('INHERENT MAP'!$B$5=2024,#REF!,#REF!))))</f>
        <v>#REF!</v>
      </c>
      <c r="AB97" t="e">
        <f>IF('INHERENT MAP'!$B$5=2021,'РЕЕСТР РИСКОВ_2023'!#REF!,IF('INHERENT MAP'!$B$5=2022,#REF!,IF('INHERENT MAP'!$B$5=2023,#REF!,IF('INHERENT MAP'!$B$5=2024,#REF!,#REF!))))</f>
        <v>#REF!</v>
      </c>
      <c r="AC97" t="e">
        <f>IF('INHERENT MAP'!$B$5=2021,'РЕЕСТР РИСКОВ_2023'!#REF!,IF('INHERENT MAP'!$B$5=2022,#REF!,IF('INHERENT MAP'!$B$5=2023,#REF!,IF('INHERENT MAP'!$B$5=2024,#REF!,#REF!))))</f>
        <v>#REF!</v>
      </c>
      <c r="AD97" t="e">
        <f>IF('INHERENT MAP'!$B$5=2021,'РЕЕСТР РИСКОВ_2023'!#REF!,IF('INHERENT MAP'!$B$5=2022,#REF!,IF('INHERENT MAP'!$B$5=2023,#REF!,IF('INHERENT MAP'!$B$5=2024,#REF!,#REF!))))</f>
        <v>#REF!</v>
      </c>
      <c r="AE97" t="e">
        <f>IF('INHERENT MAP'!$B$5=2021,'РЕЕСТР РИСКОВ_2023'!#REF!,IF('INHERENT MAP'!$B$5=2022,#REF!,IF('INHERENT MAP'!$B$5=2023,#REF!,IF('INHERENT MAP'!$B$5=2024,#REF!,#REF!))))</f>
        <v>#REF!</v>
      </c>
      <c r="AF97" t="e">
        <f>IF('INHERENT MAP'!$B$5=2021,'РЕЕСТР РИСКОВ_2023'!#REF!,IF('INHERENT MAP'!$B$5=2022,#REF!,IF('INHERENT MAP'!$B$5=2023,#REF!,IF('INHERENT MAP'!$B$5=2024,#REF!,#REF!))))</f>
        <v>#REF!</v>
      </c>
      <c r="AG97" t="e">
        <f>IF('INHERENT MAP'!$B$5=2021,'РЕЕСТР РИСКОВ_2023'!#REF!,IF('INHERENT MAP'!$B$5=2022,#REF!,IF('INHERENT MAP'!$B$5=2023,#REF!,IF('INHERENT MAP'!$B$5=2024,#REF!,#REF!))))</f>
        <v>#REF!</v>
      </c>
      <c r="AH97" t="e">
        <f>IF('INHERENT MAP'!$B$5=2021,'РЕЕСТР РИСКОВ_2023'!#REF!,IF('INHERENT MAP'!$B$5=2022,#REF!,IF('INHERENT MAP'!$B$5=2023,#REF!,IF('INHERENT MAP'!$B$5=2024,#REF!,#REF!))))</f>
        <v>#REF!</v>
      </c>
      <c r="AI97" t="e">
        <f>IF('INHERENT MAP'!$B$5=2021,'РЕЕСТР РИСКОВ_2023'!#REF!,IF('INHERENT MAP'!$B$5=2022,#REF!,IF('INHERENT MAP'!$B$5=2023,#REF!,IF('INHERENT MAP'!$B$5=2024,#REF!,#REF!))))</f>
        <v>#REF!</v>
      </c>
      <c r="AJ97" t="e">
        <f>IF('INHERENT MAP'!$B$5=2021,'РЕЕСТР РИСКОВ_2023'!#REF!,IF('INHERENT MAP'!$B$5=2022,#REF!,IF('INHERENT MAP'!$B$5=2023,#REF!,IF('INHERENT MAP'!$B$5=2024,#REF!,#REF!))))</f>
        <v>#REF!</v>
      </c>
      <c r="AK97" t="e">
        <f>IF('РЕЕСТР РИСКОВ_2023'!#REF!="",AK96,'РЕЕСТР РИСКОВ_2023'!#REF!)</f>
        <v>#REF!</v>
      </c>
      <c r="AL97" t="e">
        <f>IF('РЕЕСТР РИСКОВ_2023'!#REF!="",AL96,'РЕЕСТР РИСКОВ_2023'!#REF!)</f>
        <v>#REF!</v>
      </c>
      <c r="AM97" t="e">
        <f>IF('РЕЕСТР РИСКОВ_2023'!#REF!="",AM96,'РЕЕСТР РИСКОВ_2023'!#REF!)</f>
        <v>#REF!</v>
      </c>
      <c r="AN97" t="e">
        <f>IF('РЕЕСТР РИСКОВ_2023'!#REF!="",AN96,'РЕЕСТР РИСКОВ_2023'!#REF!)</f>
        <v>#REF!</v>
      </c>
      <c r="AO97" t="e">
        <f>IF('РЕЕСТР РИСКОВ_2023'!#REF!="",AO96,'РЕЕСТР РИСКОВ_2023'!#REF!)</f>
        <v>#REF!</v>
      </c>
    </row>
    <row r="98" spans="2:41">
      <c r="B98" t="e">
        <f>IF('INHERENT MAP'!$B$5=2021,IF('РЕЕСТР РИСКОВ_2023'!#REF!="",B97,'РЕЕСТР РИСКОВ_2023'!#REF!),IF('INHERENT MAP'!$B$5=2022,IF(#REF!="",B97,#REF!),IF('INHERENT MAP'!$B$5=2023,IF(#REF!="",B97,#REF!),IF('INHERENT MAP'!$B$5=2024,IF(#REF!="",B97,#REF!),IF('РЕЕСТР РИСКОВ_2023'!#REF!="",B97,'РЕЕСТР РИСКОВ_2023'!#REF!)))))</f>
        <v>#REF!</v>
      </c>
      <c r="C98" t="e">
        <f>IF('INHERENT MAP'!$B$5=2021,IF('РЕЕСТР РИСКОВ_2023'!#REF!="",C97,'РЕЕСТР РИСКОВ_2023'!#REF!),IF('INHERENT MAP'!$B$5=2022,IF(#REF!="",C97,#REF!),IF('INHERENT MAP'!$B$5=2023,IF(#REF!="",C97,#REF!),IF('INHERENT MAP'!$B$5=2024,IF(#REF!="",C97,#REF!),IF('РЕЕСТР РИСКОВ_2023'!#REF!="",C97,'РЕЕСТР РИСКОВ_2023'!#REF!)))))</f>
        <v>#REF!</v>
      </c>
      <c r="D98" t="e">
        <f>IF('INHERENT MAP'!$B$5=2021,IF('РЕЕСТР РИСКОВ_2023'!#REF!="",D97,'РЕЕСТР РИСКОВ_2023'!#REF!),IF('INHERENT MAP'!$B$5=2022,IF(#REF!="",D97,#REF!),IF('INHERENT MAP'!$B$5=2023,IF(#REF!="",D97,#REF!),IF('INHERENT MAP'!$B$5=2024,IF(#REF!="",D97,#REF!),IF('РЕЕСТР РИСКОВ_2023'!#REF!="",D97,'РЕЕСТР РИСКОВ_2023'!#REF!)))))</f>
        <v>#REF!</v>
      </c>
      <c r="E98" t="e">
        <f>IF('INHERENT MAP'!$B$5=2021,IF('РЕЕСТР РИСКОВ_2023'!#REF!="",E97,'РЕЕСТР РИСКОВ_2023'!#REF!),IF('INHERENT MAP'!$B$5=2022,IF(#REF!="",E97,#REF!),IF('INHERENT MAP'!$B$5=2023,IF(#REF!="",E97,#REF!),IF('INHERENT MAP'!$B$5=2024,IF(#REF!="",E97,#REF!),IF('РЕЕСТР РИСКОВ_2023'!#REF!="",E97,'РЕЕСТР РИСКОВ_2023'!#REF!)))))</f>
        <v>#REF!</v>
      </c>
      <c r="F98" t="e">
        <f>IF('INHERENT MAP'!$B$5=2021,IF('РЕЕСТР РИСКОВ_2023'!#REF!="",F97,'РЕЕСТР РИСКОВ_2023'!#REF!),IF('INHERENT MAP'!$B$5=2022,IF(#REF!="",F97,#REF!),IF('INHERENT MAP'!$B$5=2023,IF(#REF!="",F97,#REF!),IF('INHERENT MAP'!$B$5=2024,IF(#REF!="",F97,#REF!),IF('РЕЕСТР РИСКОВ_2023'!#REF!="",F97,'РЕЕСТР РИСКОВ_2023'!#REF!)))))</f>
        <v>#REF!</v>
      </c>
      <c r="G98" t="e">
        <f>IF('INHERENT MAP'!$B$5=2021,IF('РЕЕСТР РИСКОВ_2023'!#REF!="",G97,'РЕЕСТР РИСКОВ_2023'!#REF!),IF('INHERENT MAP'!$B$5=2022,IF(#REF!="",G97,#REF!),IF('INHERENT MAP'!$B$5=2023,IF(#REF!="",G97,#REF!),IF('INHERENT MAP'!$B$5=2024,IF(#REF!="",G97,#REF!),IF('РЕЕСТР РИСКОВ_2023'!#REF!="",G97,'РЕЕСТР РИСКОВ_2023'!#REF!)))))</f>
        <v>#REF!</v>
      </c>
      <c r="H98" t="e">
        <f>IF('INHERENT MAP'!$B$5=2021,'РЕЕСТР РИСКОВ_2023'!#REF!,IF('INHERENT MAP'!$B$5=2022,#REF!,IF('INHERENT MAP'!$B$5=2023,#REF!,IF('INHERENT MAP'!$B$5=2024,#REF!,#REF!))))</f>
        <v>#REF!</v>
      </c>
      <c r="I98" t="e">
        <f>IF('INHERENT MAP'!$B$5=2021,'РЕЕСТР РИСКОВ_2023'!#REF!,IF('INHERENT MAP'!$B$5=2022,#REF!,IF('INHERENT MAP'!$B$5=2023,#REF!,IF('INHERENT MAP'!$B$5=2024,#REF!,#REF!))))</f>
        <v>#REF!</v>
      </c>
      <c r="J98" t="e">
        <f>IF('INHERENT MAP'!$B$5=2021,'РЕЕСТР РИСКОВ_2023'!#REF!,IF('INHERENT MAP'!$B$5=2022,#REF!,IF('INHERENT MAP'!$B$5=2023,#REF!,IF('INHERENT MAP'!$B$5=2024,#REF!,#REF!))))</f>
        <v>#REF!</v>
      </c>
      <c r="K98" t="e">
        <f>IF('INHERENT MAP'!$B$5=2021,'РЕЕСТР РИСКОВ_2023'!#REF!,IF('INHERENT MAP'!$B$5=2022,#REF!,IF('INHERENT MAP'!$B$5=2023,#REF!,IF('INHERENT MAP'!$B$5=2024,#REF!,#REF!))))</f>
        <v>#REF!</v>
      </c>
      <c r="L98" t="e">
        <f>IF('INHERENT MAP'!$B$5=2021,'РЕЕСТР РИСКОВ_2023'!#REF!,IF('INHERENT MAP'!$B$5=2022,#REF!,IF('INHERENT MAP'!$B$5=2023,#REF!,IF('INHERENT MAP'!$B$5=2024,#REF!,#REF!))))</f>
        <v>#REF!</v>
      </c>
      <c r="M98" t="e">
        <f>IF('INHERENT MAP'!$B$5=2021,IF('РЕЕСТР РИСКОВ_2023'!#REF!="",M97,'РЕЕСТР РИСКОВ_2023'!#REF!),IF('INHERENT MAP'!$B$5=2022,IF(#REF!="",M97,#REF!),IF('INHERENT MAP'!$B$5=2023,IF(#REF!="",M97,#REF!),IF('INHERENT MAP'!$B$5=2024,IF(#REF!="",M97,#REF!),IF('РЕЕСТР РИСКОВ_2023'!#REF!="",M97,'РЕЕСТР РИСКОВ_2023'!#REF!)))))</f>
        <v>#REF!</v>
      </c>
      <c r="N98" t="e">
        <f>IF('INHERENT MAP'!$B$5=2021,IF('РЕЕСТР РИСКОВ_2023'!#REF!="",N97,'РЕЕСТР РИСКОВ_2023'!#REF!),IF('INHERENT MAP'!$B$5=2022,IF(#REF!="",N97,#REF!),IF('INHERENT MAP'!$B$5=2023,IF(#REF!="",N97,#REF!),IF('INHERENT MAP'!$B$5=2024,IF(#REF!="",N97,#REF!),IF('РЕЕСТР РИСКОВ_2023'!#REF!="",N97,'РЕЕСТР РИСКОВ_2023'!#REF!)))))</f>
        <v>#REF!</v>
      </c>
      <c r="O98" t="e">
        <f>'РЕЕСТР РИСКОВ_2023'!#REF!</f>
        <v>#REF!</v>
      </c>
      <c r="P98" t="e">
        <f>IF('РЕЕСТР РИСКОВ_2023'!#REF!="",P97,'РЕЕСТР РИСКОВ_2023'!#REF!)</f>
        <v>#REF!</v>
      </c>
      <c r="Q98" t="e">
        <f>IF('РЕЕСТР РИСКОВ_2023'!#REF!="",Q97,'РЕЕСТР РИСКОВ_2023'!#REF!)</f>
        <v>#REF!</v>
      </c>
      <c r="R98" t="e">
        <f>IF('РЕЕСТР РИСКОВ_2023'!#REF!="",R97,'РЕЕСТР РИСКОВ_2023'!#REF!)</f>
        <v>#REF!</v>
      </c>
      <c r="S98" t="e">
        <f>'РЕЕСТР РИСКОВ_2023'!#REF!</f>
        <v>#REF!</v>
      </c>
      <c r="T98" s="94" t="e">
        <f>IF('INHERENT MAP'!$B$5=2021,'РЕЕСТР РИСКОВ_2023'!#REF!,IF('INHERENT MAP'!$B$5=2022,#REF!,IF('INHERENT MAP'!$B$5=2023,#REF!,IF('INHERENT MAP'!$B$5=2024,#REF!,#REF!))))</f>
        <v>#REF!</v>
      </c>
      <c r="U98" t="e">
        <f>IF('INHERENT MAP'!$B$5=2021,'РЕЕСТР РИСКОВ_2023'!#REF!,IF('INHERENT MAP'!$B$5=2022,#REF!,IF('INHERENT MAP'!$B$5=2023,#REF!,IF('INHERENT MAP'!$B$5=2024,#REF!,#REF!))))</f>
        <v>#REF!</v>
      </c>
      <c r="V98" t="e">
        <f>IF('INHERENT MAP'!$B$5=2021,'РЕЕСТР РИСКОВ_2023'!#REF!,IF('INHERENT MAP'!$B$5=2022,#REF!,IF('INHERENT MAP'!$B$5=2023,#REF!,IF('INHERENT MAP'!$B$5=2024,#REF!,#REF!))))</f>
        <v>#REF!</v>
      </c>
      <c r="W98" t="e">
        <f>IF('INHERENT MAP'!$B$5=2021,'РЕЕСТР РИСКОВ_2023'!#REF!,IF('INHERENT MAP'!$B$5=2022,#REF!,IF('INHERENT MAP'!$B$5=2023,#REF!,IF('INHERENT MAP'!$B$5=2024,#REF!,#REF!))))</f>
        <v>#REF!</v>
      </c>
      <c r="X98" s="94" t="e">
        <f>IF('INHERENT MAP'!$B$5=2021,'РЕЕСТР РИСКОВ_2023'!#REF!,IF('INHERENT MAP'!$B$5=2022,#REF!,IF('INHERENT MAP'!$B$5=2023,#REF!,IF('INHERENT MAP'!$B$5=2024,#REF!,#REF!))))</f>
        <v>#REF!</v>
      </c>
      <c r="Y98" t="e">
        <f>IF('INHERENT MAP'!$B$5=2021,'РЕЕСТР РИСКОВ_2023'!#REF!,IF('INHERENT MAP'!$B$5=2022,#REF!,IF('INHERENT MAP'!$B$5=2023,#REF!,IF('INHERENT MAP'!$B$5=2024,#REF!,#REF!))))</f>
        <v>#REF!</v>
      </c>
      <c r="Z98" t="e">
        <f>IF('INHERENT MAP'!$B$5=2021,'РЕЕСТР РИСКОВ_2023'!#REF!,IF('INHERENT MAP'!$B$5=2022,#REF!,IF('INHERENT MAP'!$B$5=2023,#REF!,IF('INHERENT MAP'!$B$5=2024,#REF!,#REF!))))</f>
        <v>#REF!</v>
      </c>
      <c r="AA98" t="e">
        <f>IF('INHERENT MAP'!$B$5=2021,'РЕЕСТР РИСКОВ_2023'!#REF!,IF('INHERENT MAP'!$B$5=2022,#REF!,IF('INHERENT MAP'!$B$5=2023,#REF!,IF('INHERENT MAP'!$B$5=2024,#REF!,#REF!))))</f>
        <v>#REF!</v>
      </c>
      <c r="AB98" t="e">
        <f>IF('INHERENT MAP'!$B$5=2021,'РЕЕСТР РИСКОВ_2023'!#REF!,IF('INHERENT MAP'!$B$5=2022,#REF!,IF('INHERENT MAP'!$B$5=2023,#REF!,IF('INHERENT MAP'!$B$5=2024,#REF!,#REF!))))</f>
        <v>#REF!</v>
      </c>
      <c r="AC98" t="e">
        <f>IF('INHERENT MAP'!$B$5=2021,'РЕЕСТР РИСКОВ_2023'!#REF!,IF('INHERENT MAP'!$B$5=2022,#REF!,IF('INHERENT MAP'!$B$5=2023,#REF!,IF('INHERENT MAP'!$B$5=2024,#REF!,#REF!))))</f>
        <v>#REF!</v>
      </c>
      <c r="AD98" t="e">
        <f>IF('INHERENT MAP'!$B$5=2021,'РЕЕСТР РИСКОВ_2023'!#REF!,IF('INHERENT MAP'!$B$5=2022,#REF!,IF('INHERENT MAP'!$B$5=2023,#REF!,IF('INHERENT MAP'!$B$5=2024,#REF!,#REF!))))</f>
        <v>#REF!</v>
      </c>
      <c r="AE98" t="e">
        <f>IF('INHERENT MAP'!$B$5=2021,'РЕЕСТР РИСКОВ_2023'!#REF!,IF('INHERENT MAP'!$B$5=2022,#REF!,IF('INHERENT MAP'!$B$5=2023,#REF!,IF('INHERENT MAP'!$B$5=2024,#REF!,#REF!))))</f>
        <v>#REF!</v>
      </c>
      <c r="AF98" t="e">
        <f>IF('INHERENT MAP'!$B$5=2021,'РЕЕСТР РИСКОВ_2023'!#REF!,IF('INHERENT MAP'!$B$5=2022,#REF!,IF('INHERENT MAP'!$B$5=2023,#REF!,IF('INHERENT MAP'!$B$5=2024,#REF!,#REF!))))</f>
        <v>#REF!</v>
      </c>
      <c r="AG98" t="e">
        <f>IF('INHERENT MAP'!$B$5=2021,'РЕЕСТР РИСКОВ_2023'!#REF!,IF('INHERENT MAP'!$B$5=2022,#REF!,IF('INHERENT MAP'!$B$5=2023,#REF!,IF('INHERENT MAP'!$B$5=2024,#REF!,#REF!))))</f>
        <v>#REF!</v>
      </c>
      <c r="AH98" t="e">
        <f>IF('INHERENT MAP'!$B$5=2021,'РЕЕСТР РИСКОВ_2023'!#REF!,IF('INHERENT MAP'!$B$5=2022,#REF!,IF('INHERENT MAP'!$B$5=2023,#REF!,IF('INHERENT MAP'!$B$5=2024,#REF!,#REF!))))</f>
        <v>#REF!</v>
      </c>
      <c r="AI98" t="e">
        <f>IF('INHERENT MAP'!$B$5=2021,'РЕЕСТР РИСКОВ_2023'!#REF!,IF('INHERENT MAP'!$B$5=2022,#REF!,IF('INHERENT MAP'!$B$5=2023,#REF!,IF('INHERENT MAP'!$B$5=2024,#REF!,#REF!))))</f>
        <v>#REF!</v>
      </c>
      <c r="AJ98" t="e">
        <f>IF('INHERENT MAP'!$B$5=2021,'РЕЕСТР РИСКОВ_2023'!#REF!,IF('INHERENT MAP'!$B$5=2022,#REF!,IF('INHERENT MAP'!$B$5=2023,#REF!,IF('INHERENT MAP'!$B$5=2024,#REF!,#REF!))))</f>
        <v>#REF!</v>
      </c>
      <c r="AK98" t="e">
        <f>IF('РЕЕСТР РИСКОВ_2023'!#REF!="",AK97,'РЕЕСТР РИСКОВ_2023'!#REF!)</f>
        <v>#REF!</v>
      </c>
      <c r="AL98" t="e">
        <f>IF('РЕЕСТР РИСКОВ_2023'!#REF!="",AL97,'РЕЕСТР РИСКОВ_2023'!#REF!)</f>
        <v>#REF!</v>
      </c>
      <c r="AM98" t="e">
        <f>IF('РЕЕСТР РИСКОВ_2023'!#REF!="",AM97,'РЕЕСТР РИСКОВ_2023'!#REF!)</f>
        <v>#REF!</v>
      </c>
      <c r="AN98" t="e">
        <f>IF('РЕЕСТР РИСКОВ_2023'!#REF!="",AN97,'РЕЕСТР РИСКОВ_2023'!#REF!)</f>
        <v>#REF!</v>
      </c>
      <c r="AO98" t="e">
        <f>IF('РЕЕСТР РИСКОВ_2023'!#REF!="",AO97,'РЕЕСТР РИСКОВ_2023'!#REF!)</f>
        <v>#REF!</v>
      </c>
    </row>
    <row r="99" spans="2:41">
      <c r="B99" t="e">
        <f>IF('INHERENT MAP'!$B$5=2021,IF('РЕЕСТР РИСКОВ_2023'!#REF!="",B98,'РЕЕСТР РИСКОВ_2023'!#REF!),IF('INHERENT MAP'!$B$5=2022,IF(#REF!="",B98,#REF!),IF('INHERENT MAP'!$B$5=2023,IF(#REF!="",B98,#REF!),IF('INHERENT MAP'!$B$5=2024,IF(#REF!="",B98,#REF!),IF('РЕЕСТР РИСКОВ_2023'!#REF!="",B98,'РЕЕСТР РИСКОВ_2023'!#REF!)))))</f>
        <v>#REF!</v>
      </c>
      <c r="C99" t="e">
        <f>IF('INHERENT MAP'!$B$5=2021,IF('РЕЕСТР РИСКОВ_2023'!#REF!="",C98,'РЕЕСТР РИСКОВ_2023'!#REF!),IF('INHERENT MAP'!$B$5=2022,IF(#REF!="",C98,#REF!),IF('INHERENT MAP'!$B$5=2023,IF(#REF!="",C98,#REF!),IF('INHERENT MAP'!$B$5=2024,IF(#REF!="",C98,#REF!),IF('РЕЕСТР РИСКОВ_2023'!#REF!="",C98,'РЕЕСТР РИСКОВ_2023'!#REF!)))))</f>
        <v>#REF!</v>
      </c>
      <c r="D99" t="e">
        <f>IF('INHERENT MAP'!$B$5=2021,IF('РЕЕСТР РИСКОВ_2023'!#REF!="",D98,'РЕЕСТР РИСКОВ_2023'!#REF!),IF('INHERENT MAP'!$B$5=2022,IF(#REF!="",D98,#REF!),IF('INHERENT MAP'!$B$5=2023,IF(#REF!="",D98,#REF!),IF('INHERENT MAP'!$B$5=2024,IF(#REF!="",D98,#REF!),IF('РЕЕСТР РИСКОВ_2023'!#REF!="",D98,'РЕЕСТР РИСКОВ_2023'!#REF!)))))</f>
        <v>#REF!</v>
      </c>
      <c r="E99" t="e">
        <f>IF('INHERENT MAP'!$B$5=2021,IF('РЕЕСТР РИСКОВ_2023'!#REF!="",E98,'РЕЕСТР РИСКОВ_2023'!#REF!),IF('INHERENT MAP'!$B$5=2022,IF(#REF!="",E98,#REF!),IF('INHERENT MAP'!$B$5=2023,IF(#REF!="",E98,#REF!),IF('INHERENT MAP'!$B$5=2024,IF(#REF!="",E98,#REF!),IF('РЕЕСТР РИСКОВ_2023'!#REF!="",E98,'РЕЕСТР РИСКОВ_2023'!#REF!)))))</f>
        <v>#REF!</v>
      </c>
      <c r="F99" t="e">
        <f>IF('INHERENT MAP'!$B$5=2021,IF('РЕЕСТР РИСКОВ_2023'!#REF!="",F98,'РЕЕСТР РИСКОВ_2023'!#REF!),IF('INHERENT MAP'!$B$5=2022,IF(#REF!="",F98,#REF!),IF('INHERENT MAP'!$B$5=2023,IF(#REF!="",F98,#REF!),IF('INHERENT MAP'!$B$5=2024,IF(#REF!="",F98,#REF!),IF('РЕЕСТР РИСКОВ_2023'!#REF!="",F98,'РЕЕСТР РИСКОВ_2023'!#REF!)))))</f>
        <v>#REF!</v>
      </c>
      <c r="G99" t="e">
        <f>IF('INHERENT MAP'!$B$5=2021,IF('РЕЕСТР РИСКОВ_2023'!#REF!="",G98,'РЕЕСТР РИСКОВ_2023'!#REF!),IF('INHERENT MAP'!$B$5=2022,IF(#REF!="",G98,#REF!),IF('INHERENT MAP'!$B$5=2023,IF(#REF!="",G98,#REF!),IF('INHERENT MAP'!$B$5=2024,IF(#REF!="",G98,#REF!),IF('РЕЕСТР РИСКОВ_2023'!#REF!="",G98,'РЕЕСТР РИСКОВ_2023'!#REF!)))))</f>
        <v>#REF!</v>
      </c>
      <c r="H99" t="e">
        <f>IF('INHERENT MAP'!$B$5=2021,'РЕЕСТР РИСКОВ_2023'!#REF!,IF('INHERENT MAP'!$B$5=2022,#REF!,IF('INHERENT MAP'!$B$5=2023,#REF!,IF('INHERENT MAP'!$B$5=2024,#REF!,#REF!))))</f>
        <v>#REF!</v>
      </c>
      <c r="I99" t="e">
        <f>IF('INHERENT MAP'!$B$5=2021,'РЕЕСТР РИСКОВ_2023'!#REF!,IF('INHERENT MAP'!$B$5=2022,#REF!,IF('INHERENT MAP'!$B$5=2023,#REF!,IF('INHERENT MAP'!$B$5=2024,#REF!,#REF!))))</f>
        <v>#REF!</v>
      </c>
      <c r="J99" t="e">
        <f>IF('INHERENT MAP'!$B$5=2021,'РЕЕСТР РИСКОВ_2023'!#REF!,IF('INHERENT MAP'!$B$5=2022,#REF!,IF('INHERENT MAP'!$B$5=2023,#REF!,IF('INHERENT MAP'!$B$5=2024,#REF!,#REF!))))</f>
        <v>#REF!</v>
      </c>
      <c r="K99" t="e">
        <f>IF('INHERENT MAP'!$B$5=2021,'РЕЕСТР РИСКОВ_2023'!#REF!,IF('INHERENT MAP'!$B$5=2022,#REF!,IF('INHERENT MAP'!$B$5=2023,#REF!,IF('INHERENT MAP'!$B$5=2024,#REF!,#REF!))))</f>
        <v>#REF!</v>
      </c>
      <c r="L99" t="e">
        <f>IF('INHERENT MAP'!$B$5=2021,'РЕЕСТР РИСКОВ_2023'!#REF!,IF('INHERENT MAP'!$B$5=2022,#REF!,IF('INHERENT MAP'!$B$5=2023,#REF!,IF('INHERENT MAP'!$B$5=2024,#REF!,#REF!))))</f>
        <v>#REF!</v>
      </c>
      <c r="M99" t="e">
        <f>IF('INHERENT MAP'!$B$5=2021,IF('РЕЕСТР РИСКОВ_2023'!#REF!="",M98,'РЕЕСТР РИСКОВ_2023'!#REF!),IF('INHERENT MAP'!$B$5=2022,IF(#REF!="",M98,#REF!),IF('INHERENT MAP'!$B$5=2023,IF(#REF!="",M98,#REF!),IF('INHERENT MAP'!$B$5=2024,IF(#REF!="",M98,#REF!),IF('РЕЕСТР РИСКОВ_2023'!#REF!="",M98,'РЕЕСТР РИСКОВ_2023'!#REF!)))))</f>
        <v>#REF!</v>
      </c>
      <c r="N99" t="e">
        <f>IF('INHERENT MAP'!$B$5=2021,IF('РЕЕСТР РИСКОВ_2023'!#REF!="",N98,'РЕЕСТР РИСКОВ_2023'!#REF!),IF('INHERENT MAP'!$B$5=2022,IF(#REF!="",N98,#REF!),IF('INHERENT MAP'!$B$5=2023,IF(#REF!="",N98,#REF!),IF('INHERENT MAP'!$B$5=2024,IF(#REF!="",N98,#REF!),IF('РЕЕСТР РИСКОВ_2023'!#REF!="",N98,'РЕЕСТР РИСКОВ_2023'!#REF!)))))</f>
        <v>#REF!</v>
      </c>
      <c r="O99" t="e">
        <f>'РЕЕСТР РИСКОВ_2023'!#REF!</f>
        <v>#REF!</v>
      </c>
      <c r="P99" t="e">
        <f>IF('РЕЕСТР РИСКОВ_2023'!#REF!="",P98,'РЕЕСТР РИСКОВ_2023'!#REF!)</f>
        <v>#REF!</v>
      </c>
      <c r="Q99" t="e">
        <f>IF('РЕЕСТР РИСКОВ_2023'!#REF!="",Q98,'РЕЕСТР РИСКОВ_2023'!#REF!)</f>
        <v>#REF!</v>
      </c>
      <c r="R99" t="e">
        <f>IF('РЕЕСТР РИСКОВ_2023'!#REF!="",R98,'РЕЕСТР РИСКОВ_2023'!#REF!)</f>
        <v>#REF!</v>
      </c>
      <c r="S99" t="e">
        <f>'РЕЕСТР РИСКОВ_2023'!#REF!</f>
        <v>#REF!</v>
      </c>
      <c r="T99" s="94" t="e">
        <f>IF('INHERENT MAP'!$B$5=2021,'РЕЕСТР РИСКОВ_2023'!#REF!,IF('INHERENT MAP'!$B$5=2022,#REF!,IF('INHERENT MAP'!$B$5=2023,#REF!,IF('INHERENT MAP'!$B$5=2024,#REF!,#REF!))))</f>
        <v>#REF!</v>
      </c>
      <c r="U99" t="e">
        <f>IF('INHERENT MAP'!$B$5=2021,'РЕЕСТР РИСКОВ_2023'!#REF!,IF('INHERENT MAP'!$B$5=2022,#REF!,IF('INHERENT MAP'!$B$5=2023,#REF!,IF('INHERENT MAP'!$B$5=2024,#REF!,#REF!))))</f>
        <v>#REF!</v>
      </c>
      <c r="V99" t="e">
        <f>IF('INHERENT MAP'!$B$5=2021,'РЕЕСТР РИСКОВ_2023'!#REF!,IF('INHERENT MAP'!$B$5=2022,#REF!,IF('INHERENT MAP'!$B$5=2023,#REF!,IF('INHERENT MAP'!$B$5=2024,#REF!,#REF!))))</f>
        <v>#REF!</v>
      </c>
      <c r="W99" t="e">
        <f>IF('INHERENT MAP'!$B$5=2021,'РЕЕСТР РИСКОВ_2023'!#REF!,IF('INHERENT MAP'!$B$5=2022,#REF!,IF('INHERENT MAP'!$B$5=2023,#REF!,IF('INHERENT MAP'!$B$5=2024,#REF!,#REF!))))</f>
        <v>#REF!</v>
      </c>
      <c r="X99" s="94" t="e">
        <f>IF('INHERENT MAP'!$B$5=2021,'РЕЕСТР РИСКОВ_2023'!#REF!,IF('INHERENT MAP'!$B$5=2022,#REF!,IF('INHERENT MAP'!$B$5=2023,#REF!,IF('INHERENT MAP'!$B$5=2024,#REF!,#REF!))))</f>
        <v>#REF!</v>
      </c>
      <c r="Y99" t="e">
        <f>IF('INHERENT MAP'!$B$5=2021,'РЕЕСТР РИСКОВ_2023'!#REF!,IF('INHERENT MAP'!$B$5=2022,#REF!,IF('INHERENT MAP'!$B$5=2023,#REF!,IF('INHERENT MAP'!$B$5=2024,#REF!,#REF!))))</f>
        <v>#REF!</v>
      </c>
      <c r="Z99" t="e">
        <f>IF('INHERENT MAP'!$B$5=2021,'РЕЕСТР РИСКОВ_2023'!#REF!,IF('INHERENT MAP'!$B$5=2022,#REF!,IF('INHERENT MAP'!$B$5=2023,#REF!,IF('INHERENT MAP'!$B$5=2024,#REF!,#REF!))))</f>
        <v>#REF!</v>
      </c>
      <c r="AA99" t="e">
        <f>IF('INHERENT MAP'!$B$5=2021,'РЕЕСТР РИСКОВ_2023'!#REF!,IF('INHERENT MAP'!$B$5=2022,#REF!,IF('INHERENT MAP'!$B$5=2023,#REF!,IF('INHERENT MAP'!$B$5=2024,#REF!,#REF!))))</f>
        <v>#REF!</v>
      </c>
      <c r="AB99" t="e">
        <f>IF('INHERENT MAP'!$B$5=2021,'РЕЕСТР РИСКОВ_2023'!#REF!,IF('INHERENT MAP'!$B$5=2022,#REF!,IF('INHERENT MAP'!$B$5=2023,#REF!,IF('INHERENT MAP'!$B$5=2024,#REF!,#REF!))))</f>
        <v>#REF!</v>
      </c>
      <c r="AC99" t="e">
        <f>IF('INHERENT MAP'!$B$5=2021,'РЕЕСТР РИСКОВ_2023'!#REF!,IF('INHERENT MAP'!$B$5=2022,#REF!,IF('INHERENT MAP'!$B$5=2023,#REF!,IF('INHERENT MAP'!$B$5=2024,#REF!,#REF!))))</f>
        <v>#REF!</v>
      </c>
      <c r="AD99" t="e">
        <f>IF('INHERENT MAP'!$B$5=2021,'РЕЕСТР РИСКОВ_2023'!#REF!,IF('INHERENT MAP'!$B$5=2022,#REF!,IF('INHERENT MAP'!$B$5=2023,#REF!,IF('INHERENT MAP'!$B$5=2024,#REF!,#REF!))))</f>
        <v>#REF!</v>
      </c>
      <c r="AE99" t="e">
        <f>IF('INHERENT MAP'!$B$5=2021,'РЕЕСТР РИСКОВ_2023'!#REF!,IF('INHERENT MAP'!$B$5=2022,#REF!,IF('INHERENT MAP'!$B$5=2023,#REF!,IF('INHERENT MAP'!$B$5=2024,#REF!,#REF!))))</f>
        <v>#REF!</v>
      </c>
      <c r="AF99" t="e">
        <f>IF('INHERENT MAP'!$B$5=2021,'РЕЕСТР РИСКОВ_2023'!#REF!,IF('INHERENT MAP'!$B$5=2022,#REF!,IF('INHERENT MAP'!$B$5=2023,#REF!,IF('INHERENT MAP'!$B$5=2024,#REF!,#REF!))))</f>
        <v>#REF!</v>
      </c>
      <c r="AG99" t="e">
        <f>IF('INHERENT MAP'!$B$5=2021,'РЕЕСТР РИСКОВ_2023'!#REF!,IF('INHERENT MAP'!$B$5=2022,#REF!,IF('INHERENT MAP'!$B$5=2023,#REF!,IF('INHERENT MAP'!$B$5=2024,#REF!,#REF!))))</f>
        <v>#REF!</v>
      </c>
      <c r="AH99" t="e">
        <f>IF('INHERENT MAP'!$B$5=2021,'РЕЕСТР РИСКОВ_2023'!#REF!,IF('INHERENT MAP'!$B$5=2022,#REF!,IF('INHERENT MAP'!$B$5=2023,#REF!,IF('INHERENT MAP'!$B$5=2024,#REF!,#REF!))))</f>
        <v>#REF!</v>
      </c>
      <c r="AI99" t="e">
        <f>IF('INHERENT MAP'!$B$5=2021,'РЕЕСТР РИСКОВ_2023'!#REF!,IF('INHERENT MAP'!$B$5=2022,#REF!,IF('INHERENT MAP'!$B$5=2023,#REF!,IF('INHERENT MAP'!$B$5=2024,#REF!,#REF!))))</f>
        <v>#REF!</v>
      </c>
      <c r="AJ99" t="e">
        <f>IF('INHERENT MAP'!$B$5=2021,'РЕЕСТР РИСКОВ_2023'!#REF!,IF('INHERENT MAP'!$B$5=2022,#REF!,IF('INHERENT MAP'!$B$5=2023,#REF!,IF('INHERENT MAP'!$B$5=2024,#REF!,#REF!))))</f>
        <v>#REF!</v>
      </c>
      <c r="AK99" t="e">
        <f>IF('РЕЕСТР РИСКОВ_2023'!#REF!="",AK98,'РЕЕСТР РИСКОВ_2023'!#REF!)</f>
        <v>#REF!</v>
      </c>
      <c r="AL99" t="e">
        <f>IF('РЕЕСТР РИСКОВ_2023'!#REF!="",AL98,'РЕЕСТР РИСКОВ_2023'!#REF!)</f>
        <v>#REF!</v>
      </c>
      <c r="AM99" t="e">
        <f>IF('РЕЕСТР РИСКОВ_2023'!#REF!="",AM98,'РЕЕСТР РИСКОВ_2023'!#REF!)</f>
        <v>#REF!</v>
      </c>
      <c r="AN99" t="e">
        <f>IF('РЕЕСТР РИСКОВ_2023'!#REF!="",AN98,'РЕЕСТР РИСКОВ_2023'!#REF!)</f>
        <v>#REF!</v>
      </c>
      <c r="AO99" t="e">
        <f>IF('РЕЕСТР РИСКОВ_2023'!#REF!="",AO98,'РЕЕСТР РИСКОВ_2023'!#REF!)</f>
        <v>#REF!</v>
      </c>
    </row>
    <row r="100" spans="2:41">
      <c r="B100" t="str">
        <f>IF('INHERENT MAP'!$B$5=2021,IF('РЕЕСТР РИСКОВ_2023'!F127="",B99,'РЕЕСТР РИСКОВ_2023'!F127),IF('INHERENT MAP'!$B$5=2022,IF(#REF!="",B99,#REF!),IF('INHERENT MAP'!$B$5=2023,IF(#REF!="",B99,#REF!),IF('INHERENT MAP'!$B$5=2024,IF(#REF!="",B99,#REF!),IF('РЕЕСТР РИСКОВ_2023'!F127="",B99,'РЕЕСТР РИСКОВ_2023'!F127)))))</f>
        <v>ОПЕРАЦИОННЫЙ РИСК</v>
      </c>
      <c r="C100" t="e">
        <f>IF('INHERENT MAP'!$B$5=2021,IF('РЕЕСТР РИСКОВ_2023'!G127="",C99,'РЕЕСТР РИСКОВ_2023'!G127),IF('INHERENT MAP'!$B$5=2022,IF(#REF!="",C99,#REF!),IF('INHERENT MAP'!$B$5=2023,IF(#REF!="",C99,#REF!),IF('INHERENT MAP'!$B$5=2024,IF(#REF!="",C99,#REF!),IF('РЕЕСТР РИСКОВ_2023'!G127="",C99,'РЕЕСТР РИСКОВ_2023'!G127)))))</f>
        <v>#REF!</v>
      </c>
      <c r="D100" t="str">
        <f>IF('INHERENT MAP'!$B$5=2021,IF('РЕЕСТР РИСКОВ_2023'!H127="",D99,'РЕЕСТР РИСКОВ_2023'!H127),IF('INHERENT MAP'!$B$5=2022,IF(#REF!="",D99,#REF!),IF('INHERENT MAP'!$B$5=2023,IF(#REF!="",D99,#REF!),IF('INHERENT MAP'!$B$5=2024,IF(#REF!="",D99,#REF!),IF('РЕЕСТР РИСКОВ_2023'!H127="",D99,'РЕЕСТР РИСКОВ_2023'!H127)))))</f>
        <v>OR-1</v>
      </c>
      <c r="E100" t="str">
        <f>IF('INHERENT MAP'!$B$5=2021,IF('РЕЕСТР РИСКОВ_2023'!I127="",E99,'РЕЕСТР РИСКОВ_2023'!I127),IF('INHERENT MAP'!$B$5=2022,IF(#REF!="",E99,#REF!),IF('INHERENT MAP'!$B$5=2023,IF(#REF!="",E99,#REF!),IF('INHERENT MAP'!$B$5=2024,IF(#REF!="",E99,#REF!),IF('РЕЕСТР РИСКОВ_2023'!I127="",E99,'РЕЕСТР РИСКОВ_2023'!I127)))))</f>
        <v>ЦЗ-1
ЦЗД</v>
      </c>
      <c r="F100" t="str">
        <f>IF('INHERENT MAP'!$B$5=2021,IF('РЕЕСТР РИСКОВ_2023'!J127="",F99,'РЕЕСТР РИСКОВ_2023'!J127),IF('INHERENT MAP'!$B$5=2022,IF(#REF!="",F99,#REF!),IF('INHERENT MAP'!$B$5=2023,IF(#REF!="",F99,#REF!),IF('INHERENT MAP'!$B$5=2024,IF(#REF!="",F99,#REF!),IF('РЕЕСТР РИСКОВ_2023'!J127="",F99,'РЕЕСТР РИСКОВ_2023'!J127)))))</f>
        <v>ТОО "КТЖ-Грузовые перевозки"
АО "Қазтеміртранс"</v>
      </c>
      <c r="G100" t="str">
        <f>IF('INHERENT MAP'!$B$5=2021,IF('РЕЕСТР РИСКОВ_2023'!K127="",G99,'РЕЕСТР РИСКОВ_2023'!K127),IF('INHERENT MAP'!$B$5=2022,IF(#REF!="",G99,#REF!),IF('INHERENT MAP'!$B$5=2023,IF(#REF!="",G99,#REF!),IF('INHERENT MAP'!$B$5=2024,IF(#REF!="",G99,#REF!),IF('РЕЕСТР РИСКОВ_2023'!K127="",G99,'РЕЕСТР РИСКОВ_2023'!K127)))))</f>
        <v>Риск низкого качества и несвоевременного планового ремонта подвижного состава (локомотивный парк и железнодорожный вагон)</v>
      </c>
      <c r="H100">
        <f>IF('INHERENT MAP'!$B$5=2021,'РЕЕСТР РИСКОВ_2023'!L127,IF('INHERENT MAP'!$B$5=2022,#REF!,IF('INHERENT MAP'!$B$5=2023,#REF!,IF('INHERENT MAP'!$B$5=2024,#REF!,#REF!))))</f>
        <v>0</v>
      </c>
      <c r="I100">
        <f>IF('INHERENT MAP'!$B$5=2021,'РЕЕСТР РИСКОВ_2023'!M127,IF('INHERENT MAP'!$B$5=2022,#REF!,IF('INHERENT MAP'!$B$5=2023,#REF!,IF('INHERENT MAP'!$B$5=2024,#REF!,#REF!))))</f>
        <v>0</v>
      </c>
      <c r="J100">
        <f>IF('INHERENT MAP'!$B$5=2021,'РЕЕСТР РИСКОВ_2023'!N127,IF('INHERENT MAP'!$B$5=2022,#REF!,IF('INHERENT MAP'!$B$5=2023,#REF!,IF('INHERENT MAP'!$B$5=2024,#REF!,#REF!))))</f>
        <v>0</v>
      </c>
      <c r="K100">
        <f>IF('INHERENT MAP'!$B$5=2021,'РЕЕСТР РИСКОВ_2023'!O127,IF('INHERENT MAP'!$B$5=2022,#REF!,IF('INHERENT MAP'!$B$5=2023,#REF!,IF('INHERENT MAP'!$B$5=2024,#REF!,#REF!))))</f>
        <v>0</v>
      </c>
      <c r="L100">
        <f>IF('INHERENT MAP'!$B$5=2021,'РЕЕСТР РИСКОВ_2023'!P127,IF('INHERENT MAP'!$B$5=2022,#REF!,IF('INHERENT MAP'!$B$5=2023,#REF!,IF('INHERENT MAP'!$B$5=2024,#REF!,#REF!))))</f>
        <v>0</v>
      </c>
      <c r="M100" t="str">
        <f>IF('INHERENT MAP'!$B$5=2021,IF('РЕЕСТР РИСКОВ_2023'!Q127="",M99,'РЕЕСТР РИСКОВ_2023'!Q127),IF('INHERENT MAP'!$B$5=2022,IF(#REF!="",M99,#REF!),IF('INHERENT MAP'!$B$5=2023,IF(#REF!="",M99,#REF!),IF('INHERENT MAP'!$B$5=2024,IF(#REF!="",M99,#REF!),IF('РЕЕСТР РИСКОВ_2023'!Q127="",M99,'РЕЕСТР РИСКОВ_2023'!Q127)))))</f>
        <v>1. отсутствие современного технологического оборудования/оснастки и диагностирующих стендов для ремонта подвижного состава  (дооснащения) в производственных цехах вагоноремонтных предприятий;   
2. нехватка квалифицированных специалистов;
3. неисполнение гарантийных сроков в рамках эксплуатации на основные составные части и детали подвижного состава согласно Руководства по ремонту;     
4. несвоевременный закуп и поставка сертифицированных запасных частей и материалов, необходимых для производства плановых видов ремонта подвижного состава; 
5. неисполнение Поставщиком обязательств по договорам на выполнение плановых видов ремонта пассажирских вагонов.
6. незапланированное повышение заработной платы</v>
      </c>
      <c r="N100" t="e">
        <f>IF('INHERENT MAP'!$B$5=2021,IF('РЕЕСТР РИСКОВ_2023'!R127="",N99,'РЕЕСТР РИСКОВ_2023'!R127),IF('INHERENT MAP'!$B$5=2022,IF(#REF!="",N99,#REF!),IF('INHERENT MAP'!$B$5=2023,IF(#REF!="",N99,#REF!),IF('INHERENT MAP'!$B$5=2024,IF(#REF!="",N99,#REF!),IF('РЕЕСТР РИСКОВ_2023'!R127="",N99,'РЕЕСТР РИСКОВ_2023'!R127)))))</f>
        <v>#REF!</v>
      </c>
      <c r="O100">
        <f>'РЕЕСТР РИСКОВ_2023'!T127</f>
        <v>0</v>
      </c>
      <c r="P100" t="e">
        <f>IF('РЕЕСТР РИСКОВ_2023'!U127="",P99,'РЕЕСТР РИСКОВ_2023'!U127)</f>
        <v>#REF!</v>
      </c>
      <c r="Q100" t="str">
        <f>IF('РЕЕСТР РИСКОВ_2023'!V127="",Q99,'РЕЕСТР РИСКОВ_2023'!V127)</f>
        <v>Угрозы</v>
      </c>
      <c r="R100" t="str">
        <f>IF('РЕЕСТР РИСКОВ_2023'!W127="",R99,'РЕЕСТР РИСКОВ_2023'!W127)</f>
        <v xml:space="preserve">Коэффициент непланового ремонта локомотивов (количество случаев внепланового ремонта локомотивов по вине филиалов/на млн. км линейного пробега) </v>
      </c>
      <c r="S100">
        <f>'РЕЕСТР РИСКОВ_2023'!X127</f>
        <v>0</v>
      </c>
      <c r="T100" s="94">
        <f>IF('INHERENT MAP'!$B$5=2021,'РЕЕСТР РИСКОВ_2023'!Y127,IF('INHERENT MAP'!$B$5=2022,#REF!,IF('INHERENT MAP'!$B$5=2023,#REF!,IF('INHERENT MAP'!$B$5=2024,#REF!,#REF!))))</f>
        <v>0.8</v>
      </c>
      <c r="U100">
        <f>IF('INHERENT MAP'!$B$5=2021,'РЕЕСТР РИСКОВ_2023'!Z127,IF('INHERENT MAP'!$B$5=2022,#REF!,IF('INHERENT MAP'!$B$5=2023,#REF!,IF('INHERENT MAP'!$B$5=2024,#REF!,#REF!))))</f>
        <v>0</v>
      </c>
      <c r="V100">
        <f>IF('INHERENT MAP'!$B$5=2021,'РЕЕСТР РИСКОВ_2023'!AA127,IF('INHERENT MAP'!$B$5=2022,#REF!,IF('INHERENT MAP'!$B$5=2023,#REF!,IF('INHERENT MAP'!$B$5=2024,#REF!,#REF!))))</f>
        <v>0</v>
      </c>
      <c r="W100">
        <f>IF('INHERENT MAP'!$B$5=2021,'РЕЕСТР РИСКОВ_2023'!AB127,IF('INHERENT MAP'!$B$5=2022,#REF!,IF('INHERENT MAP'!$B$5=2023,#REF!,IF('INHERENT MAP'!$B$5=2024,#REF!,#REF!))))</f>
        <v>0</v>
      </c>
      <c r="X100" s="94">
        <f>IF('INHERENT MAP'!$B$5=2021,'РЕЕСТР РИСКОВ_2023'!AC127,IF('INHERENT MAP'!$B$5=2022,#REF!,IF('INHERENT MAP'!$B$5=2023,#REF!,IF('INHERENT MAP'!$B$5=2024,#REF!,#REF!))))</f>
        <v>0.41197943030932727</v>
      </c>
      <c r="Y100">
        <f>IF('INHERENT MAP'!$B$5=2021,'РЕЕСТР РИСКОВ_2023'!AD127,IF('INHERENT MAP'!$B$5=2022,#REF!,IF('INHERENT MAP'!$B$5=2023,#REF!,IF('INHERENT MAP'!$B$5=2024,#REF!,#REF!))))</f>
        <v>-1043.307</v>
      </c>
      <c r="Z100">
        <f>IF('INHERENT MAP'!$B$5=2021,'РЕЕСТР РИСКОВ_2023'!AE127,IF('INHERENT MAP'!$B$5=2022,#REF!,IF('INHERENT MAP'!$B$5=2023,#REF!,IF('INHERENT MAP'!$B$5=2024,#REF!,#REF!))))</f>
        <v>-429.82102349773334</v>
      </c>
      <c r="AA100">
        <f>IF('INHERENT MAP'!$B$5=2021,'РЕЕСТР РИСКОВ_2023'!AF127,IF('INHERENT MAP'!$B$5=2022,#REF!,IF('INHERENT MAP'!$B$5=2023,#REF!,IF('INHERENT MAP'!$B$5=2024,#REF!,#REF!))))</f>
        <v>0</v>
      </c>
      <c r="AB100">
        <f>IF('INHERENT MAP'!$B$5=2021,'РЕЕСТР РИСКОВ_2023'!AG127,IF('INHERENT MAP'!$B$5=2022,#REF!,IF('INHERENT MAP'!$B$5=2023,#REF!,IF('INHERENT MAP'!$B$5=2024,#REF!,#REF!))))</f>
        <v>0</v>
      </c>
      <c r="AC100">
        <f>IF('INHERENT MAP'!$B$5=2021,'РЕЕСТР РИСКОВ_2023'!AH127,IF('INHERENT MAP'!$B$5=2022,#REF!,IF('INHERENT MAP'!$B$5=2023,#REF!,IF('INHERENT MAP'!$B$5=2024,#REF!,#REF!))))</f>
        <v>0</v>
      </c>
      <c r="AD100" t="str">
        <f>IF('INHERENT MAP'!$B$5=2021,'РЕЕСТР РИСКОВ_2023'!AI127,IF('INHERENT MAP'!$B$5=2022,#REF!,IF('INHERENT MAP'!$B$5=2023,#REF!,IF('INHERENT MAP'!$B$5=2024,#REF!,#REF!))))</f>
        <v>1. проведение (внеплановых) проверок по соблюдению технологии ремонта подвижного состава на вагоноремонтных  предприятиях;       
2.исполнение Дорожной карты по решению проблемных вопросов долгосрочных договоров на плановые виды ремонта пассажирских вагонов с ТОО «Табыс» и его филиалами  
3. своевременное заключение договоров на выполнение планового ремонта пассажирских поездов; 
4. проведение круглого стола (рабочих встреч) с представителями вагоноремонтных предприятий, по обсуждению проблемных вопросов.          
Утверждение и исполнение Мероприятий по улучшению технического состояния и сокращению внепланового ремонта локомотивов; Утверждение и исполнение Мероприятий, направленных на улучшение технического состояния и сервисного обслуживания электровозов; Утверждение и исполнение Мероприятий по неисправностям на электровозах, повлекшие за собой задержки поездов; Повышение уровня знаний устройства локомотивов и навыков локомотивных бригад по выходу из нестандартных ситуаций и надлежащей эксплуатации и обслуживанию локомотивов.</v>
      </c>
      <c r="AE100" t="str">
        <f>IF('INHERENT MAP'!$B$5=2021,'РЕЕСТР РИСКОВ_2023'!AK127,IF('INHERENT MAP'!$B$5=2022,#REF!,IF('INHERENT MAP'!$B$5=2023,#REF!,IF('INHERENT MAP'!$B$5=2024,#REF!,#REF!))))</f>
        <v>АО "КТЖ-Грузовые перевозки"
АО "Қазтеміртранс"</v>
      </c>
      <c r="AF100">
        <f>IF('INHERENT MAP'!$B$5=2021,'РЕЕСТР РИСКОВ_2023'!AL127,IF('INHERENT MAP'!$B$5=2022,#REF!,IF('INHERENT MAP'!$B$5=2023,#REF!,IF('INHERENT MAP'!$B$5=2024,#REF!,#REF!))))</f>
        <v>0</v>
      </c>
      <c r="AG100" t="str">
        <f>IF('INHERENT MAP'!$B$5=2021,'РЕЕСТР РИСКОВ_2023'!AM127,IF('INHERENT MAP'!$B$5=2022,#REF!,IF('INHERENT MAP'!$B$5=2023,#REF!,IF('INHERENT MAP'!$B$5=2024,#REF!,#REF!))))</f>
        <v>средняя</v>
      </c>
      <c r="AH100">
        <f>IF('INHERENT MAP'!$B$5=2021,'РЕЕСТР РИСКОВ_2023'!AN127,IF('INHERENT MAP'!$B$5=2022,#REF!,IF('INHERENT MAP'!$B$5=2023,#REF!,IF('INHERENT MAP'!$B$5=2024,#REF!,#REF!))))</f>
        <v>0.4</v>
      </c>
      <c r="AI100">
        <f>IF('INHERENT MAP'!$B$5=2021,'РЕЕСТР РИСКОВ_2023'!AO127,IF('INHERENT MAP'!$B$5=2022,#REF!,IF('INHERENT MAP'!$B$5=2023,#REF!,IF('INHERENT MAP'!$B$5=2024,#REF!,#REF!))))</f>
        <v>0</v>
      </c>
      <c r="AJ100">
        <f>IF('INHERENT MAP'!$B$5=2021,'РЕЕСТР РИСКОВ_2023'!AP127,IF('INHERENT MAP'!$B$5=2022,#REF!,IF('INHERENT MAP'!$B$5=2023,#REF!,IF('INHERENT MAP'!$B$5=2024,#REF!,#REF!))))</f>
        <v>0</v>
      </c>
      <c r="AK100">
        <f>IF('РЕЕСТР РИСКОВ_2023'!AQ127="",AK99,'РЕЕСТР РИСКОВ_2023'!AQ127)</f>
        <v>0</v>
      </c>
      <c r="AL100">
        <f>IF('РЕЕСТР РИСКОВ_2023'!AR127="",AL99,'РЕЕСТР РИСКОВ_2023'!AR127)</f>
        <v>0.34626994297190561</v>
      </c>
      <c r="AM100">
        <f>IF('РЕЕСТР РИСКОВ_2023'!AS127="",AM99,'РЕЕСТР РИСКОВ_2023'!AS127)</f>
        <v>-55.792999999999999</v>
      </c>
      <c r="AN100">
        <f>IF('РЕЕСТР РИСКОВ_2023'!AT127="",AN99,'РЕЕСТР РИСКОВ_2023'!AT127)</f>
        <v>-19.319438928231531</v>
      </c>
      <c r="AO100" t="e">
        <f>IF('РЕЕСТР РИСКОВ_2023'!AU127="",AO99,'РЕЕСТР РИСКОВ_2023'!AU127)</f>
        <v>#REF!</v>
      </c>
    </row>
    <row r="101" spans="2:41">
      <c r="B101" t="str">
        <f>IF('INHERENT MAP'!$B$5=2021,IF('РЕЕСТР РИСКОВ_2023'!F128="",B100,'РЕЕСТР РИСКОВ_2023'!F128),IF('INHERENT MAP'!$B$5=2022,IF(#REF!="",B100,#REF!),IF('INHERENT MAP'!$B$5=2023,IF(#REF!="",B100,#REF!),IF('INHERENT MAP'!$B$5=2024,IF(#REF!="",B100,#REF!),IF('РЕЕСТР РИСКОВ_2023'!F128="",B100,'РЕЕСТР РИСКОВ_2023'!F128)))))</f>
        <v>ОПЕРАЦИОННЫЙ РИСК</v>
      </c>
      <c r="C101" t="e">
        <f>IF('INHERENT MAP'!$B$5=2021,IF('РЕЕСТР РИСКОВ_2023'!G128="",C100,'РЕЕСТР РИСКОВ_2023'!G128),IF('INHERENT MAP'!$B$5=2022,IF(#REF!="",C100,#REF!),IF('INHERENT MAP'!$B$5=2023,IF(#REF!="",C100,#REF!),IF('INHERENT MAP'!$B$5=2024,IF(#REF!="",C100,#REF!),IF('РЕЕСТР РИСКОВ_2023'!G128="",C100,'РЕЕСТР РИСКОВ_2023'!G128)))))</f>
        <v>#REF!</v>
      </c>
      <c r="D101" t="str">
        <f>IF('INHERENT MAP'!$B$5=2021,IF('РЕЕСТР РИСКОВ_2023'!H128="",D100,'РЕЕСТР РИСКОВ_2023'!H128),IF('INHERENT MAP'!$B$5=2022,IF(#REF!="",D100,#REF!),IF('INHERENT MAP'!$B$5=2023,IF(#REF!="",D100,#REF!),IF('INHERENT MAP'!$B$5=2024,IF(#REF!="",D100,#REF!),IF('РЕЕСТР РИСКОВ_2023'!H128="",D100,'РЕЕСТР РИСКОВ_2023'!H128)))))</f>
        <v>OR-2</v>
      </c>
      <c r="E101" t="str">
        <f>IF('INHERENT MAP'!$B$5=2021,IF('РЕЕСТР РИСКОВ_2023'!I128="",E100,'РЕЕСТР РИСКОВ_2023'!I128),IF('INHERENT MAP'!$B$5=2022,IF(#REF!="",E100,#REF!),IF('INHERENT MAP'!$B$5=2023,IF(#REF!="",E100,#REF!),IF('INHERENT MAP'!$B$5=2024,IF(#REF!="",E100,#REF!),IF('РЕЕСТР РИСКОВ_2023'!I128="",E100,'РЕЕСТР РИСКОВ_2023'!I128)))))</f>
        <v>ЦЗ-1</v>
      </c>
      <c r="F101" t="str">
        <f>IF('INHERENT MAP'!$B$5=2021,IF('РЕЕСТР РИСКОВ_2023'!J128="",F100,'РЕЕСТР РИСКОВ_2023'!J128),IF('INHERENT MAP'!$B$5=2022,IF(#REF!="",F100,#REF!),IF('INHERENT MAP'!$B$5=2023,IF(#REF!="",F100,#REF!),IF('INHERENT MAP'!$B$5=2024,IF(#REF!="",F100,#REF!),IF('РЕЕСТР РИСКОВ_2023'!J128="",F100,'РЕЕСТР РИСКОВ_2023'!J128)))))</f>
        <v>ТОО "КТЖ-Грузовые перевозки"</v>
      </c>
      <c r="G101" t="str">
        <f>IF('INHERENT MAP'!$B$5=2021,IF('РЕЕСТР РИСКОВ_2023'!K128="",G100,'РЕЕСТР РИСКОВ_2023'!K128),IF('INHERENT MAP'!$B$5=2022,IF(#REF!="",G100,#REF!),IF('INHERENT MAP'!$B$5=2023,IF(#REF!="",G100,#REF!),IF('INHERENT MAP'!$B$5=2024,IF(#REF!="",G100,#REF!),IF('РЕЕСТР РИСКОВ_2023'!K128="",G100,'РЕЕСТР РИСКОВ_2023'!K128)))))</f>
        <v>Профицит локомотивного парка в грузовом движении</v>
      </c>
      <c r="H101">
        <f>IF('INHERENT MAP'!$B$5=2021,'РЕЕСТР РИСКОВ_2023'!L128,IF('INHERENT MAP'!$B$5=2022,#REF!,IF('INHERENT MAP'!$B$5=2023,#REF!,IF('INHERENT MAP'!$B$5=2024,#REF!,#REF!))))</f>
        <v>0</v>
      </c>
      <c r="I101">
        <f>IF('INHERENT MAP'!$B$5=2021,'РЕЕСТР РИСКОВ_2023'!M128,IF('INHERENT MAP'!$B$5=2022,#REF!,IF('INHERENT MAP'!$B$5=2023,#REF!,IF('INHERENT MAP'!$B$5=2024,#REF!,#REF!))))</f>
        <v>0</v>
      </c>
      <c r="J101">
        <f>IF('INHERENT MAP'!$B$5=2021,'РЕЕСТР РИСКОВ_2023'!N128,IF('INHERENT MAP'!$B$5=2022,#REF!,IF('INHERENT MAP'!$B$5=2023,#REF!,IF('INHERENT MAP'!$B$5=2024,#REF!,#REF!))))</f>
        <v>0</v>
      </c>
      <c r="K101">
        <f>IF('INHERENT MAP'!$B$5=2021,'РЕЕСТР РИСКОВ_2023'!O128,IF('INHERENT MAP'!$B$5=2022,#REF!,IF('INHERENT MAP'!$B$5=2023,#REF!,IF('INHERENT MAP'!$B$5=2024,#REF!,#REF!))))</f>
        <v>0</v>
      </c>
      <c r="L101">
        <f>IF('INHERENT MAP'!$B$5=2021,'РЕЕСТР РИСКОВ_2023'!P128,IF('INHERENT MAP'!$B$5=2022,#REF!,IF('INHERENT MAP'!$B$5=2023,#REF!,IF('INHERENT MAP'!$B$5=2024,#REF!,#REF!))))</f>
        <v>0</v>
      </c>
      <c r="M101" t="str">
        <f>IF('INHERENT MAP'!$B$5=2021,IF('РЕЕСТР РИСКОВ_2023'!Q128="",M100,'РЕЕСТР РИСКОВ_2023'!Q128),IF('INHERENT MAP'!$B$5=2022,IF(#REF!="",M100,#REF!),IF('INHERENT MAP'!$B$5=2023,IF(#REF!="",M100,#REF!),IF('INHERENT MAP'!$B$5=2024,IF(#REF!="",M100,#REF!),IF('РЕЕСТР РИСКОВ_2023'!Q128="",M100,'РЕЕСТР РИСКОВ_2023'!Q128)))))</f>
        <v>Возникновение риска арбитражных разбирательтсв по контракту поставки восьмиосных магистральных электровозов KZ8A с компанией ALSTOM</v>
      </c>
      <c r="N101" t="e">
        <f>IF('INHERENT MAP'!$B$5=2021,IF('РЕЕСТР РИСКОВ_2023'!R128="",N100,'РЕЕСТР РИСКОВ_2023'!R128),IF('INHERENT MAP'!$B$5=2022,IF(#REF!="",N100,#REF!),IF('INHERENT MAP'!$B$5=2023,IF(#REF!="",N100,#REF!),IF('INHERENT MAP'!$B$5=2024,IF(#REF!="",N100,#REF!),IF('РЕЕСТР РИСКОВ_2023'!R128="",N100,'РЕЕСТР РИСКОВ_2023'!R128)))))</f>
        <v>#REF!</v>
      </c>
      <c r="O101">
        <f>'РЕЕСТР РИСКОВ_2023'!T128</f>
        <v>0</v>
      </c>
      <c r="P101" t="e">
        <f>IF('РЕЕСТР РИСКОВ_2023'!U128="",P100,'РЕЕСТР РИСКОВ_2023'!U128)</f>
        <v>#REF!</v>
      </c>
      <c r="Q101" t="str">
        <f>IF('РЕЕСТР РИСКОВ_2023'!V128="",Q100,'РЕЕСТР РИСКОВ_2023'!V128)</f>
        <v>Угрозы</v>
      </c>
      <c r="R101" t="str">
        <f>IF('РЕЕСТР РИСКОВ_2023'!W128="",R100,'РЕЕСТР РИСКОВ_2023'!W128)</f>
        <v xml:space="preserve">Коэффициент непланового ремонта локомотивов (количество случаев внепланового ремонта локомотивов по вине филиалов/на млн. км линейного пробега) </v>
      </c>
      <c r="S101">
        <f>'РЕЕСТР РИСКОВ_2023'!X128</f>
        <v>0</v>
      </c>
      <c r="T101" s="94">
        <f>IF('INHERENT MAP'!$B$5=2021,'РЕЕСТР РИСКОВ_2023'!Y128,IF('INHERENT MAP'!$B$5=2022,#REF!,IF('INHERENT MAP'!$B$5=2023,#REF!,IF('INHERENT MAP'!$B$5=2024,#REF!,#REF!))))</f>
        <v>0.05</v>
      </c>
      <c r="U101">
        <f>IF('INHERENT MAP'!$B$5=2021,'РЕЕСТР РИСКОВ_2023'!Z128,IF('INHERENT MAP'!$B$5=2022,#REF!,IF('INHERENT MAP'!$B$5=2023,#REF!,IF('INHERENT MAP'!$B$5=2024,#REF!,#REF!))))</f>
        <v>0</v>
      </c>
      <c r="V101">
        <f>IF('INHERENT MAP'!$B$5=2021,'РЕЕСТР РИСКОВ_2023'!AA128,IF('INHERENT MAP'!$B$5=2022,#REF!,IF('INHERENT MAP'!$B$5=2023,#REF!,IF('INHERENT MAP'!$B$5=2024,#REF!,#REF!))))</f>
        <v>0</v>
      </c>
      <c r="W101">
        <f>IF('INHERENT MAP'!$B$5=2021,'РЕЕСТР РИСКОВ_2023'!AB128,IF('INHERENT MAP'!$B$5=2022,#REF!,IF('INHERENT MAP'!$B$5=2023,#REF!,IF('INHERENT MAP'!$B$5=2024,#REF!,#REF!))))</f>
        <v>0</v>
      </c>
      <c r="X101" s="94">
        <f>IF('INHERENT MAP'!$B$5=2021,'РЕЕСТР РИСКОВ_2023'!AC128,IF('INHERENT MAP'!$B$5=2022,#REF!,IF('INHERENT MAP'!$B$5=2023,#REF!,IF('INHERENT MAP'!$B$5=2024,#REF!,#REF!))))</f>
        <v>0</v>
      </c>
      <c r="Y101">
        <f>IF('INHERENT MAP'!$B$5=2021,'РЕЕСТР РИСКОВ_2023'!AD128,IF('INHERENT MAP'!$B$5=2022,#REF!,IF('INHERENT MAP'!$B$5=2023,#REF!,IF('INHERENT MAP'!$B$5=2024,#REF!,#REF!))))</f>
        <v>0</v>
      </c>
      <c r="Z101">
        <f>IF('INHERENT MAP'!$B$5=2021,'РЕЕСТР РИСКОВ_2023'!AE128,IF('INHERENT MAP'!$B$5=2022,#REF!,IF('INHERENT MAP'!$B$5=2023,#REF!,IF('INHERENT MAP'!$B$5=2024,#REF!,#REF!))))</f>
        <v>0</v>
      </c>
      <c r="AA101">
        <f>IF('INHERENT MAP'!$B$5=2021,'РЕЕСТР РИСКОВ_2023'!AF128,IF('INHERENT MAP'!$B$5=2022,#REF!,IF('INHERENT MAP'!$B$5=2023,#REF!,IF('INHERENT MAP'!$B$5=2024,#REF!,#REF!))))</f>
        <v>0</v>
      </c>
      <c r="AB101">
        <f>IF('INHERENT MAP'!$B$5=2021,'РЕЕСТР РИСКОВ_2023'!AG128,IF('INHERENT MAP'!$B$5=2022,#REF!,IF('INHERENT MAP'!$B$5=2023,#REF!,IF('INHERENT MAP'!$B$5=2024,#REF!,#REF!))))</f>
        <v>0</v>
      </c>
      <c r="AC101">
        <f>IF('INHERENT MAP'!$B$5=2021,'РЕЕСТР РИСКОВ_2023'!AH128,IF('INHERENT MAP'!$B$5=2022,#REF!,IF('INHERENT MAP'!$B$5=2023,#REF!,IF('INHERENT MAP'!$B$5=2024,#REF!,#REF!))))</f>
        <v>0</v>
      </c>
      <c r="AD101">
        <f>IF('INHERENT MAP'!$B$5=2021,'РЕЕСТР РИСКОВ_2023'!AI128,IF('INHERENT MAP'!$B$5=2022,#REF!,IF('INHERENT MAP'!$B$5=2023,#REF!,IF('INHERENT MAP'!$B$5=2024,#REF!,#REF!))))</f>
        <v>0</v>
      </c>
      <c r="AE101">
        <f>IF('INHERENT MAP'!$B$5=2021,'РЕЕСТР РИСКОВ_2023'!AK128,IF('INHERENT MAP'!$B$5=2022,#REF!,IF('INHERENT MAP'!$B$5=2023,#REF!,IF('INHERENT MAP'!$B$5=2024,#REF!,#REF!))))</f>
        <v>0</v>
      </c>
      <c r="AF101">
        <f>IF('INHERENT MAP'!$B$5=2021,'РЕЕСТР РИСКОВ_2023'!AL128,IF('INHERENT MAP'!$B$5=2022,#REF!,IF('INHERENT MAP'!$B$5=2023,#REF!,IF('INHERENT MAP'!$B$5=2024,#REF!,#REF!))))</f>
        <v>0</v>
      </c>
      <c r="AG101">
        <f>IF('INHERENT MAP'!$B$5=2021,'РЕЕСТР РИСКОВ_2023'!AM128,IF('INHERENT MAP'!$B$5=2022,#REF!,IF('INHERENT MAP'!$B$5=2023,#REF!,IF('INHERENT MAP'!$B$5=2024,#REF!,#REF!))))</f>
        <v>0</v>
      </c>
      <c r="AH101">
        <f>IF('INHERENT MAP'!$B$5=2021,'РЕЕСТР РИСКОВ_2023'!AN128,IF('INHERENT MAP'!$B$5=2022,#REF!,IF('INHERENT MAP'!$B$5=2023,#REF!,IF('INHERENT MAP'!$B$5=2024,#REF!,#REF!))))</f>
        <v>0</v>
      </c>
      <c r="AI101">
        <f>IF('INHERENT MAP'!$B$5=2021,'РЕЕСТР РИСКОВ_2023'!AO128,IF('INHERENT MAP'!$B$5=2022,#REF!,IF('INHERENT MAP'!$B$5=2023,#REF!,IF('INHERENT MAP'!$B$5=2024,#REF!,#REF!))))</f>
        <v>0</v>
      </c>
      <c r="AJ101">
        <f>IF('INHERENT MAP'!$B$5=2021,'РЕЕСТР РИСКОВ_2023'!AP128,IF('INHERENT MAP'!$B$5=2022,#REF!,IF('INHERENT MAP'!$B$5=2023,#REF!,IF('INHERENT MAP'!$B$5=2024,#REF!,#REF!))))</f>
        <v>0</v>
      </c>
      <c r="AK101">
        <f>IF('РЕЕСТР РИСКОВ_2023'!AQ128="",AK100,'РЕЕСТР РИСКОВ_2023'!AQ128)</f>
        <v>0</v>
      </c>
      <c r="AL101">
        <f>IF('РЕЕСТР РИСКОВ_2023'!AR128="",AL100,'РЕЕСТР РИСКОВ_2023'!AR128)</f>
        <v>0.34626994297190561</v>
      </c>
      <c r="AM101">
        <f>IF('РЕЕСТР РИСКОВ_2023'!AS128="",AM100,'РЕЕСТР РИСКОВ_2023'!AS128)</f>
        <v>-55.792999999999999</v>
      </c>
      <c r="AN101">
        <f>IF('РЕЕСТР РИСКОВ_2023'!AT128="",AN100,'РЕЕСТР РИСКОВ_2023'!AT128)</f>
        <v>-19.319438928231531</v>
      </c>
      <c r="AO101" t="e">
        <f>IF('РЕЕСТР РИСКОВ_2023'!AU128="",AO100,'РЕЕСТР РИСКОВ_2023'!AU128)</f>
        <v>#REF!</v>
      </c>
    </row>
    <row r="102" spans="2:41">
      <c r="B102" t="str">
        <f>IF('INHERENT MAP'!$B$5=2021,IF('РЕЕСТР РИСКОВ_2023'!F129="",B101,'РЕЕСТР РИСКОВ_2023'!F129),IF('INHERENT MAP'!$B$5=2022,IF(#REF!="",B101,#REF!),IF('INHERENT MAP'!$B$5=2023,IF(#REF!="",B101,#REF!),IF('INHERENT MAP'!$B$5=2024,IF(#REF!="",B101,#REF!),IF('РЕЕСТР РИСКОВ_2023'!F129="",B101,'РЕЕСТР РИСКОВ_2023'!F129)))))</f>
        <v>ОПЕРАЦИОННЫЙ РИСК</v>
      </c>
      <c r="C102" t="e">
        <f>IF('INHERENT MAP'!$B$5=2021,IF('РЕЕСТР РИСКОВ_2023'!G129="",C101,'РЕЕСТР РИСКОВ_2023'!G129),IF('INHERENT MAP'!$B$5=2022,IF(#REF!="",C101,#REF!),IF('INHERENT MAP'!$B$5=2023,IF(#REF!="",C101,#REF!),IF('INHERENT MAP'!$B$5=2024,IF(#REF!="",C101,#REF!),IF('РЕЕСТР РИСКОВ_2023'!G129="",C101,'РЕЕСТР РИСКОВ_2023'!G129)))))</f>
        <v>#REF!</v>
      </c>
      <c r="D102" t="str">
        <f>IF('INHERENT MAP'!$B$5=2021,IF('РЕЕСТР РИСКОВ_2023'!H129="",D101,'РЕЕСТР РИСКОВ_2023'!H129),IF('INHERENT MAP'!$B$5=2022,IF(#REF!="",D101,#REF!),IF('INHERENT MAP'!$B$5=2023,IF(#REF!="",D101,#REF!),IF('INHERENT MAP'!$B$5=2024,IF(#REF!="",D101,#REF!),IF('РЕЕСТР РИСКОВ_2023'!H129="",D101,'РЕЕСТР РИСКОВ_2023'!H129)))))</f>
        <v>OR-3</v>
      </c>
      <c r="E102" t="str">
        <f>IF('INHERENT MAP'!$B$5=2021,IF('РЕЕСТР РИСКОВ_2023'!I129="",E101,'РЕЕСТР РИСКОВ_2023'!I129),IF('INHERENT MAP'!$B$5=2022,IF(#REF!="",E101,#REF!),IF('INHERENT MAP'!$B$5=2023,IF(#REF!="",E101,#REF!),IF('INHERENT MAP'!$B$5=2024,IF(#REF!="",E101,#REF!),IF('РЕЕСТР РИСКОВ_2023'!I129="",E101,'РЕЕСТР РИСКОВ_2023'!I129)))))</f>
        <v>ЦЗ-1</v>
      </c>
      <c r="F102" t="str">
        <f>IF('INHERENT MAP'!$B$5=2021,IF('РЕЕСТР РИСКОВ_2023'!J129="",F101,'РЕЕСТР РИСКОВ_2023'!J129),IF('INHERENT MAP'!$B$5=2022,IF(#REF!="",F101,#REF!),IF('INHERENT MAP'!$B$5=2023,IF(#REF!="",F101,#REF!),IF('INHERENT MAP'!$B$5=2024,IF(#REF!="",F101,#REF!),IF('РЕЕСТР РИСКОВ_2023'!J129="",F101,'РЕЕСТР РИСКОВ_2023'!J129)))))</f>
        <v>ТОО "КТЖ-Грузовые перевозки"</v>
      </c>
      <c r="G102" t="str">
        <f>IF('INHERENT MAP'!$B$5=2021,IF('РЕЕСТР РИСКОВ_2023'!K129="",G101,'РЕЕСТР РИСКОВ_2023'!K129),IF('INHERENT MAP'!$B$5=2022,IF(#REF!="",G101,#REF!),IF('INHERENT MAP'!$B$5=2023,IF(#REF!="",G101,#REF!),IF('INHERENT MAP'!$B$5=2024,IF(#REF!="",G101,#REF!),IF('РЕЕСТР РИСКОВ_2023'!K129="",G101,'РЕЕСТР РИСКОВ_2023'!K129)))))</f>
        <v>Дефицит локомотивного парка в грузовом движении</v>
      </c>
      <c r="H102">
        <f>IF('INHERENT MAP'!$B$5=2021,'РЕЕСТР РИСКОВ_2023'!L129,IF('INHERENT MAP'!$B$5=2022,#REF!,IF('INHERENT MAP'!$B$5=2023,#REF!,IF('INHERENT MAP'!$B$5=2024,#REF!,#REF!))))</f>
        <v>0</v>
      </c>
      <c r="I102">
        <f>IF('INHERENT MAP'!$B$5=2021,'РЕЕСТР РИСКОВ_2023'!M129,IF('INHERENT MAP'!$B$5=2022,#REF!,IF('INHERENT MAP'!$B$5=2023,#REF!,IF('INHERENT MAP'!$B$5=2024,#REF!,#REF!))))</f>
        <v>0</v>
      </c>
      <c r="J102">
        <f>IF('INHERENT MAP'!$B$5=2021,'РЕЕСТР РИСКОВ_2023'!N129,IF('INHERENT MAP'!$B$5=2022,#REF!,IF('INHERENT MAP'!$B$5=2023,#REF!,IF('INHERENT MAP'!$B$5=2024,#REF!,#REF!))))</f>
        <v>0</v>
      </c>
      <c r="K102">
        <f>IF('INHERENT MAP'!$B$5=2021,'РЕЕСТР РИСКОВ_2023'!O129,IF('INHERENT MAP'!$B$5=2022,#REF!,IF('INHERENT MAP'!$B$5=2023,#REF!,IF('INHERENT MAP'!$B$5=2024,#REF!,#REF!))))</f>
        <v>0</v>
      </c>
      <c r="L102">
        <f>IF('INHERENT MAP'!$B$5=2021,'РЕЕСТР РИСКОВ_2023'!P129,IF('INHERENT MAP'!$B$5=2022,#REF!,IF('INHERENT MAP'!$B$5=2023,#REF!,IF('INHERENT MAP'!$B$5=2024,#REF!,#REF!))))</f>
        <v>0</v>
      </c>
      <c r="M102" t="str">
        <f>IF('INHERENT MAP'!$B$5=2021,IF('РЕЕСТР РИСКОВ_2023'!Q129="",M101,'РЕЕСТР РИСКОВ_2023'!Q129),IF('INHERENT MAP'!$B$5=2022,IF(#REF!="",M101,#REF!),IF('INHERENT MAP'!$B$5=2023,IF(#REF!="",M101,#REF!),IF('INHERENT MAP'!$B$5=2024,IF(#REF!="",M101,#REF!),IF('РЕЕСТР РИСКОВ_2023'!Q129="",M101,'РЕЕСТР РИСКОВ_2023'!Q129)))))</f>
        <v>Возникновение риска арбитражных разбирательтсв по контракту поставки восьмиосных магистральных электровозов KZ8A с компанией ALSTOM</v>
      </c>
      <c r="N102" t="e">
        <f>IF('INHERENT MAP'!$B$5=2021,IF('РЕЕСТР РИСКОВ_2023'!R129="",N101,'РЕЕСТР РИСКОВ_2023'!R129),IF('INHERENT MAP'!$B$5=2022,IF(#REF!="",N101,#REF!),IF('INHERENT MAP'!$B$5=2023,IF(#REF!="",N101,#REF!),IF('INHERENT MAP'!$B$5=2024,IF(#REF!="",N101,#REF!),IF('РЕЕСТР РИСКОВ_2023'!R129="",N101,'РЕЕСТР РИСКОВ_2023'!R129)))))</f>
        <v>#REF!</v>
      </c>
      <c r="O102">
        <f>'РЕЕСТР РИСКОВ_2023'!T129</f>
        <v>0</v>
      </c>
      <c r="P102" t="e">
        <f>IF('РЕЕСТР РИСКОВ_2023'!U129="",P101,'РЕЕСТР РИСКОВ_2023'!U129)</f>
        <v>#REF!</v>
      </c>
      <c r="Q102" t="str">
        <f>IF('РЕЕСТР РИСКОВ_2023'!V129="",Q101,'РЕЕСТР РИСКОВ_2023'!V129)</f>
        <v>Угрозы</v>
      </c>
      <c r="R102" t="str">
        <f>IF('РЕЕСТР РИСКОВ_2023'!W129="",R101,'РЕЕСТР РИСКОВ_2023'!W129)</f>
        <v xml:space="preserve">Коэффициент непланового ремонта локомотивов (количество случаев внепланового ремонта локомотивов по вине филиалов/на млн. км линейного пробега) </v>
      </c>
      <c r="S102">
        <f>'РЕЕСТР РИСКОВ_2023'!X129</f>
        <v>0</v>
      </c>
      <c r="T102" s="94">
        <f>IF('INHERENT MAP'!$B$5=2021,'РЕЕСТР РИСКОВ_2023'!Y129,IF('INHERENT MAP'!$B$5=2022,#REF!,IF('INHERENT MAP'!$B$5=2023,#REF!,IF('INHERENT MAP'!$B$5=2024,#REF!,#REF!))))</f>
        <v>0.95</v>
      </c>
      <c r="U102">
        <f>IF('INHERENT MAP'!$B$5=2021,'РЕЕСТР РИСКОВ_2023'!Z129,IF('INHERENT MAP'!$B$5=2022,#REF!,IF('INHERENT MAP'!$B$5=2023,#REF!,IF('INHERENT MAP'!$B$5=2024,#REF!,#REF!))))</f>
        <v>0</v>
      </c>
      <c r="V102">
        <f>IF('INHERENT MAP'!$B$5=2021,'РЕЕСТР РИСКОВ_2023'!AA129,IF('INHERENT MAP'!$B$5=2022,#REF!,IF('INHERENT MAP'!$B$5=2023,#REF!,IF('INHERENT MAP'!$B$5=2024,#REF!,#REF!))))</f>
        <v>0</v>
      </c>
      <c r="W102">
        <f>IF('INHERENT MAP'!$B$5=2021,'РЕЕСТР РИСКОВ_2023'!AB129,IF('INHERENT MAP'!$B$5=2022,#REF!,IF('INHERENT MAP'!$B$5=2023,#REF!,IF('INHERENT MAP'!$B$5=2024,#REF!,#REF!))))</f>
        <v>0</v>
      </c>
      <c r="X102" s="94">
        <f>IF('INHERENT MAP'!$B$5=2021,'РЕЕСТР РИСКОВ_2023'!AC129,IF('INHERENT MAP'!$B$5=2022,#REF!,IF('INHERENT MAP'!$B$5=2023,#REF!,IF('INHERENT MAP'!$B$5=2024,#REF!,#REF!))))</f>
        <v>0</v>
      </c>
      <c r="Y102">
        <f>IF('INHERENT MAP'!$B$5=2021,'РЕЕСТР РИСКОВ_2023'!AD129,IF('INHERENT MAP'!$B$5=2022,#REF!,IF('INHERENT MAP'!$B$5=2023,#REF!,IF('INHERENT MAP'!$B$5=2024,#REF!,#REF!))))</f>
        <v>0</v>
      </c>
      <c r="Z102">
        <f>IF('INHERENT MAP'!$B$5=2021,'РЕЕСТР РИСКОВ_2023'!AE129,IF('INHERENT MAP'!$B$5=2022,#REF!,IF('INHERENT MAP'!$B$5=2023,#REF!,IF('INHERENT MAP'!$B$5=2024,#REF!,#REF!))))</f>
        <v>0</v>
      </c>
      <c r="AA102">
        <f>IF('INHERENT MAP'!$B$5=2021,'РЕЕСТР РИСКОВ_2023'!AF129,IF('INHERENT MAP'!$B$5=2022,#REF!,IF('INHERENT MAP'!$B$5=2023,#REF!,IF('INHERENT MAP'!$B$5=2024,#REF!,#REF!))))</f>
        <v>0</v>
      </c>
      <c r="AB102">
        <f>IF('INHERENT MAP'!$B$5=2021,'РЕЕСТР РИСКОВ_2023'!AG129,IF('INHERENT MAP'!$B$5=2022,#REF!,IF('INHERENT MAP'!$B$5=2023,#REF!,IF('INHERENT MAP'!$B$5=2024,#REF!,#REF!))))</f>
        <v>0</v>
      </c>
      <c r="AC102">
        <f>IF('INHERENT MAP'!$B$5=2021,'РЕЕСТР РИСКОВ_2023'!AH129,IF('INHERENT MAP'!$B$5=2022,#REF!,IF('INHERENT MAP'!$B$5=2023,#REF!,IF('INHERENT MAP'!$B$5=2024,#REF!,#REF!))))</f>
        <v>0</v>
      </c>
      <c r="AD102" t="str">
        <f>IF('INHERENT MAP'!$B$5=2021,'РЕЕСТР РИСКОВ_2023'!AI129,IF('INHERENT MAP'!$B$5=2022,#REF!,IF('INHERENT MAP'!$B$5=2023,#REF!,IF('INHERENT MAP'!$B$5=2024,#REF!,#REF!))))</f>
        <v xml:space="preserve">Электровозы 
За нарушение сроков поставки электровозов 3 партии удержана пеня в размере 1,57 млрд тенге.  3.08.2021 г. подписан протокол урегулирования спорных вопросов. 01.10. 2021 года в г. Нур-Султан с Alstom подписано дополнительное соглашение №23 закрепляющее следующие обязательства:
-уменьшение объемов закупаемого количества грузовых электровозов на 52 единицы;
- будет поставлена более современная и востребованная модель грузового  электровоза;
- снижение обязательств по долгосрочному договору на 140 млрд. тенге;
- стоимость новых электровозов снижена на 10%;
- стоимость сервисного обслуживания новых электровозов снижена на 10%;
- ЭКЗ (Alstom) предоставляет КТЖ «купон» на 6 млрд. тенге для дополнительных работ, оказываемых Alstom;
- размер первоначального авансового платежа снижен с 5% до 2%;
- экономический эффект для КТЖ от всех достигнутых договоренностей составит порядка 197 млрд. тенге.
27.10.2021 года произведена предоплата Партии 4 за локомотивы серии KZ4AТ №41-95 и KZ8A №101-150.
В связи с реорганизацией ТОО «КТЖ-ГП» путем выделения дочерней организации АО «НК «ҚТЖ» в лице ТОО «КТЖ-ПЛ» на основании решения Правления АО «НК «ҚТЖ» от 28 июня 2021 года (протокол № 02/22), в стадии согласования дополнительное соглашение №24 по разделению объемов договора.
Тепловозы
Провести совещания с компанией «Транспортейшн Глоубэл Эл-Эл-Си» по приобретению локомотивов в соответствии с плановой потребностью. Работникам ГП провести анализ эффективности привлечения третьих лиц к перевозкам грузов на определенных участках. Привести мероприятия по замещению локомотивами Товарищества на участках, обслуживаемыми третьими лицами. В частности замена локомотивов СКД-9С ТОО «ТТТ Сервис»       6 локомотивами ТЭ33 на участке «Достык-Алашанькоу».
</v>
      </c>
      <c r="AE102">
        <f>IF('INHERENT MAP'!$B$5=2021,'РЕЕСТР РИСКОВ_2023'!AK129,IF('INHERENT MAP'!$B$5=2022,#REF!,IF('INHERENT MAP'!$B$5=2023,#REF!,IF('INHERENT MAP'!$B$5=2024,#REF!,#REF!))))</f>
        <v>0</v>
      </c>
      <c r="AF102">
        <f>IF('INHERENT MAP'!$B$5=2021,'РЕЕСТР РИСКОВ_2023'!AL129,IF('INHERENT MAP'!$B$5=2022,#REF!,IF('INHERENT MAP'!$B$5=2023,#REF!,IF('INHERENT MAP'!$B$5=2024,#REF!,#REF!))))</f>
        <v>0</v>
      </c>
      <c r="AG102">
        <f>IF('INHERENT MAP'!$B$5=2021,'РЕЕСТР РИСКОВ_2023'!AM129,IF('INHERENT MAP'!$B$5=2022,#REF!,IF('INHERENT MAP'!$B$5=2023,#REF!,IF('INHERENT MAP'!$B$5=2024,#REF!,#REF!))))</f>
        <v>0</v>
      </c>
      <c r="AH102">
        <f>IF('INHERENT MAP'!$B$5=2021,'РЕЕСТР РИСКОВ_2023'!AN129,IF('INHERENT MAP'!$B$5=2022,#REF!,IF('INHERENT MAP'!$B$5=2023,#REF!,IF('INHERENT MAP'!$B$5=2024,#REF!,#REF!))))</f>
        <v>0</v>
      </c>
      <c r="AI102">
        <f>IF('INHERENT MAP'!$B$5=2021,'РЕЕСТР РИСКОВ_2023'!AO129,IF('INHERENT MAP'!$B$5=2022,#REF!,IF('INHERENT MAP'!$B$5=2023,#REF!,IF('INHERENT MAP'!$B$5=2024,#REF!,#REF!))))</f>
        <v>0</v>
      </c>
      <c r="AJ102">
        <f>IF('INHERENT MAP'!$B$5=2021,'РЕЕСТР РИСКОВ_2023'!AP129,IF('INHERENT MAP'!$B$5=2022,#REF!,IF('INHERENT MAP'!$B$5=2023,#REF!,IF('INHERENT MAP'!$B$5=2024,#REF!,#REF!))))</f>
        <v>0</v>
      </c>
      <c r="AK102">
        <f>IF('РЕЕСТР РИСКОВ_2023'!AQ129="",AK101,'РЕЕСТР РИСКОВ_2023'!AQ129)</f>
        <v>0</v>
      </c>
      <c r="AL102">
        <f>IF('РЕЕСТР РИСКОВ_2023'!AR129="",AL101,'РЕЕСТР РИСКОВ_2023'!AR129)</f>
        <v>0.34626994297190561</v>
      </c>
      <c r="AM102">
        <f>IF('РЕЕСТР РИСКОВ_2023'!AS129="",AM101,'РЕЕСТР РИСКОВ_2023'!AS129)</f>
        <v>-55.792999999999999</v>
      </c>
      <c r="AN102">
        <f>IF('РЕЕСТР РИСКОВ_2023'!AT129="",AN101,'РЕЕСТР РИСКОВ_2023'!AT129)</f>
        <v>-19.319438928231531</v>
      </c>
      <c r="AO102" t="e">
        <f>IF('РЕЕСТР РИСКОВ_2023'!AU129="",AO101,'РЕЕСТР РИСКОВ_2023'!AU129)</f>
        <v>#REF!</v>
      </c>
    </row>
    <row r="103" spans="2:41">
      <c r="B103" t="str">
        <f>IF('INHERENT MAP'!$B$5=2021,IF('РЕЕСТР РИСКОВ_2023'!F130="",B102,'РЕЕСТР РИСКОВ_2023'!F130),IF('INHERENT MAP'!$B$5=2022,IF(#REF!="",B102,#REF!),IF('INHERENT MAP'!$B$5=2023,IF(#REF!="",B102,#REF!),IF('INHERENT MAP'!$B$5=2024,IF(#REF!="",B102,#REF!),IF('РЕЕСТР РИСКОВ_2023'!F130="",B102,'РЕЕСТР РИСКОВ_2023'!F130)))))</f>
        <v>ОПЕРАЦИОННЫЙ РИСК</v>
      </c>
      <c r="C103" t="e">
        <f>IF('INHERENT MAP'!$B$5=2021,IF('РЕЕСТР РИСКОВ_2023'!G130="",C102,'РЕЕСТР РИСКОВ_2023'!G130),IF('INHERENT MAP'!$B$5=2022,IF(#REF!="",C102,#REF!),IF('INHERENT MAP'!$B$5=2023,IF(#REF!="",C102,#REF!),IF('INHERENT MAP'!$B$5=2024,IF(#REF!="",C102,#REF!),IF('РЕЕСТР РИСКОВ_2023'!G130="",C102,'РЕЕСТР РИСКОВ_2023'!G130)))))</f>
        <v>#REF!</v>
      </c>
      <c r="D103" t="str">
        <f>IF('INHERENT MAP'!$B$5=2021,IF('РЕЕСТР РИСКОВ_2023'!H130="",D102,'РЕЕСТР РИСКОВ_2023'!H130),IF('INHERENT MAP'!$B$5=2022,IF(#REF!="",D102,#REF!),IF('INHERENT MAP'!$B$5=2023,IF(#REF!="",D102,#REF!),IF('INHERENT MAP'!$B$5=2024,IF(#REF!="",D102,#REF!),IF('РЕЕСТР РИСКОВ_2023'!H130="",D102,'РЕЕСТР РИСКОВ_2023'!H130)))))</f>
        <v>OR-4</v>
      </c>
      <c r="E103" t="str">
        <f>IF('INHERENT MAP'!$B$5=2021,IF('РЕЕСТР РИСКОВ_2023'!I130="",E102,'РЕЕСТР РИСКОВ_2023'!I130),IF('INHERENT MAP'!$B$5=2022,IF(#REF!="",E102,#REF!),IF('INHERENT MAP'!$B$5=2023,IF(#REF!="",E102,#REF!),IF('INHERENT MAP'!$B$5=2024,IF(#REF!="",E102,#REF!),IF('РЕЕСТР РИСКОВ_2023'!I130="",E102,'РЕЕСТР РИСКОВ_2023'!I130)))))</f>
        <v>ЦЗ-1</v>
      </c>
      <c r="F103" t="str">
        <f>IF('INHERENT MAP'!$B$5=2021,IF('РЕЕСТР РИСКОВ_2023'!J130="",F102,'РЕЕСТР РИСКОВ_2023'!J130),IF('INHERENT MAP'!$B$5=2022,IF(#REF!="",F102,#REF!),IF('INHERENT MAP'!$B$5=2023,IF(#REF!="",F102,#REF!),IF('INHERENT MAP'!$B$5=2024,IF(#REF!="",F102,#REF!),IF('РЕЕСТР РИСКОВ_2023'!J130="",F102,'РЕЕСТР РИСКОВ_2023'!J130)))))</f>
        <v>ТОО "КТЖ-Грузовые перевозки" АО "Пассажирские перевозки"</v>
      </c>
      <c r="G103" t="str">
        <f>IF('INHERENT MAP'!$B$5=2021,IF('РЕЕСТР РИСКОВ_2023'!K130="",G102,'РЕЕСТР РИСКОВ_2023'!K130),IF('INHERENT MAP'!$B$5=2022,IF(#REF!="",G102,#REF!),IF('INHERENT MAP'!$B$5=2023,IF(#REF!="",G102,#REF!),IF('INHERENT MAP'!$B$5=2024,IF(#REF!="",G102,#REF!),IF('РЕЕСТР РИСКОВ_2023'!K130="",G102,'РЕЕСТР РИСКОВ_2023'!K130)))))</f>
        <v>Критический износ/дефицит пассажирских вагонов</v>
      </c>
      <c r="H103">
        <f>IF('INHERENT MAP'!$B$5=2021,'РЕЕСТР РИСКОВ_2023'!L130,IF('INHERENT MAP'!$B$5=2022,#REF!,IF('INHERENT MAP'!$B$5=2023,#REF!,IF('INHERENT MAP'!$B$5=2024,#REF!,#REF!))))</f>
        <v>0</v>
      </c>
      <c r="I103">
        <f>IF('INHERENT MAP'!$B$5=2021,'РЕЕСТР РИСКОВ_2023'!M130,IF('INHERENT MAP'!$B$5=2022,#REF!,IF('INHERENT MAP'!$B$5=2023,#REF!,IF('INHERENT MAP'!$B$5=2024,#REF!,#REF!))))</f>
        <v>0</v>
      </c>
      <c r="J103">
        <f>IF('INHERENT MAP'!$B$5=2021,'РЕЕСТР РИСКОВ_2023'!N130,IF('INHERENT MAP'!$B$5=2022,#REF!,IF('INHERENT MAP'!$B$5=2023,#REF!,IF('INHERENT MAP'!$B$5=2024,#REF!,#REF!))))</f>
        <v>0</v>
      </c>
      <c r="K103">
        <f>IF('INHERENT MAP'!$B$5=2021,'РЕЕСТР РИСКОВ_2023'!O130,IF('INHERENT MAP'!$B$5=2022,#REF!,IF('INHERENT MAP'!$B$5=2023,#REF!,IF('INHERENT MAP'!$B$5=2024,#REF!,#REF!))))</f>
        <v>0</v>
      </c>
      <c r="L103">
        <f>IF('INHERENT MAP'!$B$5=2021,'РЕЕСТР РИСКОВ_2023'!P130,IF('INHERENT MAP'!$B$5=2022,#REF!,IF('INHERENT MAP'!$B$5=2023,#REF!,IF('INHERENT MAP'!$B$5=2024,#REF!,#REF!))))</f>
        <v>0</v>
      </c>
      <c r="M103" t="str">
        <f>IF('INHERENT MAP'!$B$5=2021,IF('РЕЕСТР РИСКОВ_2023'!Q130="",M102,'РЕЕСТР РИСКОВ_2023'!Q130),IF('INHERENT MAP'!$B$5=2022,IF(#REF!="",M102,#REF!),IF('INHERENT MAP'!$B$5=2023,IF(#REF!="",M102,#REF!),IF('INHERENT MAP'!$B$5=2024,IF(#REF!="",M102,#REF!),IF('РЕЕСТР РИСКОВ_2023'!Q130="",M102,'РЕЕСТР РИСКОВ_2023'!Q130)))))</f>
        <v>Недостаточные объемы инвестирования в течение длительного периода.
Несвоевременное проведение плановых капитальных ремонтов
Отсутствиеобновления локомотивов, вагонного парка
Ежегодное выбытие пассажирских вагонов по истечению срока службы;
Нарушение сроков поставки новых вагонов в рамках заключенных договоров.</v>
      </c>
      <c r="N103" t="e">
        <f>IF('INHERENT MAP'!$B$5=2021,IF('РЕЕСТР РИСКОВ_2023'!R130="",N102,'РЕЕСТР РИСКОВ_2023'!R130),IF('INHERENT MAP'!$B$5=2022,IF(#REF!="",N102,#REF!),IF('INHERENT MAP'!$B$5=2023,IF(#REF!="",N102,#REF!),IF('INHERENT MAP'!$B$5=2024,IF(#REF!="",N102,#REF!),IF('РЕЕСТР РИСКОВ_2023'!R130="",N102,'РЕЕСТР РИСКОВ_2023'!R130)))))</f>
        <v>#REF!</v>
      </c>
      <c r="O103">
        <f>'РЕЕСТР РИСКОВ_2023'!T130</f>
        <v>0</v>
      </c>
      <c r="P103" t="e">
        <f>IF('РЕЕСТР РИСКОВ_2023'!U130="",P102,'РЕЕСТР РИСКОВ_2023'!U130)</f>
        <v>#REF!</v>
      </c>
      <c r="Q103" t="str">
        <f>IF('РЕЕСТР РИСКОВ_2023'!V130="",Q102,'РЕЕСТР РИСКОВ_2023'!V130)</f>
        <v>Слабые стороны</v>
      </c>
      <c r="R103" t="str">
        <f>IF('РЕЕСТР РИСКОВ_2023'!W130="",R102,'РЕЕСТР РИСКОВ_2023'!W130)</f>
        <v xml:space="preserve">Коэффициент непланового ремонта локомотивов (количество случаев внепланового ремонта локомотивов по вине филиалов/на млн. км линейного пробега) </v>
      </c>
      <c r="S103">
        <f>'РЕЕСТР РИСКОВ_2023'!X130</f>
        <v>0</v>
      </c>
      <c r="T103" s="94">
        <f>IF('INHERENT MAP'!$B$5=2021,'РЕЕСТР РИСКОВ_2023'!Y130,IF('INHERENT MAP'!$B$5=2022,#REF!,IF('INHERENT MAP'!$B$5=2023,#REF!,IF('INHERENT MAP'!$B$5=2024,#REF!,#REF!))))</f>
        <v>0.8</v>
      </c>
      <c r="U103">
        <f>IF('INHERENT MAP'!$B$5=2021,'РЕЕСТР РИСКОВ_2023'!Z130,IF('INHERENT MAP'!$B$5=2022,#REF!,IF('INHERENT MAP'!$B$5=2023,#REF!,IF('INHERENT MAP'!$B$5=2024,#REF!,#REF!))))</f>
        <v>0</v>
      </c>
      <c r="V103">
        <f>IF('INHERENT MAP'!$B$5=2021,'РЕЕСТР РИСКОВ_2023'!AA130,IF('INHERENT MAP'!$B$5=2022,#REF!,IF('INHERENT MAP'!$B$5=2023,#REF!,IF('INHERENT MAP'!$B$5=2024,#REF!,#REF!))))</f>
        <v>0</v>
      </c>
      <c r="W103">
        <f>IF('INHERENT MAP'!$B$5=2021,'РЕЕСТР РИСКОВ_2023'!AB130,IF('INHERENT MAP'!$B$5=2022,#REF!,IF('INHERENT MAP'!$B$5=2023,#REF!,IF('INHERENT MAP'!$B$5=2024,#REF!,#REF!))))</f>
        <v>0</v>
      </c>
      <c r="X103" s="94">
        <f>IF('INHERENT MAP'!$B$5=2021,'РЕЕСТР РИСКОВ_2023'!AC130,IF('INHERENT MAP'!$B$5=2022,#REF!,IF('INHERENT MAP'!$B$5=2023,#REF!,IF('INHERENT MAP'!$B$5=2024,#REF!,#REF!))))</f>
        <v>0</v>
      </c>
      <c r="Y103">
        <f>IF('INHERENT MAP'!$B$5=2021,'РЕЕСТР РИСКОВ_2023'!AD130,IF('INHERENT MAP'!$B$5=2022,#REF!,IF('INHERENT MAP'!$B$5=2023,#REF!,IF('INHERENT MAP'!$B$5=2024,#REF!,#REF!))))</f>
        <v>0</v>
      </c>
      <c r="Z103">
        <f>IF('INHERENT MAP'!$B$5=2021,'РЕЕСТР РИСКОВ_2023'!AE130,IF('INHERENT MAP'!$B$5=2022,#REF!,IF('INHERENT MAP'!$B$5=2023,#REF!,IF('INHERENT MAP'!$B$5=2024,#REF!,#REF!))))</f>
        <v>0</v>
      </c>
      <c r="AA103">
        <f>IF('INHERENT MAP'!$B$5=2021,'РЕЕСТР РИСКОВ_2023'!AF130,IF('INHERENT MAP'!$B$5=2022,#REF!,IF('INHERENT MAP'!$B$5=2023,#REF!,IF('INHERENT MAP'!$B$5=2024,#REF!,#REF!))))</f>
        <v>0</v>
      </c>
      <c r="AB103">
        <f>IF('INHERENT MAP'!$B$5=2021,'РЕЕСТР РИСКОВ_2023'!AG130,IF('INHERENT MAP'!$B$5=2022,#REF!,IF('INHERENT MAP'!$B$5=2023,#REF!,IF('INHERENT MAP'!$B$5=2024,#REF!,#REF!))))</f>
        <v>0</v>
      </c>
      <c r="AC103">
        <f>IF('INHERENT MAP'!$B$5=2021,'РЕЕСТР РИСКОВ_2023'!AH130,IF('INHERENT MAP'!$B$5=2022,#REF!,IF('INHERENT MAP'!$B$5=2023,#REF!,IF('INHERENT MAP'!$B$5=2024,#REF!,#REF!))))</f>
        <v>0</v>
      </c>
      <c r="AD103" t="str">
        <f>IF('INHERENT MAP'!$B$5=2021,'РЕЕСТР РИСКОВ_2023'!AI130,IF('INHERENT MAP'!$B$5=2022,#REF!,IF('INHERENT MAP'!$B$5=2023,#REF!,IF('INHERENT MAP'!$B$5=2024,#REF!,#REF!))))</f>
        <v xml:space="preserve">Исполнение мероприятий по снижению риска неисполнения инвестиционных проектов; Своевременное повышение тарифов на предоставляемые услуги до уровня, обеспечивающего покрытие текущих затрат и необходимого объема капитальных вложений; Капитальный ремонт локомотивного парка в соответствии с Планом капитальных вложений; Обновление локомотивного парка в соответствии с Планом капитальных вложений.                                                                                                                                                                             Утверждение и исполнение Мероприятий по улучшению технического состояния и сокращению внепланового ремонта локомотивов; Повышение уровня знаний устройства локомотивов и навыков локомотивных бригад по выходу из нестандартных ситуаций и надлежащей эксплуатации и обслуживанию локомотивов; Организация совещаний и семинаров совместно с Подрядными организациями направленные на улучшение технического состояния и повышения надежной работы локомотивов; Предъявление штрафов Подрядным организациям в связи с несодержанием установленног процента готовых локомотив; Требование к Подрядным организациям повышения квалификации ремонтного персонала, выполнения работ в соответствии технолгическому процессу ремонта локомотивов и локомотивного оборудования, обеспечения бесперебойной работы технолгической оснастки и диагностических комплексов, содержания потребно переходного запаса локомотивного оборудования и запасных частей; Постоянный контроль за текущей ситуацией ремонта локомотивов.                                                                                                         Просить АО "НК "КТЖ" об исключении или смягчений корпоративных процедур (Инвестком КТЖ, Совет директоров ГП, Праление ГП и КТЖ) одобрения заключения дополнительных соглашений к договорам сервисного обслуживания локомотивов в виду их длительного принятия решений, что в свою очередь влияет на несвоевременный закуп Подрядными организациями необходимых для ремонта локомотивов запасных частей. </v>
      </c>
      <c r="AE103" t="str">
        <f>IF('INHERENT MAP'!$B$5=2021,'РЕЕСТР РИСКОВ_2023'!AK130,IF('INHERENT MAP'!$B$5=2022,#REF!,IF('INHERENT MAP'!$B$5=2023,#REF!,IF('INHERENT MAP'!$B$5=2024,#REF!,#REF!))))</f>
        <v>АО "КТЖ-Грузовые перевозки" АО "Пассажирские перевозки"</v>
      </c>
      <c r="AF103">
        <f>IF('INHERENT MAP'!$B$5=2021,'РЕЕСТР РИСКОВ_2023'!AL130,IF('INHERENT MAP'!$B$5=2022,#REF!,IF('INHERENT MAP'!$B$5=2023,#REF!,IF('INHERENT MAP'!$B$5=2024,#REF!,#REF!))))</f>
        <v>0</v>
      </c>
      <c r="AG103" t="str">
        <f>IF('INHERENT MAP'!$B$5=2021,'РЕЕСТР РИСКОВ_2023'!AM130,IF('INHERENT MAP'!$B$5=2022,#REF!,IF('INHERENT MAP'!$B$5=2023,#REF!,IF('INHERENT MAP'!$B$5=2024,#REF!,#REF!))))</f>
        <v>низкая</v>
      </c>
      <c r="AH103">
        <f>IF('INHERENT MAP'!$B$5=2021,'РЕЕСТР РИСКОВ_2023'!AN130,IF('INHERENT MAP'!$B$5=2022,#REF!,IF('INHERENT MAP'!$B$5=2023,#REF!,IF('INHERENT MAP'!$B$5=2024,#REF!,#REF!))))</f>
        <v>0.8</v>
      </c>
      <c r="AI103">
        <f>IF('INHERENT MAP'!$B$5=2021,'РЕЕСТР РИСКОВ_2023'!AO130,IF('INHERENT MAP'!$B$5=2022,#REF!,IF('INHERENT MAP'!$B$5=2023,#REF!,IF('INHERENT MAP'!$B$5=2024,#REF!,#REF!))))</f>
        <v>0</v>
      </c>
      <c r="AJ103">
        <f>IF('INHERENT MAP'!$B$5=2021,'РЕЕСТР РИСКОВ_2023'!AP130,IF('INHERENT MAP'!$B$5=2022,#REF!,IF('INHERENT MAP'!$B$5=2023,#REF!,IF('INHERENT MAP'!$B$5=2024,#REF!,#REF!))))</f>
        <v>0</v>
      </c>
      <c r="AK103">
        <f>IF('РЕЕСТР РИСКОВ_2023'!AQ130="",AK102,'РЕЕСТР РИСКОВ_2023'!AQ130)</f>
        <v>0</v>
      </c>
      <c r="AL103">
        <f>IF('РЕЕСТР РИСКОВ_2023'!AR130="",AL102,'РЕЕСТР РИСКОВ_2023'!AR130)</f>
        <v>0.34626994297190561</v>
      </c>
      <c r="AM103">
        <f>IF('РЕЕСТР РИСКОВ_2023'!AS130="",AM102,'РЕЕСТР РИСКОВ_2023'!AS130)</f>
        <v>-55.792999999999999</v>
      </c>
      <c r="AN103">
        <f>IF('РЕЕСТР РИСКОВ_2023'!AT130="",AN102,'РЕЕСТР РИСКОВ_2023'!AT130)</f>
        <v>-19.319438928231531</v>
      </c>
      <c r="AO103" t="e">
        <f>IF('РЕЕСТР РИСКОВ_2023'!AU130="",AO102,'РЕЕСТР РИСКОВ_2023'!AU130)</f>
        <v>#REF!</v>
      </c>
    </row>
    <row r="104" spans="2:41">
      <c r="B104" t="str">
        <f>IF('INHERENT MAP'!$B$5=2021,IF('РЕЕСТР РИСКОВ_2023'!F131="",B103,'РЕЕСТР РИСКОВ_2023'!F131),IF('INHERENT MAP'!$B$5=2022,IF(#REF!="",B103,#REF!),IF('INHERENT MAP'!$B$5=2023,IF(#REF!="",B103,#REF!),IF('INHERENT MAP'!$B$5=2024,IF(#REF!="",B103,#REF!),IF('РЕЕСТР РИСКОВ_2023'!F131="",B103,'РЕЕСТР РИСКОВ_2023'!F131)))))</f>
        <v>ОПЕРАЦИОННЫЙ РИСК</v>
      </c>
      <c r="C104" t="e">
        <f>IF('INHERENT MAP'!$B$5=2021,IF('РЕЕСТР РИСКОВ_2023'!G131="",C103,'РЕЕСТР РИСКОВ_2023'!G131),IF('INHERENT MAP'!$B$5=2022,IF(#REF!="",C103,#REF!),IF('INHERENT MAP'!$B$5=2023,IF(#REF!="",C103,#REF!),IF('INHERENT MAP'!$B$5=2024,IF(#REF!="",C103,#REF!),IF('РЕЕСТР РИСКОВ_2023'!G131="",C103,'РЕЕСТР РИСКОВ_2023'!G131)))))</f>
        <v>#REF!</v>
      </c>
      <c r="D104" t="str">
        <f>IF('INHERENT MAP'!$B$5=2021,IF('РЕЕСТР РИСКОВ_2023'!H131="",D103,'РЕЕСТР РИСКОВ_2023'!H131),IF('INHERENT MAP'!$B$5=2022,IF(#REF!="",D103,#REF!),IF('INHERENT MAP'!$B$5=2023,IF(#REF!="",D103,#REF!),IF('INHERENT MAP'!$B$5=2024,IF(#REF!="",D103,#REF!),IF('РЕЕСТР РИСКОВ_2023'!H131="",D103,'РЕЕСТР РИСКОВ_2023'!H131)))))</f>
        <v>OR-5</v>
      </c>
      <c r="E104" t="str">
        <f>IF('INHERENT MAP'!$B$5=2021,IF('РЕЕСТР РИСКОВ_2023'!I131="",E103,'РЕЕСТР РИСКОВ_2023'!I131),IF('INHERENT MAP'!$B$5=2022,IF(#REF!="",E103,#REF!),IF('INHERENT MAP'!$B$5=2023,IF(#REF!="",E103,#REF!),IF('INHERENT MAP'!$B$5=2024,IF(#REF!="",E103,#REF!),IF('РЕЕСТР РИСКОВ_2023'!I131="",E103,'РЕЕСТР РИСКОВ_2023'!I131)))))</f>
        <v>ЦЗ-1</v>
      </c>
      <c r="F104" t="str">
        <f>IF('INHERENT MAP'!$B$5=2021,IF('РЕЕСТР РИСКОВ_2023'!J131="",F103,'РЕЕСТР РИСКОВ_2023'!J131),IF('INHERENT MAP'!$B$5=2022,IF(#REF!="",F103,#REF!),IF('INHERENT MAP'!$B$5=2023,IF(#REF!="",F103,#REF!),IF('INHERENT MAP'!$B$5=2024,IF(#REF!="",F103,#REF!),IF('РЕЕСТР РИСКОВ_2023'!J131="",F103,'РЕЕСТР РИСКОВ_2023'!J131)))))</f>
        <v>ТОО "КТЖ-Грузовые перевозки",АО "ВЖДО"</v>
      </c>
      <c r="G104" t="str">
        <f>IF('INHERENT MAP'!$B$5=2021,IF('РЕЕСТР РИСКОВ_2023'!K131="",G103,'РЕЕСТР РИСКОВ_2023'!K131),IF('INHERENT MAP'!$B$5=2022,IF(#REF!="",G103,#REF!),IF('INHERENT MAP'!$B$5=2023,IF(#REF!="",G103,#REF!),IF('INHERENT MAP'!$B$5=2024,IF(#REF!="",G103,#REF!),IF('РЕЕСТР РИСКОВ_2023'!K131="",G103,'РЕЕСТР РИСКОВ_2023'!K131)))))</f>
        <v>Несохранность груза</v>
      </c>
      <c r="H104">
        <f>IF('INHERENT MAP'!$B$5=2021,'РЕЕСТР РИСКОВ_2023'!L131,IF('INHERENT MAP'!$B$5=2022,#REF!,IF('INHERENT MAP'!$B$5=2023,#REF!,IF('INHERENT MAP'!$B$5=2024,#REF!,#REF!))))</f>
        <v>0</v>
      </c>
      <c r="I104">
        <f>IF('INHERENT MAP'!$B$5=2021,'РЕЕСТР РИСКОВ_2023'!M131,IF('INHERENT MAP'!$B$5=2022,#REF!,IF('INHERENT MAP'!$B$5=2023,#REF!,IF('INHERENT MAP'!$B$5=2024,#REF!,#REF!))))</f>
        <v>0</v>
      </c>
      <c r="J104">
        <f>IF('INHERENT MAP'!$B$5=2021,'РЕЕСТР РИСКОВ_2023'!N131,IF('INHERENT MAP'!$B$5=2022,#REF!,IF('INHERENT MAP'!$B$5=2023,#REF!,IF('INHERENT MAP'!$B$5=2024,#REF!,#REF!))))</f>
        <v>0</v>
      </c>
      <c r="K104">
        <f>IF('INHERENT MAP'!$B$5=2021,'РЕЕСТР РИСКОВ_2023'!O131,IF('INHERENT MAP'!$B$5=2022,#REF!,IF('INHERENT MAP'!$B$5=2023,#REF!,IF('INHERENT MAP'!$B$5=2024,#REF!,#REF!))))</f>
        <v>0</v>
      </c>
      <c r="L104">
        <f>IF('INHERENT MAP'!$B$5=2021,'РЕЕСТР РИСКОВ_2023'!P131,IF('INHERENT MAP'!$B$5=2022,#REF!,IF('INHERENT MAP'!$B$5=2023,#REF!,IF('INHERENT MAP'!$B$5=2024,#REF!,#REF!))))</f>
        <v>0</v>
      </c>
      <c r="M104" t="str">
        <f>IF('INHERENT MAP'!$B$5=2021,IF('РЕЕСТР РИСКОВ_2023'!Q131="",M103,'РЕЕСТР РИСКОВ_2023'!Q131),IF('INHERENT MAP'!$B$5=2022,IF(#REF!="",M103,#REF!),IF('INHERENT MAP'!$B$5=2023,IF(#REF!="",M103,#REF!),IF('INHERENT MAP'!$B$5=2024,IF(#REF!="",M103,#REF!),IF('РЕЕСТР РИСКОВ_2023'!Q131="",M103,'РЕЕСТР РИСКОВ_2023'!Q131)))))</f>
        <v xml:space="preserve">Ненадлежащее сопровождение номенклатурных грузов, нарушение условий перегруза грузов из вагона КНР в вагоны КЗХ на пограничной станции Достык, Алтынколь, некачественный просчет количества мест при перегрузе гузов из вагона КНР в вагоны КЗХ на пограничной станции Достык, Алтынколь, утрата, порча и повреждение вследствие крушений, аварий и пожаров
</v>
      </c>
      <c r="N104" t="str">
        <f>IF('INHERENT MAP'!$B$5=2021,IF('РЕЕСТР РИСКОВ_2023'!R131="",N103,'РЕЕСТР РИСКОВ_2023'!R131),IF('INHERENT MAP'!$B$5=2022,IF(#REF!="",N103,#REF!),IF('INHERENT MAP'!$B$5=2023,IF(#REF!="",N103,#REF!),IF('INHERENT MAP'!$B$5=2024,IF(#REF!="",N103,#REF!),IF('РЕЕСТР РИСКОВ_2023'!R131="",N103,'РЕЕСТР РИСКОВ_2023'!R131)))))</f>
        <v>Ненадлежащее исполнение условия договора. Исполнение должностных обязанностей не на должном уровне. Некачественная организация грузовой и коммерческой работы (пропуск коммерческого брака  пунктами коммерческого осмотра (ПКО), некачественное оформление актовых материалов, недостоверный просчет количества мест при перегрузе и др.).</v>
      </c>
      <c r="O104">
        <f>'РЕЕСТР РИСКОВ_2023'!T131</f>
        <v>0</v>
      </c>
      <c r="P104" t="e">
        <f>IF('РЕЕСТР РИСКОВ_2023'!U131="",P103,'РЕЕСТР РИСКОВ_2023'!U131)</f>
        <v>#REF!</v>
      </c>
      <c r="Q104" t="str">
        <f>IF('РЕЕСТР РИСКОВ_2023'!V131="",Q103,'РЕЕСТР РИСКОВ_2023'!V131)</f>
        <v>Слабые стороны</v>
      </c>
      <c r="R104" t="str">
        <f>IF('РЕЕСТР РИСКОВ_2023'!W131="",R103,'РЕЕСТР РИСКОВ_2023'!W131)</f>
        <v>Сумма ущербов по несохранности грузов по факту оплаты, на основе предъявленных претензий, в млн.тенге</v>
      </c>
      <c r="S104">
        <f>'РЕЕСТР РИСКОВ_2023'!X131</f>
        <v>0</v>
      </c>
      <c r="T104" s="94">
        <f>IF('INHERENT MAP'!$B$5=2021,'РЕЕСТР РИСКОВ_2023'!Y131,IF('INHERENT MAP'!$B$5=2022,#REF!,IF('INHERENT MAP'!$B$5=2023,#REF!,IF('INHERENT MAP'!$B$5=2024,#REF!,#REF!))))</f>
        <v>0.8</v>
      </c>
      <c r="U104">
        <f>IF('INHERENT MAP'!$B$5=2021,'РЕЕСТР РИСКОВ_2023'!Z131,IF('INHERENT MAP'!$B$5=2022,#REF!,IF('INHERENT MAP'!$B$5=2023,#REF!,IF('INHERENT MAP'!$B$5=2024,#REF!,#REF!))))</f>
        <v>-65</v>
      </c>
      <c r="V104">
        <f>IF('INHERENT MAP'!$B$5=2021,'РЕЕСТР РИСКОВ_2023'!AA131,IF('INHERENT MAP'!$B$5=2022,#REF!,IF('INHERENT MAP'!$B$5=2023,#REF!,IF('INHERENT MAP'!$B$5=2024,#REF!,#REF!))))</f>
        <v>-52</v>
      </c>
      <c r="W104">
        <f>IF('INHERENT MAP'!$B$5=2021,'РЕЕСТР РИСКОВ_2023'!AB131,IF('INHERENT MAP'!$B$5=2022,#REF!,IF('INHERENT MAP'!$B$5=2023,#REF!,IF('INHERENT MAP'!$B$5=2024,#REF!,#REF!))))</f>
        <v>0</v>
      </c>
      <c r="X104" s="94">
        <f>IF('INHERENT MAP'!$B$5=2021,'РЕЕСТР РИСКОВ_2023'!AC131,IF('INHERENT MAP'!$B$5=2022,#REF!,IF('INHERENT MAP'!$B$5=2023,#REF!,IF('INHERENT MAP'!$B$5=2024,#REF!,#REF!))))</f>
        <v>0</v>
      </c>
      <c r="Y104">
        <f>IF('INHERENT MAP'!$B$5=2021,'РЕЕСТР РИСКОВ_2023'!AD131,IF('INHERENT MAP'!$B$5=2022,#REF!,IF('INHERENT MAP'!$B$5=2023,#REF!,IF('INHERENT MAP'!$B$5=2024,#REF!,#REF!))))</f>
        <v>0</v>
      </c>
      <c r="Z104">
        <f>IF('INHERENT MAP'!$B$5=2021,'РЕЕСТР РИСКОВ_2023'!AE131,IF('INHERENT MAP'!$B$5=2022,#REF!,IF('INHERENT MAP'!$B$5=2023,#REF!,IF('INHERENT MAP'!$B$5=2024,#REF!,#REF!))))</f>
        <v>0</v>
      </c>
      <c r="AA104">
        <f>IF('INHERENT MAP'!$B$5=2021,'РЕЕСТР РИСКОВ_2023'!AF131,IF('INHERENT MAP'!$B$5=2022,#REF!,IF('INHERENT MAP'!$B$5=2023,#REF!,IF('INHERENT MAP'!$B$5=2024,#REF!,#REF!))))</f>
        <v>0</v>
      </c>
      <c r="AB104">
        <f>IF('INHERENT MAP'!$B$5=2021,'РЕЕСТР РИСКОВ_2023'!AG131,IF('INHERENT MAP'!$B$5=2022,#REF!,IF('INHERENT MAP'!$B$5=2023,#REF!,IF('INHERENT MAP'!$B$5=2024,#REF!,#REF!))))</f>
        <v>0</v>
      </c>
      <c r="AC104">
        <f>IF('INHERENT MAP'!$B$5=2021,'РЕЕСТР РИСКОВ_2023'!AH131,IF('INHERENT MAP'!$B$5=2022,#REF!,IF('INHERENT MAP'!$B$5=2023,#REF!,IF('INHERENT MAP'!$B$5=2024,#REF!,#REF!))))</f>
        <v>0</v>
      </c>
      <c r="AD104" t="str">
        <f>IF('INHERENT MAP'!$B$5=2021,'РЕЕСТР РИСКОВ_2023'!AI131,IF('INHERENT MAP'!$B$5=2022,#REF!,IF('INHERENT MAP'!$B$5=2023,#REF!,IF('INHERENT MAP'!$B$5=2024,#REF!,#REF!))))</f>
        <v xml:space="preserve">Разработка Планов мероприятий по повышению уровня обеспечения сохранности грузов;
Проведение Месячников по обеспечению сохранности перевозимых грузов совместно с группой Компанией  и  работниками правоохранительных органов; для обеспечения сохранности груза на должном уровне  внедрять новые технологии охраны номенклатурных грузов;                                                                                                                                            
усилить пропускной режим  в парках станции, рабочих зонах, перегрузочных терминалах пограничных станции Достык, Алтынколь,  участков Достык-Саяк, Достык-Матай, на криминогенных участках проводить работу по установке ограждений,  тем самым создавать препятствия для подъезда автотранспорта   для совершения краж из вагонов,                                                                                        Своевременное и качественное расследование допущенных случаев утраты, порчи, повреждении грузов  вследствие  нарушений безопасности движения в поездной и маневровой работ.                                                                                                                                    Разработка корректирующих мероприятий, направленных   на своевременное выявление неисправности и качественное обслуживание подвижного состава,                                                                                                                                                                                             на поддержание содержания пути в соответствии с требованиям нормативно-правовых актов РК.                                                                                                                                                                                                                                                                                                                                            оснастить  промышленными видеорегистраторами кабины локомотитвов, обслуживающих уастки Достык-Саяк, Достык-Матай, Алтынколь-Алматы.                                                                                                                                                                                                                                                                                                                                                                                                                                                                                                                                                                                                                                                                                                                                                                                                                                                                                                                                                                                                                                                                                                                                             </v>
      </c>
      <c r="AE104" t="str">
        <f>IF('INHERENT MAP'!$B$5=2021,'РЕЕСТР РИСКОВ_2023'!AK131,IF('INHERENT MAP'!$B$5=2022,#REF!,IF('INHERENT MAP'!$B$5=2023,#REF!,IF('INHERENT MAP'!$B$5=2024,#REF!,#REF!))))</f>
        <v>АО "КТЖ-Грузовые перевозки",АО "ВЖДО"</v>
      </c>
      <c r="AF104">
        <f>IF('INHERENT MAP'!$B$5=2021,'РЕЕСТР РИСКОВ_2023'!AL131,IF('INHERENT MAP'!$B$5=2022,#REF!,IF('INHERENT MAP'!$B$5=2023,#REF!,IF('INHERENT MAP'!$B$5=2024,#REF!,#REF!))))</f>
        <v>0</v>
      </c>
      <c r="AG104" t="str">
        <f>IF('INHERENT MAP'!$B$5=2021,'РЕЕСТР РИСКОВ_2023'!AM131,IF('INHERENT MAP'!$B$5=2022,#REF!,IF('INHERENT MAP'!$B$5=2023,#REF!,IF('INHERENT MAP'!$B$5=2024,#REF!,#REF!))))</f>
        <v>средняя</v>
      </c>
      <c r="AH104">
        <f>IF('INHERENT MAP'!$B$5=2021,'РЕЕСТР РИСКОВ_2023'!AN131,IF('INHERENT MAP'!$B$5=2022,#REF!,IF('INHERENT MAP'!$B$5=2023,#REF!,IF('INHERENT MAP'!$B$5=2024,#REF!,#REF!))))</f>
        <v>0.4</v>
      </c>
      <c r="AI104">
        <f>IF('INHERENT MAP'!$B$5=2021,'РЕЕСТР РИСКОВ_2023'!AO131,IF('INHERENT MAP'!$B$5=2022,#REF!,IF('INHERENT MAP'!$B$5=2023,#REF!,IF('INHERENT MAP'!$B$5=2024,#REF!,#REF!))))</f>
        <v>-32.5</v>
      </c>
      <c r="AJ104">
        <f>IF('INHERENT MAP'!$B$5=2021,'РЕЕСТР РИСКОВ_2023'!AP131,IF('INHERENT MAP'!$B$5=2022,#REF!,IF('INHERENT MAP'!$B$5=2023,#REF!,IF('INHERENT MAP'!$B$5=2024,#REF!,#REF!))))</f>
        <v>-13</v>
      </c>
      <c r="AK104">
        <f>IF('РЕЕСТР РИСКОВ_2023'!AQ131="",AK103,'РЕЕСТР РИСКОВ_2023'!AQ131)</f>
        <v>-26</v>
      </c>
      <c r="AL104">
        <f>IF('РЕЕСТР РИСКОВ_2023'!AR131="",AL103,'РЕЕСТР РИСКОВ_2023'!AR131)</f>
        <v>0.34626994297190561</v>
      </c>
      <c r="AM104">
        <f>IF('РЕЕСТР РИСКОВ_2023'!AS131="",AM103,'РЕЕСТР РИСКОВ_2023'!AS131)</f>
        <v>-55.792999999999999</v>
      </c>
      <c r="AN104">
        <f>IF('РЕЕСТР РИСКОВ_2023'!AT131="",AN103,'РЕЕСТР РИСКОВ_2023'!AT131)</f>
        <v>-19.319438928231531</v>
      </c>
      <c r="AO104" t="e">
        <f>IF('РЕЕСТР РИСКОВ_2023'!AU131="",AO103,'РЕЕСТР РИСКОВ_2023'!AU131)</f>
        <v>#REF!</v>
      </c>
    </row>
    <row r="105" spans="2:41">
      <c r="B105" t="str">
        <f>IF('INHERENT MAP'!$B$5=2021,IF('РЕЕСТР РИСКОВ_2023'!F132="",B104,'РЕЕСТР РИСКОВ_2023'!F132),IF('INHERENT MAP'!$B$5=2022,IF(#REF!="",B104,#REF!),IF('INHERENT MAP'!$B$5=2023,IF(#REF!="",B104,#REF!),IF('INHERENT MAP'!$B$5=2024,IF(#REF!="",B104,#REF!),IF('РЕЕСТР РИСКОВ_2023'!F132="",B104,'РЕЕСТР РИСКОВ_2023'!F132)))))</f>
        <v>ОПЕРАЦИОННЫЙ РИСК</v>
      </c>
      <c r="C105" t="e">
        <f>IF('INHERENT MAP'!$B$5=2021,IF('РЕЕСТР РИСКОВ_2023'!G132="",C104,'РЕЕСТР РИСКОВ_2023'!G132),IF('INHERENT MAP'!$B$5=2022,IF(#REF!="",C104,#REF!),IF('INHERENT MAP'!$B$5=2023,IF(#REF!="",C104,#REF!),IF('INHERENT MAP'!$B$5=2024,IF(#REF!="",C104,#REF!),IF('РЕЕСТР РИСКОВ_2023'!G132="",C104,'РЕЕСТР РИСКОВ_2023'!G132)))))</f>
        <v>#REF!</v>
      </c>
      <c r="D105" t="str">
        <f>IF('INHERENT MAP'!$B$5=2021,IF('РЕЕСТР РИСКОВ_2023'!H132="",D104,'РЕЕСТР РИСКОВ_2023'!H132),IF('INHERENT MAP'!$B$5=2022,IF(#REF!="",D104,#REF!),IF('INHERENT MAP'!$B$5=2023,IF(#REF!="",D104,#REF!),IF('INHERENT MAP'!$B$5=2024,IF(#REF!="",D104,#REF!),IF('РЕЕСТР РИСКОВ_2023'!H132="",D104,'РЕЕСТР РИСКОВ_2023'!H132)))))</f>
        <v>OR-6</v>
      </c>
      <c r="E105" t="str">
        <f>IF('INHERENT MAP'!$B$5=2021,IF('РЕЕСТР РИСКОВ_2023'!I132="",E104,'РЕЕСТР РИСКОВ_2023'!I132),IF('INHERENT MAP'!$B$5=2022,IF(#REF!="",E104,#REF!),IF('INHERENT MAP'!$B$5=2023,IF(#REF!="",E104,#REF!),IF('INHERENT MAP'!$B$5=2024,IF(#REF!="",E104,#REF!),IF('РЕЕСТР РИСКОВ_2023'!I132="",E104,'РЕЕСТР РИСКОВ_2023'!I132)))))</f>
        <v>Ц</v>
      </c>
      <c r="F105" t="str">
        <f>IF('INHERENT MAP'!$B$5=2021,IF('РЕЕСТР РИСКОВ_2023'!J132="",F104,'РЕЕСТР РИСКОВ_2023'!J132),IF('INHERENT MAP'!$B$5=2022,IF(#REF!="",F104,#REF!),IF('INHERENT MAP'!$B$5=2023,IF(#REF!="",F104,#REF!),IF('INHERENT MAP'!$B$5=2024,IF(#REF!="",F104,#REF!),IF('РЕЕСТР РИСКОВ_2023'!J132="",F104,'РЕЕСТР РИСКОВ_2023'!J132)))))</f>
        <v>Структурные подразделения, дочерние организации</v>
      </c>
      <c r="G105" t="str">
        <f>IF('INHERENT MAP'!$B$5=2021,IF('РЕЕСТР РИСКОВ_2023'!K132="",G104,'РЕЕСТР РИСКОВ_2023'!K132),IF('INHERENT MAP'!$B$5=2022,IF(#REF!="",G104,#REF!),IF('INHERENT MAP'!$B$5=2023,IF(#REF!="",G104,#REF!),IF('INHERENT MAP'!$B$5=2024,IF(#REF!="",G104,#REF!),IF('РЕЕСТР РИСКОВ_2023'!K132="",G104,'РЕЕСТР РИСКОВ_2023'!K132)))))</f>
        <v>Мошенничество</v>
      </c>
      <c r="H105">
        <f>IF('INHERENT MAP'!$B$5=2021,'РЕЕСТР РИСКОВ_2023'!L132,IF('INHERENT MAP'!$B$5=2022,#REF!,IF('INHERENT MAP'!$B$5=2023,#REF!,IF('INHERENT MAP'!$B$5=2024,#REF!,#REF!))))</f>
        <v>0</v>
      </c>
      <c r="I105">
        <f>IF('INHERENT MAP'!$B$5=2021,'РЕЕСТР РИСКОВ_2023'!M132,IF('INHERENT MAP'!$B$5=2022,#REF!,IF('INHERENT MAP'!$B$5=2023,#REF!,IF('INHERENT MAP'!$B$5=2024,#REF!,#REF!))))</f>
        <v>0</v>
      </c>
      <c r="J105">
        <f>IF('INHERENT MAP'!$B$5=2021,'РЕЕСТР РИСКОВ_2023'!N132,IF('INHERENT MAP'!$B$5=2022,#REF!,IF('INHERENT MAP'!$B$5=2023,#REF!,IF('INHERENT MAP'!$B$5=2024,#REF!,#REF!))))</f>
        <v>0</v>
      </c>
      <c r="K105">
        <f>IF('INHERENT MAP'!$B$5=2021,'РЕЕСТР РИСКОВ_2023'!O132,IF('INHERENT MAP'!$B$5=2022,#REF!,IF('INHERENT MAP'!$B$5=2023,#REF!,IF('INHERENT MAP'!$B$5=2024,#REF!,#REF!))))</f>
        <v>0</v>
      </c>
      <c r="L105">
        <f>IF('INHERENT MAP'!$B$5=2021,'РЕЕСТР РИСКОВ_2023'!P132,IF('INHERENT MAP'!$B$5=2022,#REF!,IF('INHERENT MAP'!$B$5=2023,#REF!,IF('INHERENT MAP'!$B$5=2024,#REF!,#REF!))))</f>
        <v>0</v>
      </c>
      <c r="M105" t="str">
        <f>IF('INHERENT MAP'!$B$5=2021,IF('РЕЕСТР РИСКОВ_2023'!Q132="",M104,'РЕЕСТР РИСКОВ_2023'!Q132),IF('INHERENT MAP'!$B$5=2022,IF(#REF!="",M104,#REF!),IF('INHERENT MAP'!$B$5=2023,IF(#REF!="",M104,#REF!),IF('INHERENT MAP'!$B$5=2024,IF(#REF!="",M104,#REF!),IF('РЕЕСТР РИСКОВ_2023'!Q132="",M104,'РЕЕСТР РИСКОВ_2023'!Q132)))))</f>
        <v>Приписка объемов выполненных работ при проведении капитального ремонта ОС и магистральной железнодорожной сети и т.д.
Необоснованное списание ТМЦ и ОС, растрата ТМЦ и ОС;
Превышение должностных полномочий. 
Халатное и формальное проведение инвентаризации ТМЦ и ОС.</v>
      </c>
      <c r="N105" t="str">
        <f>IF('INHERENT MAP'!$B$5=2021,IF('РЕЕСТР РИСКОВ_2023'!R132="",N104,'РЕЕСТР РИСКОВ_2023'!R132),IF('INHERENT MAP'!$B$5=2022,IF(#REF!="",N104,#REF!),IF('INHERENT MAP'!$B$5=2023,IF(#REF!="",N104,#REF!),IF('INHERENT MAP'!$B$5=2024,IF(#REF!="",N104,#REF!),IF('РЕЕСТР РИСКОВ_2023'!R132="",N104,'РЕЕСТР РИСКОВ_2023'!R132)))))</f>
        <v>Ненадлежащее исполнение условия договора. Исполнение должностных обязанностей не на должном уровне. Некачественная организация грузовой и коммерческой работы (пропуск коммерческого брака  пунктами коммерческого осмотра (ПКО), некачественное оформление актовых материалов, недостоверный просчет количества мест при перегрузе и др.).</v>
      </c>
      <c r="O105">
        <f>'РЕЕСТР РИСКОВ_2023'!T132</f>
        <v>0</v>
      </c>
      <c r="P105" t="e">
        <f>IF('РЕЕСТР РИСКОВ_2023'!U132="",P104,'РЕЕСТР РИСКОВ_2023'!U132)</f>
        <v>#REF!</v>
      </c>
      <c r="Q105" t="str">
        <f>IF('РЕЕСТР РИСКОВ_2023'!V132="",Q104,'РЕЕСТР РИСКОВ_2023'!V132)</f>
        <v>Угрозы</v>
      </c>
      <c r="R105" t="str">
        <f>IF('РЕЕСТР РИСКОВ_2023'!W132="",R104,'РЕЕСТР РИСКОВ_2023'!W132)</f>
        <v>Сумма ущербов по несохранности грузов по факту оплаты, на основе предъявленных претензий, в млн.тенге</v>
      </c>
      <c r="S105">
        <f>'РЕЕСТР РИСКОВ_2023'!X132</f>
        <v>0</v>
      </c>
      <c r="T105" s="94">
        <f>IF('INHERENT MAP'!$B$5=2021,'РЕЕСТР РИСКОВ_2023'!Y132,IF('INHERENT MAP'!$B$5=2022,#REF!,IF('INHERENT MAP'!$B$5=2023,#REF!,IF('INHERENT MAP'!$B$5=2024,#REF!,#REF!))))</f>
        <v>0.8</v>
      </c>
      <c r="U105">
        <f>IF('INHERENT MAP'!$B$5=2021,'РЕЕСТР РИСКОВ_2023'!Z132,IF('INHERENT MAP'!$B$5=2022,#REF!,IF('INHERENT MAP'!$B$5=2023,#REF!,IF('INHERENT MAP'!$B$5=2024,#REF!,#REF!))))</f>
        <v>0</v>
      </c>
      <c r="V105">
        <f>IF('INHERENT MAP'!$B$5=2021,'РЕЕСТР РИСКОВ_2023'!AA132,IF('INHERENT MAP'!$B$5=2022,#REF!,IF('INHERENT MAP'!$B$5=2023,#REF!,IF('INHERENT MAP'!$B$5=2024,#REF!,#REF!))))</f>
        <v>0</v>
      </c>
      <c r="W105">
        <f>IF('INHERENT MAP'!$B$5=2021,'РЕЕСТР РИСКОВ_2023'!AB132,IF('INHERENT MAP'!$B$5=2022,#REF!,IF('INHERENT MAP'!$B$5=2023,#REF!,IF('INHERENT MAP'!$B$5=2024,#REF!,#REF!))))</f>
        <v>0</v>
      </c>
      <c r="X105" s="94">
        <f>IF('INHERENT MAP'!$B$5=2021,'РЕЕСТР РИСКОВ_2023'!AC132,IF('INHERENT MAP'!$B$5=2022,#REF!,IF('INHERENT MAP'!$B$5=2023,#REF!,IF('INHERENT MAP'!$B$5=2024,#REF!,#REF!))))</f>
        <v>0</v>
      </c>
      <c r="Y105">
        <f>IF('INHERENT MAP'!$B$5=2021,'РЕЕСТР РИСКОВ_2023'!AD132,IF('INHERENT MAP'!$B$5=2022,#REF!,IF('INHERENT MAP'!$B$5=2023,#REF!,IF('INHERENT MAP'!$B$5=2024,#REF!,#REF!))))</f>
        <v>0</v>
      </c>
      <c r="Z105">
        <f>IF('INHERENT MAP'!$B$5=2021,'РЕЕСТР РИСКОВ_2023'!AE132,IF('INHERENT MAP'!$B$5=2022,#REF!,IF('INHERENT MAP'!$B$5=2023,#REF!,IF('INHERENT MAP'!$B$5=2024,#REF!,#REF!))))</f>
        <v>0</v>
      </c>
      <c r="AA105">
        <f>IF('INHERENT MAP'!$B$5=2021,'РЕЕСТР РИСКОВ_2023'!AF132,IF('INHERENT MAP'!$B$5=2022,#REF!,IF('INHERENT MAP'!$B$5=2023,#REF!,IF('INHERENT MAP'!$B$5=2024,#REF!,#REF!))))</f>
        <v>0</v>
      </c>
      <c r="AB105">
        <f>IF('INHERENT MAP'!$B$5=2021,'РЕЕСТР РИСКОВ_2023'!AG132,IF('INHERENT MAP'!$B$5=2022,#REF!,IF('INHERENT MAP'!$B$5=2023,#REF!,IF('INHERENT MAP'!$B$5=2024,#REF!,#REF!))))</f>
        <v>0</v>
      </c>
      <c r="AC105">
        <f>IF('INHERENT MAP'!$B$5=2021,'РЕЕСТР РИСКОВ_2023'!AH132,IF('INHERENT MAP'!$B$5=2022,#REF!,IF('INHERENT MAP'!$B$5=2023,#REF!,IF('INHERENT MAP'!$B$5=2024,#REF!,#REF!))))</f>
        <v>0</v>
      </c>
      <c r="AD105" t="str">
        <f>IF('INHERENT MAP'!$B$5=2021,'РЕЕСТР РИСКОВ_2023'!AI132,IF('INHERENT MAP'!$B$5=2022,#REF!,IF('INHERENT MAP'!$B$5=2023,#REF!,IF('INHERENT MAP'!$B$5=2024,#REF!,#REF!))))</f>
        <v xml:space="preserve">Контроль соблюдения нормативных документов АО "НК "КТЖ" Контроль объема выполненных работ при проведении капитального ремонта ОС и магистральной железнодорожной сет и т.д.согласно утвержденной сметы.
При проведении плановой инвентаризации ТМЦ и ОС в состав комиссии включать представитетелей от других структурных подразделений, дочерних организаций.
При выявлении фактов мошенничества привлекать к ответственности членов инвентаризационных комиссий структурных подразделений, дочерних организаций.
Выборочно проводить видеосъемку проводимой инвентаризации. 
Внедрить автоматизированную систему складского учета ТМЗ. 
СВА взять на контроль фактическое проведение инвентаризации. </v>
      </c>
      <c r="AE105" t="str">
        <f>IF('INHERENT MAP'!$B$5=2021,'РЕЕСТР РИСКОВ_2023'!AK132,IF('INHERENT MAP'!$B$5=2022,#REF!,IF('INHERENT MAP'!$B$5=2023,#REF!,IF('INHERENT MAP'!$B$5=2024,#REF!,#REF!))))</f>
        <v>Структурные подразделения, дочерние организации</v>
      </c>
      <c r="AF105">
        <f>IF('INHERENT MAP'!$B$5=2021,'РЕЕСТР РИСКОВ_2023'!AL132,IF('INHERENT MAP'!$B$5=2022,#REF!,IF('INHERENT MAP'!$B$5=2023,#REF!,IF('INHERENT MAP'!$B$5=2024,#REF!,#REF!))))</f>
        <v>0</v>
      </c>
      <c r="AG105" t="str">
        <f>IF('INHERENT MAP'!$B$5=2021,'РЕЕСТР РИСКОВ_2023'!AM132,IF('INHERENT MAP'!$B$5=2022,#REF!,IF('INHERENT MAP'!$B$5=2023,#REF!,IF('INHERENT MAP'!$B$5=2024,#REF!,#REF!))))</f>
        <v>средняя</v>
      </c>
      <c r="AH105">
        <f>IF('INHERENT MAP'!$B$5=2021,'РЕЕСТР РИСКОВ_2023'!AN132,IF('INHERENT MAP'!$B$5=2022,#REF!,IF('INHERENT MAP'!$B$5=2023,#REF!,IF('INHERENT MAP'!$B$5=2024,#REF!,#REF!))))</f>
        <v>0.4</v>
      </c>
      <c r="AI105">
        <f>IF('INHERENT MAP'!$B$5=2021,'РЕЕСТР РИСКОВ_2023'!AO132,IF('INHERENT MAP'!$B$5=2022,#REF!,IF('INHERENT MAP'!$B$5=2023,#REF!,IF('INHERENT MAP'!$B$5=2024,#REF!,#REF!))))</f>
        <v>0</v>
      </c>
      <c r="AJ105">
        <f>IF('INHERENT MAP'!$B$5=2021,'РЕЕСТР РИСКОВ_2023'!AP132,IF('INHERENT MAP'!$B$5=2022,#REF!,IF('INHERENT MAP'!$B$5=2023,#REF!,IF('INHERENT MAP'!$B$5=2024,#REF!,#REF!))))</f>
        <v>0</v>
      </c>
      <c r="AK105">
        <f>IF('РЕЕСТР РИСКОВ_2023'!AQ132="",AK104,'РЕЕСТР РИСКОВ_2023'!AQ132)</f>
        <v>0</v>
      </c>
      <c r="AL105">
        <f>IF('РЕЕСТР РИСКОВ_2023'!AR132="",AL104,'РЕЕСТР РИСКОВ_2023'!AR132)</f>
        <v>0.34626994297190561</v>
      </c>
      <c r="AM105">
        <f>IF('РЕЕСТР РИСКОВ_2023'!AS132="",AM104,'РЕЕСТР РИСКОВ_2023'!AS132)</f>
        <v>-55.792999999999999</v>
      </c>
      <c r="AN105">
        <f>IF('РЕЕСТР РИСКОВ_2023'!AT132="",AN104,'РЕЕСТР РИСКОВ_2023'!AT132)</f>
        <v>-19.319438928231531</v>
      </c>
      <c r="AO105" t="e">
        <f>IF('РЕЕСТР РИСКОВ_2023'!AU132="",AO104,'РЕЕСТР РИСКОВ_2023'!AU132)</f>
        <v>#REF!</v>
      </c>
    </row>
    <row r="106" spans="2:41">
      <c r="B106" t="str">
        <f>IF('INHERENT MAP'!$B$5=2021,IF('РЕЕСТР РИСКОВ_2023'!F133="",B105,'РЕЕСТР РИСКОВ_2023'!F133),IF('INHERENT MAP'!$B$5=2022,IF(#REF!="",B105,#REF!),IF('INHERENT MAP'!$B$5=2023,IF(#REF!="",B105,#REF!),IF('INHERENT MAP'!$B$5=2024,IF(#REF!="",B105,#REF!),IF('РЕЕСТР РИСКОВ_2023'!F133="",B105,'РЕЕСТР РИСКОВ_2023'!F133)))))</f>
        <v>ОПЕРАЦИОННЫЙ РИСК</v>
      </c>
      <c r="C106" t="e">
        <f>IF('INHERENT MAP'!$B$5=2021,IF('РЕЕСТР РИСКОВ_2023'!G133="",C105,'РЕЕСТР РИСКОВ_2023'!G133),IF('INHERENT MAP'!$B$5=2022,IF(#REF!="",C105,#REF!),IF('INHERENT MAP'!$B$5=2023,IF(#REF!="",C105,#REF!),IF('INHERENT MAP'!$B$5=2024,IF(#REF!="",C105,#REF!),IF('РЕЕСТР РИСКОВ_2023'!G133="",C105,'РЕЕСТР РИСКОВ_2023'!G133)))))</f>
        <v>#REF!</v>
      </c>
      <c r="D106" t="str">
        <f>IF('INHERENT MAP'!$B$5=2021,IF('РЕЕСТР РИСКОВ_2023'!H133="",D105,'РЕЕСТР РИСКОВ_2023'!H133),IF('INHERENT MAP'!$B$5=2022,IF(#REF!="",D105,#REF!),IF('INHERENT MAP'!$B$5=2023,IF(#REF!="",D105,#REF!),IF('INHERENT MAP'!$B$5=2024,IF(#REF!="",D105,#REF!),IF('РЕЕСТР РИСКОВ_2023'!H133="",D105,'РЕЕСТР РИСКОВ_2023'!H133)))))</f>
        <v>OR-7</v>
      </c>
      <c r="E106" t="str">
        <f>IF('INHERENT MAP'!$B$5=2021,IF('РЕЕСТР РИСКОВ_2023'!I133="",E105,'РЕЕСТР РИСКОВ_2023'!I133),IF('INHERENT MAP'!$B$5=2022,IF(#REF!="",E105,#REF!),IF('INHERENT MAP'!$B$5=2023,IF(#REF!="",E105,#REF!),IF('INHERENT MAP'!$B$5=2024,IF(#REF!="",E105,#REF!),IF('РЕЕСТР РИСКОВ_2023'!I133="",E105,'РЕЕСТР РИСКОВ_2023'!I133)))))</f>
        <v>Ц</v>
      </c>
      <c r="F106" t="str">
        <f>IF('INHERENT MAP'!$B$5=2021,IF('РЕЕСТР РИСКОВ_2023'!J133="",F105,'РЕЕСТР РИСКОВ_2023'!J133),IF('INHERENT MAP'!$B$5=2022,IF(#REF!="",F105,#REF!),IF('INHERENT MAP'!$B$5=2023,IF(#REF!="",F105,#REF!),IF('INHERENT MAP'!$B$5=2024,IF(#REF!="",F105,#REF!),IF('РЕЕСТР РИСКОВ_2023'!J133="",F105,'РЕЕСТР РИСКОВ_2023'!J133)))))</f>
        <v>Структурные подразделения, дочерние организации</v>
      </c>
      <c r="G106" t="str">
        <f>IF('INHERENT MAP'!$B$5=2021,IF('РЕЕСТР РИСКОВ_2023'!K133="",G105,'РЕЕСТР РИСКОВ_2023'!K133),IF('INHERENT MAP'!$B$5=2022,IF(#REF!="",G105,#REF!),IF('INHERENT MAP'!$B$5=2023,IF(#REF!="",G105,#REF!),IF('INHERENT MAP'!$B$5=2024,IF(#REF!="",G105,#REF!),IF('РЕЕСТР РИСКОВ_2023'!K133="",G105,'РЕЕСТР РИСКОВ_2023'!K133)))))</f>
        <v>Хищения</v>
      </c>
      <c r="H106">
        <f>IF('INHERENT MAP'!$B$5=2021,'РЕЕСТР РИСКОВ_2023'!L133,IF('INHERENT MAP'!$B$5=2022,#REF!,IF('INHERENT MAP'!$B$5=2023,#REF!,IF('INHERENT MAP'!$B$5=2024,#REF!,#REF!))))</f>
        <v>0</v>
      </c>
      <c r="I106">
        <f>IF('INHERENT MAP'!$B$5=2021,'РЕЕСТР РИСКОВ_2023'!M133,IF('INHERENT MAP'!$B$5=2022,#REF!,IF('INHERENT MAP'!$B$5=2023,#REF!,IF('INHERENT MAP'!$B$5=2024,#REF!,#REF!))))</f>
        <v>0</v>
      </c>
      <c r="J106">
        <f>IF('INHERENT MAP'!$B$5=2021,'РЕЕСТР РИСКОВ_2023'!N133,IF('INHERENT MAP'!$B$5=2022,#REF!,IF('INHERENT MAP'!$B$5=2023,#REF!,IF('INHERENT MAP'!$B$5=2024,#REF!,#REF!))))</f>
        <v>0</v>
      </c>
      <c r="K106">
        <f>IF('INHERENT MAP'!$B$5=2021,'РЕЕСТР РИСКОВ_2023'!O133,IF('INHERENT MAP'!$B$5=2022,#REF!,IF('INHERENT MAP'!$B$5=2023,#REF!,IF('INHERENT MAP'!$B$5=2024,#REF!,#REF!))))</f>
        <v>0</v>
      </c>
      <c r="L106">
        <f>IF('INHERENT MAP'!$B$5=2021,'РЕЕСТР РИСКОВ_2023'!P133,IF('INHERENT MAP'!$B$5=2022,#REF!,IF('INHERENT MAP'!$B$5=2023,#REF!,IF('INHERENT MAP'!$B$5=2024,#REF!,#REF!))))</f>
        <v>0</v>
      </c>
      <c r="M106" t="str">
        <f>IF('INHERENT MAP'!$B$5=2021,IF('РЕЕСТР РИСКОВ_2023'!Q133="",M105,'РЕЕСТР РИСКОВ_2023'!Q133),IF('INHERENT MAP'!$B$5=2022,IF(#REF!="",M105,#REF!),IF('INHERENT MAP'!$B$5=2023,IF(#REF!="",M105,#REF!),IF('INHERENT MAP'!$B$5=2024,IF(#REF!="",M105,#REF!),IF('РЕЕСТР РИСКОВ_2023'!Q133="",M105,'РЕЕСТР РИСКОВ_2023'!Q133)))))</f>
        <v>Ненадлежащая организация учёта и хранения имущества. Отсутствие охраны объектов.</v>
      </c>
      <c r="N106" t="str">
        <f>IF('INHERENT MAP'!$B$5=2021,IF('РЕЕСТР РИСКОВ_2023'!R133="",N105,'РЕЕСТР РИСКОВ_2023'!R133),IF('INHERENT MAP'!$B$5=2022,IF(#REF!="",N105,#REF!),IF('INHERENT MAP'!$B$5=2023,IF(#REF!="",N105,#REF!),IF('INHERENT MAP'!$B$5=2024,IF(#REF!="",N105,#REF!),IF('РЕЕСТР РИСКОВ_2023'!R133="",N105,'РЕЕСТР РИСКОВ_2023'!R133)))))</f>
        <v>Ненадлежащее исполнение условия договора. Исполнение должностных обязанностей не на должном уровне. Некачественная организация грузовой и коммерческой работы (пропуск коммерческого брака  пунктами коммерческого осмотра (ПКО), некачественное оформление актовых материалов, недостоверный просчет количества мест при перегрузе и др.).</v>
      </c>
      <c r="O106">
        <f>'РЕЕСТР РИСКОВ_2023'!T133</f>
        <v>0</v>
      </c>
      <c r="P106" t="e">
        <f>IF('РЕЕСТР РИСКОВ_2023'!U133="",P105,'РЕЕСТР РИСКОВ_2023'!U133)</f>
        <v>#REF!</v>
      </c>
      <c r="Q106" t="str">
        <f>IF('РЕЕСТР РИСКОВ_2023'!V133="",Q105,'РЕЕСТР РИСКОВ_2023'!V133)</f>
        <v>Слабые стороны</v>
      </c>
      <c r="R106" t="str">
        <f>IF('РЕЕСТР РИСКОВ_2023'!W133="",R105,'РЕЕСТР РИСКОВ_2023'!W133)</f>
        <v>Сумма ущербов по несохранности грузов по факту оплаты, на основе предъявленных претензий, в млн.тенге</v>
      </c>
      <c r="S106">
        <f>'РЕЕСТР РИСКОВ_2023'!X133</f>
        <v>0</v>
      </c>
      <c r="T106" s="94">
        <f>IF('INHERENT MAP'!$B$5=2021,'РЕЕСТР РИСКОВ_2023'!Y133,IF('INHERENT MAP'!$B$5=2022,#REF!,IF('INHERENT MAP'!$B$5=2023,#REF!,IF('INHERENT MAP'!$B$5=2024,#REF!,#REF!))))</f>
        <v>0.95</v>
      </c>
      <c r="U106">
        <f>IF('INHERENT MAP'!$B$5=2021,'РЕЕСТР РИСКОВ_2023'!Z133,IF('INHERENT MAP'!$B$5=2022,#REF!,IF('INHERENT MAP'!$B$5=2023,#REF!,IF('INHERENT MAP'!$B$5=2024,#REF!,#REF!))))</f>
        <v>-23.292999999999999</v>
      </c>
      <c r="V106">
        <f>IF('INHERENT MAP'!$B$5=2021,'РЕЕСТР РИСКОВ_2023'!AA133,IF('INHERENT MAP'!$B$5=2022,#REF!,IF('INHERENT MAP'!$B$5=2023,#REF!,IF('INHERENT MAP'!$B$5=2024,#REF!,#REF!))))</f>
        <v>-22.128349999999998</v>
      </c>
      <c r="W106" t="str">
        <f>IF('INHERENT MAP'!$B$5=2021,'РЕЕСТР РИСКОВ_2023'!AB133,IF('INHERENT MAP'!$B$5=2022,#REF!,IF('INHERENT MAP'!$B$5=2023,#REF!,IF('INHERENT MAP'!$B$5=2024,#REF!,#REF!))))</f>
        <v>Факт по хищению за 9 мес 2022г. ЦП, ЦШ, ЦЭ,ЦПС, ЦЖС</v>
      </c>
      <c r="X106" s="94">
        <f>IF('INHERENT MAP'!$B$5=2021,'РЕЕСТР РИСКОВ_2023'!AC133,IF('INHERENT MAP'!$B$5=2022,#REF!,IF('INHERENT MAP'!$B$5=2023,#REF!,IF('INHERENT MAP'!$B$5=2024,#REF!,#REF!))))</f>
        <v>0</v>
      </c>
      <c r="Y106">
        <f>IF('INHERENT MAP'!$B$5=2021,'РЕЕСТР РИСКОВ_2023'!AD133,IF('INHERENT MAP'!$B$5=2022,#REF!,IF('INHERENT MAP'!$B$5=2023,#REF!,IF('INHERENT MAP'!$B$5=2024,#REF!,#REF!))))</f>
        <v>0</v>
      </c>
      <c r="Z106">
        <f>IF('INHERENT MAP'!$B$5=2021,'РЕЕСТР РИСКОВ_2023'!AE133,IF('INHERENT MAP'!$B$5=2022,#REF!,IF('INHERENT MAP'!$B$5=2023,#REF!,IF('INHERENT MAP'!$B$5=2024,#REF!,#REF!))))</f>
        <v>0</v>
      </c>
      <c r="AA106">
        <f>IF('INHERENT MAP'!$B$5=2021,'РЕЕСТР РИСКОВ_2023'!AF133,IF('INHERENT MAP'!$B$5=2022,#REF!,IF('INHERENT MAP'!$B$5=2023,#REF!,IF('INHERENT MAP'!$B$5=2024,#REF!,#REF!))))</f>
        <v>0</v>
      </c>
      <c r="AB106">
        <f>IF('INHERENT MAP'!$B$5=2021,'РЕЕСТР РИСКОВ_2023'!AG133,IF('INHERENT MAP'!$B$5=2022,#REF!,IF('INHERENT MAP'!$B$5=2023,#REF!,IF('INHERENT MAP'!$B$5=2024,#REF!,#REF!))))</f>
        <v>0</v>
      </c>
      <c r="AC106">
        <f>IF('INHERENT MAP'!$B$5=2021,'РЕЕСТР РИСКОВ_2023'!AH133,IF('INHERENT MAP'!$B$5=2022,#REF!,IF('INHERENT MAP'!$B$5=2023,#REF!,IF('INHERENT MAP'!$B$5=2024,#REF!,#REF!))))</f>
        <v>0</v>
      </c>
      <c r="AD106" t="str">
        <f>IF('INHERENT MAP'!$B$5=2021,'РЕЕСТР РИСКОВ_2023'!AI133,IF('INHERENT MAP'!$B$5=2022,#REF!,IF('INHERENT MAP'!$B$5=2023,#REF!,IF('INHERENT MAP'!$B$5=2024,#REF!,#REF!))))</f>
        <v>Проведение совместно с правоохранительными органами разъяснительной работы с населением о последствиях и влиянии нарушений целостности пути на обеспечение безопасности при хищении МВСП,  об уголовной ответственности.
По каждому факту хищения направляются отношения в правоохранительные органы для возбуждения уголовного дела.
Проводятся профилактические мероприятия, перекрытие дорог ведущие к железной дороге, совместные рейды с ЛОВД по пунктам приема металлолома. В филиалах определены и организованы места хранения металлолома
Проводятся объезды с осмотром с проверкой и ревизией запирающих устройств, закрепление узлов и деталей на перегонах  по объектам  хоз-ва (ПСК, КТП,АПП,ТП).
Установлены запорные устройства в местах хранения съемных вышек. Проводятся  проверки ограждений трансформаторных подстанций, постов секционирования, автоматических пунктов питания.</v>
      </c>
      <c r="AE106" t="str">
        <f>IF('INHERENT MAP'!$B$5=2021,'РЕЕСТР РИСКОВ_2023'!AK133,IF('INHERENT MAP'!$B$5=2022,#REF!,IF('INHERENT MAP'!$B$5=2023,#REF!,IF('INHERENT MAP'!$B$5=2024,#REF!,#REF!))))</f>
        <v>Структурные подразделения, дочерние организации</v>
      </c>
      <c r="AF106">
        <f>IF('INHERENT MAP'!$B$5=2021,'РЕЕСТР РИСКОВ_2023'!AL133,IF('INHERENT MAP'!$B$5=2022,#REF!,IF('INHERENT MAP'!$B$5=2023,#REF!,IF('INHERENT MAP'!$B$5=2024,#REF!,#REF!))))</f>
        <v>0</v>
      </c>
      <c r="AG106" t="str">
        <f>IF('INHERENT MAP'!$B$5=2021,'РЕЕСТР РИСКОВ_2023'!AM133,IF('INHERENT MAP'!$B$5=2022,#REF!,IF('INHERENT MAP'!$B$5=2023,#REF!,IF('INHERENT MAP'!$B$5=2024,#REF!,#REF!))))</f>
        <v>низкая</v>
      </c>
      <c r="AH106">
        <f>IF('INHERENT MAP'!$B$5=2021,'РЕЕСТР РИСКОВ_2023'!AN133,IF('INHERENT MAP'!$B$5=2022,#REF!,IF('INHERENT MAP'!$B$5=2023,#REF!,IF('INHERENT MAP'!$B$5=2024,#REF!,#REF!))))</f>
        <v>0.95</v>
      </c>
      <c r="AI106">
        <f>IF('INHERENT MAP'!$B$5=2021,'РЕЕСТР РИСКОВ_2023'!AO133,IF('INHERENT MAP'!$B$5=2022,#REF!,IF('INHERENT MAP'!$B$5=2023,#REF!,IF('INHERENT MAP'!$B$5=2024,#REF!,#REF!))))</f>
        <v>-23.292999999999999</v>
      </c>
      <c r="AJ106">
        <f>IF('INHERENT MAP'!$B$5=2021,'РЕЕСТР РИСКОВ_2023'!AP133,IF('INHERENT MAP'!$B$5=2022,#REF!,IF('INHERENT MAP'!$B$5=2023,#REF!,IF('INHERENT MAP'!$B$5=2024,#REF!,#REF!))))</f>
        <v>-22.128349999999998</v>
      </c>
      <c r="AK106">
        <f>IF('РЕЕСТР РИСКОВ_2023'!AQ133="",AK105,'РЕЕСТР РИСКОВ_2023'!AQ133)</f>
        <v>-22.128349999999998</v>
      </c>
      <c r="AL106">
        <f>IF('РЕЕСТР РИСКОВ_2023'!AR133="",AL105,'РЕЕСТР РИСКОВ_2023'!AR133)</f>
        <v>0.34626994297190561</v>
      </c>
      <c r="AM106">
        <f>IF('РЕЕСТР РИСКОВ_2023'!AS133="",AM105,'РЕЕСТР РИСКОВ_2023'!AS133)</f>
        <v>-55.792999999999999</v>
      </c>
      <c r="AN106">
        <f>IF('РЕЕСТР РИСКОВ_2023'!AT133="",AN105,'РЕЕСТР РИСКОВ_2023'!AT133)</f>
        <v>-19.319438928231531</v>
      </c>
      <c r="AO106" t="e">
        <f>IF('РЕЕСТР РИСКОВ_2023'!AU133="",AO105,'РЕЕСТР РИСКОВ_2023'!AU133)</f>
        <v>#REF!</v>
      </c>
    </row>
    <row r="107" spans="2:41">
      <c r="B107" t="e">
        <f>IF('INHERENT MAP'!$B$5=2021,IF('РЕЕСТР РИСКОВ_2023'!#REF!="",B106,'РЕЕСТР РИСКОВ_2023'!#REF!),IF('INHERENT MAP'!$B$5=2022,IF(#REF!="",B106,#REF!),IF('INHERENT MAP'!$B$5=2023,IF(#REF!="",B106,#REF!),IF('INHERENT MAP'!$B$5=2024,IF(#REF!="",B106,#REF!),IF('РЕЕСТР РИСКОВ_2023'!#REF!="",B106,'РЕЕСТР РИСКОВ_2023'!#REF!)))))</f>
        <v>#REF!</v>
      </c>
      <c r="C107" t="e">
        <f>IF('INHERENT MAP'!$B$5=2021,IF('РЕЕСТР РИСКОВ_2023'!#REF!="",C106,'РЕЕСТР РИСКОВ_2023'!#REF!),IF('INHERENT MAP'!$B$5=2022,IF(#REF!="",C106,#REF!),IF('INHERENT MAP'!$B$5=2023,IF(#REF!="",C106,#REF!),IF('INHERENT MAP'!$B$5=2024,IF(#REF!="",C106,#REF!),IF('РЕЕСТР РИСКОВ_2023'!#REF!="",C106,'РЕЕСТР РИСКОВ_2023'!#REF!)))))</f>
        <v>#REF!</v>
      </c>
      <c r="D107" t="e">
        <f>IF('INHERENT MAP'!$B$5=2021,IF('РЕЕСТР РИСКОВ_2023'!#REF!="",D106,'РЕЕСТР РИСКОВ_2023'!#REF!),IF('INHERENT MAP'!$B$5=2022,IF(#REF!="",D106,#REF!),IF('INHERENT MAP'!$B$5=2023,IF(#REF!="",D106,#REF!),IF('INHERENT MAP'!$B$5=2024,IF(#REF!="",D106,#REF!),IF('РЕЕСТР РИСКОВ_2023'!#REF!="",D106,'РЕЕСТР РИСКОВ_2023'!#REF!)))))</f>
        <v>#REF!</v>
      </c>
      <c r="E107" t="e">
        <f>IF('INHERENT MAP'!$B$5=2021,IF('РЕЕСТР РИСКОВ_2023'!#REF!="",E106,'РЕЕСТР РИСКОВ_2023'!#REF!),IF('INHERENT MAP'!$B$5=2022,IF(#REF!="",E106,#REF!),IF('INHERENT MAP'!$B$5=2023,IF(#REF!="",E106,#REF!),IF('INHERENT MAP'!$B$5=2024,IF(#REF!="",E106,#REF!),IF('РЕЕСТР РИСКОВ_2023'!#REF!="",E106,'РЕЕСТР РИСКОВ_2023'!#REF!)))))</f>
        <v>#REF!</v>
      </c>
      <c r="F107" t="e">
        <f>IF('INHERENT MAP'!$B$5=2021,IF('РЕЕСТР РИСКОВ_2023'!#REF!="",F106,'РЕЕСТР РИСКОВ_2023'!#REF!),IF('INHERENT MAP'!$B$5=2022,IF(#REF!="",F106,#REF!),IF('INHERENT MAP'!$B$5=2023,IF(#REF!="",F106,#REF!),IF('INHERENT MAP'!$B$5=2024,IF(#REF!="",F106,#REF!),IF('РЕЕСТР РИСКОВ_2023'!#REF!="",F106,'РЕЕСТР РИСКОВ_2023'!#REF!)))))</f>
        <v>#REF!</v>
      </c>
      <c r="G107" t="e">
        <f>IF('INHERENT MAP'!$B$5=2021,IF('РЕЕСТР РИСКОВ_2023'!#REF!="",G106,'РЕЕСТР РИСКОВ_2023'!#REF!),IF('INHERENT MAP'!$B$5=2022,IF(#REF!="",G106,#REF!),IF('INHERENT MAP'!$B$5=2023,IF(#REF!="",G106,#REF!),IF('INHERENT MAP'!$B$5=2024,IF(#REF!="",G106,#REF!),IF('РЕЕСТР РИСКОВ_2023'!#REF!="",G106,'РЕЕСТР РИСКОВ_2023'!#REF!)))))</f>
        <v>#REF!</v>
      </c>
      <c r="H107" t="e">
        <f>IF('INHERENT MAP'!$B$5=2021,'РЕЕСТР РИСКОВ_2023'!#REF!,IF('INHERENT MAP'!$B$5=2022,#REF!,IF('INHERENT MAP'!$B$5=2023,#REF!,IF('INHERENT MAP'!$B$5=2024,#REF!,#REF!))))</f>
        <v>#REF!</v>
      </c>
      <c r="I107" t="e">
        <f>IF('INHERENT MAP'!$B$5=2021,'РЕЕСТР РИСКОВ_2023'!#REF!,IF('INHERENT MAP'!$B$5=2022,#REF!,IF('INHERENT MAP'!$B$5=2023,#REF!,IF('INHERENT MAP'!$B$5=2024,#REF!,#REF!))))</f>
        <v>#REF!</v>
      </c>
      <c r="J107" t="e">
        <f>IF('INHERENT MAP'!$B$5=2021,'РЕЕСТР РИСКОВ_2023'!#REF!,IF('INHERENT MAP'!$B$5=2022,#REF!,IF('INHERENT MAP'!$B$5=2023,#REF!,IF('INHERENT MAP'!$B$5=2024,#REF!,#REF!))))</f>
        <v>#REF!</v>
      </c>
      <c r="K107" t="e">
        <f>IF('INHERENT MAP'!$B$5=2021,'РЕЕСТР РИСКОВ_2023'!#REF!,IF('INHERENT MAP'!$B$5=2022,#REF!,IF('INHERENT MAP'!$B$5=2023,#REF!,IF('INHERENT MAP'!$B$5=2024,#REF!,#REF!))))</f>
        <v>#REF!</v>
      </c>
      <c r="L107" t="e">
        <f>IF('INHERENT MAP'!$B$5=2021,'РЕЕСТР РИСКОВ_2023'!#REF!,IF('INHERENT MAP'!$B$5=2022,#REF!,IF('INHERENT MAP'!$B$5=2023,#REF!,IF('INHERENT MAP'!$B$5=2024,#REF!,#REF!))))</f>
        <v>#REF!</v>
      </c>
      <c r="M107" t="e">
        <f>IF('INHERENT MAP'!$B$5=2021,IF('РЕЕСТР РИСКОВ_2023'!#REF!="",M106,'РЕЕСТР РИСКОВ_2023'!#REF!),IF('INHERENT MAP'!$B$5=2022,IF(#REF!="",M106,#REF!),IF('INHERENT MAP'!$B$5=2023,IF(#REF!="",M106,#REF!),IF('INHERENT MAP'!$B$5=2024,IF(#REF!="",M106,#REF!),IF('РЕЕСТР РИСКОВ_2023'!#REF!="",M106,'РЕЕСТР РИСКОВ_2023'!#REF!)))))</f>
        <v>#REF!</v>
      </c>
      <c r="N107" t="e">
        <f>IF('INHERENT MAP'!$B$5=2021,IF('РЕЕСТР РИСКОВ_2023'!#REF!="",N106,'РЕЕСТР РИСКОВ_2023'!#REF!),IF('INHERENT MAP'!$B$5=2022,IF(#REF!="",N106,#REF!),IF('INHERENT MAP'!$B$5=2023,IF(#REF!="",N106,#REF!),IF('INHERENT MAP'!$B$5=2024,IF(#REF!="",N106,#REF!),IF('РЕЕСТР РИСКОВ_2023'!#REF!="",N106,'РЕЕСТР РИСКОВ_2023'!#REF!)))))</f>
        <v>#REF!</v>
      </c>
      <c r="O107" t="e">
        <f>'РЕЕСТР РИСКОВ_2023'!#REF!</f>
        <v>#REF!</v>
      </c>
      <c r="P107" t="e">
        <f>IF('РЕЕСТР РИСКОВ_2023'!#REF!="",P106,'РЕЕСТР РИСКОВ_2023'!#REF!)</f>
        <v>#REF!</v>
      </c>
      <c r="Q107" t="e">
        <f>IF('РЕЕСТР РИСКОВ_2023'!#REF!="",Q106,'РЕЕСТР РИСКОВ_2023'!#REF!)</f>
        <v>#REF!</v>
      </c>
      <c r="R107" t="e">
        <f>IF('РЕЕСТР РИСКОВ_2023'!#REF!="",R106,'РЕЕСТР РИСКОВ_2023'!#REF!)</f>
        <v>#REF!</v>
      </c>
      <c r="S107" t="e">
        <f>'РЕЕСТР РИСКОВ_2023'!#REF!</f>
        <v>#REF!</v>
      </c>
      <c r="T107" s="94" t="e">
        <f>IF('INHERENT MAP'!$B$5=2021,'РЕЕСТР РИСКОВ_2023'!#REF!,IF('INHERENT MAP'!$B$5=2022,#REF!,IF('INHERENT MAP'!$B$5=2023,#REF!,IF('INHERENT MAP'!$B$5=2024,#REF!,#REF!))))</f>
        <v>#REF!</v>
      </c>
      <c r="U107" t="e">
        <f>IF('INHERENT MAP'!$B$5=2021,'РЕЕСТР РИСКОВ_2023'!#REF!,IF('INHERENT MAP'!$B$5=2022,#REF!,IF('INHERENT MAP'!$B$5=2023,#REF!,IF('INHERENT MAP'!$B$5=2024,#REF!,#REF!))))</f>
        <v>#REF!</v>
      </c>
      <c r="V107" t="e">
        <f>IF('INHERENT MAP'!$B$5=2021,'РЕЕСТР РИСКОВ_2023'!#REF!,IF('INHERENT MAP'!$B$5=2022,#REF!,IF('INHERENT MAP'!$B$5=2023,#REF!,IF('INHERENT MAP'!$B$5=2024,#REF!,#REF!))))</f>
        <v>#REF!</v>
      </c>
      <c r="W107" t="e">
        <f>IF('INHERENT MAP'!$B$5=2021,'РЕЕСТР РИСКОВ_2023'!#REF!,IF('INHERENT MAP'!$B$5=2022,#REF!,IF('INHERENT MAP'!$B$5=2023,#REF!,IF('INHERENT MAP'!$B$5=2024,#REF!,#REF!))))</f>
        <v>#REF!</v>
      </c>
      <c r="X107" s="94" t="e">
        <f>IF('INHERENT MAP'!$B$5=2021,'РЕЕСТР РИСКОВ_2023'!#REF!,IF('INHERENT MAP'!$B$5=2022,#REF!,IF('INHERENT MAP'!$B$5=2023,#REF!,IF('INHERENT MAP'!$B$5=2024,#REF!,#REF!))))</f>
        <v>#REF!</v>
      </c>
      <c r="Y107" t="e">
        <f>IF('INHERENT MAP'!$B$5=2021,'РЕЕСТР РИСКОВ_2023'!#REF!,IF('INHERENT MAP'!$B$5=2022,#REF!,IF('INHERENT MAP'!$B$5=2023,#REF!,IF('INHERENT MAP'!$B$5=2024,#REF!,#REF!))))</f>
        <v>#REF!</v>
      </c>
      <c r="Z107" t="e">
        <f>IF('INHERENT MAP'!$B$5=2021,'РЕЕСТР РИСКОВ_2023'!#REF!,IF('INHERENT MAP'!$B$5=2022,#REF!,IF('INHERENT MAP'!$B$5=2023,#REF!,IF('INHERENT MAP'!$B$5=2024,#REF!,#REF!))))</f>
        <v>#REF!</v>
      </c>
      <c r="AA107" t="e">
        <f>IF('INHERENT MAP'!$B$5=2021,'РЕЕСТР РИСКОВ_2023'!#REF!,IF('INHERENT MAP'!$B$5=2022,#REF!,IF('INHERENT MAP'!$B$5=2023,#REF!,IF('INHERENT MAP'!$B$5=2024,#REF!,#REF!))))</f>
        <v>#REF!</v>
      </c>
      <c r="AB107" t="e">
        <f>IF('INHERENT MAP'!$B$5=2021,'РЕЕСТР РИСКОВ_2023'!#REF!,IF('INHERENT MAP'!$B$5=2022,#REF!,IF('INHERENT MAP'!$B$5=2023,#REF!,IF('INHERENT MAP'!$B$5=2024,#REF!,#REF!))))</f>
        <v>#REF!</v>
      </c>
      <c r="AC107" t="e">
        <f>IF('INHERENT MAP'!$B$5=2021,'РЕЕСТР РИСКОВ_2023'!#REF!,IF('INHERENT MAP'!$B$5=2022,#REF!,IF('INHERENT MAP'!$B$5=2023,#REF!,IF('INHERENT MAP'!$B$5=2024,#REF!,#REF!))))</f>
        <v>#REF!</v>
      </c>
      <c r="AD107" t="e">
        <f>IF('INHERENT MAP'!$B$5=2021,'РЕЕСТР РИСКОВ_2023'!#REF!,IF('INHERENT MAP'!$B$5=2022,#REF!,IF('INHERENT MAP'!$B$5=2023,#REF!,IF('INHERENT MAP'!$B$5=2024,#REF!,#REF!))))</f>
        <v>#REF!</v>
      </c>
      <c r="AE107" t="e">
        <f>IF('INHERENT MAP'!$B$5=2021,'РЕЕСТР РИСКОВ_2023'!#REF!,IF('INHERENT MAP'!$B$5=2022,#REF!,IF('INHERENT MAP'!$B$5=2023,#REF!,IF('INHERENT MAP'!$B$5=2024,#REF!,#REF!))))</f>
        <v>#REF!</v>
      </c>
      <c r="AF107" t="e">
        <f>IF('INHERENT MAP'!$B$5=2021,'РЕЕСТР РИСКОВ_2023'!#REF!,IF('INHERENT MAP'!$B$5=2022,#REF!,IF('INHERENT MAP'!$B$5=2023,#REF!,IF('INHERENT MAP'!$B$5=2024,#REF!,#REF!))))</f>
        <v>#REF!</v>
      </c>
      <c r="AG107" t="e">
        <f>IF('INHERENT MAP'!$B$5=2021,'РЕЕСТР РИСКОВ_2023'!#REF!,IF('INHERENT MAP'!$B$5=2022,#REF!,IF('INHERENT MAP'!$B$5=2023,#REF!,IF('INHERENT MAP'!$B$5=2024,#REF!,#REF!))))</f>
        <v>#REF!</v>
      </c>
      <c r="AH107" t="e">
        <f>IF('INHERENT MAP'!$B$5=2021,'РЕЕСТР РИСКОВ_2023'!#REF!,IF('INHERENT MAP'!$B$5=2022,#REF!,IF('INHERENT MAP'!$B$5=2023,#REF!,IF('INHERENT MAP'!$B$5=2024,#REF!,#REF!))))</f>
        <v>#REF!</v>
      </c>
      <c r="AI107" t="e">
        <f>IF('INHERENT MAP'!$B$5=2021,'РЕЕСТР РИСКОВ_2023'!#REF!,IF('INHERENT MAP'!$B$5=2022,#REF!,IF('INHERENT MAP'!$B$5=2023,#REF!,IF('INHERENT MAP'!$B$5=2024,#REF!,#REF!))))</f>
        <v>#REF!</v>
      </c>
      <c r="AJ107" t="e">
        <f>IF('INHERENT MAP'!$B$5=2021,'РЕЕСТР РИСКОВ_2023'!#REF!,IF('INHERENT MAP'!$B$5=2022,#REF!,IF('INHERENT MAP'!$B$5=2023,#REF!,IF('INHERENT MAP'!$B$5=2024,#REF!,#REF!))))</f>
        <v>#REF!</v>
      </c>
      <c r="AK107" t="e">
        <f>IF('РЕЕСТР РИСКОВ_2023'!#REF!="",AK106,'РЕЕСТР РИСКОВ_2023'!#REF!)</f>
        <v>#REF!</v>
      </c>
      <c r="AL107" t="e">
        <f>IF('РЕЕСТР РИСКОВ_2023'!#REF!="",AL106,'РЕЕСТР РИСКОВ_2023'!#REF!)</f>
        <v>#REF!</v>
      </c>
      <c r="AM107" t="e">
        <f>IF('РЕЕСТР РИСКОВ_2023'!#REF!="",AM106,'РЕЕСТР РИСКОВ_2023'!#REF!)</f>
        <v>#REF!</v>
      </c>
      <c r="AN107" t="e">
        <f>IF('РЕЕСТР РИСКОВ_2023'!#REF!="",AN106,'РЕЕСТР РИСКОВ_2023'!#REF!)</f>
        <v>#REF!</v>
      </c>
      <c r="AO107" t="e">
        <f>IF('РЕЕСТР РИСКОВ_2023'!#REF!="",AO106,'РЕЕСТР РИСКОВ_2023'!#REF!)</f>
        <v>#REF!</v>
      </c>
    </row>
    <row r="108" spans="2:41">
      <c r="B108" t="e">
        <f>IF('INHERENT MAP'!$B$5=2021,IF('РЕЕСТР РИСКОВ_2023'!F134="",B107,'РЕЕСТР РИСКОВ_2023'!F134),IF('INHERENT MAP'!$B$5=2022,IF(#REF!="",B107,#REF!),IF('INHERENT MAP'!$B$5=2023,IF(#REF!="",B107,#REF!),IF('INHERENT MAP'!$B$5=2024,IF(#REF!="",B107,#REF!),IF('РЕЕСТР РИСКОВ_2023'!F134="",B107,'РЕЕСТР РИСКОВ_2023'!F134)))))</f>
        <v>#REF!</v>
      </c>
      <c r="C108" t="e">
        <f>IF('INHERENT MAP'!$B$5=2021,IF('РЕЕСТР РИСКОВ_2023'!G134="",C107,'РЕЕСТР РИСКОВ_2023'!G134),IF('INHERENT MAP'!$B$5=2022,IF(#REF!="",C107,#REF!),IF('INHERENT MAP'!$B$5=2023,IF(#REF!="",C107,#REF!),IF('INHERENT MAP'!$B$5=2024,IF(#REF!="",C107,#REF!),IF('РЕЕСТР РИСКОВ_2023'!G134="",C107,'РЕЕСТР РИСКОВ_2023'!G134)))))</f>
        <v>#REF!</v>
      </c>
      <c r="D108" t="str">
        <f>IF('INHERENT MAP'!$B$5=2021,IF('РЕЕСТР РИСКОВ_2023'!H134="",D107,'РЕЕСТР РИСКОВ_2023'!H134),IF('INHERENT MAP'!$B$5=2022,IF(#REF!="",D107,#REF!),IF('INHERENT MAP'!$B$5=2023,IF(#REF!="",D107,#REF!),IF('INHERENT MAP'!$B$5=2024,IF(#REF!="",D107,#REF!),IF('РЕЕСТР РИСКОВ_2023'!H134="",D107,'РЕЕСТР РИСКОВ_2023'!H134)))))</f>
        <v>OR-8</v>
      </c>
      <c r="E108" t="str">
        <f>IF('INHERENT MAP'!$B$5=2021,IF('РЕЕСТР РИСКОВ_2023'!I134="",E107,'РЕЕСТР РИСКОВ_2023'!I134),IF('INHERENT MAP'!$B$5=2022,IF(#REF!="",E107,#REF!),IF('INHERENT MAP'!$B$5=2023,IF(#REF!="",E107,#REF!),IF('INHERENT MAP'!$B$5=2024,IF(#REF!="",E107,#REF!),IF('РЕЕСТР РИСКОВ_2023'!I134="",E107,'РЕЕСТР РИСКОВ_2023'!I134)))))</f>
        <v>ЦЗО</v>
      </c>
      <c r="F108" t="str">
        <f>IF('INHERENT MAP'!$B$5=2021,IF('РЕЕСТР РИСКОВ_2023'!J134="",F107,'РЕЕСТР РИСКОВ_2023'!J134),IF('INHERENT MAP'!$B$5=2022,IF(#REF!="",F107,#REF!),IF('INHERENT MAP'!$B$5=2023,IF(#REF!="",F107,#REF!),IF('INHERENT MAP'!$B$5=2024,IF(#REF!="",F107,#REF!),IF('РЕЕСТР РИСКОВ_2023'!J134="",F107,'РЕЕСТР РИСКОВ_2023'!J134)))))</f>
        <v>Департамент координации и мониторинга закупок , структурные подразделения, дочерние организации</v>
      </c>
      <c r="G108" t="str">
        <f>IF('INHERENT MAP'!$B$5=2021,IF('РЕЕСТР РИСКОВ_2023'!K134="",G107,'РЕЕСТР РИСКОВ_2023'!K134),IF('INHERENT MAP'!$B$5=2022,IF(#REF!="",G107,#REF!),IF('INHERENT MAP'!$B$5=2023,IF(#REF!="",G107,#REF!),IF('INHERENT MAP'!$B$5=2024,IF(#REF!="",G107,#REF!),IF('РЕЕСТР РИСКОВ_2023'!K134="",G107,'РЕЕСТР РИСКОВ_2023'!K134)))))</f>
        <v>Процесс закупок</v>
      </c>
      <c r="H108">
        <f>IF('INHERENT MAP'!$B$5=2021,'РЕЕСТР РИСКОВ_2023'!L134,IF('INHERENT MAP'!$B$5=2022,#REF!,IF('INHERENT MAP'!$B$5=2023,#REF!,IF('INHERENT MAP'!$B$5=2024,#REF!,#REF!))))</f>
        <v>0</v>
      </c>
      <c r="I108">
        <f>IF('INHERENT MAP'!$B$5=2021,'РЕЕСТР РИСКОВ_2023'!M134,IF('INHERENT MAP'!$B$5=2022,#REF!,IF('INHERENT MAP'!$B$5=2023,#REF!,IF('INHERENT MAP'!$B$5=2024,#REF!,#REF!))))</f>
        <v>0</v>
      </c>
      <c r="J108">
        <f>IF('INHERENT MAP'!$B$5=2021,'РЕЕСТР РИСКОВ_2023'!N134,IF('INHERENT MAP'!$B$5=2022,#REF!,IF('INHERENT MAP'!$B$5=2023,#REF!,IF('INHERENT MAP'!$B$5=2024,#REF!,#REF!))))</f>
        <v>0</v>
      </c>
      <c r="K108">
        <f>IF('INHERENT MAP'!$B$5=2021,'РЕЕСТР РИСКОВ_2023'!O134,IF('INHERENT MAP'!$B$5=2022,#REF!,IF('INHERENT MAP'!$B$5=2023,#REF!,IF('INHERENT MAP'!$B$5=2024,#REF!,#REF!))))</f>
        <v>0</v>
      </c>
      <c r="L108">
        <f>IF('INHERENT MAP'!$B$5=2021,'РЕЕСТР РИСКОВ_2023'!P134,IF('INHERENT MAP'!$B$5=2022,#REF!,IF('INHERENT MAP'!$B$5=2023,#REF!,IF('INHERENT MAP'!$B$5=2024,#REF!,#REF!))))</f>
        <v>0</v>
      </c>
      <c r="M108" t="str">
        <f>IF('INHERENT MAP'!$B$5=2021,IF('РЕЕСТР РИСКОВ_2023'!Q134="",M107,'РЕЕСТР РИСКОВ_2023'!Q134),IF('INHERENT MAP'!$B$5=2022,IF(#REF!="",M107,#REF!),IF('INHERENT MAP'!$B$5=2023,IF(#REF!="",M107,#REF!),IF('INHERENT MAP'!$B$5=2024,IF(#REF!="",M107,#REF!),IF('РЕЕСТР РИСКОВ_2023'!Q134="",M107,'РЕЕСТР РИСКОВ_2023'!Q134)))))</f>
        <v>1. Нарушение работниками структурных подразделений (филиалов) АО «НК «ҚТЖ» норм закупок, установленных АО «Самрук-Қазына».
2. Несвоевременное проведение закупок товаров, работ, услуг организаторами закупок (структурные подразделения (филиалы) АО «НК «ҚТЖ»).
3. Зависимость от колебания закупочных цен (цен поставщиков).
4. После подведения структурными подразделениями (филиалами) АО «НК «ҚТЖ» итогов закупок потенциальный поставщик уклонился от заключения договора и после заключения договора структурными подразделениями (филиалами) АО «НК «ҚТЖ» поставщик не внес обеспечение исполнения договора.
5. Несвоевременная оплата структурными подразделениями (филиалами) АО «НК «ҚТЖ» за поставку товаров, выполнение работ, оказание услуг.
6. Ненадлежащее исполнение поставщиками договорных обязательств.</v>
      </c>
      <c r="N108" t="e">
        <f>IF('INHERENT MAP'!$B$5=2021,IF('РЕЕСТР РИСКОВ_2023'!R134="",N107,'РЕЕСТР РИСКОВ_2023'!R134),IF('INHERENT MAP'!$B$5=2022,IF(#REF!="",N107,#REF!),IF('INHERENT MAP'!$B$5=2023,IF(#REF!="",N107,#REF!),IF('INHERENT MAP'!$B$5=2024,IF(#REF!="",N107,#REF!),IF('РЕЕСТР РИСКОВ_2023'!R134="",N107,'РЕЕСТР РИСКОВ_2023'!R134)))))</f>
        <v>#REF!</v>
      </c>
      <c r="O108">
        <f>'РЕЕСТР РИСКОВ_2023'!T134</f>
        <v>0</v>
      </c>
      <c r="P108" t="e">
        <f>IF('РЕЕСТР РИСКОВ_2023'!U134="",P107,'РЕЕСТР РИСКОВ_2023'!U134)</f>
        <v>#REF!</v>
      </c>
      <c r="Q108" t="str">
        <f>IF('РЕЕСТР РИСКОВ_2023'!V134="",Q107,'РЕЕСТР РИСКОВ_2023'!V134)</f>
        <v>Слабые стороны</v>
      </c>
      <c r="R108" t="e">
        <f>IF('РЕЕСТР РИСКОВ_2023'!W134="",R107,'РЕЕСТР РИСКОВ_2023'!W134)</f>
        <v>#REF!</v>
      </c>
      <c r="S108">
        <f>'РЕЕСТР РИСКОВ_2023'!X134</f>
        <v>0</v>
      </c>
      <c r="T108" s="94">
        <f>IF('INHERENT MAP'!$B$5=2021,'РЕЕСТР РИСКОВ_2023'!Y134,IF('INHERENT MAP'!$B$5=2022,#REF!,IF('INHERENT MAP'!$B$5=2023,#REF!,IF('INHERENT MAP'!$B$5=2024,#REF!,#REF!))))</f>
        <v>0.8</v>
      </c>
      <c r="U108">
        <f>IF('INHERENT MAP'!$B$5=2021,'РЕЕСТР РИСКОВ_2023'!Z134,IF('INHERENT MAP'!$B$5=2022,#REF!,IF('INHERENT MAP'!$B$5=2023,#REF!,IF('INHERENT MAP'!$B$5=2024,#REF!,#REF!))))</f>
        <v>0</v>
      </c>
      <c r="V108">
        <f>IF('INHERENT MAP'!$B$5=2021,'РЕЕСТР РИСКОВ_2023'!AA134,IF('INHERENT MAP'!$B$5=2022,#REF!,IF('INHERENT MAP'!$B$5=2023,#REF!,IF('INHERENT MAP'!$B$5=2024,#REF!,#REF!))))</f>
        <v>0</v>
      </c>
      <c r="W108">
        <f>IF('INHERENT MAP'!$B$5=2021,'РЕЕСТР РИСКОВ_2023'!AB134,IF('INHERENT MAP'!$B$5=2022,#REF!,IF('INHERENT MAP'!$B$5=2023,#REF!,IF('INHERENT MAP'!$B$5=2024,#REF!,#REF!))))</f>
        <v>0</v>
      </c>
      <c r="X108" s="94">
        <f>IF('INHERENT MAP'!$B$5=2021,'РЕЕСТР РИСКОВ_2023'!AC134,IF('INHERENT MAP'!$B$5=2022,#REF!,IF('INHERENT MAP'!$B$5=2023,#REF!,IF('INHERENT MAP'!$B$5=2024,#REF!,#REF!))))</f>
        <v>0</v>
      </c>
      <c r="Y108">
        <f>IF('INHERENT MAP'!$B$5=2021,'РЕЕСТР РИСКОВ_2023'!AD134,IF('INHERENT MAP'!$B$5=2022,#REF!,IF('INHERENT MAP'!$B$5=2023,#REF!,IF('INHERENT MAP'!$B$5=2024,#REF!,#REF!))))</f>
        <v>0</v>
      </c>
      <c r="Z108">
        <f>IF('INHERENT MAP'!$B$5=2021,'РЕЕСТР РИСКОВ_2023'!AE134,IF('INHERENT MAP'!$B$5=2022,#REF!,IF('INHERENT MAP'!$B$5=2023,#REF!,IF('INHERENT MAP'!$B$5=2024,#REF!,#REF!))))</f>
        <v>0</v>
      </c>
      <c r="AA108">
        <f>IF('INHERENT MAP'!$B$5=2021,'РЕЕСТР РИСКОВ_2023'!AF134,IF('INHERENT MAP'!$B$5=2022,#REF!,IF('INHERENT MAP'!$B$5=2023,#REF!,IF('INHERENT MAP'!$B$5=2024,#REF!,#REF!))))</f>
        <v>0</v>
      </c>
      <c r="AB108">
        <f>IF('INHERENT MAP'!$B$5=2021,'РЕЕСТР РИСКОВ_2023'!AG134,IF('INHERENT MAP'!$B$5=2022,#REF!,IF('INHERENT MAP'!$B$5=2023,#REF!,IF('INHERENT MAP'!$B$5=2024,#REF!,#REF!))))</f>
        <v>0</v>
      </c>
      <c r="AC108">
        <f>IF('INHERENT MAP'!$B$5=2021,'РЕЕСТР РИСКОВ_2023'!AH134,IF('INHERENT MAP'!$B$5=2022,#REF!,IF('INHERENT MAP'!$B$5=2023,#REF!,IF('INHERENT MAP'!$B$5=2024,#REF!,#REF!))))</f>
        <v>0</v>
      </c>
      <c r="AD108" t="str">
        <f>IF('INHERENT MAP'!$B$5=2021,'РЕЕСТР РИСКОВ_2023'!AI134,IF('INHERENT MAP'!$B$5=2022,#REF!,IF('INHERENT MAP'!$B$5=2023,#REF!,IF('INHERENT MAP'!$B$5=2024,#REF!,#REF!))))</f>
        <v>1. Повышение квалификации работников занятых закупками.
2. Ведение учета и статистики по нарушениям.
3. Разработка мер по регулярным нарушениям с целью усовершенствования бизнес процессов. Постоянное информирование о нарушениях норм закупок с целью избежания повторных нарушений.
4. Обеспечение на постоянной основе контроля и мониторинг проводимых закупок товаров, работ и услуг на предмет соответствия внутренним локальным актам предприятия, а также документам АО «Самрук-Казына» в области закупок.</v>
      </c>
      <c r="AE108" t="str">
        <f>IF('INHERENT MAP'!$B$5=2021,'РЕЕСТР РИСКОВ_2023'!AK134,IF('INHERENT MAP'!$B$5=2022,#REF!,IF('INHERENT MAP'!$B$5=2023,#REF!,IF('INHERENT MAP'!$B$5=2024,#REF!,#REF!))))</f>
        <v>Департамент координации и мониторинга закупок , структурные подразделения, дочерние организации</v>
      </c>
      <c r="AF108">
        <f>IF('INHERENT MAP'!$B$5=2021,'РЕЕСТР РИСКОВ_2023'!AL134,IF('INHERENT MAP'!$B$5=2022,#REF!,IF('INHERENT MAP'!$B$5=2023,#REF!,IF('INHERENT MAP'!$B$5=2024,#REF!,#REF!))))</f>
        <v>0</v>
      </c>
      <c r="AG108" t="str">
        <f>IF('INHERENT MAP'!$B$5=2021,'РЕЕСТР РИСКОВ_2023'!AM134,IF('INHERENT MAP'!$B$5=2022,#REF!,IF('INHERENT MAP'!$B$5=2023,#REF!,IF('INHERENT MAP'!$B$5=2024,#REF!,#REF!))))</f>
        <v>средняя</v>
      </c>
      <c r="AH108">
        <f>IF('INHERENT MAP'!$B$5=2021,'РЕЕСТР РИСКОВ_2023'!AN134,IF('INHERENT MAP'!$B$5=2022,#REF!,IF('INHERENT MAP'!$B$5=2023,#REF!,IF('INHERENT MAP'!$B$5=2024,#REF!,#REF!))))</f>
        <v>0.4</v>
      </c>
      <c r="AI108">
        <f>IF('INHERENT MAP'!$B$5=2021,'РЕЕСТР РИСКОВ_2023'!AO134,IF('INHERENT MAP'!$B$5=2022,#REF!,IF('INHERENT MAP'!$B$5=2023,#REF!,IF('INHERENT MAP'!$B$5=2024,#REF!,#REF!))))</f>
        <v>0</v>
      </c>
      <c r="AJ108">
        <f>IF('INHERENT MAP'!$B$5=2021,'РЕЕСТР РИСКОВ_2023'!AP134,IF('INHERENT MAP'!$B$5=2022,#REF!,IF('INHERENT MAP'!$B$5=2023,#REF!,IF('INHERENT MAP'!$B$5=2024,#REF!,#REF!))))</f>
        <v>0</v>
      </c>
      <c r="AK108">
        <f>IF('РЕЕСТР РИСКОВ_2023'!AQ134="",AK107,'РЕЕСТР РИСКОВ_2023'!AQ134)</f>
        <v>0</v>
      </c>
      <c r="AL108" t="e">
        <f>IF('РЕЕСТР РИСКОВ_2023'!AR134="",AL107,'РЕЕСТР РИСКОВ_2023'!AR134)</f>
        <v>#REF!</v>
      </c>
      <c r="AM108" t="e">
        <f>IF('РЕЕСТР РИСКОВ_2023'!AS134="",AM107,'РЕЕСТР РИСКОВ_2023'!AS134)</f>
        <v>#REF!</v>
      </c>
      <c r="AN108" t="e">
        <f>IF('РЕЕСТР РИСКОВ_2023'!AT134="",AN107,'РЕЕСТР РИСКОВ_2023'!AT134)</f>
        <v>#REF!</v>
      </c>
      <c r="AO108" t="e">
        <f>IF('РЕЕСТР РИСКОВ_2023'!AU134="",AO107,'РЕЕСТР РИСКОВ_2023'!AU134)</f>
        <v>#REF!</v>
      </c>
    </row>
    <row r="109" spans="2:41">
      <c r="B109" t="e">
        <f>IF('INHERENT MAP'!$B$5=2021,IF('РЕЕСТР РИСКОВ_2023'!F135="",B108,'РЕЕСТР РИСКОВ_2023'!F135),IF('INHERENT MAP'!$B$5=2022,IF(#REF!="",B108,#REF!),IF('INHERENT MAP'!$B$5=2023,IF(#REF!="",B108,#REF!),IF('INHERENT MAP'!$B$5=2024,IF(#REF!="",B108,#REF!),IF('РЕЕСТР РИСКОВ_2023'!F135="",B108,'РЕЕСТР РИСКОВ_2023'!F135)))))</f>
        <v>#REF!</v>
      </c>
      <c r="C109" t="e">
        <f>IF('INHERENT MAP'!$B$5=2021,IF('РЕЕСТР РИСКОВ_2023'!G135="",C108,'РЕЕСТР РИСКОВ_2023'!G135),IF('INHERENT MAP'!$B$5=2022,IF(#REF!="",C108,#REF!),IF('INHERENT MAP'!$B$5=2023,IF(#REF!="",C108,#REF!),IF('INHERENT MAP'!$B$5=2024,IF(#REF!="",C108,#REF!),IF('РЕЕСТР РИСКОВ_2023'!G135="",C108,'РЕЕСТР РИСКОВ_2023'!G135)))))</f>
        <v>#REF!</v>
      </c>
      <c r="D109" t="str">
        <f>IF('INHERENT MAP'!$B$5=2021,IF('РЕЕСТР РИСКОВ_2023'!H135="",D108,'РЕЕСТР РИСКОВ_2023'!H135),IF('INHERENT MAP'!$B$5=2022,IF(#REF!="",D108,#REF!),IF('INHERENT MAP'!$B$5=2023,IF(#REF!="",D108,#REF!),IF('INHERENT MAP'!$B$5=2024,IF(#REF!="",D108,#REF!),IF('РЕЕСТР РИСКОВ_2023'!H135="",D108,'РЕЕСТР РИСКОВ_2023'!H135)))))</f>
        <v>OR-8</v>
      </c>
      <c r="E109" t="str">
        <f>IF('INHERENT MAP'!$B$5=2021,IF('РЕЕСТР РИСКОВ_2023'!I135="",E108,'РЕЕСТР РИСКОВ_2023'!I135),IF('INHERENT MAP'!$B$5=2022,IF(#REF!="",E108,#REF!),IF('INHERENT MAP'!$B$5=2023,IF(#REF!="",E108,#REF!),IF('INHERENT MAP'!$B$5=2024,IF(#REF!="",E108,#REF!),IF('РЕЕСТР РИСКОВ_2023'!I135="",E108,'РЕЕСТР РИСКОВ_2023'!I135)))))</f>
        <v>ЦЗО</v>
      </c>
      <c r="F109" t="str">
        <f>IF('INHERENT MAP'!$B$5=2021,IF('РЕЕСТР РИСКОВ_2023'!J135="",F108,'РЕЕСТР РИСКОВ_2023'!J135),IF('INHERENT MAP'!$B$5=2022,IF(#REF!="",F108,#REF!),IF('INHERENT MAP'!$B$5=2023,IF(#REF!="",F108,#REF!),IF('INHERENT MAP'!$B$5=2024,IF(#REF!="",F108,#REF!),IF('РЕЕСТР РИСКОВ_2023'!J135="",F108,'РЕЕСТР РИСКОВ_2023'!J135)))))</f>
        <v>Департамент координации и мониторинга закупок , структурные подразделения, дочерние организации</v>
      </c>
      <c r="G109" t="str">
        <f>IF('INHERENT MAP'!$B$5=2021,IF('РЕЕСТР РИСКОВ_2023'!K135="",G108,'РЕЕСТР РИСКОВ_2023'!K135),IF('INHERENT MAP'!$B$5=2022,IF(#REF!="",G108,#REF!),IF('INHERENT MAP'!$B$5=2023,IF(#REF!="",G108,#REF!),IF('INHERENT MAP'!$B$5=2024,IF(#REF!="",G108,#REF!),IF('РЕЕСТР РИСКОВ_2023'!K135="",G108,'РЕЕСТР РИСКОВ_2023'!K135)))))</f>
        <v>Процесс закупок</v>
      </c>
      <c r="H109">
        <f>IF('INHERENT MAP'!$B$5=2021,'РЕЕСТР РИСКОВ_2023'!L135,IF('INHERENT MAP'!$B$5=2022,#REF!,IF('INHERENT MAP'!$B$5=2023,#REF!,IF('INHERENT MAP'!$B$5=2024,#REF!,#REF!))))</f>
        <v>0</v>
      </c>
      <c r="I109">
        <f>IF('INHERENT MAP'!$B$5=2021,'РЕЕСТР РИСКОВ_2023'!M135,IF('INHERENT MAP'!$B$5=2022,#REF!,IF('INHERENT MAP'!$B$5=2023,#REF!,IF('INHERENT MAP'!$B$5=2024,#REF!,#REF!))))</f>
        <v>0</v>
      </c>
      <c r="J109">
        <f>IF('INHERENT MAP'!$B$5=2021,'РЕЕСТР РИСКОВ_2023'!N135,IF('INHERENT MAP'!$B$5=2022,#REF!,IF('INHERENT MAP'!$B$5=2023,#REF!,IF('INHERENT MAP'!$B$5=2024,#REF!,#REF!))))</f>
        <v>0</v>
      </c>
      <c r="K109">
        <f>IF('INHERENT MAP'!$B$5=2021,'РЕЕСТР РИСКОВ_2023'!O135,IF('INHERENT MAP'!$B$5=2022,#REF!,IF('INHERENT MAP'!$B$5=2023,#REF!,IF('INHERENT MAP'!$B$5=2024,#REF!,#REF!))))</f>
        <v>0</v>
      </c>
      <c r="L109">
        <f>IF('INHERENT MAP'!$B$5=2021,'РЕЕСТР РИСКОВ_2023'!P135,IF('INHERENT MAP'!$B$5=2022,#REF!,IF('INHERENT MAP'!$B$5=2023,#REF!,IF('INHERENT MAP'!$B$5=2024,#REF!,#REF!))))</f>
        <v>0</v>
      </c>
      <c r="M109" t="str">
        <f>IF('INHERENT MAP'!$B$5=2021,IF('РЕЕСТР РИСКОВ_2023'!Q135="",M108,'РЕЕСТР РИСКОВ_2023'!Q135),IF('INHERENT MAP'!$B$5=2022,IF(#REF!="",M108,#REF!),IF('INHERENT MAP'!$B$5=2023,IF(#REF!="",M108,#REF!),IF('INHERENT MAP'!$B$5=2024,IF(#REF!="",M108,#REF!),IF('РЕЕСТР РИСКОВ_2023'!Q135="",M108,'РЕЕСТР РИСКОВ_2023'!Q135)))))</f>
        <v>1. Нарушение работниками структурных подразделений (филиалов) АО «НК «ҚТЖ» норм закупок, установленных АО «Самрук-Қазына».
2. Несвоевременное проведение закупок товаров, работ, услуг организаторами закупок (структурные подразделения (филиалы) АО «НК «ҚТЖ»).
3. Зависимость от колебания закупочных цен (цен поставщиков).
4. После подведения структурными подразделениями (филиалами) АО «НК «ҚТЖ» итогов закупок потенциальный поставщик уклонился от заключения договора и после заключения договора структурными подразделениями (филиалами) АО «НК «ҚТЖ» поставщик не внес обеспечение исполнения договора.
5. Несвоевременная оплата структурными подразделениями (филиалами) АО «НК «ҚТЖ» за поставку товаров, выполнение работ, оказание услуг.
6. Ненадлежащее исполнение поставщиками договорных обязательств.</v>
      </c>
      <c r="N109" t="e">
        <f>IF('INHERENT MAP'!$B$5=2021,IF('РЕЕСТР РИСКОВ_2023'!R135="",N108,'РЕЕСТР РИСКОВ_2023'!R135),IF('INHERENT MAP'!$B$5=2022,IF(#REF!="",N108,#REF!),IF('INHERENT MAP'!$B$5=2023,IF(#REF!="",N108,#REF!),IF('INHERENT MAP'!$B$5=2024,IF(#REF!="",N108,#REF!),IF('РЕЕСТР РИСКОВ_2023'!R135="",N108,'РЕЕСТР РИСКОВ_2023'!R135)))))</f>
        <v>#REF!</v>
      </c>
      <c r="O109">
        <f>'РЕЕСТР РИСКОВ_2023'!T135</f>
        <v>0</v>
      </c>
      <c r="P109" t="e">
        <f>IF('РЕЕСТР РИСКОВ_2023'!U135="",P108,'РЕЕСТР РИСКОВ_2023'!U135)</f>
        <v>#REF!</v>
      </c>
      <c r="Q109" t="str">
        <f>IF('РЕЕСТР РИСКОВ_2023'!V135="",Q108,'РЕЕСТР РИСКОВ_2023'!V135)</f>
        <v>Слабые стороны</v>
      </c>
      <c r="R109" t="e">
        <f>IF('РЕЕСТР РИСКОВ_2023'!W135="",R108,'РЕЕСТР РИСКОВ_2023'!W135)</f>
        <v>#REF!</v>
      </c>
      <c r="S109">
        <f>'РЕЕСТР РИСКОВ_2023'!X135</f>
        <v>0</v>
      </c>
      <c r="T109" s="94">
        <f>IF('INHERENT MAP'!$B$5=2021,'РЕЕСТР РИСКОВ_2023'!Y135,IF('INHERENT MAP'!$B$5=2022,#REF!,IF('INHERENT MAP'!$B$5=2023,#REF!,IF('INHERENT MAP'!$B$5=2024,#REF!,#REF!))))</f>
        <v>0</v>
      </c>
      <c r="U109">
        <f>IF('INHERENT MAP'!$B$5=2021,'РЕЕСТР РИСКОВ_2023'!Z135,IF('INHERENT MAP'!$B$5=2022,#REF!,IF('INHERENT MAP'!$B$5=2023,#REF!,IF('INHERENT MAP'!$B$5=2024,#REF!,#REF!))))</f>
        <v>0</v>
      </c>
      <c r="V109">
        <f>IF('INHERENT MAP'!$B$5=2021,'РЕЕСТР РИСКОВ_2023'!AA135,IF('INHERENT MAP'!$B$5=2022,#REF!,IF('INHERENT MAP'!$B$5=2023,#REF!,IF('INHERENT MAP'!$B$5=2024,#REF!,#REF!))))</f>
        <v>0</v>
      </c>
      <c r="W109" t="str">
        <f>IF('INHERENT MAP'!$B$5=2021,'РЕЕСТР РИСКОВ_2023'!AB135,IF('INHERENT MAP'!$B$5=2022,#REF!,IF('INHERENT MAP'!$B$5=2023,#REF!,IF('INHERENT MAP'!$B$5=2024,#REF!,#REF!))))</f>
        <v xml:space="preserve">Нарекания со стороны уполном.органа. 
Признание заключенных договоров недействительными. 
Административные взыскания на должн.лица. 
Нарушение сроков осуществления закупок товаров, работ и услуг Общества. Сужение круга потенц. поставщиков (ограниченный выбор поставщиков). Поставка некачественных товаро-материальных ценностей. </v>
      </c>
      <c r="X109" s="94">
        <f>IF('INHERENT MAP'!$B$5=2021,'РЕЕСТР РИСКОВ_2023'!AC135,IF('INHERENT MAP'!$B$5=2022,#REF!,IF('INHERENT MAP'!$B$5=2023,#REF!,IF('INHERENT MAP'!$B$5=2024,#REF!,#REF!))))</f>
        <v>0</v>
      </c>
      <c r="Y109">
        <f>IF('INHERENT MAP'!$B$5=2021,'РЕЕСТР РИСКОВ_2023'!AD135,IF('INHERENT MAP'!$B$5=2022,#REF!,IF('INHERENT MAP'!$B$5=2023,#REF!,IF('INHERENT MAP'!$B$5=2024,#REF!,#REF!))))</f>
        <v>0</v>
      </c>
      <c r="Z109">
        <f>IF('INHERENT MAP'!$B$5=2021,'РЕЕСТР РИСКОВ_2023'!AE135,IF('INHERENT MAP'!$B$5=2022,#REF!,IF('INHERENT MAP'!$B$5=2023,#REF!,IF('INHERENT MAP'!$B$5=2024,#REF!,#REF!))))</f>
        <v>0</v>
      </c>
      <c r="AA109">
        <f>IF('INHERENT MAP'!$B$5=2021,'РЕЕСТР РИСКОВ_2023'!AF135,IF('INHERENT MAP'!$B$5=2022,#REF!,IF('INHERENT MAP'!$B$5=2023,#REF!,IF('INHERENT MAP'!$B$5=2024,#REF!,#REF!))))</f>
        <v>0</v>
      </c>
      <c r="AB109">
        <f>IF('INHERENT MAP'!$B$5=2021,'РЕЕСТР РИСКОВ_2023'!AG135,IF('INHERENT MAP'!$B$5=2022,#REF!,IF('INHERENT MAP'!$B$5=2023,#REF!,IF('INHERENT MAP'!$B$5=2024,#REF!,#REF!))))</f>
        <v>0</v>
      </c>
      <c r="AC109">
        <f>IF('INHERENT MAP'!$B$5=2021,'РЕЕСТР РИСКОВ_2023'!AH135,IF('INHERENT MAP'!$B$5=2022,#REF!,IF('INHERENT MAP'!$B$5=2023,#REF!,IF('INHERENT MAP'!$B$5=2024,#REF!,#REF!))))</f>
        <v>0</v>
      </c>
      <c r="AD109">
        <f>IF('INHERENT MAP'!$B$5=2021,'РЕЕСТР РИСКОВ_2023'!AI135,IF('INHERENT MAP'!$B$5=2022,#REF!,IF('INHERENT MAP'!$B$5=2023,#REF!,IF('INHERENT MAP'!$B$5=2024,#REF!,#REF!))))</f>
        <v>0</v>
      </c>
      <c r="AE109">
        <f>IF('INHERENT MAP'!$B$5=2021,'РЕЕСТР РИСКОВ_2023'!AK135,IF('INHERENT MAP'!$B$5=2022,#REF!,IF('INHERENT MAP'!$B$5=2023,#REF!,IF('INHERENT MAP'!$B$5=2024,#REF!,#REF!))))</f>
        <v>0</v>
      </c>
      <c r="AF109">
        <f>IF('INHERENT MAP'!$B$5=2021,'РЕЕСТР РИСКОВ_2023'!AL135,IF('INHERENT MAP'!$B$5=2022,#REF!,IF('INHERENT MAP'!$B$5=2023,#REF!,IF('INHERENT MAP'!$B$5=2024,#REF!,#REF!))))</f>
        <v>0</v>
      </c>
      <c r="AG109" t="str">
        <f>IF('INHERENT MAP'!$B$5=2021,'РЕЕСТР РИСКОВ_2023'!AM135,IF('INHERENT MAP'!$B$5=2022,#REF!,IF('INHERENT MAP'!$B$5=2023,#REF!,IF('INHERENT MAP'!$B$5=2024,#REF!,#REF!))))</f>
        <v>низкая</v>
      </c>
      <c r="AH109">
        <f>IF('INHERENT MAP'!$B$5=2021,'РЕЕСТР РИСКОВ_2023'!AN135,IF('INHERENT MAP'!$B$5=2022,#REF!,IF('INHERENT MAP'!$B$5=2023,#REF!,IF('INHERENT MAP'!$B$5=2024,#REF!,#REF!))))</f>
        <v>0</v>
      </c>
      <c r="AI109">
        <f>IF('INHERENT MAP'!$B$5=2021,'РЕЕСТР РИСКОВ_2023'!AO135,IF('INHERENT MAP'!$B$5=2022,#REF!,IF('INHERENT MAP'!$B$5=2023,#REF!,IF('INHERENT MAP'!$B$5=2024,#REF!,#REF!))))</f>
        <v>0</v>
      </c>
      <c r="AJ109">
        <f>IF('INHERENT MAP'!$B$5=2021,'РЕЕСТР РИСКОВ_2023'!AP135,IF('INHERENT MAP'!$B$5=2022,#REF!,IF('INHERENT MAP'!$B$5=2023,#REF!,IF('INHERENT MAP'!$B$5=2024,#REF!,#REF!))))</f>
        <v>0</v>
      </c>
      <c r="AK109">
        <f>IF('РЕЕСТР РИСКОВ_2023'!AQ135="",AK108,'РЕЕСТР РИСКОВ_2023'!AQ135)</f>
        <v>0</v>
      </c>
      <c r="AL109" t="e">
        <f>IF('РЕЕСТР РИСКОВ_2023'!AR135="",AL108,'РЕЕСТР РИСКОВ_2023'!AR135)</f>
        <v>#REF!</v>
      </c>
      <c r="AM109" t="e">
        <f>IF('РЕЕСТР РИСКОВ_2023'!AS135="",AM108,'РЕЕСТР РИСКОВ_2023'!AS135)</f>
        <v>#REF!</v>
      </c>
      <c r="AN109" t="e">
        <f>IF('РЕЕСТР РИСКОВ_2023'!AT135="",AN108,'РЕЕСТР РИСКОВ_2023'!AT135)</f>
        <v>#REF!</v>
      </c>
      <c r="AO109" t="e">
        <f>IF('РЕЕСТР РИСКОВ_2023'!AU135="",AO108,'РЕЕСТР РИСКОВ_2023'!AU135)</f>
        <v>#REF!</v>
      </c>
    </row>
    <row r="110" spans="2:41">
      <c r="B110" t="e">
        <f>IF('INHERENT MAP'!$B$5=2021,IF('РЕЕСТР РИСКОВ_2023'!F136="",B109,'РЕЕСТР РИСКОВ_2023'!F136),IF('INHERENT MAP'!$B$5=2022,IF(#REF!="",B109,#REF!),IF('INHERENT MAP'!$B$5=2023,IF(#REF!="",B109,#REF!),IF('INHERENT MAP'!$B$5=2024,IF(#REF!="",B109,#REF!),IF('РЕЕСТР РИСКОВ_2023'!F136="",B109,'РЕЕСТР РИСКОВ_2023'!F136)))))</f>
        <v>#REF!</v>
      </c>
      <c r="C110" t="e">
        <f>IF('INHERENT MAP'!$B$5=2021,IF('РЕЕСТР РИСКОВ_2023'!G136="",C109,'РЕЕСТР РИСКОВ_2023'!G136),IF('INHERENT MAP'!$B$5=2022,IF(#REF!="",C109,#REF!),IF('INHERENT MAP'!$B$5=2023,IF(#REF!="",C109,#REF!),IF('INHERENT MAP'!$B$5=2024,IF(#REF!="",C109,#REF!),IF('РЕЕСТР РИСКОВ_2023'!G136="",C109,'РЕЕСТР РИСКОВ_2023'!G136)))))</f>
        <v>#REF!</v>
      </c>
      <c r="D110" t="str">
        <f>IF('INHERENT MAP'!$B$5=2021,IF('РЕЕСТР РИСКОВ_2023'!H136="",D109,'РЕЕСТР РИСКОВ_2023'!H136),IF('INHERENT MAP'!$B$5=2022,IF(#REF!="",D109,#REF!),IF('INHERENT MAP'!$B$5=2023,IF(#REF!="",D109,#REF!),IF('INHERENT MAP'!$B$5=2024,IF(#REF!="",D109,#REF!),IF('РЕЕСТР РИСКОВ_2023'!H136="",D109,'РЕЕСТР РИСКОВ_2023'!H136)))))</f>
        <v>OR-8</v>
      </c>
      <c r="E110" t="str">
        <f>IF('INHERENT MAP'!$B$5=2021,IF('РЕЕСТР РИСКОВ_2023'!I136="",E109,'РЕЕСТР РИСКОВ_2023'!I136),IF('INHERENT MAP'!$B$5=2022,IF(#REF!="",E109,#REF!),IF('INHERENT MAP'!$B$5=2023,IF(#REF!="",E109,#REF!),IF('INHERENT MAP'!$B$5=2024,IF(#REF!="",E109,#REF!),IF('РЕЕСТР РИСКОВ_2023'!I136="",E109,'РЕЕСТР РИСКОВ_2023'!I136)))))</f>
        <v>ЦЗО</v>
      </c>
      <c r="F110" t="str">
        <f>IF('INHERENT MAP'!$B$5=2021,IF('РЕЕСТР РИСКОВ_2023'!J136="",F109,'РЕЕСТР РИСКОВ_2023'!J136),IF('INHERENT MAP'!$B$5=2022,IF(#REF!="",F109,#REF!),IF('INHERENT MAP'!$B$5=2023,IF(#REF!="",F109,#REF!),IF('INHERENT MAP'!$B$5=2024,IF(#REF!="",F109,#REF!),IF('РЕЕСТР РИСКОВ_2023'!J136="",F109,'РЕЕСТР РИСКОВ_2023'!J136)))))</f>
        <v>Департамент координации и мониторинга закупок , структурные подразделения, дочерние организации</v>
      </c>
      <c r="G110" t="str">
        <f>IF('INHERENT MAP'!$B$5=2021,IF('РЕЕСТР РИСКОВ_2023'!K136="",G109,'РЕЕСТР РИСКОВ_2023'!K136),IF('INHERENT MAP'!$B$5=2022,IF(#REF!="",G109,#REF!),IF('INHERENT MAP'!$B$5=2023,IF(#REF!="",G109,#REF!),IF('INHERENT MAP'!$B$5=2024,IF(#REF!="",G109,#REF!),IF('РЕЕСТР РИСКОВ_2023'!K136="",G109,'РЕЕСТР РИСКОВ_2023'!K136)))))</f>
        <v>Процесс закупок</v>
      </c>
      <c r="H110">
        <f>IF('INHERENT MAP'!$B$5=2021,'РЕЕСТР РИСКОВ_2023'!L136,IF('INHERENT MAP'!$B$5=2022,#REF!,IF('INHERENT MAP'!$B$5=2023,#REF!,IF('INHERENT MAP'!$B$5=2024,#REF!,#REF!))))</f>
        <v>0</v>
      </c>
      <c r="I110">
        <f>IF('INHERENT MAP'!$B$5=2021,'РЕЕСТР РИСКОВ_2023'!M136,IF('INHERENT MAP'!$B$5=2022,#REF!,IF('INHERENT MAP'!$B$5=2023,#REF!,IF('INHERENT MAP'!$B$5=2024,#REF!,#REF!))))</f>
        <v>0</v>
      </c>
      <c r="J110">
        <f>IF('INHERENT MAP'!$B$5=2021,'РЕЕСТР РИСКОВ_2023'!N136,IF('INHERENT MAP'!$B$5=2022,#REF!,IF('INHERENT MAP'!$B$5=2023,#REF!,IF('INHERENT MAP'!$B$5=2024,#REF!,#REF!))))</f>
        <v>0</v>
      </c>
      <c r="K110">
        <f>IF('INHERENT MAP'!$B$5=2021,'РЕЕСТР РИСКОВ_2023'!O136,IF('INHERENT MAP'!$B$5=2022,#REF!,IF('INHERENT MAP'!$B$5=2023,#REF!,IF('INHERENT MAP'!$B$5=2024,#REF!,#REF!))))</f>
        <v>0</v>
      </c>
      <c r="L110">
        <f>IF('INHERENT MAP'!$B$5=2021,'РЕЕСТР РИСКОВ_2023'!P136,IF('INHERENT MAP'!$B$5=2022,#REF!,IF('INHERENT MAP'!$B$5=2023,#REF!,IF('INHERENT MAP'!$B$5=2024,#REF!,#REF!))))</f>
        <v>0</v>
      </c>
      <c r="M110" t="str">
        <f>IF('INHERENT MAP'!$B$5=2021,IF('РЕЕСТР РИСКОВ_2023'!Q136="",M109,'РЕЕСТР РИСКОВ_2023'!Q136),IF('INHERENT MAP'!$B$5=2022,IF(#REF!="",M109,#REF!),IF('INHERENT MAP'!$B$5=2023,IF(#REF!="",M109,#REF!),IF('INHERENT MAP'!$B$5=2024,IF(#REF!="",M109,#REF!),IF('РЕЕСТР РИСКОВ_2023'!Q136="",M109,'РЕЕСТР РИСКОВ_2023'!Q136)))))</f>
        <v>1. Нарушение работниками структурных подразделений (филиалов) АО «НК «ҚТЖ» норм закупок, установленных АО «Самрук-Қазына».
2. Несвоевременное проведение закупок товаров, работ, услуг организаторами закупок (структурные подразделения (филиалы) АО «НК «ҚТЖ»).
3. Зависимость от колебания закупочных цен (цен поставщиков).
4. После подведения структурными подразделениями (филиалами) АО «НК «ҚТЖ» итогов закупок потенциальный поставщик уклонился от заключения договора и после заключения договора структурными подразделениями (филиалами) АО «НК «ҚТЖ» поставщик не внес обеспечение исполнения договора.
5. Несвоевременная оплата структурными подразделениями (филиалами) АО «НК «ҚТЖ» за поставку товаров, выполнение работ, оказание услуг.
6. Ненадлежащее исполнение поставщиками договорных обязательств.</v>
      </c>
      <c r="N110" t="e">
        <f>IF('INHERENT MAP'!$B$5=2021,IF('РЕЕСТР РИСКОВ_2023'!R136="",N109,'РЕЕСТР РИСКОВ_2023'!R136),IF('INHERENT MAP'!$B$5=2022,IF(#REF!="",N109,#REF!),IF('INHERENT MAP'!$B$5=2023,IF(#REF!="",N109,#REF!),IF('INHERENT MAP'!$B$5=2024,IF(#REF!="",N109,#REF!),IF('РЕЕСТР РИСКОВ_2023'!R136="",N109,'РЕЕСТР РИСКОВ_2023'!R136)))))</f>
        <v>#REF!</v>
      </c>
      <c r="O110">
        <f>'РЕЕСТР РИСКОВ_2023'!T136</f>
        <v>0</v>
      </c>
      <c r="P110" t="e">
        <f>IF('РЕЕСТР РИСКОВ_2023'!U136="",P109,'РЕЕСТР РИСКОВ_2023'!U136)</f>
        <v>#REF!</v>
      </c>
      <c r="Q110" t="str">
        <f>IF('РЕЕСТР РИСКОВ_2023'!V136="",Q109,'РЕЕСТР РИСКОВ_2023'!V136)</f>
        <v>Слабые стороны</v>
      </c>
      <c r="R110" t="e">
        <f>IF('РЕЕСТР РИСКОВ_2023'!W136="",R109,'РЕЕСТР РИСКОВ_2023'!W136)</f>
        <v>#REF!</v>
      </c>
      <c r="S110">
        <f>'РЕЕСТР РИСКОВ_2023'!X136</f>
        <v>0</v>
      </c>
      <c r="T110" s="94">
        <f>IF('INHERENT MAP'!$B$5=2021,'РЕЕСТР РИСКОВ_2023'!Y136,IF('INHERENT MAP'!$B$5=2022,#REF!,IF('INHERENT MAP'!$B$5=2023,#REF!,IF('INHERENT MAP'!$B$5=2024,#REF!,#REF!))))</f>
        <v>0</v>
      </c>
      <c r="U110">
        <f>IF('INHERENT MAP'!$B$5=2021,'РЕЕСТР РИСКОВ_2023'!Z136,IF('INHERENT MAP'!$B$5=2022,#REF!,IF('INHERENT MAP'!$B$5=2023,#REF!,IF('INHERENT MAP'!$B$5=2024,#REF!,#REF!))))</f>
        <v>0</v>
      </c>
      <c r="V110">
        <f>IF('INHERENT MAP'!$B$5=2021,'РЕЕСТР РИСКОВ_2023'!AA136,IF('INHERENT MAP'!$B$5=2022,#REF!,IF('INHERENT MAP'!$B$5=2023,#REF!,IF('INHERENT MAP'!$B$5=2024,#REF!,#REF!))))</f>
        <v>0</v>
      </c>
      <c r="W110">
        <f>IF('INHERENT MAP'!$B$5=2021,'РЕЕСТР РИСКОВ_2023'!AB136,IF('INHERENT MAP'!$B$5=2022,#REF!,IF('INHERENT MAP'!$B$5=2023,#REF!,IF('INHERENT MAP'!$B$5=2024,#REF!,#REF!))))</f>
        <v>0</v>
      </c>
      <c r="X110" s="94">
        <f>IF('INHERENT MAP'!$B$5=2021,'РЕЕСТР РИСКОВ_2023'!AC136,IF('INHERENT MAP'!$B$5=2022,#REF!,IF('INHERENT MAP'!$B$5=2023,#REF!,IF('INHERENT MAP'!$B$5=2024,#REF!,#REF!))))</f>
        <v>0</v>
      </c>
      <c r="Y110">
        <f>IF('INHERENT MAP'!$B$5=2021,'РЕЕСТР РИСКОВ_2023'!AD136,IF('INHERENT MAP'!$B$5=2022,#REF!,IF('INHERENT MAP'!$B$5=2023,#REF!,IF('INHERENT MAP'!$B$5=2024,#REF!,#REF!))))</f>
        <v>0</v>
      </c>
      <c r="Z110">
        <f>IF('INHERENT MAP'!$B$5=2021,'РЕЕСТР РИСКОВ_2023'!AE136,IF('INHERENT MAP'!$B$5=2022,#REF!,IF('INHERENT MAP'!$B$5=2023,#REF!,IF('INHERENT MAP'!$B$5=2024,#REF!,#REF!))))</f>
        <v>0</v>
      </c>
      <c r="AA110">
        <f>IF('INHERENT MAP'!$B$5=2021,'РЕЕСТР РИСКОВ_2023'!AF136,IF('INHERENT MAP'!$B$5=2022,#REF!,IF('INHERENT MAP'!$B$5=2023,#REF!,IF('INHERENT MAP'!$B$5=2024,#REF!,#REF!))))</f>
        <v>0</v>
      </c>
      <c r="AB110">
        <f>IF('INHERENT MAP'!$B$5=2021,'РЕЕСТР РИСКОВ_2023'!AG136,IF('INHERENT MAP'!$B$5=2022,#REF!,IF('INHERENT MAP'!$B$5=2023,#REF!,IF('INHERENT MAP'!$B$5=2024,#REF!,#REF!))))</f>
        <v>0</v>
      </c>
      <c r="AC110">
        <f>IF('INHERENT MAP'!$B$5=2021,'РЕЕСТР РИСКОВ_2023'!AH136,IF('INHERENT MAP'!$B$5=2022,#REF!,IF('INHERENT MAP'!$B$5=2023,#REF!,IF('INHERENT MAP'!$B$5=2024,#REF!,#REF!))))</f>
        <v>0</v>
      </c>
      <c r="AD110">
        <f>IF('INHERENT MAP'!$B$5=2021,'РЕЕСТР РИСКОВ_2023'!AI136,IF('INHERENT MAP'!$B$5=2022,#REF!,IF('INHERENT MAP'!$B$5=2023,#REF!,IF('INHERENT MAP'!$B$5=2024,#REF!,#REF!))))</f>
        <v>0</v>
      </c>
      <c r="AE110">
        <f>IF('INHERENT MAP'!$B$5=2021,'РЕЕСТР РИСКОВ_2023'!AK136,IF('INHERENT MAP'!$B$5=2022,#REF!,IF('INHERENT MAP'!$B$5=2023,#REF!,IF('INHERENT MAP'!$B$5=2024,#REF!,#REF!))))</f>
        <v>0</v>
      </c>
      <c r="AF110">
        <f>IF('INHERENT MAP'!$B$5=2021,'РЕЕСТР РИСКОВ_2023'!AL136,IF('INHERENT MAP'!$B$5=2022,#REF!,IF('INHERENT MAP'!$B$5=2023,#REF!,IF('INHERENT MAP'!$B$5=2024,#REF!,#REF!))))</f>
        <v>0</v>
      </c>
      <c r="AG110">
        <f>IF('INHERENT MAP'!$B$5=2021,'РЕЕСТР РИСКОВ_2023'!AM136,IF('INHERENT MAP'!$B$5=2022,#REF!,IF('INHERENT MAP'!$B$5=2023,#REF!,IF('INHERENT MAP'!$B$5=2024,#REF!,#REF!))))</f>
        <v>0</v>
      </c>
      <c r="AH110">
        <f>IF('INHERENT MAP'!$B$5=2021,'РЕЕСТР РИСКОВ_2023'!AN136,IF('INHERENT MAP'!$B$5=2022,#REF!,IF('INHERENT MAP'!$B$5=2023,#REF!,IF('INHERENT MAP'!$B$5=2024,#REF!,#REF!))))</f>
        <v>0</v>
      </c>
      <c r="AI110">
        <f>IF('INHERENT MAP'!$B$5=2021,'РЕЕСТР РИСКОВ_2023'!AO136,IF('INHERENT MAP'!$B$5=2022,#REF!,IF('INHERENT MAP'!$B$5=2023,#REF!,IF('INHERENT MAP'!$B$5=2024,#REF!,#REF!))))</f>
        <v>0</v>
      </c>
      <c r="AJ110">
        <f>IF('INHERENT MAP'!$B$5=2021,'РЕЕСТР РИСКОВ_2023'!AP136,IF('INHERENT MAP'!$B$5=2022,#REF!,IF('INHERENT MAP'!$B$5=2023,#REF!,IF('INHERENT MAP'!$B$5=2024,#REF!,#REF!))))</f>
        <v>0</v>
      </c>
      <c r="AK110">
        <f>IF('РЕЕСТР РИСКОВ_2023'!AQ136="",AK109,'РЕЕСТР РИСКОВ_2023'!AQ136)</f>
        <v>0</v>
      </c>
      <c r="AL110" t="e">
        <f>IF('РЕЕСТР РИСКОВ_2023'!AR136="",AL109,'РЕЕСТР РИСКОВ_2023'!AR136)</f>
        <v>#REF!</v>
      </c>
      <c r="AM110" t="e">
        <f>IF('РЕЕСТР РИСКОВ_2023'!AS136="",AM109,'РЕЕСТР РИСКОВ_2023'!AS136)</f>
        <v>#REF!</v>
      </c>
      <c r="AN110" t="e">
        <f>IF('РЕЕСТР РИСКОВ_2023'!AT136="",AN109,'РЕЕСТР РИСКОВ_2023'!AT136)</f>
        <v>#REF!</v>
      </c>
      <c r="AO110" t="e">
        <f>IF('РЕЕСТР РИСКОВ_2023'!AU136="",AO109,'РЕЕСТР РИСКОВ_2023'!AU136)</f>
        <v>#REF!</v>
      </c>
    </row>
    <row r="111" spans="2:41">
      <c r="B111" t="e">
        <f>IF('INHERENT MAP'!$B$5=2021,IF('РЕЕСТР РИСКОВ_2023'!F137="",B110,'РЕЕСТР РИСКОВ_2023'!F137),IF('INHERENT MAP'!$B$5=2022,IF(#REF!="",B110,#REF!),IF('INHERENT MAP'!$B$5=2023,IF(#REF!="",B110,#REF!),IF('INHERENT MAP'!$B$5=2024,IF(#REF!="",B110,#REF!),IF('РЕЕСТР РИСКОВ_2023'!F137="",B110,'РЕЕСТР РИСКОВ_2023'!F137)))))</f>
        <v>#REF!</v>
      </c>
      <c r="C111" t="e">
        <f>IF('INHERENT MAP'!$B$5=2021,IF('РЕЕСТР РИСКОВ_2023'!G137="",C110,'РЕЕСТР РИСКОВ_2023'!G137),IF('INHERENT MAP'!$B$5=2022,IF(#REF!="",C110,#REF!),IF('INHERENT MAP'!$B$5=2023,IF(#REF!="",C110,#REF!),IF('INHERENT MAP'!$B$5=2024,IF(#REF!="",C110,#REF!),IF('РЕЕСТР РИСКОВ_2023'!G137="",C110,'РЕЕСТР РИСКОВ_2023'!G137)))))</f>
        <v>#REF!</v>
      </c>
      <c r="D111" t="str">
        <f>IF('INHERENT MAP'!$B$5=2021,IF('РЕЕСТР РИСКОВ_2023'!H137="",D110,'РЕЕСТР РИСКОВ_2023'!H137),IF('INHERENT MAP'!$B$5=2022,IF(#REF!="",D110,#REF!),IF('INHERENT MAP'!$B$5=2023,IF(#REF!="",D110,#REF!),IF('INHERENT MAP'!$B$5=2024,IF(#REF!="",D110,#REF!),IF('РЕЕСТР РИСКОВ_2023'!H137="",D110,'РЕЕСТР РИСКОВ_2023'!H137)))))</f>
        <v>OR-8</v>
      </c>
      <c r="E111" t="str">
        <f>IF('INHERENT MAP'!$B$5=2021,IF('РЕЕСТР РИСКОВ_2023'!I137="",E110,'РЕЕСТР РИСКОВ_2023'!I137),IF('INHERENT MAP'!$B$5=2022,IF(#REF!="",E110,#REF!),IF('INHERENT MAP'!$B$5=2023,IF(#REF!="",E110,#REF!),IF('INHERENT MAP'!$B$5=2024,IF(#REF!="",E110,#REF!),IF('РЕЕСТР РИСКОВ_2023'!I137="",E110,'РЕЕСТР РИСКОВ_2023'!I137)))))</f>
        <v>ЦЗО</v>
      </c>
      <c r="F111" t="str">
        <f>IF('INHERENT MAP'!$B$5=2021,IF('РЕЕСТР РИСКОВ_2023'!J137="",F110,'РЕЕСТР РИСКОВ_2023'!J137),IF('INHERENT MAP'!$B$5=2022,IF(#REF!="",F110,#REF!),IF('INHERENT MAP'!$B$5=2023,IF(#REF!="",F110,#REF!),IF('INHERENT MAP'!$B$5=2024,IF(#REF!="",F110,#REF!),IF('РЕЕСТР РИСКОВ_2023'!J137="",F110,'РЕЕСТР РИСКОВ_2023'!J137)))))</f>
        <v>Департамент координации и мониторинга закупок , структурные подразделения, дочерние организации</v>
      </c>
      <c r="G111" t="str">
        <f>IF('INHERENT MAP'!$B$5=2021,IF('РЕЕСТР РИСКОВ_2023'!K137="",G110,'РЕЕСТР РИСКОВ_2023'!K137),IF('INHERENT MAP'!$B$5=2022,IF(#REF!="",G110,#REF!),IF('INHERENT MAP'!$B$5=2023,IF(#REF!="",G110,#REF!),IF('INHERENT MAP'!$B$5=2024,IF(#REF!="",G110,#REF!),IF('РЕЕСТР РИСКОВ_2023'!K137="",G110,'РЕЕСТР РИСКОВ_2023'!K137)))))</f>
        <v>Процесс закупок</v>
      </c>
      <c r="H111">
        <f>IF('INHERENT MAP'!$B$5=2021,'РЕЕСТР РИСКОВ_2023'!L137,IF('INHERENT MAP'!$B$5=2022,#REF!,IF('INHERENT MAP'!$B$5=2023,#REF!,IF('INHERENT MAP'!$B$5=2024,#REF!,#REF!))))</f>
        <v>0</v>
      </c>
      <c r="I111">
        <f>IF('INHERENT MAP'!$B$5=2021,'РЕЕСТР РИСКОВ_2023'!M137,IF('INHERENT MAP'!$B$5=2022,#REF!,IF('INHERENT MAP'!$B$5=2023,#REF!,IF('INHERENT MAP'!$B$5=2024,#REF!,#REF!))))</f>
        <v>0</v>
      </c>
      <c r="J111">
        <f>IF('INHERENT MAP'!$B$5=2021,'РЕЕСТР РИСКОВ_2023'!N137,IF('INHERENT MAP'!$B$5=2022,#REF!,IF('INHERENT MAP'!$B$5=2023,#REF!,IF('INHERENT MAP'!$B$5=2024,#REF!,#REF!))))</f>
        <v>0</v>
      </c>
      <c r="K111">
        <f>IF('INHERENT MAP'!$B$5=2021,'РЕЕСТР РИСКОВ_2023'!O137,IF('INHERENT MAP'!$B$5=2022,#REF!,IF('INHERENT MAP'!$B$5=2023,#REF!,IF('INHERENT MAP'!$B$5=2024,#REF!,#REF!))))</f>
        <v>0</v>
      </c>
      <c r="L111">
        <f>IF('INHERENT MAP'!$B$5=2021,'РЕЕСТР РИСКОВ_2023'!P137,IF('INHERENT MAP'!$B$5=2022,#REF!,IF('INHERENT MAP'!$B$5=2023,#REF!,IF('INHERENT MAP'!$B$5=2024,#REF!,#REF!))))</f>
        <v>0</v>
      </c>
      <c r="M111" t="str">
        <f>IF('INHERENT MAP'!$B$5=2021,IF('РЕЕСТР РИСКОВ_2023'!Q137="",M110,'РЕЕСТР РИСКОВ_2023'!Q137),IF('INHERENT MAP'!$B$5=2022,IF(#REF!="",M110,#REF!),IF('INHERENT MAP'!$B$5=2023,IF(#REF!="",M110,#REF!),IF('INHERENT MAP'!$B$5=2024,IF(#REF!="",M110,#REF!),IF('РЕЕСТР РИСКОВ_2023'!Q137="",M110,'РЕЕСТР РИСКОВ_2023'!Q137)))))</f>
        <v>1. Нарушение работниками структурных подразделений (филиалов) АО «НК «ҚТЖ» норм закупок, установленных АО «Самрук-Қазына».
2. Несвоевременное проведение закупок товаров, работ, услуг организаторами закупок (структурные подразделения (филиалы) АО «НК «ҚТЖ»).
3. Зависимость от колебания закупочных цен (цен поставщиков).
4. После подведения структурными подразделениями (филиалами) АО «НК «ҚТЖ» итогов закупок потенциальный поставщик уклонился от заключения договора и после заключения договора структурными подразделениями (филиалами) АО «НК «ҚТЖ» поставщик не внес обеспечение исполнения договора.
5. Несвоевременная оплата структурными подразделениями (филиалами) АО «НК «ҚТЖ» за поставку товаров, выполнение работ, оказание услуг.
6. Ненадлежащее исполнение поставщиками договорных обязательств.</v>
      </c>
      <c r="N111" t="e">
        <f>IF('INHERENT MAP'!$B$5=2021,IF('РЕЕСТР РИСКОВ_2023'!R137="",N110,'РЕЕСТР РИСКОВ_2023'!R137),IF('INHERENT MAP'!$B$5=2022,IF(#REF!="",N110,#REF!),IF('INHERENT MAP'!$B$5=2023,IF(#REF!="",N110,#REF!),IF('INHERENT MAP'!$B$5=2024,IF(#REF!="",N110,#REF!),IF('РЕЕСТР РИСКОВ_2023'!R137="",N110,'РЕЕСТР РИСКОВ_2023'!R137)))))</f>
        <v>#REF!</v>
      </c>
      <c r="O111">
        <f>'РЕЕСТР РИСКОВ_2023'!T137</f>
        <v>0</v>
      </c>
      <c r="P111" t="e">
        <f>IF('РЕЕСТР РИСКОВ_2023'!U137="",P110,'РЕЕСТР РИСКОВ_2023'!U137)</f>
        <v>#REF!</v>
      </c>
      <c r="Q111" t="str">
        <f>IF('РЕЕСТР РИСКОВ_2023'!V137="",Q110,'РЕЕСТР РИСКОВ_2023'!V137)</f>
        <v>Слабые стороны</v>
      </c>
      <c r="R111" t="e">
        <f>IF('РЕЕСТР РИСКОВ_2023'!W137="",R110,'РЕЕСТР РИСКОВ_2023'!W137)</f>
        <v>#REF!</v>
      </c>
      <c r="S111">
        <f>'РЕЕСТР РИСКОВ_2023'!X137</f>
        <v>0</v>
      </c>
      <c r="T111" s="94">
        <f>IF('INHERENT MAP'!$B$5=2021,'РЕЕСТР РИСКОВ_2023'!Y137,IF('INHERENT MAP'!$B$5=2022,#REF!,IF('INHERENT MAP'!$B$5=2023,#REF!,IF('INHERENT MAP'!$B$5=2024,#REF!,#REF!))))</f>
        <v>0</v>
      </c>
      <c r="U111">
        <f>IF('INHERENT MAP'!$B$5=2021,'РЕЕСТР РИСКОВ_2023'!Z137,IF('INHERENT MAP'!$B$5=2022,#REF!,IF('INHERENT MAP'!$B$5=2023,#REF!,IF('INHERENT MAP'!$B$5=2024,#REF!,#REF!))))</f>
        <v>0</v>
      </c>
      <c r="V111">
        <f>IF('INHERENT MAP'!$B$5=2021,'РЕЕСТР РИСКОВ_2023'!AA137,IF('INHERENT MAP'!$B$5=2022,#REF!,IF('INHERENT MAP'!$B$5=2023,#REF!,IF('INHERENT MAP'!$B$5=2024,#REF!,#REF!))))</f>
        <v>0</v>
      </c>
      <c r="W111">
        <f>IF('INHERENT MAP'!$B$5=2021,'РЕЕСТР РИСКОВ_2023'!AB137,IF('INHERENT MAP'!$B$5=2022,#REF!,IF('INHERENT MAP'!$B$5=2023,#REF!,IF('INHERENT MAP'!$B$5=2024,#REF!,#REF!))))</f>
        <v>0</v>
      </c>
      <c r="X111" s="94">
        <f>IF('INHERENT MAP'!$B$5=2021,'РЕЕСТР РИСКОВ_2023'!AC137,IF('INHERENT MAP'!$B$5=2022,#REF!,IF('INHERENT MAP'!$B$5=2023,#REF!,IF('INHERENT MAP'!$B$5=2024,#REF!,#REF!))))</f>
        <v>0</v>
      </c>
      <c r="Y111">
        <f>IF('INHERENT MAP'!$B$5=2021,'РЕЕСТР РИСКОВ_2023'!AD137,IF('INHERENT MAP'!$B$5=2022,#REF!,IF('INHERENT MAP'!$B$5=2023,#REF!,IF('INHERENT MAP'!$B$5=2024,#REF!,#REF!))))</f>
        <v>0</v>
      </c>
      <c r="Z111">
        <f>IF('INHERENT MAP'!$B$5=2021,'РЕЕСТР РИСКОВ_2023'!AE137,IF('INHERENT MAP'!$B$5=2022,#REF!,IF('INHERENT MAP'!$B$5=2023,#REF!,IF('INHERENT MAP'!$B$5=2024,#REF!,#REF!))))</f>
        <v>0</v>
      </c>
      <c r="AA111">
        <f>IF('INHERENT MAP'!$B$5=2021,'РЕЕСТР РИСКОВ_2023'!AF137,IF('INHERENT MAP'!$B$5=2022,#REF!,IF('INHERENT MAP'!$B$5=2023,#REF!,IF('INHERENT MAP'!$B$5=2024,#REF!,#REF!))))</f>
        <v>0</v>
      </c>
      <c r="AB111">
        <f>IF('INHERENT MAP'!$B$5=2021,'РЕЕСТР РИСКОВ_2023'!AG137,IF('INHERENT MAP'!$B$5=2022,#REF!,IF('INHERENT MAP'!$B$5=2023,#REF!,IF('INHERENT MAP'!$B$5=2024,#REF!,#REF!))))</f>
        <v>0</v>
      </c>
      <c r="AC111">
        <f>IF('INHERENT MAP'!$B$5=2021,'РЕЕСТР РИСКОВ_2023'!AH137,IF('INHERENT MAP'!$B$5=2022,#REF!,IF('INHERENT MAP'!$B$5=2023,#REF!,IF('INHERENT MAP'!$B$5=2024,#REF!,#REF!))))</f>
        <v>0</v>
      </c>
      <c r="AD111">
        <f>IF('INHERENT MAP'!$B$5=2021,'РЕЕСТР РИСКОВ_2023'!AI137,IF('INHERENT MAP'!$B$5=2022,#REF!,IF('INHERENT MAP'!$B$5=2023,#REF!,IF('INHERENT MAP'!$B$5=2024,#REF!,#REF!))))</f>
        <v>0</v>
      </c>
      <c r="AE111">
        <f>IF('INHERENT MAP'!$B$5=2021,'РЕЕСТР РИСКОВ_2023'!AK137,IF('INHERENT MAP'!$B$5=2022,#REF!,IF('INHERENT MAP'!$B$5=2023,#REF!,IF('INHERENT MAP'!$B$5=2024,#REF!,#REF!))))</f>
        <v>0</v>
      </c>
      <c r="AF111">
        <f>IF('INHERENT MAP'!$B$5=2021,'РЕЕСТР РИСКОВ_2023'!AL137,IF('INHERENT MAP'!$B$5=2022,#REF!,IF('INHERENT MAP'!$B$5=2023,#REF!,IF('INHERENT MAP'!$B$5=2024,#REF!,#REF!))))</f>
        <v>0</v>
      </c>
      <c r="AG111">
        <f>IF('INHERENT MAP'!$B$5=2021,'РЕЕСТР РИСКОВ_2023'!AM137,IF('INHERENT MAP'!$B$5=2022,#REF!,IF('INHERENT MAP'!$B$5=2023,#REF!,IF('INHERENT MAP'!$B$5=2024,#REF!,#REF!))))</f>
        <v>0</v>
      </c>
      <c r="AH111">
        <f>IF('INHERENT MAP'!$B$5=2021,'РЕЕСТР РИСКОВ_2023'!AN137,IF('INHERENT MAP'!$B$5=2022,#REF!,IF('INHERENT MAP'!$B$5=2023,#REF!,IF('INHERENT MAP'!$B$5=2024,#REF!,#REF!))))</f>
        <v>0</v>
      </c>
      <c r="AI111">
        <f>IF('INHERENT MAP'!$B$5=2021,'РЕЕСТР РИСКОВ_2023'!AO137,IF('INHERENT MAP'!$B$5=2022,#REF!,IF('INHERENT MAP'!$B$5=2023,#REF!,IF('INHERENT MAP'!$B$5=2024,#REF!,#REF!))))</f>
        <v>0</v>
      </c>
      <c r="AJ111">
        <f>IF('INHERENT MAP'!$B$5=2021,'РЕЕСТР РИСКОВ_2023'!AP137,IF('INHERENT MAP'!$B$5=2022,#REF!,IF('INHERENT MAP'!$B$5=2023,#REF!,IF('INHERENT MAP'!$B$5=2024,#REF!,#REF!))))</f>
        <v>0</v>
      </c>
      <c r="AK111">
        <f>IF('РЕЕСТР РИСКОВ_2023'!AQ137="",AK110,'РЕЕСТР РИСКОВ_2023'!AQ137)</f>
        <v>0</v>
      </c>
      <c r="AL111" t="e">
        <f>IF('РЕЕСТР РИСКОВ_2023'!AR137="",AL110,'РЕЕСТР РИСКОВ_2023'!AR137)</f>
        <v>#REF!</v>
      </c>
      <c r="AM111" t="e">
        <f>IF('РЕЕСТР РИСКОВ_2023'!AS137="",AM110,'РЕЕСТР РИСКОВ_2023'!AS137)</f>
        <v>#REF!</v>
      </c>
      <c r="AN111" t="e">
        <f>IF('РЕЕСТР РИСКОВ_2023'!AT137="",AN110,'РЕЕСТР РИСКОВ_2023'!AT137)</f>
        <v>#REF!</v>
      </c>
      <c r="AO111" t="e">
        <f>IF('РЕЕСТР РИСКОВ_2023'!AU137="",AO110,'РЕЕСТР РИСКОВ_2023'!AU137)</f>
        <v>#REF!</v>
      </c>
    </row>
    <row r="112" spans="2:41">
      <c r="B112" t="e">
        <f>IF('INHERENT MAP'!$B$5=2021,IF('РЕЕСТР РИСКОВ_2023'!F138="",B111,'РЕЕСТР РИСКОВ_2023'!F138),IF('INHERENT MAP'!$B$5=2022,IF(#REF!="",B111,#REF!),IF('INHERENT MAP'!$B$5=2023,IF(#REF!="",B111,#REF!),IF('INHERENT MAP'!$B$5=2024,IF(#REF!="",B111,#REF!),IF('РЕЕСТР РИСКОВ_2023'!F138="",B111,'РЕЕСТР РИСКОВ_2023'!F138)))))</f>
        <v>#REF!</v>
      </c>
      <c r="C112" t="e">
        <f>IF('INHERENT MAP'!$B$5=2021,IF('РЕЕСТР РИСКОВ_2023'!G138="",C111,'РЕЕСТР РИСКОВ_2023'!G138),IF('INHERENT MAP'!$B$5=2022,IF(#REF!="",C111,#REF!),IF('INHERENT MAP'!$B$5=2023,IF(#REF!="",C111,#REF!),IF('INHERENT MAP'!$B$5=2024,IF(#REF!="",C111,#REF!),IF('РЕЕСТР РИСКОВ_2023'!G138="",C111,'РЕЕСТР РИСКОВ_2023'!G138)))))</f>
        <v>#REF!</v>
      </c>
      <c r="D112" t="str">
        <f>IF('INHERENT MAP'!$B$5=2021,IF('РЕЕСТР РИСКОВ_2023'!H138="",D111,'РЕЕСТР РИСКОВ_2023'!H138),IF('INHERENT MAP'!$B$5=2022,IF(#REF!="",D111,#REF!),IF('INHERENT MAP'!$B$5=2023,IF(#REF!="",D111,#REF!),IF('INHERENT MAP'!$B$5=2024,IF(#REF!="",D111,#REF!),IF('РЕЕСТР РИСКОВ_2023'!H138="",D111,'РЕЕСТР РИСКОВ_2023'!H138)))))</f>
        <v>OR-8</v>
      </c>
      <c r="E112" t="str">
        <f>IF('INHERENT MAP'!$B$5=2021,IF('РЕЕСТР РИСКОВ_2023'!I138="",E111,'РЕЕСТР РИСКОВ_2023'!I138),IF('INHERENT MAP'!$B$5=2022,IF(#REF!="",E111,#REF!),IF('INHERENT MAP'!$B$5=2023,IF(#REF!="",E111,#REF!),IF('INHERENT MAP'!$B$5=2024,IF(#REF!="",E111,#REF!),IF('РЕЕСТР РИСКОВ_2023'!I138="",E111,'РЕЕСТР РИСКОВ_2023'!I138)))))</f>
        <v>ЦЗО</v>
      </c>
      <c r="F112" t="str">
        <f>IF('INHERENT MAP'!$B$5=2021,IF('РЕЕСТР РИСКОВ_2023'!J138="",F111,'РЕЕСТР РИСКОВ_2023'!J138),IF('INHERENT MAP'!$B$5=2022,IF(#REF!="",F111,#REF!),IF('INHERENT MAP'!$B$5=2023,IF(#REF!="",F111,#REF!),IF('INHERENT MAP'!$B$5=2024,IF(#REF!="",F111,#REF!),IF('РЕЕСТР РИСКОВ_2023'!J138="",F111,'РЕЕСТР РИСКОВ_2023'!J138)))))</f>
        <v>Департамент координации и мониторинга закупок , структурные подразделения, дочерние организации</v>
      </c>
      <c r="G112" t="str">
        <f>IF('INHERENT MAP'!$B$5=2021,IF('РЕЕСТР РИСКОВ_2023'!K138="",G111,'РЕЕСТР РИСКОВ_2023'!K138),IF('INHERENT MAP'!$B$5=2022,IF(#REF!="",G111,#REF!),IF('INHERENT MAP'!$B$5=2023,IF(#REF!="",G111,#REF!),IF('INHERENT MAP'!$B$5=2024,IF(#REF!="",G111,#REF!),IF('РЕЕСТР РИСКОВ_2023'!K138="",G111,'РЕЕСТР РИСКОВ_2023'!K138)))))</f>
        <v>Процесс закупок</v>
      </c>
      <c r="H112">
        <f>IF('INHERENT MAP'!$B$5=2021,'РЕЕСТР РИСКОВ_2023'!L138,IF('INHERENT MAP'!$B$5=2022,#REF!,IF('INHERENT MAP'!$B$5=2023,#REF!,IF('INHERENT MAP'!$B$5=2024,#REF!,#REF!))))</f>
        <v>0</v>
      </c>
      <c r="I112">
        <f>IF('INHERENT MAP'!$B$5=2021,'РЕЕСТР РИСКОВ_2023'!M138,IF('INHERENT MAP'!$B$5=2022,#REF!,IF('INHERENT MAP'!$B$5=2023,#REF!,IF('INHERENT MAP'!$B$5=2024,#REF!,#REF!))))</f>
        <v>0</v>
      </c>
      <c r="J112">
        <f>IF('INHERENT MAP'!$B$5=2021,'РЕЕСТР РИСКОВ_2023'!N138,IF('INHERENT MAP'!$B$5=2022,#REF!,IF('INHERENT MAP'!$B$5=2023,#REF!,IF('INHERENT MAP'!$B$5=2024,#REF!,#REF!))))</f>
        <v>0</v>
      </c>
      <c r="K112">
        <f>IF('INHERENT MAP'!$B$5=2021,'РЕЕСТР РИСКОВ_2023'!O138,IF('INHERENT MAP'!$B$5=2022,#REF!,IF('INHERENT MAP'!$B$5=2023,#REF!,IF('INHERENT MAP'!$B$5=2024,#REF!,#REF!))))</f>
        <v>0</v>
      </c>
      <c r="L112">
        <f>IF('INHERENT MAP'!$B$5=2021,'РЕЕСТР РИСКОВ_2023'!P138,IF('INHERENT MAP'!$B$5=2022,#REF!,IF('INHERENT MAP'!$B$5=2023,#REF!,IF('INHERENT MAP'!$B$5=2024,#REF!,#REF!))))</f>
        <v>0</v>
      </c>
      <c r="M112" t="str">
        <f>IF('INHERENT MAP'!$B$5=2021,IF('РЕЕСТР РИСКОВ_2023'!Q138="",M111,'РЕЕСТР РИСКОВ_2023'!Q138),IF('INHERENT MAP'!$B$5=2022,IF(#REF!="",M111,#REF!),IF('INHERENT MAP'!$B$5=2023,IF(#REF!="",M111,#REF!),IF('INHERENT MAP'!$B$5=2024,IF(#REF!="",M111,#REF!),IF('РЕЕСТР РИСКОВ_2023'!Q138="",M111,'РЕЕСТР РИСКОВ_2023'!Q138)))))</f>
        <v>1. Нарушение работниками структурных подразделений (филиалов) АО «НК «ҚТЖ» норм закупок, установленных АО «Самрук-Қазына».
2. Несвоевременное проведение закупок товаров, работ, услуг организаторами закупок (структурные подразделения (филиалы) АО «НК «ҚТЖ»).
3. Зависимость от колебания закупочных цен (цен поставщиков).
4. После подведения структурными подразделениями (филиалами) АО «НК «ҚТЖ» итогов закупок потенциальный поставщик уклонился от заключения договора и после заключения договора структурными подразделениями (филиалами) АО «НК «ҚТЖ» поставщик не внес обеспечение исполнения договора.
5. Несвоевременная оплата структурными подразделениями (филиалами) АО «НК «ҚТЖ» за поставку товаров, выполнение работ, оказание услуг.
6. Ненадлежащее исполнение поставщиками договорных обязательств.</v>
      </c>
      <c r="N112" t="e">
        <f>IF('INHERENT MAP'!$B$5=2021,IF('РЕЕСТР РИСКОВ_2023'!R138="",N111,'РЕЕСТР РИСКОВ_2023'!R138),IF('INHERENT MAP'!$B$5=2022,IF(#REF!="",N111,#REF!),IF('INHERENT MAP'!$B$5=2023,IF(#REF!="",N111,#REF!),IF('INHERENT MAP'!$B$5=2024,IF(#REF!="",N111,#REF!),IF('РЕЕСТР РИСКОВ_2023'!R138="",N111,'РЕЕСТР РИСКОВ_2023'!R138)))))</f>
        <v>#REF!</v>
      </c>
      <c r="O112">
        <f>'РЕЕСТР РИСКОВ_2023'!T138</f>
        <v>0</v>
      </c>
      <c r="P112" t="e">
        <f>IF('РЕЕСТР РИСКОВ_2023'!U138="",P111,'РЕЕСТР РИСКОВ_2023'!U138)</f>
        <v>#REF!</v>
      </c>
      <c r="Q112" t="str">
        <f>IF('РЕЕСТР РИСКОВ_2023'!V138="",Q111,'РЕЕСТР РИСКОВ_2023'!V138)</f>
        <v>Слабые стороны</v>
      </c>
      <c r="R112" t="e">
        <f>IF('РЕЕСТР РИСКОВ_2023'!W138="",R111,'РЕЕСТР РИСКОВ_2023'!W138)</f>
        <v>#REF!</v>
      </c>
      <c r="S112">
        <f>'РЕЕСТР РИСКОВ_2023'!X138</f>
        <v>0</v>
      </c>
      <c r="T112" s="94">
        <f>IF('INHERENT MAP'!$B$5=2021,'РЕЕСТР РИСКОВ_2023'!Y138,IF('INHERENT MAP'!$B$5=2022,#REF!,IF('INHERENT MAP'!$B$5=2023,#REF!,IF('INHERENT MAP'!$B$5=2024,#REF!,#REF!))))</f>
        <v>0</v>
      </c>
      <c r="U112">
        <f>IF('INHERENT MAP'!$B$5=2021,'РЕЕСТР РИСКОВ_2023'!Z138,IF('INHERENT MAP'!$B$5=2022,#REF!,IF('INHERENT MAP'!$B$5=2023,#REF!,IF('INHERENT MAP'!$B$5=2024,#REF!,#REF!))))</f>
        <v>0</v>
      </c>
      <c r="V112">
        <f>IF('INHERENT MAP'!$B$5=2021,'РЕЕСТР РИСКОВ_2023'!AA138,IF('INHERENT MAP'!$B$5=2022,#REF!,IF('INHERENT MAP'!$B$5=2023,#REF!,IF('INHERENT MAP'!$B$5=2024,#REF!,#REF!))))</f>
        <v>0</v>
      </c>
      <c r="W112">
        <f>IF('INHERENT MAP'!$B$5=2021,'РЕЕСТР РИСКОВ_2023'!AB138,IF('INHERENT MAP'!$B$5=2022,#REF!,IF('INHERENT MAP'!$B$5=2023,#REF!,IF('INHERENT MAP'!$B$5=2024,#REF!,#REF!))))</f>
        <v>0</v>
      </c>
      <c r="X112" s="94">
        <f>IF('INHERENT MAP'!$B$5=2021,'РЕЕСТР РИСКОВ_2023'!AC138,IF('INHERENT MAP'!$B$5=2022,#REF!,IF('INHERENT MAP'!$B$5=2023,#REF!,IF('INHERENT MAP'!$B$5=2024,#REF!,#REF!))))</f>
        <v>0</v>
      </c>
      <c r="Y112">
        <f>IF('INHERENT MAP'!$B$5=2021,'РЕЕСТР РИСКОВ_2023'!AD138,IF('INHERENT MAP'!$B$5=2022,#REF!,IF('INHERENT MAP'!$B$5=2023,#REF!,IF('INHERENT MAP'!$B$5=2024,#REF!,#REF!))))</f>
        <v>0</v>
      </c>
      <c r="Z112">
        <f>IF('INHERENT MAP'!$B$5=2021,'РЕЕСТР РИСКОВ_2023'!AE138,IF('INHERENT MAP'!$B$5=2022,#REF!,IF('INHERENT MAP'!$B$5=2023,#REF!,IF('INHERENT MAP'!$B$5=2024,#REF!,#REF!))))</f>
        <v>0</v>
      </c>
      <c r="AA112">
        <f>IF('INHERENT MAP'!$B$5=2021,'РЕЕСТР РИСКОВ_2023'!AF138,IF('INHERENT MAP'!$B$5=2022,#REF!,IF('INHERENT MAP'!$B$5=2023,#REF!,IF('INHERENT MAP'!$B$5=2024,#REF!,#REF!))))</f>
        <v>0</v>
      </c>
      <c r="AB112">
        <f>IF('INHERENT MAP'!$B$5=2021,'РЕЕСТР РИСКОВ_2023'!AG138,IF('INHERENT MAP'!$B$5=2022,#REF!,IF('INHERENT MAP'!$B$5=2023,#REF!,IF('INHERENT MAP'!$B$5=2024,#REF!,#REF!))))</f>
        <v>0</v>
      </c>
      <c r="AC112">
        <f>IF('INHERENT MAP'!$B$5=2021,'РЕЕСТР РИСКОВ_2023'!AH138,IF('INHERENT MAP'!$B$5=2022,#REF!,IF('INHERENT MAP'!$B$5=2023,#REF!,IF('INHERENT MAP'!$B$5=2024,#REF!,#REF!))))</f>
        <v>0</v>
      </c>
      <c r="AD112">
        <f>IF('INHERENT MAP'!$B$5=2021,'РЕЕСТР РИСКОВ_2023'!AI138,IF('INHERENT MAP'!$B$5=2022,#REF!,IF('INHERENT MAP'!$B$5=2023,#REF!,IF('INHERENT MAP'!$B$5=2024,#REF!,#REF!))))</f>
        <v>0</v>
      </c>
      <c r="AE112">
        <f>IF('INHERENT MAP'!$B$5=2021,'РЕЕСТР РИСКОВ_2023'!AK138,IF('INHERENT MAP'!$B$5=2022,#REF!,IF('INHERENT MAP'!$B$5=2023,#REF!,IF('INHERENT MAP'!$B$5=2024,#REF!,#REF!))))</f>
        <v>0</v>
      </c>
      <c r="AF112">
        <f>IF('INHERENT MAP'!$B$5=2021,'РЕЕСТР РИСКОВ_2023'!AL138,IF('INHERENT MAP'!$B$5=2022,#REF!,IF('INHERENT MAP'!$B$5=2023,#REF!,IF('INHERENT MAP'!$B$5=2024,#REF!,#REF!))))</f>
        <v>0</v>
      </c>
      <c r="AG112">
        <f>IF('INHERENT MAP'!$B$5=2021,'РЕЕСТР РИСКОВ_2023'!AM138,IF('INHERENT MAP'!$B$5=2022,#REF!,IF('INHERENT MAP'!$B$5=2023,#REF!,IF('INHERENT MAP'!$B$5=2024,#REF!,#REF!))))</f>
        <v>0</v>
      </c>
      <c r="AH112">
        <f>IF('INHERENT MAP'!$B$5=2021,'РЕЕСТР РИСКОВ_2023'!AN138,IF('INHERENT MAP'!$B$5=2022,#REF!,IF('INHERENT MAP'!$B$5=2023,#REF!,IF('INHERENT MAP'!$B$5=2024,#REF!,#REF!))))</f>
        <v>0</v>
      </c>
      <c r="AI112">
        <f>IF('INHERENT MAP'!$B$5=2021,'РЕЕСТР РИСКОВ_2023'!AO138,IF('INHERENT MAP'!$B$5=2022,#REF!,IF('INHERENT MAP'!$B$5=2023,#REF!,IF('INHERENT MAP'!$B$5=2024,#REF!,#REF!))))</f>
        <v>0</v>
      </c>
      <c r="AJ112">
        <f>IF('INHERENT MAP'!$B$5=2021,'РЕЕСТР РИСКОВ_2023'!AP138,IF('INHERENT MAP'!$B$5=2022,#REF!,IF('INHERENT MAP'!$B$5=2023,#REF!,IF('INHERENT MAP'!$B$5=2024,#REF!,#REF!))))</f>
        <v>0</v>
      </c>
      <c r="AK112">
        <f>IF('РЕЕСТР РИСКОВ_2023'!AQ138="",AK111,'РЕЕСТР РИСКОВ_2023'!AQ138)</f>
        <v>0</v>
      </c>
      <c r="AL112" t="e">
        <f>IF('РЕЕСТР РИСКОВ_2023'!AR138="",AL111,'РЕЕСТР РИСКОВ_2023'!AR138)</f>
        <v>#REF!</v>
      </c>
      <c r="AM112" t="e">
        <f>IF('РЕЕСТР РИСКОВ_2023'!AS138="",AM111,'РЕЕСТР РИСКОВ_2023'!AS138)</f>
        <v>#REF!</v>
      </c>
      <c r="AN112" t="e">
        <f>IF('РЕЕСТР РИСКОВ_2023'!AT138="",AN111,'РЕЕСТР РИСКОВ_2023'!AT138)</f>
        <v>#REF!</v>
      </c>
      <c r="AO112" t="e">
        <f>IF('РЕЕСТР РИСКОВ_2023'!AU138="",AO111,'РЕЕСТР РИСКОВ_2023'!AU138)</f>
        <v>#REF!</v>
      </c>
    </row>
    <row r="113" spans="2:41">
      <c r="B113" t="e">
        <f>IF('INHERENT MAP'!$B$5=2021,IF('РЕЕСТР РИСКОВ_2023'!F139="",B112,'РЕЕСТР РИСКОВ_2023'!F139),IF('INHERENT MAP'!$B$5=2022,IF(#REF!="",B112,#REF!),IF('INHERENT MAP'!$B$5=2023,IF(#REF!="",B112,#REF!),IF('INHERENT MAP'!$B$5=2024,IF(#REF!="",B112,#REF!),IF('РЕЕСТР РИСКОВ_2023'!F139="",B112,'РЕЕСТР РИСКОВ_2023'!F139)))))</f>
        <v>#REF!</v>
      </c>
      <c r="C113" t="e">
        <f>IF('INHERENT MAP'!$B$5=2021,IF('РЕЕСТР РИСКОВ_2023'!G139="",C112,'РЕЕСТР РИСКОВ_2023'!G139),IF('INHERENT MAP'!$B$5=2022,IF(#REF!="",C112,#REF!),IF('INHERENT MAP'!$B$5=2023,IF(#REF!="",C112,#REF!),IF('INHERENT MAP'!$B$5=2024,IF(#REF!="",C112,#REF!),IF('РЕЕСТР РИСКОВ_2023'!G139="",C112,'РЕЕСТР РИСКОВ_2023'!G139)))))</f>
        <v>#REF!</v>
      </c>
      <c r="D113" t="str">
        <f>IF('INHERENT MAP'!$B$5=2021,IF('РЕЕСТР РИСКОВ_2023'!H139="",D112,'РЕЕСТР РИСКОВ_2023'!H139),IF('INHERENT MAP'!$B$5=2022,IF(#REF!="",D112,#REF!),IF('INHERENT MAP'!$B$5=2023,IF(#REF!="",D112,#REF!),IF('INHERENT MAP'!$B$5=2024,IF(#REF!="",D112,#REF!),IF('РЕЕСТР РИСКОВ_2023'!H139="",D112,'РЕЕСТР РИСКОВ_2023'!H139)))))</f>
        <v>OR-9</v>
      </c>
      <c r="E113" t="str">
        <f>IF('INHERENT MAP'!$B$5=2021,IF('РЕЕСТР РИСКОВ_2023'!I139="",E112,'РЕЕСТР РИСКОВ_2023'!I139),IF('INHERENT MAP'!$B$5=2022,IF(#REF!="",E112,#REF!),IF('INHERENT MAP'!$B$5=2023,IF(#REF!="",E112,#REF!),IF('INHERENT MAP'!$B$5=2024,IF(#REF!="",E112,#REF!),IF('РЕЕСТР РИСКОВ_2023'!I139="",E112,'РЕЕСТР РИСКОВ_2023'!I139)))))</f>
        <v>Цтех</v>
      </c>
      <c r="F113" t="str">
        <f>IF('INHERENT MAP'!$B$5=2021,IF('РЕЕСТР РИСКОВ_2023'!J139="",F112,'РЕЕСТР РИСКОВ_2023'!J139),IF('INHERENT MAP'!$B$5=2022,IF(#REF!="",F112,#REF!),IF('INHERENT MAP'!$B$5=2023,IF(#REF!="",F112,#REF!),IF('INHERENT MAP'!$B$5=2024,IF(#REF!="",F112,#REF!),IF('РЕЕСТР РИСКОВ_2023'!J139="",F112,'РЕЕСТР РИСКОВ_2023'!J139)))))</f>
        <v>Департамент координации и мониторинга закупок , структурные подразделения, дочерние организации</v>
      </c>
      <c r="G113" t="str">
        <f>IF('INHERENT MAP'!$B$5=2021,IF('РЕЕСТР РИСКОВ_2023'!K139="",G112,'РЕЕСТР РИСКОВ_2023'!K139),IF('INHERENT MAP'!$B$5=2022,IF(#REF!="",G112,#REF!),IF('INHERENT MAP'!$B$5=2023,IF(#REF!="",G112,#REF!),IF('INHERENT MAP'!$B$5=2024,IF(#REF!="",G112,#REF!),IF('РЕЕСТР РИСКОВ_2023'!K139="",G112,'РЕЕСТР РИСКОВ_2023'!K139)))))</f>
        <v>Риск не выполнения утвержденных мероприятий энергосбережения по результату проведенного энергоаудита;</v>
      </c>
      <c r="H113">
        <f>IF('INHERENT MAP'!$B$5=2021,'РЕЕСТР РИСКОВ_2023'!L139,IF('INHERENT MAP'!$B$5=2022,#REF!,IF('INHERENT MAP'!$B$5=2023,#REF!,IF('INHERENT MAP'!$B$5=2024,#REF!,#REF!))))</f>
        <v>0</v>
      </c>
      <c r="I113">
        <f>IF('INHERENT MAP'!$B$5=2021,'РЕЕСТР РИСКОВ_2023'!M139,IF('INHERENT MAP'!$B$5=2022,#REF!,IF('INHERENT MAP'!$B$5=2023,#REF!,IF('INHERENT MAP'!$B$5=2024,#REF!,#REF!))))</f>
        <v>0</v>
      </c>
      <c r="J113">
        <f>IF('INHERENT MAP'!$B$5=2021,'РЕЕСТР РИСКОВ_2023'!N139,IF('INHERENT MAP'!$B$5=2022,#REF!,IF('INHERENT MAP'!$B$5=2023,#REF!,IF('INHERENT MAP'!$B$5=2024,#REF!,#REF!))))</f>
        <v>0</v>
      </c>
      <c r="K113">
        <f>IF('INHERENT MAP'!$B$5=2021,'РЕЕСТР РИСКОВ_2023'!O139,IF('INHERENT MAP'!$B$5=2022,#REF!,IF('INHERENT MAP'!$B$5=2023,#REF!,IF('INHERENT MAP'!$B$5=2024,#REF!,#REF!))))</f>
        <v>0</v>
      </c>
      <c r="L113">
        <f>IF('INHERENT MAP'!$B$5=2021,'РЕЕСТР РИСКОВ_2023'!P139,IF('INHERENT MAP'!$B$5=2022,#REF!,IF('INHERENT MAP'!$B$5=2023,#REF!,IF('INHERENT MAP'!$B$5=2024,#REF!,#REF!))))</f>
        <v>0</v>
      </c>
      <c r="M113" t="str">
        <f>IF('INHERENT MAP'!$B$5=2021,IF('РЕЕСТР РИСКОВ_2023'!Q139="",M112,'РЕЕСТР РИСКОВ_2023'!Q139),IF('INHERENT MAP'!$B$5=2022,IF(#REF!="",M112,#REF!),IF('INHERENT MAP'!$B$5=2023,IF(#REF!="",M112,#REF!),IF('INHERENT MAP'!$B$5=2024,IF(#REF!="",M112,#REF!),IF('РЕЕСТР РИСКОВ_2023'!Q139="",M112,'РЕЕСТР РИСКОВ_2023'!Q139)))))</f>
        <v>1) Несвоевременное внесение заявки в бюджет закупок;                                                                        2) Риск признания тенедерных процедур несостоявшимся по причине  некорректно-составленной технической спецификации</v>
      </c>
      <c r="N113" t="e">
        <f>IF('INHERENT MAP'!$B$5=2021,IF('РЕЕСТР РИСКОВ_2023'!R139="",N112,'РЕЕСТР РИСКОВ_2023'!R139),IF('INHERENT MAP'!$B$5=2022,IF(#REF!="",N112,#REF!),IF('INHERENT MAP'!$B$5=2023,IF(#REF!="",N112,#REF!),IF('INHERENT MAP'!$B$5=2024,IF(#REF!="",N112,#REF!),IF('РЕЕСТР РИСКОВ_2023'!R139="",N112,'РЕЕСТР РИСКОВ_2023'!R139)))))</f>
        <v>#REF!</v>
      </c>
      <c r="O113">
        <f>'РЕЕСТР РИСКОВ_2023'!T139</f>
        <v>0</v>
      </c>
      <c r="P113" t="e">
        <f>IF('РЕЕСТР РИСКОВ_2023'!U139="",P112,'РЕЕСТР РИСКОВ_2023'!U139)</f>
        <v>#REF!</v>
      </c>
      <c r="Q113" t="str">
        <f>IF('РЕЕСТР РИСКОВ_2023'!V139="",Q112,'РЕЕСТР РИСКОВ_2023'!V139)</f>
        <v>Слабые стороны</v>
      </c>
      <c r="R113" t="str">
        <f>IF('РЕЕСТР РИСКОВ_2023'!W139="",R112,'РЕЕСТР РИСКОВ_2023'!W139)</f>
        <v>1) Отзыв сертификата ISO 50001:2018
2) Увеличение затрат на приобретение топливно-энергетических ресурсов;                                                                     3) Репутационный риск для компании</v>
      </c>
      <c r="S113">
        <f>'РЕЕСТР РИСКОВ_2023'!X139</f>
        <v>0</v>
      </c>
      <c r="T113" s="94">
        <f>IF('INHERENT MAP'!$B$5=2021,'РЕЕСТР РИСКОВ_2023'!Y139,IF('INHERENT MAP'!$B$5=2022,#REF!,IF('INHERENT MAP'!$B$5=2023,#REF!,IF('INHERENT MAP'!$B$5=2024,#REF!,#REF!))))</f>
        <v>0.3</v>
      </c>
      <c r="U113">
        <f>IF('INHERENT MAP'!$B$5=2021,'РЕЕСТР РИСКОВ_2023'!Z139,IF('INHERENT MAP'!$B$5=2022,#REF!,IF('INHERENT MAP'!$B$5=2023,#REF!,IF('INHERENT MAP'!$B$5=2024,#REF!,#REF!))))</f>
        <v>-955.01400000000001</v>
      </c>
      <c r="V113">
        <f>IF('INHERENT MAP'!$B$5=2021,'РЕЕСТР РИСКОВ_2023'!AA139,IF('INHERENT MAP'!$B$5=2022,#REF!,IF('INHERENT MAP'!$B$5=2023,#REF!,IF('INHERENT MAP'!$B$5=2024,#REF!,#REF!))))</f>
        <v>-286.50419999999997</v>
      </c>
      <c r="W113">
        <f>IF('INHERENT MAP'!$B$5=2021,'РЕЕСТР РИСКОВ_2023'!AB139,IF('INHERENT MAP'!$B$5=2022,#REF!,IF('INHERENT MAP'!$B$5=2023,#REF!,IF('INHERENT MAP'!$B$5=2024,#REF!,#REF!))))</f>
        <v>0</v>
      </c>
      <c r="X113" s="94">
        <f>IF('INHERENT MAP'!$B$5=2021,'РЕЕСТР РИСКОВ_2023'!AC139,IF('INHERENT MAP'!$B$5=2022,#REF!,IF('INHERENT MAP'!$B$5=2023,#REF!,IF('INHERENT MAP'!$B$5=2024,#REF!,#REF!))))</f>
        <v>0</v>
      </c>
      <c r="Y113">
        <f>IF('INHERENT MAP'!$B$5=2021,'РЕЕСТР РИСКОВ_2023'!AD139,IF('INHERENT MAP'!$B$5=2022,#REF!,IF('INHERENT MAP'!$B$5=2023,#REF!,IF('INHERENT MAP'!$B$5=2024,#REF!,#REF!))))</f>
        <v>0</v>
      </c>
      <c r="Z113">
        <f>IF('INHERENT MAP'!$B$5=2021,'РЕЕСТР РИСКОВ_2023'!AE139,IF('INHERENT MAP'!$B$5=2022,#REF!,IF('INHERENT MAP'!$B$5=2023,#REF!,IF('INHERENT MAP'!$B$5=2024,#REF!,#REF!))))</f>
        <v>0</v>
      </c>
      <c r="AA113">
        <f>IF('INHERENT MAP'!$B$5=2021,'РЕЕСТР РИСКОВ_2023'!AF139,IF('INHERENT MAP'!$B$5=2022,#REF!,IF('INHERENT MAP'!$B$5=2023,#REF!,IF('INHERENT MAP'!$B$5=2024,#REF!,#REF!))))</f>
        <v>0</v>
      </c>
      <c r="AB113">
        <f>IF('INHERENT MAP'!$B$5=2021,'РЕЕСТР РИСКОВ_2023'!AG139,IF('INHERENT MAP'!$B$5=2022,#REF!,IF('INHERENT MAP'!$B$5=2023,#REF!,IF('INHERENT MAP'!$B$5=2024,#REF!,#REF!))))</f>
        <v>0</v>
      </c>
      <c r="AC113">
        <f>IF('INHERENT MAP'!$B$5=2021,'РЕЕСТР РИСКОВ_2023'!AH139,IF('INHERENT MAP'!$B$5=2022,#REF!,IF('INHERENT MAP'!$B$5=2023,#REF!,IF('INHERENT MAP'!$B$5=2024,#REF!,#REF!))))</f>
        <v>0</v>
      </c>
      <c r="AD113" t="str">
        <f>IF('INHERENT MAP'!$B$5=2021,'РЕЕСТР РИСКОВ_2023'!AI139,IF('INHERENT MAP'!$B$5=2022,#REF!,IF('INHERENT MAP'!$B$5=2023,#REF!,IF('INHERENT MAP'!$B$5=2024,#REF!,#REF!))))</f>
        <v>В соответствии с утвержденным планом мероприятий энергосбережения по результату проведенного энергоаудита своевременно осуществлять подачу заявки на включение в бюджет закупок расходы на реализацию</v>
      </c>
      <c r="AE113" t="str">
        <f>IF('INHERENT MAP'!$B$5=2021,'РЕЕСТР РИСКОВ_2023'!AK139,IF('INHERENT MAP'!$B$5=2022,#REF!,IF('INHERENT MAP'!$B$5=2023,#REF!,IF('INHERENT MAP'!$B$5=2024,#REF!,#REF!))))</f>
        <v>Цтех, структурные подразделения , за кем закреплено внедрение мероприятий</v>
      </c>
      <c r="AF113">
        <f>IF('INHERENT MAP'!$B$5=2021,'РЕЕСТР РИСКОВ_2023'!AL139,IF('INHERENT MAP'!$B$5=2022,#REF!,IF('INHERENT MAP'!$B$5=2023,#REF!,IF('INHERENT MAP'!$B$5=2024,#REF!,#REF!))))</f>
        <v>0</v>
      </c>
      <c r="AG113" t="str">
        <f>IF('INHERENT MAP'!$B$5=2021,'РЕЕСТР РИСКОВ_2023'!AM139,IF('INHERENT MAP'!$B$5=2022,#REF!,IF('INHERENT MAP'!$B$5=2023,#REF!,IF('INHERENT MAP'!$B$5=2024,#REF!,#REF!))))</f>
        <v>средняя</v>
      </c>
      <c r="AH113">
        <f>IF('INHERENT MAP'!$B$5=2021,'РЕЕСТР РИСКОВ_2023'!AN139,IF('INHERENT MAP'!$B$5=2022,#REF!,IF('INHERENT MAP'!$B$5=2023,#REF!,IF('INHERENT MAP'!$B$5=2024,#REF!,#REF!))))</f>
        <v>0.15</v>
      </c>
      <c r="AI113">
        <f>IF('INHERENT MAP'!$B$5=2021,'РЕЕСТР РИСКОВ_2023'!AO139,IF('INHERENT MAP'!$B$5=2022,#REF!,IF('INHERENT MAP'!$B$5=2023,#REF!,IF('INHERENT MAP'!$B$5=2024,#REF!,#REF!))))</f>
        <v>-477.50700000000001</v>
      </c>
      <c r="AJ113">
        <f>IF('INHERENT MAP'!$B$5=2021,'РЕЕСТР РИСКОВ_2023'!AP139,IF('INHERENT MAP'!$B$5=2022,#REF!,IF('INHERENT MAP'!$B$5=2023,#REF!,IF('INHERENT MAP'!$B$5=2024,#REF!,#REF!))))</f>
        <v>-71.626049999999992</v>
      </c>
      <c r="AK113">
        <f>IF('РЕЕСТР РИСКОВ_2023'!AQ139="",AK112,'РЕЕСТР РИСКОВ_2023'!AQ139)</f>
        <v>-143.25209999999998</v>
      </c>
      <c r="AL113" t="e">
        <f>IF('РЕЕСТР РИСКОВ_2023'!AR139="",AL112,'РЕЕСТР РИСКОВ_2023'!AR139)</f>
        <v>#REF!</v>
      </c>
      <c r="AM113" t="e">
        <f>IF('РЕЕСТР РИСКОВ_2023'!AS139="",AM112,'РЕЕСТР РИСКОВ_2023'!AS139)</f>
        <v>#REF!</v>
      </c>
      <c r="AN113" t="e">
        <f>IF('РЕЕСТР РИСКОВ_2023'!AT139="",AN112,'РЕЕСТР РИСКОВ_2023'!AT139)</f>
        <v>#REF!</v>
      </c>
      <c r="AO113" t="e">
        <f>IF('РЕЕСТР РИСКОВ_2023'!AU139="",AO112,'РЕЕСТР РИСКОВ_2023'!AU139)</f>
        <v>#REF!</v>
      </c>
    </row>
    <row r="114" spans="2:41">
      <c r="B114" t="str">
        <f>IF('INHERENT MAP'!$B$5=2021,IF('РЕЕСТР РИСКОВ_2023'!F140="",B113,'РЕЕСТР РИСКОВ_2023'!F140),IF('INHERENT MAP'!$B$5=2022,IF(#REF!="",B113,#REF!),IF('INHERENT MAP'!$B$5=2023,IF(#REF!="",B113,#REF!),IF('INHERENT MAP'!$B$5=2024,IF(#REF!="",B113,#REF!),IF('РЕЕСТР РИСКОВ_2023'!F140="",B113,'РЕЕСТР РИСКОВ_2023'!F140)))))</f>
        <v>ИНФРАСТРУКТУРНЫЙ РИСК</v>
      </c>
      <c r="C114" t="e">
        <f>IF('INHERENT MAP'!$B$5=2021,IF('РЕЕСТР РИСКОВ_2023'!G140="",C113,'РЕЕСТР РИСКОВ_2023'!G140),IF('INHERENT MAP'!$B$5=2022,IF(#REF!="",C113,#REF!),IF('INHERENT MAP'!$B$5=2023,IF(#REF!="",C113,#REF!),IF('INHERENT MAP'!$B$5=2024,IF(#REF!="",C113,#REF!),IF('РЕЕСТР РИСКОВ_2023'!G140="",C113,'РЕЕСТР РИСКОВ_2023'!G140)))))</f>
        <v>#REF!</v>
      </c>
      <c r="D114" t="str">
        <f>IF('INHERENT MAP'!$B$5=2021,IF('РЕЕСТР РИСКОВ_2023'!H140="",D113,'РЕЕСТР РИСКОВ_2023'!H140),IF('INHERENT MAP'!$B$5=2022,IF(#REF!="",D113,#REF!),IF('INHERENT MAP'!$B$5=2023,IF(#REF!="",D113,#REF!),IF('INHERENT MAP'!$B$5=2024,IF(#REF!="",D113,#REF!),IF('РЕЕСТР РИСКОВ_2023'!H140="",D113,'РЕЕСТР РИСКОВ_2023'!H140)))))</f>
        <v>IR-1</v>
      </c>
      <c r="E114" t="str">
        <f>IF('INHERENT MAP'!$B$5=2021,IF('РЕЕСТР РИСКОВ_2023'!I140="",E113,'РЕЕСТР РИСКОВ_2023'!I140),IF('INHERENT MAP'!$B$5=2022,IF(#REF!="",E113,#REF!),IF('INHERENT MAP'!$B$5=2023,IF(#REF!="",E113,#REF!),IF('INHERENT MAP'!$B$5=2024,IF(#REF!="",E113,#REF!),IF('РЕЕСТР РИСКОВ_2023'!I140="",E113,'РЕЕСТР РИСКОВ_2023'!I140)))))</f>
        <v>ЦЗ-1, ЦЗИ</v>
      </c>
      <c r="F114" t="str">
        <f>IF('INHERENT MAP'!$B$5=2021,IF('РЕЕСТР РИСКОВ_2023'!J140="",F113,'РЕЕСТР РИСКОВ_2023'!J140),IF('INHERENT MAP'!$B$5=2022,IF(#REF!="",F113,#REF!),IF('INHERENT MAP'!$B$5=2023,IF(#REF!="",F113,#REF!),IF('INHERENT MAP'!$B$5=2024,IF(#REF!="",F113,#REF!),IF('РЕЕСТР РИСКОВ_2023'!J140="",F113,'РЕЕСТР РИСКОВ_2023'!J140)))))</f>
        <v>Дирекция магистральной сети</v>
      </c>
      <c r="G114" t="str">
        <f>IF('INHERENT MAP'!$B$5=2021,IF('РЕЕСТР РИСКОВ_2023'!K140="",G113,'РЕЕСТР РИСКОВ_2023'!K140),IF('INHERENT MAP'!$B$5=2022,IF(#REF!="",G113,#REF!),IF('INHERENT MAP'!$B$5=2023,IF(#REF!="",G113,#REF!),IF('INHERENT MAP'!$B$5=2024,IF(#REF!="",G113,#REF!),IF('РЕЕСТР РИСКОВ_2023'!K140="",G113,'РЕЕСТР РИСКОВ_2023'!K140)))))</f>
        <v>Износ верхнего строения пути</v>
      </c>
      <c r="H114">
        <f>IF('INHERENT MAP'!$B$5=2021,'РЕЕСТР РИСКОВ_2023'!L140,IF('INHERENT MAP'!$B$5=2022,#REF!,IF('INHERENT MAP'!$B$5=2023,#REF!,IF('INHERENT MAP'!$B$5=2024,#REF!,#REF!))))</f>
        <v>0</v>
      </c>
      <c r="I114">
        <f>IF('INHERENT MAP'!$B$5=2021,'РЕЕСТР РИСКОВ_2023'!M140,IF('INHERENT MAP'!$B$5=2022,#REF!,IF('INHERENT MAP'!$B$5=2023,#REF!,IF('INHERENT MAP'!$B$5=2024,#REF!,#REF!))))</f>
        <v>0</v>
      </c>
      <c r="J114">
        <f>IF('INHERENT MAP'!$B$5=2021,'РЕЕСТР РИСКОВ_2023'!N140,IF('INHERENT MAP'!$B$5=2022,#REF!,IF('INHERENT MAP'!$B$5=2023,#REF!,IF('INHERENT MAP'!$B$5=2024,#REF!,#REF!))))</f>
        <v>0</v>
      </c>
      <c r="K114">
        <f>IF('INHERENT MAP'!$B$5=2021,'РЕЕСТР РИСКОВ_2023'!O140,IF('INHERENT MAP'!$B$5=2022,#REF!,IF('INHERENT MAP'!$B$5=2023,#REF!,IF('INHERENT MAP'!$B$5=2024,#REF!,#REF!))))</f>
        <v>0</v>
      </c>
      <c r="L114">
        <f>IF('INHERENT MAP'!$B$5=2021,'РЕЕСТР РИСКОВ_2023'!P140,IF('INHERENT MAP'!$B$5=2022,#REF!,IF('INHERENT MAP'!$B$5=2023,#REF!,IF('INHERENT MAP'!$B$5=2024,#REF!,#REF!))))</f>
        <v>0</v>
      </c>
      <c r="M114" t="str">
        <f>IF('INHERENT MAP'!$B$5=2021,IF('РЕЕСТР РИСКОВ_2023'!Q140="",M113,'РЕЕСТР РИСКОВ_2023'!Q140),IF('INHERENT MAP'!$B$5=2022,IF(#REF!="",M113,#REF!),IF('INHERENT MAP'!$B$5=2023,IF(#REF!="",M113,#REF!),IF('INHERENT MAP'!$B$5=2024,IF(#REF!="",M113,#REF!),IF('РЕЕСТР РИСКОВ_2023'!Q140="",M113,'РЕЕСТР РИСКОВ_2023'!Q140)))))</f>
        <v>Нагрузка от подвижного состава.
Контактная усталость металла рельсов.</v>
      </c>
      <c r="N114" t="str">
        <f>IF('INHERENT MAP'!$B$5=2021,IF('РЕЕСТР РИСКОВ_2023'!R140="",N113,'РЕЕСТР РИСКОВ_2023'!R140),IF('INHERENT MAP'!$B$5=2022,IF(#REF!="",N113,#REF!),IF('INHERENT MAP'!$B$5=2023,IF(#REF!="",N113,#REF!),IF('INHERENT MAP'!$B$5=2024,IF(#REF!="",N113,#REF!),IF('РЕЕСТР РИСКОВ_2023'!R140="",N113,'РЕЕСТР РИСКОВ_2023'!R140)))))</f>
        <v>Рельсы;
Шпалы;
Скрепления;
Переводные брусья;
Противоугоны;
Стрелочные переводы;
Глухие пересечения;
Балластный слой.
Отсутствие бесстыкового пути;
Экстренные торможения подвижного состава;
Сверхнормативные нагрузки от подвижного состава.</v>
      </c>
      <c r="O114" t="str">
        <f>'РЕЕСТР РИСКОВ_2023'!T140</f>
        <v>Технический паспорт ПЧ, анализ эксплуатационной деятельности</v>
      </c>
      <c r="P114" t="e">
        <f>IF('РЕЕСТР РИСКОВ_2023'!U140="",P113,'РЕЕСТР РИСКОВ_2023'!U140)</f>
        <v>#REF!</v>
      </c>
      <c r="Q114" t="str">
        <f>IF('РЕЕСТР РИСКОВ_2023'!V140="",Q113,'РЕЕСТР РИСКОВ_2023'!V140)</f>
        <v>Слабые стороны</v>
      </c>
      <c r="R114" t="str">
        <f>IF('РЕЕСТР РИСКОВ_2023'!W140="",R113,'РЕЕСТР РИСКОВ_2023'!W140)</f>
        <v>1. Износ ВСП по состоянию на:
01.01.2018 г. — 61,5 %;
01.01.2019 г. — 59,0 %;
01.01.2020 г. — 54,95 %;
01.01.2021 г. — 54,8 %;
01.01.2022г.---- 56,5%
2. Негодность шпал 2022— 4 009,7тыс штук.</v>
      </c>
      <c r="S114">
        <f>'РЕЕСТР РИСКОВ_2023'!X140</f>
        <v>0</v>
      </c>
      <c r="T114" s="94">
        <f>IF('INHERENT MAP'!$B$5=2021,'РЕЕСТР РИСКОВ_2023'!Y140,IF('INHERENT MAP'!$B$5=2022,#REF!,IF('INHERENT MAP'!$B$5=2023,#REF!,IF('INHERENT MAP'!$B$5=2024,#REF!,#REF!))))</f>
        <v>0.54800000000000004</v>
      </c>
      <c r="U114">
        <f>IF('INHERENT MAP'!$B$5=2021,'РЕЕСТР РИСКОВ_2023'!Z140,IF('INHERENT MAP'!$B$5=2022,#REF!,IF('INHERENT MAP'!$B$5=2023,#REF!,IF('INHERENT MAP'!$B$5=2024,#REF!,#REF!))))</f>
        <v>-11907.465410000001</v>
      </c>
      <c r="V114">
        <f>IF('INHERENT MAP'!$B$5=2021,'РЕЕСТР РИСКОВ_2023'!AA140,IF('INHERENT MAP'!$B$5=2022,#REF!,IF('INHERENT MAP'!$B$5=2023,#REF!,IF('INHERENT MAP'!$B$5=2024,#REF!,#REF!))))</f>
        <v>-6525.2910446800006</v>
      </c>
      <c r="W114" t="str">
        <f>IF('INHERENT MAP'!$B$5=2021,'РЕЕСТР РИСКОВ_2023'!AB140,IF('INHERENT MAP'!$B$5=2022,#REF!,IF('INHERENT MAP'!$B$5=2023,#REF!,IF('INHERENT MAP'!$B$5=2024,#REF!,#REF!))))</f>
        <v xml:space="preserve">По состоянию на 01.01.2023г. потребность в капитальном ремонте пути составляет 2 520 км.
В 2023 г. запланирован капремонт пути в объеме 567 км на сумму 105 мрд. 214 млн. 986 тыс.тг (стоимость ремонта 1 км составляет 187,236 млн тг).
При этом максимальный возможный объем капитального ремонта пути составляет 567 км ежегодно с учетом пропускной способности МЖС.
</v>
      </c>
      <c r="X114" s="94">
        <f>IF('INHERENT MAP'!$B$5=2021,'РЕЕСТР РИСКОВ_2023'!AC140,IF('INHERENT MAP'!$B$5=2022,#REF!,IF('INHERENT MAP'!$B$5=2023,#REF!,IF('INHERENT MAP'!$B$5=2024,#REF!,#REF!))))</f>
        <v>0.52850938613764376</v>
      </c>
      <c r="Y114">
        <f>IF('INHERENT MAP'!$B$5=2021,'РЕЕСТР РИСКОВ_2023'!AD140,IF('INHERENT MAP'!$B$5=2022,#REF!,IF('INHERENT MAP'!$B$5=2023,#REF!,IF('INHERENT MAP'!$B$5=2024,#REF!,#REF!))))</f>
        <v>-13682.081210629633</v>
      </c>
      <c r="Z114">
        <f>IF('INHERENT MAP'!$B$5=2021,'РЕЕСТР РИСКОВ_2023'!AE140,IF('INHERENT MAP'!$B$5=2022,#REF!,IF('INHERENT MAP'!$B$5=2023,#REF!,IF('INHERENT MAP'!$B$5=2024,#REF!,#REF!))))</f>
        <v>-7231.1083417152568</v>
      </c>
      <c r="AA114" t="str">
        <f>IF('INHERENT MAP'!$B$5=2021,'РЕЕСТР РИСКОВ_2023'!AF140,IF('INHERENT MAP'!$B$5=2022,#REF!,IF('INHERENT MAP'!$B$5=2023,#REF!,IF('INHERENT MAP'!$B$5=2024,#REF!,#REF!))))</f>
        <v>в течение года</v>
      </c>
      <c r="AB114" t="str">
        <f>IF('INHERENT MAP'!$B$5=2021,'РЕЕСТР РИСКОВ_2023'!AG140,IF('INHERENT MAP'!$B$5=2022,#REF!,IF('INHERENT MAP'!$B$5=2023,#REF!,IF('INHERENT MAP'!$B$5=2024,#REF!,#REF!))))</f>
        <v>высокий</v>
      </c>
      <c r="AC114" t="str">
        <f>IF('INHERENT MAP'!$B$5=2021,'РЕЕСТР РИСКОВ_2023'!AH140,IF('INHERENT MAP'!$B$5=2022,#REF!,IF('INHERENT MAP'!$B$5=2023,#REF!,IF('INHERENT MAP'!$B$5=2024,#REF!,#REF!))))</f>
        <v>превентивный, детективный</v>
      </c>
      <c r="AD114" t="str">
        <f>IF('INHERENT MAP'!$B$5=2021,'РЕЕСТР РИСКОВ_2023'!AI140,IF('INHERENT MAP'!$B$5=2022,#REF!,IF('INHERENT MAP'!$B$5=2023,#REF!,IF('INHERENT MAP'!$B$5=2024,#REF!,#REF!))))</f>
        <v>1. Проведение капитального ремонта пути, ежегодно в объёме не менее 582,53 км, ориентировочно на сумму 94 млрд. 493 млн тг, в результате повышается скорости движения.
2. Своевременное планирование профильного шлифования рельсов на основании диагностирования фактического состояния продольного и поперечного профилей головки рельсов с применением путевой машины Атлас ежегодно в объеме не менее 1000 км, ориентировочно на сумму 141 млн тг.
3. Текущее содержание пути.</v>
      </c>
      <c r="AE114" t="str">
        <f>IF('INHERENT MAP'!$B$5=2021,'РЕЕСТР РИСКОВ_2023'!AK140,IF('INHERENT MAP'!$B$5=2022,#REF!,IF('INHERENT MAP'!$B$5=2023,#REF!,IF('INHERENT MAP'!$B$5=2024,#REF!,#REF!))))</f>
        <v>ЦП</v>
      </c>
      <c r="AF114" t="str">
        <f>IF('INHERENT MAP'!$B$5=2021,'РЕЕСТР РИСКОВ_2023'!AL140,IF('INHERENT MAP'!$B$5=2022,#REF!,IF('INHERENT MAP'!$B$5=2023,#REF!,IF('INHERENT MAP'!$B$5=2024,#REF!,#REF!))))</f>
        <v>в течение года</v>
      </c>
      <c r="AG114" t="str">
        <f>IF('INHERENT MAP'!$B$5=2021,'РЕЕСТР РИСКОВ_2023'!AM140,IF('INHERENT MAP'!$B$5=2022,#REF!,IF('INHERENT MAP'!$B$5=2023,#REF!,IF('INHERENT MAP'!$B$5=2024,#REF!,#REF!))))</f>
        <v>средняя</v>
      </c>
      <c r="AH114">
        <f>IF('INHERENT MAP'!$B$5=2021,'РЕЕСТР РИСКОВ_2023'!AN140,IF('INHERENT MAP'!$B$5=2022,#REF!,IF('INHERENT MAP'!$B$5=2023,#REF!,IF('INHERENT MAP'!$B$5=2024,#REF!,#REF!))))</f>
        <v>0.27400000000000002</v>
      </c>
      <c r="AI114">
        <f>IF('INHERENT MAP'!$B$5=2021,'РЕЕСТР РИСКОВ_2023'!AO140,IF('INHERENT MAP'!$B$5=2022,#REF!,IF('INHERENT MAP'!$B$5=2023,#REF!,IF('INHERENT MAP'!$B$5=2024,#REF!,#REF!))))</f>
        <v>-5953.7327050000004</v>
      </c>
      <c r="AJ114">
        <f>IF('INHERENT MAP'!$B$5=2021,'РЕЕСТР РИСКОВ_2023'!AP140,IF('INHERENT MAP'!$B$5=2022,#REF!,IF('INHERENT MAP'!$B$5=2023,#REF!,IF('INHERENT MAP'!$B$5=2024,#REF!,#REF!))))</f>
        <v>-1631.3227611700001</v>
      </c>
      <c r="AK114">
        <f>IF('РЕЕСТР РИСКОВ_2023'!AQ140="",AK113,'РЕЕСТР РИСКОВ_2023'!AQ140)</f>
        <v>-3262.6455223400003</v>
      </c>
      <c r="AL114">
        <f>IF('РЕЕСТР РИСКОВ_2023'!AR140="",AL113,'РЕЕСТР РИСКОВ_2023'!AR140)</f>
        <v>8.3145837273494741E-2</v>
      </c>
      <c r="AM114">
        <f>IF('РЕЕСТР РИСКОВ_2023'!AS140="",AM113,'РЕЕСТР РИСКОВ_2023'!AS140)</f>
        <v>-7444.5336908148165</v>
      </c>
      <c r="AN114">
        <f>IF('РЕЕСТР РИСКОВ_2023'!AT140="",AN113,'РЕЕСТР РИСКОВ_2023'!AT140)</f>
        <v>-4187.696824450165</v>
      </c>
      <c r="AO114" t="e">
        <f>IF('РЕЕСТР РИСКОВ_2023'!AU140="",AO113,'РЕЕСТР РИСКОВ_2023'!AU140)</f>
        <v>#REF!</v>
      </c>
    </row>
    <row r="115" spans="2:41">
      <c r="B115" t="str">
        <f>IF('INHERENT MAP'!$B$5=2021,IF('РЕЕСТР РИСКОВ_2023'!F141="",B114,'РЕЕСТР РИСКОВ_2023'!F141),IF('INHERENT MAP'!$B$5=2022,IF(#REF!="",B114,#REF!),IF('INHERENT MAP'!$B$5=2023,IF(#REF!="",B114,#REF!),IF('INHERENT MAP'!$B$5=2024,IF(#REF!="",B114,#REF!),IF('РЕЕСТР РИСКОВ_2023'!F141="",B114,'РЕЕСТР РИСКОВ_2023'!F141)))))</f>
        <v>ИНФРАСТРУКТУРНЫЙ РИСК</v>
      </c>
      <c r="C115" t="e">
        <f>IF('INHERENT MAP'!$B$5=2021,IF('РЕЕСТР РИСКОВ_2023'!G141="",C114,'РЕЕСТР РИСКОВ_2023'!G141),IF('INHERENT MAP'!$B$5=2022,IF(#REF!="",C114,#REF!),IF('INHERENT MAP'!$B$5=2023,IF(#REF!="",C114,#REF!),IF('INHERENT MAP'!$B$5=2024,IF(#REF!="",C114,#REF!),IF('РЕЕСТР РИСКОВ_2023'!G141="",C114,'РЕЕСТР РИСКОВ_2023'!G141)))))</f>
        <v>#REF!</v>
      </c>
      <c r="D115" t="str">
        <f>IF('INHERENT MAP'!$B$5=2021,IF('РЕЕСТР РИСКОВ_2023'!H141="",D114,'РЕЕСТР РИСКОВ_2023'!H141),IF('INHERENT MAP'!$B$5=2022,IF(#REF!="",D114,#REF!),IF('INHERENT MAP'!$B$5=2023,IF(#REF!="",D114,#REF!),IF('INHERENT MAP'!$B$5=2024,IF(#REF!="",D114,#REF!),IF('РЕЕСТР РИСКОВ_2023'!H141="",D114,'РЕЕСТР РИСКОВ_2023'!H141)))))</f>
        <v>IR-2</v>
      </c>
      <c r="E115" t="str">
        <f>IF('INHERENT MAP'!$B$5=2021,IF('РЕЕСТР РИСКОВ_2023'!I141="",E114,'РЕЕСТР РИСКОВ_2023'!I141),IF('INHERENT MAP'!$B$5=2022,IF(#REF!="",E114,#REF!),IF('INHERENT MAP'!$B$5=2023,IF(#REF!="",E114,#REF!),IF('INHERENT MAP'!$B$5=2024,IF(#REF!="",E114,#REF!),IF('РЕЕСТР РИСКОВ_2023'!I141="",E114,'РЕЕСТР РИСКОВ_2023'!I141)))))</f>
        <v>ЦЗ-1, ЦЗИ</v>
      </c>
      <c r="F115" t="str">
        <f>IF('INHERENT MAP'!$B$5=2021,IF('РЕЕСТР РИСКОВ_2023'!J141="",F114,'РЕЕСТР РИСКОВ_2023'!J141),IF('INHERENT MAP'!$B$5=2022,IF(#REF!="",F114,#REF!),IF('INHERENT MAP'!$B$5=2023,IF(#REF!="",F114,#REF!),IF('INHERENT MAP'!$B$5=2024,IF(#REF!="",F114,#REF!),IF('РЕЕСТР РИСКОВ_2023'!J141="",F114,'РЕЕСТР РИСКОВ_2023'!J141)))))</f>
        <v>Дирекция магистральной сети</v>
      </c>
      <c r="G115" t="str">
        <f>IF('INHERENT MAP'!$B$5=2021,IF('РЕЕСТР РИСКОВ_2023'!K141="",G114,'РЕЕСТР РИСКОВ_2023'!K141),IF('INHERENT MAP'!$B$5=2022,IF(#REF!="",G114,#REF!),IF('INHERENT MAP'!$B$5=2023,IF(#REF!="",G114,#REF!),IF('INHERENT MAP'!$B$5=2024,IF(#REF!="",G114,#REF!),IF('РЕЕСТР РИСКОВ_2023'!K141="",G114,'РЕЕСТР РИСКОВ_2023'!K141)))))</f>
        <v>Износ искусственных сооружений</v>
      </c>
      <c r="H115">
        <f>IF('INHERENT MAP'!$B$5=2021,'РЕЕСТР РИСКОВ_2023'!L141,IF('INHERENT MAP'!$B$5=2022,#REF!,IF('INHERENT MAP'!$B$5=2023,#REF!,IF('INHERENT MAP'!$B$5=2024,#REF!,#REF!))))</f>
        <v>0</v>
      </c>
      <c r="I115">
        <f>IF('INHERENT MAP'!$B$5=2021,'РЕЕСТР РИСКОВ_2023'!M141,IF('INHERENT MAP'!$B$5=2022,#REF!,IF('INHERENT MAP'!$B$5=2023,#REF!,IF('INHERENT MAP'!$B$5=2024,#REF!,#REF!))))</f>
        <v>0</v>
      </c>
      <c r="J115">
        <f>IF('INHERENT MAP'!$B$5=2021,'РЕЕСТР РИСКОВ_2023'!N141,IF('INHERENT MAP'!$B$5=2022,#REF!,IF('INHERENT MAP'!$B$5=2023,#REF!,IF('INHERENT MAP'!$B$5=2024,#REF!,#REF!))))</f>
        <v>0</v>
      </c>
      <c r="K115">
        <f>IF('INHERENT MAP'!$B$5=2021,'РЕЕСТР РИСКОВ_2023'!O141,IF('INHERENT MAP'!$B$5=2022,#REF!,IF('INHERENT MAP'!$B$5=2023,#REF!,IF('INHERENT MAP'!$B$5=2024,#REF!,#REF!))))</f>
        <v>0</v>
      </c>
      <c r="L115">
        <f>IF('INHERENT MAP'!$B$5=2021,'РЕЕСТР РИСКОВ_2023'!P141,IF('INHERENT MAP'!$B$5=2022,#REF!,IF('INHERENT MAP'!$B$5=2023,#REF!,IF('INHERENT MAP'!$B$5=2024,#REF!,#REF!))))</f>
        <v>0</v>
      </c>
      <c r="M115" t="str">
        <f>IF('INHERENT MAP'!$B$5=2021,IF('РЕЕСТР РИСКОВ_2023'!Q141="",M114,'РЕЕСТР РИСКОВ_2023'!Q141),IF('INHERENT MAP'!$B$5=2022,IF(#REF!="",M114,#REF!),IF('INHERENT MAP'!$B$5=2023,IF(#REF!="",M114,#REF!),IF('INHERENT MAP'!$B$5=2024,IF(#REF!="",M114,#REF!),IF('РЕЕСТР РИСКОВ_2023'!Q141="",M114,'РЕЕСТР РИСКОВ_2023'!Q141)))))</f>
        <v>Нагрузка от подвижного состава.
Усталостные деформации металла.
Разрушение бетона,
Механические повреждения конструкций сооружений.</v>
      </c>
      <c r="N115" t="str">
        <f>IF('INHERENT MAP'!$B$5=2021,IF('РЕЕСТР РИСКОВ_2023'!R141="",N114,'РЕЕСТР РИСКОВ_2023'!R141),IF('INHERENT MAP'!$B$5=2022,IF(#REF!="",N114,#REF!),IF('INHERENT MAP'!$B$5=2023,IF(#REF!="",N114,#REF!),IF('INHERENT MAP'!$B$5=2024,IF(#REF!="",N114,#REF!),IF('РЕЕСТР РИСКОВ_2023'!R141="",N114,'РЕЕСТР РИСКОВ_2023'!R141)))))</f>
        <v>Климатические условия (влажность, кислотность среды);
Температурный режим (резкие перепады температуры);</v>
      </c>
      <c r="O115" t="str">
        <f>'РЕЕСТР РИСКОВ_2023'!T141</f>
        <v>Технический паспорт ПЧ, анализ эксплуатационной деятельности</v>
      </c>
      <c r="P115" t="e">
        <f>IF('РЕЕСТР РИСКОВ_2023'!U141="",P114,'РЕЕСТР РИСКОВ_2023'!U141)</f>
        <v>#REF!</v>
      </c>
      <c r="Q115" t="str">
        <f>IF('РЕЕСТР РИСКОВ_2023'!V141="",Q114,'РЕЕСТР РИСКОВ_2023'!V141)</f>
        <v>Слабые стороны</v>
      </c>
      <c r="R115" t="str">
        <f>IF('РЕЕСТР РИСКОВ_2023'!W141="",R114,'РЕЕСТР РИСКОВ_2023'!W141)</f>
        <v>1. Износ исскуственных сооружений по состоянию на: 1. Износ ИССО по состоянию на:
01.01.2018 г. — 57,2 %;
01.01.2019 г. — 64,0 %;
01.01.2020 г. — 61,5 %;
01.01.2021 г. — 60,3 %;
01.01.2022г.- 50,65%
2. Наличие дефектов 3-ей категории — 375 шт.</v>
      </c>
      <c r="S115">
        <f>'РЕЕСТР РИСКОВ_2023'!X141</f>
        <v>0</v>
      </c>
      <c r="T115" s="94">
        <f>IF('INHERENT MAP'!$B$5=2021,'РЕЕСТР РИСКОВ_2023'!Y141,IF('INHERENT MAP'!$B$5=2022,#REF!,IF('INHERENT MAP'!$B$5=2023,#REF!,IF('INHERENT MAP'!$B$5=2024,#REF!,#REF!))))</f>
        <v>0.60299999999999998</v>
      </c>
      <c r="U115">
        <f>IF('INHERENT MAP'!$B$5=2021,'РЕЕСТР РИСКОВ_2023'!Z141,IF('INHERENT MAP'!$B$5=2022,#REF!,IF('INHERENT MAP'!$B$5=2023,#REF!,IF('INHERENT MAP'!$B$5=2024,#REF!,#REF!))))</f>
        <v>-750</v>
      </c>
      <c r="V115">
        <f>IF('INHERENT MAP'!$B$5=2021,'РЕЕСТР РИСКОВ_2023'!AA141,IF('INHERENT MAP'!$B$5=2022,#REF!,IF('INHERENT MAP'!$B$5=2023,#REF!,IF('INHERENT MAP'!$B$5=2024,#REF!,#REF!))))</f>
        <v>-452.25</v>
      </c>
      <c r="W115" t="str">
        <f>IF('INHERENT MAP'!$B$5=2021,'РЕЕСТР РИСКОВ_2023'!AB141,IF('INHERENT MAP'!$B$5=2022,#REF!,IF('INHERENT MAP'!$B$5=2023,#REF!,IF('INHERENT MAP'!$B$5=2024,#REF!,#REF!))))</f>
        <v>По программе инвестиционного бюджета на 2023 год запланирован капитальный ремонт 15 ИССО на общую сумму 4 мрд 42 млн 106 тыс тг).
При этом максимальный возможный объем капитального ремонта пути составляет 20 мостов ежегодно с учетом пропускной способности МЖС.
Расчет влияния следующий: разница между возможным и годовым объемом умноженная на стоимость 1 моста (20–15)×150 млн тг=750 млн тг</v>
      </c>
      <c r="X115" s="94">
        <f>IF('INHERENT MAP'!$B$5=2021,'РЕЕСТР РИСКОВ_2023'!AC141,IF('INHERENT MAP'!$B$5=2022,#REF!,IF('INHERENT MAP'!$B$5=2023,#REF!,IF('INHERENT MAP'!$B$5=2024,#REF!,#REF!))))</f>
        <v>0</v>
      </c>
      <c r="Y115">
        <f>IF('INHERENT MAP'!$B$5=2021,'РЕЕСТР РИСКОВ_2023'!AD141,IF('INHERENT MAP'!$B$5=2022,#REF!,IF('INHERENT MAP'!$B$5=2023,#REF!,IF('INHERENT MAP'!$B$5=2024,#REF!,#REF!))))</f>
        <v>0</v>
      </c>
      <c r="Z115">
        <f>IF('INHERENT MAP'!$B$5=2021,'РЕЕСТР РИСКОВ_2023'!AE141,IF('INHERENT MAP'!$B$5=2022,#REF!,IF('INHERENT MAP'!$B$5=2023,#REF!,IF('INHERENT MAP'!$B$5=2024,#REF!,#REF!))))</f>
        <v>0</v>
      </c>
      <c r="AA115" t="str">
        <f>IF('INHERENT MAP'!$B$5=2021,'РЕЕСТР РИСКОВ_2023'!AF141,IF('INHERENT MAP'!$B$5=2022,#REF!,IF('INHERENT MAP'!$B$5=2023,#REF!,IF('INHERENT MAP'!$B$5=2024,#REF!,#REF!))))</f>
        <v>в течение года</v>
      </c>
      <c r="AB115" t="str">
        <f>IF('INHERENT MAP'!$B$5=2021,'РЕЕСТР РИСКОВ_2023'!AG141,IF('INHERENT MAP'!$B$5=2022,#REF!,IF('INHERENT MAP'!$B$5=2023,#REF!,IF('INHERENT MAP'!$B$5=2024,#REF!,#REF!))))</f>
        <v>высокий</v>
      </c>
      <c r="AC115" t="str">
        <f>IF('INHERENT MAP'!$B$5=2021,'РЕЕСТР РИСКОВ_2023'!AH141,IF('INHERENT MAP'!$B$5=2022,#REF!,IF('INHERENT MAP'!$B$5=2023,#REF!,IF('INHERENT MAP'!$B$5=2024,#REF!,#REF!))))</f>
        <v>превентивный, детективный</v>
      </c>
      <c r="AD115" t="str">
        <f>IF('INHERENT MAP'!$B$5=2021,'РЕЕСТР РИСКОВ_2023'!AI141,IF('INHERENT MAP'!$B$5=2022,#REF!,IF('INHERENT MAP'!$B$5=2023,#REF!,IF('INHERENT MAP'!$B$5=2024,#REF!,#REF!))))</f>
        <v>1. Проведение капитального ремонта искусственных сооружений для продления срока службы с установленными скоростями движения поездов, ежегодно не менее 14 шт., ориентировочно на сумму 1 501 млн тг
2. Своевременное обеспечение закупа качественных материалов для текущего ремонта ИССО согласно утверждённых норм расхода, ежегодно ориентировочно на сумму не менее 350 млн тг</v>
      </c>
      <c r="AE115" t="str">
        <f>IF('INHERENT MAP'!$B$5=2021,'РЕЕСТР РИСКОВ_2023'!AK141,IF('INHERENT MAP'!$B$5=2022,#REF!,IF('INHERENT MAP'!$B$5=2023,#REF!,IF('INHERENT MAP'!$B$5=2024,#REF!,#REF!))))</f>
        <v>ЦП</v>
      </c>
      <c r="AF115" t="str">
        <f>IF('INHERENT MAP'!$B$5=2021,'РЕЕСТР РИСКОВ_2023'!AL141,IF('INHERENT MAP'!$B$5=2022,#REF!,IF('INHERENT MAP'!$B$5=2023,#REF!,IF('INHERENT MAP'!$B$5=2024,#REF!,#REF!))))</f>
        <v>в течение года</v>
      </c>
      <c r="AG115" t="str">
        <f>IF('INHERENT MAP'!$B$5=2021,'РЕЕСТР РИСКОВ_2023'!AM141,IF('INHERENT MAP'!$B$5=2022,#REF!,IF('INHERENT MAP'!$B$5=2023,#REF!,IF('INHERENT MAP'!$B$5=2024,#REF!,#REF!))))</f>
        <v>низкая</v>
      </c>
      <c r="AH115">
        <f>IF('INHERENT MAP'!$B$5=2021,'РЕЕСТР РИСКОВ_2023'!AN141,IF('INHERENT MAP'!$B$5=2022,#REF!,IF('INHERENT MAP'!$B$5=2023,#REF!,IF('INHERENT MAP'!$B$5=2024,#REF!,#REF!))))</f>
        <v>0.60299999999999998</v>
      </c>
      <c r="AI115">
        <f>IF('INHERENT MAP'!$B$5=2021,'РЕЕСТР РИСКОВ_2023'!AO141,IF('INHERENT MAP'!$B$5=2022,#REF!,IF('INHERENT MAP'!$B$5=2023,#REF!,IF('INHERENT MAP'!$B$5=2024,#REF!,#REF!))))</f>
        <v>-750</v>
      </c>
      <c r="AJ115">
        <f>IF('INHERENT MAP'!$B$5=2021,'РЕЕСТР РИСКОВ_2023'!AP141,IF('INHERENT MAP'!$B$5=2022,#REF!,IF('INHERENT MAP'!$B$5=2023,#REF!,IF('INHERENT MAP'!$B$5=2024,#REF!,#REF!))))</f>
        <v>-452.25</v>
      </c>
      <c r="AK115">
        <f>IF('РЕЕСТР РИСКОВ_2023'!AQ141="",AK114,'РЕЕСТР РИСКОВ_2023'!AQ141)</f>
        <v>-452.25</v>
      </c>
      <c r="AL115">
        <f>IF('РЕЕСТР РИСКОВ_2023'!AR141="",AL114,'РЕЕСТР РИСКОВ_2023'!AR141)</f>
        <v>8.3145837273494741E-2</v>
      </c>
      <c r="AM115">
        <f>IF('РЕЕСТР РИСКОВ_2023'!AS141="",AM114,'РЕЕСТР РИСКОВ_2023'!AS141)</f>
        <v>-7444.5336908148165</v>
      </c>
      <c r="AN115">
        <f>IF('РЕЕСТР РИСКОВ_2023'!AT141="",AN114,'РЕЕСТР РИСКОВ_2023'!AT141)</f>
        <v>-4187.696824450165</v>
      </c>
      <c r="AO115" t="e">
        <f>IF('РЕЕСТР РИСКОВ_2023'!AU141="",AO114,'РЕЕСТР РИСКОВ_2023'!AU141)</f>
        <v>#REF!</v>
      </c>
    </row>
    <row r="116" spans="2:41">
      <c r="B116" t="str">
        <f>IF('INHERENT MAP'!$B$5=2021,IF('РЕЕСТР РИСКОВ_2023'!F142="",B115,'РЕЕСТР РИСКОВ_2023'!F142),IF('INHERENT MAP'!$B$5=2022,IF(#REF!="",B115,#REF!),IF('INHERENT MAP'!$B$5=2023,IF(#REF!="",B115,#REF!),IF('INHERENT MAP'!$B$5=2024,IF(#REF!="",B115,#REF!),IF('РЕЕСТР РИСКОВ_2023'!F142="",B115,'РЕЕСТР РИСКОВ_2023'!F142)))))</f>
        <v>ИНФРАСТРУКТУРНЫЙ РИСК</v>
      </c>
      <c r="C116" t="e">
        <f>IF('INHERENT MAP'!$B$5=2021,IF('РЕЕСТР РИСКОВ_2023'!G142="",C115,'РЕЕСТР РИСКОВ_2023'!G142),IF('INHERENT MAP'!$B$5=2022,IF(#REF!="",C115,#REF!),IF('INHERENT MAP'!$B$5=2023,IF(#REF!="",C115,#REF!),IF('INHERENT MAP'!$B$5=2024,IF(#REF!="",C115,#REF!),IF('РЕЕСТР РИСКОВ_2023'!G142="",C115,'РЕЕСТР РИСКОВ_2023'!G142)))))</f>
        <v>#REF!</v>
      </c>
      <c r="D116" t="str">
        <f>IF('INHERENT MAP'!$B$5=2021,IF('РЕЕСТР РИСКОВ_2023'!H142="",D115,'РЕЕСТР РИСКОВ_2023'!H142),IF('INHERENT MAP'!$B$5=2022,IF(#REF!="",D115,#REF!),IF('INHERENT MAP'!$B$5=2023,IF(#REF!="",D115,#REF!),IF('INHERENT MAP'!$B$5=2024,IF(#REF!="",D115,#REF!),IF('РЕЕСТР РИСКОВ_2023'!H142="",D115,'РЕЕСТР РИСКОВ_2023'!H142)))))</f>
        <v>IR-3</v>
      </c>
      <c r="E116" t="str">
        <f>IF('INHERENT MAP'!$B$5=2021,IF('РЕЕСТР РИСКОВ_2023'!I142="",E115,'РЕЕСТР РИСКОВ_2023'!I142),IF('INHERENT MAP'!$B$5=2022,IF(#REF!="",E115,#REF!),IF('INHERENT MAP'!$B$5=2023,IF(#REF!="",E115,#REF!),IF('INHERENT MAP'!$B$5=2024,IF(#REF!="",E115,#REF!),IF('РЕЕСТР РИСКОВ_2023'!I142="",E115,'РЕЕСТР РИСКОВ_2023'!I142)))))</f>
        <v>ЦЗ-1, ЦЗИ</v>
      </c>
      <c r="F116" t="str">
        <f>IF('INHERENT MAP'!$B$5=2021,IF('РЕЕСТР РИСКОВ_2023'!J142="",F115,'РЕЕСТР РИСКОВ_2023'!J142),IF('INHERENT MAP'!$B$5=2022,IF(#REF!="",F115,#REF!),IF('INHERENT MAP'!$B$5=2023,IF(#REF!="",F115,#REF!),IF('INHERENT MAP'!$B$5=2024,IF(#REF!="",F115,#REF!),IF('РЕЕСТР РИСКОВ_2023'!J142="",F115,'РЕЕСТР РИСКОВ_2023'!J142)))))</f>
        <v>Дирекция магистральной сети</v>
      </c>
      <c r="G116" t="str">
        <f>IF('INHERENT MAP'!$B$5=2021,IF('РЕЕСТР РИСКОВ_2023'!K142="",G115,'РЕЕСТР РИСКОВ_2023'!K142),IF('INHERENT MAP'!$B$5=2022,IF(#REF!="",G115,#REF!),IF('INHERENT MAP'!$B$5=2023,IF(#REF!="",G115,#REF!),IF('INHERENT MAP'!$B$5=2024,IF(#REF!="",G115,#REF!),IF('РЕЕСТР РИСКОВ_2023'!K142="",G115,'РЕЕСТР РИСКОВ_2023'!K142)))))</f>
        <v>Риск выдачи ограничения скорости по отступлениям текущего содержания пути</v>
      </c>
      <c r="H116">
        <f>IF('INHERENT MAP'!$B$5=2021,'РЕЕСТР РИСКОВ_2023'!L142,IF('INHERENT MAP'!$B$5=2022,#REF!,IF('INHERENT MAP'!$B$5=2023,#REF!,IF('INHERENT MAP'!$B$5=2024,#REF!,#REF!))))</f>
        <v>0</v>
      </c>
      <c r="I116">
        <f>IF('INHERENT MAP'!$B$5=2021,'РЕЕСТР РИСКОВ_2023'!M142,IF('INHERENT MAP'!$B$5=2022,#REF!,IF('INHERENT MAP'!$B$5=2023,#REF!,IF('INHERENT MAP'!$B$5=2024,#REF!,#REF!))))</f>
        <v>0</v>
      </c>
      <c r="J116">
        <f>IF('INHERENT MAP'!$B$5=2021,'РЕЕСТР РИСКОВ_2023'!N142,IF('INHERENT MAP'!$B$5=2022,#REF!,IF('INHERENT MAP'!$B$5=2023,#REF!,IF('INHERENT MAP'!$B$5=2024,#REF!,#REF!))))</f>
        <v>0</v>
      </c>
      <c r="K116">
        <f>IF('INHERENT MAP'!$B$5=2021,'РЕЕСТР РИСКОВ_2023'!O142,IF('INHERENT MAP'!$B$5=2022,#REF!,IF('INHERENT MAP'!$B$5=2023,#REF!,IF('INHERENT MAP'!$B$5=2024,#REF!,#REF!))))</f>
        <v>0</v>
      </c>
      <c r="L116">
        <f>IF('INHERENT MAP'!$B$5=2021,'РЕЕСТР РИСКОВ_2023'!P142,IF('INHERENT MAP'!$B$5=2022,#REF!,IF('INHERENT MAP'!$B$5=2023,#REF!,IF('INHERENT MAP'!$B$5=2024,#REF!,#REF!))))</f>
        <v>0</v>
      </c>
      <c r="M116" t="str">
        <f>IF('INHERENT MAP'!$B$5=2021,IF('РЕЕСТР РИСКОВ_2023'!Q142="",M115,'РЕЕСТР РИСКОВ_2023'!Q142),IF('INHERENT MAP'!$B$5=2022,IF(#REF!="",M115,#REF!),IF('INHERENT MAP'!$B$5=2023,IF(#REF!="",M115,#REF!),IF('INHERENT MAP'!$B$5=2024,IF(#REF!="",M115,#REF!),IF('РЕЕСТР РИСКОВ_2023'!Q142="",M115,'РЕЕСТР РИСКОВ_2023'!Q142)))))</f>
        <v>Нагрузка от подвижного состава (прежде всего вертикальной статической и динамической составляющей, а также продольных и поперечных горизонтальных сил), где в результате ограничивается скорости движения до проведения работ в рамках текущего содержания пути.</v>
      </c>
      <c r="N116" t="str">
        <f>IF('INHERENT MAP'!$B$5=2021,IF('РЕЕСТР РИСКОВ_2023'!R142="",N115,'РЕЕСТР РИСКОВ_2023'!R142),IF('INHERENT MAP'!$B$5=2022,IF(#REF!="",N115,#REF!),IF('INHERENT MAP'!$B$5=2023,IF(#REF!="",N115,#REF!),IF('INHERENT MAP'!$B$5=2024,IF(#REF!="",N115,#REF!),IF('РЕЕСТР РИСКОВ_2023'!R142="",N115,'РЕЕСТР РИСКОВ_2023'!R142)))))</f>
        <v>Износ верхнего строения пути.
Износ искусственных сооружений.
Недостаточное качество работ по содержанию пути.
Недостаточное качество материалов для работ по содержанию пути.
Нехватка квалифицированных кадров для работ по содержанию пути.
Нанесение нежелательного ущерба из-за несоблюдения скоростного режима.</v>
      </c>
      <c r="O116" t="str">
        <f>'РЕЕСТР РИСКОВ_2023'!T142</f>
        <v>Технический паспорт ПЧ, анализ эксплуатационной деятельности, Техническое оснащение сети и основные показатели эксплуатационной работы (данные Совета по ж. д .транспорту)</v>
      </c>
      <c r="P116" t="e">
        <f>IF('РЕЕСТР РИСКОВ_2023'!U142="",P115,'РЕЕСТР РИСКОВ_2023'!U142)</f>
        <v>#REF!</v>
      </c>
      <c r="Q116" t="str">
        <f>IF('РЕЕСТР РИСКОВ_2023'!V142="",Q115,'РЕЕСТР РИСКОВ_2023'!V142)</f>
        <v>Слабые стороны</v>
      </c>
      <c r="R116" t="str">
        <f>IF('РЕЕСТР РИСКОВ_2023'!W142="",R115,'РЕЕСТР РИСКОВ_2023'!W142)</f>
        <v xml:space="preserve">1. В 2022 г. выдано длительнодействующих органичений скорости 3455 мест; 
2. Ограничена скорость диагностическими средствами 7770 км, закрыто движение на 1306 км;
</v>
      </c>
      <c r="S116">
        <f>'РЕЕСТР РИСКОВ_2023'!X142</f>
        <v>0</v>
      </c>
      <c r="T116" s="94">
        <f>IF('INHERENT MAP'!$B$5=2021,'РЕЕСТР РИСКОВ_2023'!Y142,IF('INHERENT MAP'!$B$5=2022,#REF!,IF('INHERENT MAP'!$B$5=2023,#REF!,IF('INHERENT MAP'!$B$5=2024,#REF!,#REF!))))</f>
        <v>0.54847566100344269</v>
      </c>
      <c r="U116">
        <f>IF('INHERENT MAP'!$B$5=2021,'РЕЕСТР РИСКОВ_2023'!Z142,IF('INHERENT MAP'!$B$5=2022,#REF!,IF('INHERENT MAP'!$B$5=2023,#REF!,IF('INHERENT MAP'!$B$5=2024,#REF!,#REF!))))</f>
        <v>-376.24222300000002</v>
      </c>
      <c r="V116">
        <f>IF('INHERENT MAP'!$B$5=2021,'РЕЕСТР РИСКОВ_2023'!AA142,IF('INHERENT MAP'!$B$5=2022,#REF!,IF('INHERENT MAP'!$B$5=2023,#REF!,IF('INHERENT MAP'!$B$5=2024,#REF!,#REF!))))</f>
        <v>-206.35970195732969</v>
      </c>
      <c r="W116">
        <f>IF('INHERENT MAP'!$B$5=2021,'РЕЕСТР РИСКОВ_2023'!AB142,IF('INHERENT MAP'!$B$5=2022,#REF!,IF('INHERENT MAP'!$B$5=2023,#REF!,IF('INHERENT MAP'!$B$5=2024,#REF!,#REF!))))</f>
        <v>0</v>
      </c>
      <c r="X116" s="94">
        <f>IF('INHERENT MAP'!$B$5=2021,'РЕЕСТР РИСКОВ_2023'!AC142,IF('INHERENT MAP'!$B$5=2022,#REF!,IF('INHERENT MAP'!$B$5=2023,#REF!,IF('INHERENT MAP'!$B$5=2024,#REF!,#REF!))))</f>
        <v>0</v>
      </c>
      <c r="Y116">
        <f>IF('INHERENT MAP'!$B$5=2021,'РЕЕСТР РИСКОВ_2023'!AD142,IF('INHERENT MAP'!$B$5=2022,#REF!,IF('INHERENT MAP'!$B$5=2023,#REF!,IF('INHERENT MAP'!$B$5=2024,#REF!,#REF!))))</f>
        <v>0</v>
      </c>
      <c r="Z116">
        <f>IF('INHERENT MAP'!$B$5=2021,'РЕЕСТР РИСКОВ_2023'!AE142,IF('INHERENT MAP'!$B$5=2022,#REF!,IF('INHERENT MAP'!$B$5=2023,#REF!,IF('INHERENT MAP'!$B$5=2024,#REF!,#REF!))))</f>
        <v>0</v>
      </c>
      <c r="AA116">
        <f>IF('INHERENT MAP'!$B$5=2021,'РЕЕСТР РИСКОВ_2023'!AF142,IF('INHERENT MAP'!$B$5=2022,#REF!,IF('INHERENT MAP'!$B$5=2023,#REF!,IF('INHERENT MAP'!$B$5=2024,#REF!,#REF!))))</f>
        <v>0</v>
      </c>
      <c r="AB116">
        <f>IF('INHERENT MAP'!$B$5=2021,'РЕЕСТР РИСКОВ_2023'!AG142,IF('INHERENT MAP'!$B$5=2022,#REF!,IF('INHERENT MAP'!$B$5=2023,#REF!,IF('INHERENT MAP'!$B$5=2024,#REF!,#REF!))))</f>
        <v>0</v>
      </c>
      <c r="AC116">
        <f>IF('INHERENT MAP'!$B$5=2021,'РЕЕСТР РИСКОВ_2023'!AH142,IF('INHERENT MAP'!$B$5=2022,#REF!,IF('INHERENT MAP'!$B$5=2023,#REF!,IF('INHERENT MAP'!$B$5=2024,#REF!,#REF!))))</f>
        <v>0</v>
      </c>
      <c r="AD116" t="str">
        <f>IF('INHERENT MAP'!$B$5=2021,'РЕЕСТР РИСКОВ_2023'!AI142,IF('INHERENT MAP'!$B$5=2022,#REF!,IF('INHERENT MAP'!$B$5=2023,#REF!,IF('INHERENT MAP'!$B$5=2024,#REF!,#REF!))))</f>
        <v>Своевременное и качественное обеспечение материалами верхнего строения пути согласно утверждённых норм расхода, ежегодно ориентировочно на сумму не менее 20 000 млн тг.</v>
      </c>
      <c r="AE116" t="str">
        <f>IF('INHERENT MAP'!$B$5=2021,'РЕЕСТР РИСКОВ_2023'!AK142,IF('INHERENT MAP'!$B$5=2022,#REF!,IF('INHERENT MAP'!$B$5=2023,#REF!,IF('INHERENT MAP'!$B$5=2024,#REF!,#REF!))))</f>
        <v>Диекция магистральной сети</v>
      </c>
      <c r="AF116">
        <f>IF('INHERENT MAP'!$B$5=2021,'РЕЕСТР РИСКОВ_2023'!AL142,IF('INHERENT MAP'!$B$5=2022,#REF!,IF('INHERENT MAP'!$B$5=2023,#REF!,IF('INHERENT MAP'!$B$5=2024,#REF!,#REF!))))</f>
        <v>0</v>
      </c>
      <c r="AG116" t="str">
        <f>IF('INHERENT MAP'!$B$5=2021,'РЕЕСТР РИСКОВ_2023'!AM142,IF('INHERENT MAP'!$B$5=2022,#REF!,IF('INHERENT MAP'!$B$5=2023,#REF!,IF('INHERENT MAP'!$B$5=2024,#REF!,#REF!))))</f>
        <v>низкая</v>
      </c>
      <c r="AH116">
        <f>IF('INHERENT MAP'!$B$5=2021,'РЕЕСТР РИСКОВ_2023'!AN142,IF('INHERENT MAP'!$B$5=2022,#REF!,IF('INHERENT MAP'!$B$5=2023,#REF!,IF('INHERENT MAP'!$B$5=2024,#REF!,#REF!))))</f>
        <v>0.54847566100344269</v>
      </c>
      <c r="AI116">
        <f>IF('INHERENT MAP'!$B$5=2021,'РЕЕСТР РИСКОВ_2023'!AO142,IF('INHERENT MAP'!$B$5=2022,#REF!,IF('INHERENT MAP'!$B$5=2023,#REF!,IF('INHERENT MAP'!$B$5=2024,#REF!,#REF!))))</f>
        <v>-376.24222300000002</v>
      </c>
      <c r="AJ116">
        <f>IF('INHERENT MAP'!$B$5=2021,'РЕЕСТР РИСКОВ_2023'!AP142,IF('INHERENT MAP'!$B$5=2022,#REF!,IF('INHERENT MAP'!$B$5=2023,#REF!,IF('INHERENT MAP'!$B$5=2024,#REF!,#REF!))))</f>
        <v>-206.35970195732969</v>
      </c>
      <c r="AK116">
        <f>IF('РЕЕСТР РИСКОВ_2023'!AQ142="",AK115,'РЕЕСТР РИСКОВ_2023'!AQ142)</f>
        <v>-206.35970195732969</v>
      </c>
      <c r="AL116">
        <f>IF('РЕЕСТР РИСКОВ_2023'!AR142="",AL115,'РЕЕСТР РИСКОВ_2023'!AR142)</f>
        <v>8.3145837273494741E-2</v>
      </c>
      <c r="AM116">
        <f>IF('РЕЕСТР РИСКОВ_2023'!AS142="",AM115,'РЕЕСТР РИСКОВ_2023'!AS142)</f>
        <v>-7444.5336908148165</v>
      </c>
      <c r="AN116">
        <f>IF('РЕЕСТР РИСКОВ_2023'!AT142="",AN115,'РЕЕСТР РИСКОВ_2023'!AT142)</f>
        <v>-4187.696824450165</v>
      </c>
      <c r="AO116" t="e">
        <f>IF('РЕЕСТР РИСКОВ_2023'!AU142="",AO115,'РЕЕСТР РИСКОВ_2023'!AU142)</f>
        <v>#REF!</v>
      </c>
    </row>
    <row r="117" spans="2:41">
      <c r="B117" t="str">
        <f>IF('INHERENT MAP'!$B$5=2021,IF('РЕЕСТР РИСКОВ_2023'!F143="",B116,'РЕЕСТР РИСКОВ_2023'!F143),IF('INHERENT MAP'!$B$5=2022,IF(#REF!="",B116,#REF!),IF('INHERENT MAP'!$B$5=2023,IF(#REF!="",B116,#REF!),IF('INHERENT MAP'!$B$5=2024,IF(#REF!="",B116,#REF!),IF('РЕЕСТР РИСКОВ_2023'!F143="",B116,'РЕЕСТР РИСКОВ_2023'!F143)))))</f>
        <v>ИНФРАСТРУКТУРНЫЙ РИСК</v>
      </c>
      <c r="C117" t="e">
        <f>IF('INHERENT MAP'!$B$5=2021,IF('РЕЕСТР РИСКОВ_2023'!G143="",C116,'РЕЕСТР РИСКОВ_2023'!G143),IF('INHERENT MAP'!$B$5=2022,IF(#REF!="",C116,#REF!),IF('INHERENT MAP'!$B$5=2023,IF(#REF!="",C116,#REF!),IF('INHERENT MAP'!$B$5=2024,IF(#REF!="",C116,#REF!),IF('РЕЕСТР РИСКОВ_2023'!G143="",C116,'РЕЕСТР РИСКОВ_2023'!G143)))))</f>
        <v>#REF!</v>
      </c>
      <c r="D117" t="str">
        <f>IF('INHERENT MAP'!$B$5=2021,IF('РЕЕСТР РИСКОВ_2023'!H143="",D116,'РЕЕСТР РИСКОВ_2023'!H143),IF('INHERENT MAP'!$B$5=2022,IF(#REF!="",D116,#REF!),IF('INHERENT MAP'!$B$5=2023,IF(#REF!="",D116,#REF!),IF('INHERENT MAP'!$B$5=2024,IF(#REF!="",D116,#REF!),IF('РЕЕСТР РИСКОВ_2023'!H143="",D116,'РЕЕСТР РИСКОВ_2023'!H143)))))</f>
        <v>IR-4</v>
      </c>
      <c r="E117" t="str">
        <f>IF('INHERENT MAP'!$B$5=2021,IF('РЕЕСТР РИСКОВ_2023'!I143="",E116,'РЕЕСТР РИСКОВ_2023'!I143),IF('INHERENT MAP'!$B$5=2022,IF(#REF!="",E116,#REF!),IF('INHERENT MAP'!$B$5=2023,IF(#REF!="",E116,#REF!),IF('INHERENT MAP'!$B$5=2024,IF(#REF!="",E116,#REF!),IF('РЕЕСТР РИСКОВ_2023'!I143="",E116,'РЕЕСТР РИСКОВ_2023'!I143)))))</f>
        <v>ЦЗ-1, ЦЗИ</v>
      </c>
      <c r="F117" t="str">
        <f>IF('INHERENT MAP'!$B$5=2021,IF('РЕЕСТР РИСКОВ_2023'!J143="",F116,'РЕЕСТР РИСКОВ_2023'!J143),IF('INHERENT MAP'!$B$5=2022,IF(#REF!="",F116,#REF!),IF('INHERENT MAP'!$B$5=2023,IF(#REF!="",F116,#REF!),IF('INHERENT MAP'!$B$5=2024,IF(#REF!="",F116,#REF!),IF('РЕЕСТР РИСКОВ_2023'!J143="",F116,'РЕЕСТР РИСКОВ_2023'!J143)))))</f>
        <v>Дирекция магистральной сети</v>
      </c>
      <c r="G117" t="str">
        <f>IF('INHERENT MAP'!$B$5=2021,IF('РЕЕСТР РИСКОВ_2023'!K143="",G116,'РЕЕСТР РИСКОВ_2023'!K143),IF('INHERENT MAP'!$B$5=2022,IF(#REF!="",G116,#REF!),IF('INHERENT MAP'!$B$5=2023,IF(#REF!="",G116,#REF!),IF('INHERENT MAP'!$B$5=2024,IF(#REF!="",G116,#REF!),IF('РЕЕСТР РИСКОВ_2023'!K143="",G116,'РЕЕСТР РИСКОВ_2023'!K143)))))</f>
        <v>Риск отказа оборудования и устройств тяговых подстанций (ТП) из-за выработки нормативного срока службы</v>
      </c>
      <c r="H117">
        <f>IF('INHERENT MAP'!$B$5=2021,'РЕЕСТР РИСКОВ_2023'!L143,IF('INHERENT MAP'!$B$5=2022,#REF!,IF('INHERENT MAP'!$B$5=2023,#REF!,IF('INHERENT MAP'!$B$5=2024,#REF!,#REF!))))</f>
        <v>0</v>
      </c>
      <c r="I117">
        <f>IF('INHERENT MAP'!$B$5=2021,'РЕЕСТР РИСКОВ_2023'!M143,IF('INHERENT MAP'!$B$5=2022,#REF!,IF('INHERENT MAP'!$B$5=2023,#REF!,IF('INHERENT MAP'!$B$5=2024,#REF!,#REF!))))</f>
        <v>0</v>
      </c>
      <c r="J117">
        <f>IF('INHERENT MAP'!$B$5=2021,'РЕЕСТР РИСКОВ_2023'!N143,IF('INHERENT MAP'!$B$5=2022,#REF!,IF('INHERENT MAP'!$B$5=2023,#REF!,IF('INHERENT MAP'!$B$5=2024,#REF!,#REF!))))</f>
        <v>0</v>
      </c>
      <c r="K117">
        <f>IF('INHERENT MAP'!$B$5=2021,'РЕЕСТР РИСКОВ_2023'!O143,IF('INHERENT MAP'!$B$5=2022,#REF!,IF('INHERENT MAP'!$B$5=2023,#REF!,IF('INHERENT MAP'!$B$5=2024,#REF!,#REF!))))</f>
        <v>0</v>
      </c>
      <c r="L117">
        <f>IF('INHERENT MAP'!$B$5=2021,'РЕЕСТР РИСКОВ_2023'!P143,IF('INHERENT MAP'!$B$5=2022,#REF!,IF('INHERENT MAP'!$B$5=2023,#REF!,IF('INHERENT MAP'!$B$5=2024,#REF!,#REF!))))</f>
        <v>0</v>
      </c>
      <c r="M117" t="str">
        <f>IF('INHERENT MAP'!$B$5=2021,IF('РЕЕСТР РИСКОВ_2023'!Q143="",M116,'РЕЕСТР РИСКОВ_2023'!Q143),IF('INHERENT MAP'!$B$5=2022,IF(#REF!="",M116,#REF!),IF('INHERENT MAP'!$B$5=2023,IF(#REF!="",M116,#REF!),IF('INHERENT MAP'!$B$5=2024,IF(#REF!="",M116,#REF!),IF('РЕЕСТР РИСКОВ_2023'!Q143="",M116,'РЕЕСТР РИСКОВ_2023'!Q143)))))</f>
        <v>Выполнение ППР устройств электроснабжения не в полном объеме по причине недофинансирования.</v>
      </c>
      <c r="N117" t="str">
        <f>IF('INHERENT MAP'!$B$5=2021,IF('РЕЕСТР РИСКОВ_2023'!R143="",N116,'РЕЕСТР РИСКОВ_2023'!R143),IF('INHERENT MAP'!$B$5=2022,IF(#REF!="",N116,#REF!),IF('INHERENT MAP'!$B$5=2023,IF(#REF!="",N116,#REF!),IF('INHERENT MAP'!$B$5=2024,IF(#REF!="",N116,#REF!),IF('РЕЕСТР РИСКОВ_2023'!R143="",N116,'РЕЕСТР РИСКОВ_2023'!R143)))))</f>
        <v>Истечение нормативного срока службы оборудования тяговых подстанций (25 лет):
— со сроком службы свыше 25 лет — 39 ед.;
— двойное превышение срока службы (свыше 50 лет) — 18 ед.
Социальное недовольство нетяговых потребителей в случае отказа оборудования.</v>
      </c>
      <c r="O117" t="str">
        <f>'РЕЕСТР РИСКОВ_2023'!T143</f>
        <v>Дистанции электроснабжения</v>
      </c>
      <c r="P117" t="e">
        <f>IF('РЕЕСТР РИСКОВ_2023'!U143="",P116,'РЕЕСТР РИСКОВ_2023'!U143)</f>
        <v>#REF!</v>
      </c>
      <c r="Q117" t="str">
        <f>IF('РЕЕСТР РИСКОВ_2023'!V143="",Q116,'РЕЕСТР РИСКОВ_2023'!V143)</f>
        <v>Слабые стороны</v>
      </c>
      <c r="R117" t="str">
        <f>IF('РЕЕСТР РИСКОВ_2023'!W143="",R116,'РЕЕСТР РИСКОВ_2023'!W143)</f>
        <v>Эксплуатация оборудования и устройства с истекшим сроком службы: 
— тяговые, силовые трансформаторы — 135 ед. (76 %).
Кол-во случаев НБД за период:
2017 г. — 2 ед.;
2018 г. — 2 ед.;
2019 г. — 8 ед.;
2020 г. — 3 ед..</v>
      </c>
      <c r="S117">
        <f>'РЕЕСТР РИСКОВ_2023'!X143</f>
        <v>0</v>
      </c>
      <c r="T117" s="94">
        <f>IF('INHERENT MAP'!$B$5=2021,'РЕЕСТР РИСКОВ_2023'!Y143,IF('INHERENT MAP'!$B$5=2022,#REF!,IF('INHERENT MAP'!$B$5=2023,#REF!,IF('INHERENT MAP'!$B$5=2024,#REF!,#REF!))))</f>
        <v>0.76</v>
      </c>
      <c r="U117">
        <f>IF('INHERENT MAP'!$B$5=2021,'РЕЕСТР РИСКОВ_2023'!Z143,IF('INHERENT MAP'!$B$5=2022,#REF!,IF('INHERENT MAP'!$B$5=2023,#REF!,IF('INHERENT MAP'!$B$5=2024,#REF!,#REF!))))</f>
        <v>-563.62962962962956</v>
      </c>
      <c r="V117">
        <f>IF('INHERENT MAP'!$B$5=2021,'РЕЕСТР РИСКОВ_2023'!AA143,IF('INHERENT MAP'!$B$5=2022,#REF!,IF('INHERENT MAP'!$B$5=2023,#REF!,IF('INHERENT MAP'!$B$5=2024,#REF!,#REF!))))</f>
        <v>-428.35851851851845</v>
      </c>
      <c r="W117" t="str">
        <f>IF('INHERENT MAP'!$B$5=2021,'РЕЕСТР РИСКОВ_2023'!AB143,IF('INHERENT MAP'!$B$5=2022,#REF!,IF('INHERENT MAP'!$B$5=2023,#REF!,IF('INHERENT MAP'!$B$5=2024,#REF!,#REF!))))</f>
        <v xml:space="preserve">В 2022 гг. по причинам отказа в работе оборудования и устройств тяговых подстанций допущено  случаев НБД, при этом задержано 6 поездов на среднюю итоговую сумму 0,3 млн тг.
Данные по доле устройств с истекшим нормативным сроком службы:
— измерительные трансформаторы 555 ед. (38 %); 
— выключатели 1279 ед. (75 %); 
— разрядники, ОПН (110-220 кВ) 289шт (56 %);
— релейная защита 847 ед. (67 %); 
— аккумуляторные батареи 12 ед. (18 %).
При выходе из строя тупиковой тяговой подстанции (либо двух подряд) движение поездов будет переведено с электротяги поездов на теплотягу.
Согласно плана потребности обновления оборудования по тяговым подстанциям на период 2021-2025 гг. составляет 20 696 млн тг (для полного обновления оборудования по тяговым подстанциям необходимо более 70 000 млн тг). </v>
      </c>
      <c r="X117" s="94">
        <f>IF('INHERENT MAP'!$B$5=2021,'РЕЕСТР РИСКОВ_2023'!AC143,IF('INHERENT MAP'!$B$5=2022,#REF!,IF('INHERENT MAP'!$B$5=2023,#REF!,IF('INHERENT MAP'!$B$5=2024,#REF!,#REF!))))</f>
        <v>0</v>
      </c>
      <c r="Y117">
        <f>IF('INHERENT MAP'!$B$5=2021,'РЕЕСТР РИСКОВ_2023'!AD143,IF('INHERENT MAP'!$B$5=2022,#REF!,IF('INHERENT MAP'!$B$5=2023,#REF!,IF('INHERENT MAP'!$B$5=2024,#REF!,#REF!))))</f>
        <v>0</v>
      </c>
      <c r="Z117">
        <f>IF('INHERENT MAP'!$B$5=2021,'РЕЕСТР РИСКОВ_2023'!AE143,IF('INHERENT MAP'!$B$5=2022,#REF!,IF('INHERENT MAP'!$B$5=2023,#REF!,IF('INHERENT MAP'!$B$5=2024,#REF!,#REF!))))</f>
        <v>0</v>
      </c>
      <c r="AA117">
        <f>IF('INHERENT MAP'!$B$5=2021,'РЕЕСТР РИСКОВ_2023'!AF143,IF('INHERENT MAP'!$B$5=2022,#REF!,IF('INHERENT MAP'!$B$5=2023,#REF!,IF('INHERENT MAP'!$B$5=2024,#REF!,#REF!))))</f>
        <v>0</v>
      </c>
      <c r="AB117">
        <f>IF('INHERENT MAP'!$B$5=2021,'РЕЕСТР РИСКОВ_2023'!AG143,IF('INHERENT MAP'!$B$5=2022,#REF!,IF('INHERENT MAP'!$B$5=2023,#REF!,IF('INHERENT MAP'!$B$5=2024,#REF!,#REF!))))</f>
        <v>0</v>
      </c>
      <c r="AC117">
        <f>IF('INHERENT MAP'!$B$5=2021,'РЕЕСТР РИСКОВ_2023'!AH143,IF('INHERENT MAP'!$B$5=2022,#REF!,IF('INHERENT MAP'!$B$5=2023,#REF!,IF('INHERENT MAP'!$B$5=2024,#REF!,#REF!))))</f>
        <v>0</v>
      </c>
      <c r="AD117" t="str">
        <f>IF('INHERENT MAP'!$B$5=2021,'РЕЕСТР РИСКОВ_2023'!AI143,IF('INHERENT MAP'!$B$5=2022,#REF!,IF('INHERENT MAP'!$B$5=2023,#REF!,IF('INHERENT MAP'!$B$5=2024,#REF!,#REF!))))</f>
        <v xml:space="preserve">В период 2021-2025 гг. планируется обновление оборудования тяговых подстанций на сумму 21 516,9 млн тг, планом капитальных вложений на 2021-2025 гг. предусмотрен закуп и монтаж:
— тяговых трансформаторов 110-220 кВ, 33 ед., на сумму 11 060,5 млн тг, в т. ч.:
110 кВ: 3 ед., на сумму 929,8 млн тг; 220 кВ: 30 ед., на сумму 10 130,7 млн тг;
— трансформаторов тока 110-220 кВ, 161 ед., на сумму 900,7 млн тг, в т. ч.:
110 кВ: 54 ед, на сумму 244,3 млн тг, 220 кВ: 107 ед., на сумму 656,4 млн тг;
— трансформаторов напряжения 110-220 кВ, 96 ед., на сумму 	506,2 млн тг, в т. ч.: 
110 кВ: 48 ед., на сумму 219,9 млн тг, 220 кВ: 48 ед., на сумму 286,3 млн тг;
— ж. д. силовых трансформаторов ,77 ед., на сумму 439,7 млн тг, в т. ч.:
— ограничителей перенапряжения 110-220 кВ,	 164 ед., на сумму 423,6 млн тг, в т. ч.:
110 кВ: 62 ед., на сумму 114,7 млн тг, 220 кВ: 102 ед., на сумму 	308,9 млн тг;
— элегазовых выключателей 220 кВ, 38 ед., на сумму 1 415,0 млн тг;
— разъединителей 110-220 кВ, 48 ед., на сумму 547,6 млн тг, в т. ч.:
110 кВ: 18 ед., на сумму 152,9 млн тг, 220 кВ: 30 ед., 394,7 млн тг;
— аккумуляторных батарей с зарядным устройством, 17 ед., на сумму 378,5 млн тг, в т. ч.:
420 Ач: 13 ед., на сумму 247,7 млн тг, 800 Ач: 4 ед. на сумму 130,8 млн тг; 
— дизель-генераторов, 19 ед., на сумму 557,2 млн тг;
— распредустройств, 17 ед., на сумму 5 243,7 млн тг, в т. ч.:
БМЗ-27,5 кВ: 9 ед., на сумму 5 043,7 млн тг, КРУ 27,5 кВ: 8 ед., на сумму 200,0 млн тг. </v>
      </c>
      <c r="AE117" t="str">
        <f>IF('INHERENT MAP'!$B$5=2021,'РЕЕСТР РИСКОВ_2023'!AK143,IF('INHERENT MAP'!$B$5=2022,#REF!,IF('INHERENT MAP'!$B$5=2023,#REF!,IF('INHERENT MAP'!$B$5=2024,#REF!,#REF!))))</f>
        <v>Дирекция магистральной сети</v>
      </c>
      <c r="AF117">
        <f>IF('INHERENT MAP'!$B$5=2021,'РЕЕСТР РИСКОВ_2023'!AL143,IF('INHERENT MAP'!$B$5=2022,#REF!,IF('INHERENT MAP'!$B$5=2023,#REF!,IF('INHERENT MAP'!$B$5=2024,#REF!,#REF!))))</f>
        <v>0</v>
      </c>
      <c r="AG117" t="str">
        <f>IF('INHERENT MAP'!$B$5=2021,'РЕЕСТР РИСКОВ_2023'!AM143,IF('INHERENT MAP'!$B$5=2022,#REF!,IF('INHERENT MAP'!$B$5=2023,#REF!,IF('INHERENT MAP'!$B$5=2024,#REF!,#REF!))))</f>
        <v>средняя</v>
      </c>
      <c r="AH117">
        <f>IF('INHERENT MAP'!$B$5=2021,'РЕЕСТР РИСКОВ_2023'!AN143,IF('INHERENT MAP'!$B$5=2022,#REF!,IF('INHERENT MAP'!$B$5=2023,#REF!,IF('INHERENT MAP'!$B$5=2024,#REF!,#REF!))))</f>
        <v>0.38</v>
      </c>
      <c r="AI117">
        <f>IF('INHERENT MAP'!$B$5=2021,'РЕЕСТР РИСКОВ_2023'!AO143,IF('INHERENT MAP'!$B$5=2022,#REF!,IF('INHERENT MAP'!$B$5=2023,#REF!,IF('INHERENT MAP'!$B$5=2024,#REF!,#REF!))))</f>
        <v>-281.81481481481478</v>
      </c>
      <c r="AJ117">
        <f>IF('INHERENT MAP'!$B$5=2021,'РЕЕСТР РИСКОВ_2023'!AP143,IF('INHERENT MAP'!$B$5=2022,#REF!,IF('INHERENT MAP'!$B$5=2023,#REF!,IF('INHERENT MAP'!$B$5=2024,#REF!,#REF!))))</f>
        <v>-107.08962962962961</v>
      </c>
      <c r="AK117">
        <f>IF('РЕЕСТР РИСКОВ_2023'!AQ143="",AK116,'РЕЕСТР РИСКОВ_2023'!AQ143)</f>
        <v>-214.17925925925923</v>
      </c>
      <c r="AL117">
        <f>IF('РЕЕСТР РИСКОВ_2023'!AR143="",AL116,'РЕЕСТР РИСКОВ_2023'!AR143)</f>
        <v>8.3145837273494741E-2</v>
      </c>
      <c r="AM117">
        <f>IF('РЕЕСТР РИСКОВ_2023'!AS143="",AM116,'РЕЕСТР РИСКОВ_2023'!AS143)</f>
        <v>-7444.5336908148165</v>
      </c>
      <c r="AN117">
        <f>IF('РЕЕСТР РИСКОВ_2023'!AT143="",AN116,'РЕЕСТР РИСКОВ_2023'!AT143)</f>
        <v>-4187.696824450165</v>
      </c>
      <c r="AO117" t="e">
        <f>IF('РЕЕСТР РИСКОВ_2023'!AU143="",AO116,'РЕЕСТР РИСКОВ_2023'!AU143)</f>
        <v>#REF!</v>
      </c>
    </row>
    <row r="118" spans="2:41">
      <c r="B118" t="str">
        <f>IF('INHERENT MAP'!$B$5=2021,IF('РЕЕСТР РИСКОВ_2023'!F144="",B117,'РЕЕСТР РИСКОВ_2023'!F144),IF('INHERENT MAP'!$B$5=2022,IF(#REF!="",B117,#REF!),IF('INHERENT MAP'!$B$5=2023,IF(#REF!="",B117,#REF!),IF('INHERENT MAP'!$B$5=2024,IF(#REF!="",B117,#REF!),IF('РЕЕСТР РИСКОВ_2023'!F144="",B117,'РЕЕСТР РИСКОВ_2023'!F144)))))</f>
        <v>ИНФРАСТРУКТУРНЫЙ РИСК</v>
      </c>
      <c r="C118" t="e">
        <f>IF('INHERENT MAP'!$B$5=2021,IF('РЕЕСТР РИСКОВ_2023'!G144="",C117,'РЕЕСТР РИСКОВ_2023'!G144),IF('INHERENT MAP'!$B$5=2022,IF(#REF!="",C117,#REF!),IF('INHERENT MAP'!$B$5=2023,IF(#REF!="",C117,#REF!),IF('INHERENT MAP'!$B$5=2024,IF(#REF!="",C117,#REF!),IF('РЕЕСТР РИСКОВ_2023'!G144="",C117,'РЕЕСТР РИСКОВ_2023'!G144)))))</f>
        <v>#REF!</v>
      </c>
      <c r="D118" t="str">
        <f>IF('INHERENT MAP'!$B$5=2021,IF('РЕЕСТР РИСКОВ_2023'!H144="",D117,'РЕЕСТР РИСКОВ_2023'!H144),IF('INHERENT MAP'!$B$5=2022,IF(#REF!="",D117,#REF!),IF('INHERENT MAP'!$B$5=2023,IF(#REF!="",D117,#REF!),IF('INHERENT MAP'!$B$5=2024,IF(#REF!="",D117,#REF!),IF('РЕЕСТР РИСКОВ_2023'!H144="",D117,'РЕЕСТР РИСКОВ_2023'!H144)))))</f>
        <v>IR-5</v>
      </c>
      <c r="E118" t="str">
        <f>IF('INHERENT MAP'!$B$5=2021,IF('РЕЕСТР РИСКОВ_2023'!I144="",E117,'РЕЕСТР РИСКОВ_2023'!I144),IF('INHERENT MAP'!$B$5=2022,IF(#REF!="",E117,#REF!),IF('INHERENT MAP'!$B$5=2023,IF(#REF!="",E117,#REF!),IF('INHERENT MAP'!$B$5=2024,IF(#REF!="",E117,#REF!),IF('РЕЕСТР РИСКОВ_2023'!I144="",E117,'РЕЕСТР РИСКОВ_2023'!I144)))))</f>
        <v>ЦЗ-1, ЦЗИ</v>
      </c>
      <c r="F118" t="str">
        <f>IF('INHERENT MAP'!$B$5=2021,IF('РЕЕСТР РИСКОВ_2023'!J144="",F117,'РЕЕСТР РИСКОВ_2023'!J144),IF('INHERENT MAP'!$B$5=2022,IF(#REF!="",F117,#REF!),IF('INHERENT MAP'!$B$5=2023,IF(#REF!="",F117,#REF!),IF('INHERENT MAP'!$B$5=2024,IF(#REF!="",F117,#REF!),IF('РЕЕСТР РИСКОВ_2023'!J144="",F117,'РЕЕСТР РИСКОВ_2023'!J144)))))</f>
        <v>Дирекция магистральной сети</v>
      </c>
      <c r="G118" t="str">
        <f>IF('INHERENT MAP'!$B$5=2021,IF('РЕЕСТР РИСКОВ_2023'!K144="",G117,'РЕЕСТР РИСКОВ_2023'!K144),IF('INHERENT MAP'!$B$5=2022,IF(#REF!="",G117,#REF!),IF('INHERENT MAP'!$B$5=2023,IF(#REF!="",G117,#REF!),IF('INHERENT MAP'!$B$5=2024,IF(#REF!="",G117,#REF!),IF('РЕЕСТР РИСКОВ_2023'!K144="",G117,'РЕЕСТР РИСКОВ_2023'!K144)))))</f>
        <v>Риск отказа контактной сети из-за выработки нормативного срока службы</v>
      </c>
      <c r="H118">
        <f>IF('INHERENT MAP'!$B$5=2021,'РЕЕСТР РИСКОВ_2023'!L144,IF('INHERENT MAP'!$B$5=2022,#REF!,IF('INHERENT MAP'!$B$5=2023,#REF!,IF('INHERENT MAP'!$B$5=2024,#REF!,#REF!))))</f>
        <v>0</v>
      </c>
      <c r="I118">
        <f>IF('INHERENT MAP'!$B$5=2021,'РЕЕСТР РИСКОВ_2023'!M144,IF('INHERENT MAP'!$B$5=2022,#REF!,IF('INHERENT MAP'!$B$5=2023,#REF!,IF('INHERENT MAP'!$B$5=2024,#REF!,#REF!))))</f>
        <v>0</v>
      </c>
      <c r="J118">
        <f>IF('INHERENT MAP'!$B$5=2021,'РЕЕСТР РИСКОВ_2023'!N144,IF('INHERENT MAP'!$B$5=2022,#REF!,IF('INHERENT MAP'!$B$5=2023,#REF!,IF('INHERENT MAP'!$B$5=2024,#REF!,#REF!))))</f>
        <v>0</v>
      </c>
      <c r="K118">
        <f>IF('INHERENT MAP'!$B$5=2021,'РЕЕСТР РИСКОВ_2023'!O144,IF('INHERENT MAP'!$B$5=2022,#REF!,IF('INHERENT MAP'!$B$5=2023,#REF!,IF('INHERENT MAP'!$B$5=2024,#REF!,#REF!))))</f>
        <v>0</v>
      </c>
      <c r="L118">
        <f>IF('INHERENT MAP'!$B$5=2021,'РЕЕСТР РИСКОВ_2023'!P144,IF('INHERENT MAP'!$B$5=2022,#REF!,IF('INHERENT MAP'!$B$5=2023,#REF!,IF('INHERENT MAP'!$B$5=2024,#REF!,#REF!))))</f>
        <v>0</v>
      </c>
      <c r="M118" t="str">
        <f>IF('INHERENT MAP'!$B$5=2021,IF('РЕЕСТР РИСКОВ_2023'!Q144="",M117,'РЕЕСТР РИСКОВ_2023'!Q144),IF('INHERENT MAP'!$B$5=2022,IF(#REF!="",M117,#REF!),IF('INHERENT MAP'!$B$5=2023,IF(#REF!="",M117,#REF!),IF('INHERENT MAP'!$B$5=2024,IF(#REF!="",M117,#REF!),IF('РЕЕСТР РИСКОВ_2023'!Q144="",M117,'РЕЕСТР РИСКОВ_2023'!Q144)))))</f>
        <v xml:space="preserve">Истечение нормативного срока службы узлов и деталей контактной подвески (30-50 лет), со сроком службы свыше 30 лет -8 776,5 км; </v>
      </c>
      <c r="N118" t="str">
        <f>IF('INHERENT MAP'!$B$5=2021,IF('РЕЕСТР РИСКОВ_2023'!R144="",N117,'РЕЕСТР РИСКОВ_2023'!R144),IF('INHERENT MAP'!$B$5=2022,IF(#REF!="",N117,#REF!),IF('INHERENT MAP'!$B$5=2023,IF(#REF!="",N117,#REF!),IF('INHERENT MAP'!$B$5=2024,IF(#REF!="",N117,#REF!),IF('РЕЕСТР РИСКОВ_2023'!R144="",N117,'РЕЕСТР РИСКОВ_2023'!R144)))))</f>
        <v>Истечение нормативного срока службы узлов и деталей контактной подвески (30—50 лет):
со сроком службы свыше 30 лет — 8 776,5 км.
Общая протяженность контактной сети — 12 187 км.</v>
      </c>
      <c r="O118" t="str">
        <f>'РЕЕСТР РИСКОВ_2023'!T144</f>
        <v>Дистанции электроснабжения</v>
      </c>
      <c r="P118" t="e">
        <f>IF('РЕЕСТР РИСКОВ_2023'!U144="",P117,'РЕЕСТР РИСКОВ_2023'!U144)</f>
        <v>#REF!</v>
      </c>
      <c r="Q118" t="str">
        <f>IF('РЕЕСТР РИСКОВ_2023'!V144="",Q117,'РЕЕСТР РИСКОВ_2023'!V144)</f>
        <v>Слабые стороны</v>
      </c>
      <c r="R118" t="str">
        <f>IF('РЕЕСТР РИСКОВ_2023'!W144="",R117,'РЕЕСТР РИСКОВ_2023'!W144)</f>
        <v>Эксплуатация узлов и деталей контактной подвески (30-50 лет), со сроком службы свыше 30 лет (8 776,5 км).
Кол-во случаев НБД за период:
2017 г. — 17 ед.;
2018 г. — 23 ед.;
2019 г. — 41 ед.;
2020 г. — 39 ед..</v>
      </c>
      <c r="S118">
        <f>'РЕЕСТР РИСКОВ_2023'!X144</f>
        <v>0</v>
      </c>
      <c r="T118" s="94">
        <f>IF('INHERENT MAP'!$B$5=2021,'РЕЕСТР РИСКОВ_2023'!Y144,IF('INHERENT MAP'!$B$5=2022,#REF!,IF('INHERENT MAP'!$B$5=2023,#REF!,IF('INHERENT MAP'!$B$5=2024,#REF!,#REF!))))</f>
        <v>0.72015262164601623</v>
      </c>
      <c r="U118">
        <f>IF('INHERENT MAP'!$B$5=2021,'РЕЕСТР РИСКОВ_2023'!Z144,IF('INHERENT MAP'!$B$5=2022,#REF!,IF('INHERENT MAP'!$B$5=2023,#REF!,IF('INHERENT MAP'!$B$5=2024,#REF!,#REF!))))</f>
        <v>-69</v>
      </c>
      <c r="V118">
        <f>IF('INHERENT MAP'!$B$5=2021,'РЕЕСТР РИСКОВ_2023'!AA144,IF('INHERENT MAP'!$B$5=2022,#REF!,IF('INHERENT MAP'!$B$5=2023,#REF!,IF('INHERENT MAP'!$B$5=2024,#REF!,#REF!))))</f>
        <v>-49.690530893575122</v>
      </c>
      <c r="W118" t="str">
        <f>IF('INHERENT MAP'!$B$5=2021,'РЕЕСТР РИСКОВ_2023'!AB144,IF('INHERENT MAP'!$B$5=2022,#REF!,IF('INHERENT MAP'!$B$5=2023,#REF!,IF('INHERENT MAP'!$B$5=2024,#REF!,#REF!))))</f>
        <v>В 2022 г. по причинам отказа в работе устройств электроснабжения допущено 4 случаев НБД, при этом задержано 54 поездов на среднюю итоговую сумму 1,2 млн тг.
Также в 2022 г. допущено повреждение 18 токоприемников на среднюю итоговую сумму 67,8 млн тг.
Итоговый ущерб за задержку поездов и повреждения токоприемников в 2022 г. составил 69 млн тг.
При отказе в работе устройств контактной сети движение поездов на электрифицированном участке будет остановлено до полного востановления контактной сети. Потребность в финансировании для обновления оборудования и устройств контактной сети составляет 109 524 млн тг.</v>
      </c>
      <c r="X118" s="94">
        <f>IF('INHERENT MAP'!$B$5=2021,'РЕЕСТР РИСКОВ_2023'!AC144,IF('INHERENT MAP'!$B$5=2022,#REF!,IF('INHERENT MAP'!$B$5=2023,#REF!,IF('INHERENT MAP'!$B$5=2024,#REF!,#REF!))))</f>
        <v>0</v>
      </c>
      <c r="Y118">
        <f>IF('INHERENT MAP'!$B$5=2021,'РЕЕСТР РИСКОВ_2023'!AD144,IF('INHERENT MAP'!$B$5=2022,#REF!,IF('INHERENT MAP'!$B$5=2023,#REF!,IF('INHERENT MAP'!$B$5=2024,#REF!,#REF!))))</f>
        <v>0</v>
      </c>
      <c r="Z118">
        <f>IF('INHERENT MAP'!$B$5=2021,'РЕЕСТР РИСКОВ_2023'!AE144,IF('INHERENT MAP'!$B$5=2022,#REF!,IF('INHERENT MAP'!$B$5=2023,#REF!,IF('INHERENT MAP'!$B$5=2024,#REF!,#REF!))))</f>
        <v>0</v>
      </c>
      <c r="AA118">
        <f>IF('INHERENT MAP'!$B$5=2021,'РЕЕСТР РИСКОВ_2023'!AF144,IF('INHERENT MAP'!$B$5=2022,#REF!,IF('INHERENT MAP'!$B$5=2023,#REF!,IF('INHERENT MAP'!$B$5=2024,#REF!,#REF!))))</f>
        <v>0</v>
      </c>
      <c r="AB118">
        <f>IF('INHERENT MAP'!$B$5=2021,'РЕЕСТР РИСКОВ_2023'!AG144,IF('INHERENT MAP'!$B$5=2022,#REF!,IF('INHERENT MAP'!$B$5=2023,#REF!,IF('INHERENT MAP'!$B$5=2024,#REF!,#REF!))))</f>
        <v>0</v>
      </c>
      <c r="AC118">
        <f>IF('INHERENT MAP'!$B$5=2021,'РЕЕСТР РИСКОВ_2023'!AH144,IF('INHERENT MAP'!$B$5=2022,#REF!,IF('INHERENT MAP'!$B$5=2023,#REF!,IF('INHERENT MAP'!$B$5=2024,#REF!,#REF!))))</f>
        <v>0</v>
      </c>
      <c r="AD118" t="str">
        <f>IF('INHERENT MAP'!$B$5=2021,'РЕЕСТР РИСКОВ_2023'!AI144,IF('INHERENT MAP'!$B$5=2022,#REF!,IF('INHERENT MAP'!$B$5=2023,#REF!,IF('INHERENT MAP'!$B$5=2024,#REF!,#REF!))))</f>
        <v>Выделение достаточного финансирования для закупа материалов согласно утвержденнных норм расхода.
Выполнение в 2021-2025 гг. рекомендаций, выданных по результатам ежегодного проведения независимой организацией специального обследования опорного хозяйства, деталей и узлов контактной сети, в целях снижения уровня риска:
— арматура (детали контактной сети) — 818,2 млн тг; 
— изоляторы — 1 388,7 млн. тг; 
— провода — 1 260,6 млн тг.
Итого: 3 467,5 млн тг.</v>
      </c>
      <c r="AE118">
        <f>IF('INHERENT MAP'!$B$5=2021,'РЕЕСТР РИСКОВ_2023'!AK144,IF('INHERENT MAP'!$B$5=2022,#REF!,IF('INHERENT MAP'!$B$5=2023,#REF!,IF('INHERENT MAP'!$B$5=2024,#REF!,#REF!))))</f>
        <v>0</v>
      </c>
      <c r="AF118">
        <f>IF('INHERENT MAP'!$B$5=2021,'РЕЕСТР РИСКОВ_2023'!AL144,IF('INHERENT MAP'!$B$5=2022,#REF!,IF('INHERENT MAP'!$B$5=2023,#REF!,IF('INHERENT MAP'!$B$5=2024,#REF!,#REF!))))</f>
        <v>0</v>
      </c>
      <c r="AG118" t="str">
        <f>IF('INHERENT MAP'!$B$5=2021,'РЕЕСТР РИСКОВ_2023'!AM144,IF('INHERENT MAP'!$B$5=2022,#REF!,IF('INHERENT MAP'!$B$5=2023,#REF!,IF('INHERENT MAP'!$B$5=2024,#REF!,#REF!))))</f>
        <v>низкая</v>
      </c>
      <c r="AH118">
        <f>IF('INHERENT MAP'!$B$5=2021,'РЕЕСТР РИСКОВ_2023'!AN144,IF('INHERENT MAP'!$B$5=2022,#REF!,IF('INHERENT MAP'!$B$5=2023,#REF!,IF('INHERENT MAP'!$B$5=2024,#REF!,#REF!))))</f>
        <v>0.72015262164601623</v>
      </c>
      <c r="AI118">
        <f>IF('INHERENT MAP'!$B$5=2021,'РЕЕСТР РИСКОВ_2023'!AO144,IF('INHERENT MAP'!$B$5=2022,#REF!,IF('INHERENT MAP'!$B$5=2023,#REF!,IF('INHERENT MAP'!$B$5=2024,#REF!,#REF!))))</f>
        <v>-69</v>
      </c>
      <c r="AJ118">
        <f>IF('INHERENT MAP'!$B$5=2021,'РЕЕСТР РИСКОВ_2023'!AP144,IF('INHERENT MAP'!$B$5=2022,#REF!,IF('INHERENT MAP'!$B$5=2023,#REF!,IF('INHERENT MAP'!$B$5=2024,#REF!,#REF!))))</f>
        <v>-49.690530893575122</v>
      </c>
      <c r="AK118">
        <f>IF('РЕЕСТР РИСКОВ_2023'!AQ144="",AK117,'РЕЕСТР РИСКОВ_2023'!AQ144)</f>
        <v>-49.690530893575122</v>
      </c>
      <c r="AL118">
        <f>IF('РЕЕСТР РИСКОВ_2023'!AR144="",AL117,'РЕЕСТР РИСКОВ_2023'!AR144)</f>
        <v>8.3145837273494741E-2</v>
      </c>
      <c r="AM118">
        <f>IF('РЕЕСТР РИСКОВ_2023'!AS144="",AM117,'РЕЕСТР РИСКОВ_2023'!AS144)</f>
        <v>-7444.5336908148165</v>
      </c>
      <c r="AN118">
        <f>IF('РЕЕСТР РИСКОВ_2023'!AT144="",AN117,'РЕЕСТР РИСКОВ_2023'!AT144)</f>
        <v>-4187.696824450165</v>
      </c>
      <c r="AO118" t="e">
        <f>IF('РЕЕСТР РИСКОВ_2023'!AU144="",AO117,'РЕЕСТР РИСКОВ_2023'!AU144)</f>
        <v>#REF!</v>
      </c>
    </row>
    <row r="119" spans="2:41">
      <c r="B119" t="str">
        <f>IF('INHERENT MAP'!$B$5=2021,IF('РЕЕСТР РИСКОВ_2023'!F145="",B118,'РЕЕСТР РИСКОВ_2023'!F145),IF('INHERENT MAP'!$B$5=2022,IF(#REF!="",B118,#REF!),IF('INHERENT MAP'!$B$5=2023,IF(#REF!="",B118,#REF!),IF('INHERENT MAP'!$B$5=2024,IF(#REF!="",B118,#REF!),IF('РЕЕСТР РИСКОВ_2023'!F145="",B118,'РЕЕСТР РИСКОВ_2023'!F145)))))</f>
        <v>ИНФРАСТРУКТУРНЫЙ РИСК</v>
      </c>
      <c r="C119" t="e">
        <f>IF('INHERENT MAP'!$B$5=2021,IF('РЕЕСТР РИСКОВ_2023'!G145="",C118,'РЕЕСТР РИСКОВ_2023'!G145),IF('INHERENT MAP'!$B$5=2022,IF(#REF!="",C118,#REF!),IF('INHERENT MAP'!$B$5=2023,IF(#REF!="",C118,#REF!),IF('INHERENT MAP'!$B$5=2024,IF(#REF!="",C118,#REF!),IF('РЕЕСТР РИСКОВ_2023'!G145="",C118,'РЕЕСТР РИСКОВ_2023'!G145)))))</f>
        <v>#REF!</v>
      </c>
      <c r="D119" t="str">
        <f>IF('INHERENT MAP'!$B$5=2021,IF('РЕЕСТР РИСКОВ_2023'!H145="",D118,'РЕЕСТР РИСКОВ_2023'!H145),IF('INHERENT MAP'!$B$5=2022,IF(#REF!="",D118,#REF!),IF('INHERENT MAP'!$B$5=2023,IF(#REF!="",D118,#REF!),IF('INHERENT MAP'!$B$5=2024,IF(#REF!="",D118,#REF!),IF('РЕЕСТР РИСКОВ_2023'!H145="",D118,'РЕЕСТР РИСКОВ_2023'!H145)))))</f>
        <v>IR-6</v>
      </c>
      <c r="E119" t="str">
        <f>IF('INHERENT MAP'!$B$5=2021,IF('РЕЕСТР РИСКОВ_2023'!I145="",E118,'РЕЕСТР РИСКОВ_2023'!I145),IF('INHERENT MAP'!$B$5=2022,IF(#REF!="",E118,#REF!),IF('INHERENT MAP'!$B$5=2023,IF(#REF!="",E118,#REF!),IF('INHERENT MAP'!$B$5=2024,IF(#REF!="",E118,#REF!),IF('РЕЕСТР РИСКОВ_2023'!I145="",E118,'РЕЕСТР РИСКОВ_2023'!I145)))))</f>
        <v xml:space="preserve">ЦЗ-1, ЦЗИ
</v>
      </c>
      <c r="F119" t="str">
        <f>IF('INHERENT MAP'!$B$5=2021,IF('РЕЕСТР РИСКОВ_2023'!J145="",F118,'РЕЕСТР РИСКОВ_2023'!J145),IF('INHERENT MAP'!$B$5=2022,IF(#REF!="",F118,#REF!),IF('INHERENT MAP'!$B$5=2023,IF(#REF!="",F118,#REF!),IF('INHERENT MAP'!$B$5=2024,IF(#REF!="",F118,#REF!),IF('РЕЕСТР РИСКОВ_2023'!J145="",F118,'РЕЕСТР РИСКОВ_2023'!J145)))))</f>
        <v>Дирекция магистральной сети</v>
      </c>
      <c r="G119" t="str">
        <f>IF('INHERENT MAP'!$B$5=2021,IF('РЕЕСТР РИСКОВ_2023'!K145="",G118,'РЕЕСТР РИСКОВ_2023'!K145),IF('INHERENT MAP'!$B$5=2022,IF(#REF!="",G118,#REF!),IF('INHERENT MAP'!$B$5=2023,IF(#REF!="",G118,#REF!),IF('INHERENT MAP'!$B$5=2024,IF(#REF!="",G118,#REF!),IF('РЕЕСТР РИСКОВ_2023'!K145="",G118,'РЕЕСТР РИСКОВ_2023'!K145)))))</f>
        <v>Нарушение нормальной работы технических средств</v>
      </c>
      <c r="H119">
        <f>IF('INHERENT MAP'!$B$5=2021,'РЕЕСТР РИСКОВ_2023'!L145,IF('INHERENT MAP'!$B$5=2022,#REF!,IF('INHERENT MAP'!$B$5=2023,#REF!,IF('INHERENT MAP'!$B$5=2024,#REF!,#REF!))))</f>
        <v>0</v>
      </c>
      <c r="I119">
        <f>IF('INHERENT MAP'!$B$5=2021,'РЕЕСТР РИСКОВ_2023'!M145,IF('INHERENT MAP'!$B$5=2022,#REF!,IF('INHERENT MAP'!$B$5=2023,#REF!,IF('INHERENT MAP'!$B$5=2024,#REF!,#REF!))))</f>
        <v>0</v>
      </c>
      <c r="J119">
        <f>IF('INHERENT MAP'!$B$5=2021,'РЕЕСТР РИСКОВ_2023'!N145,IF('INHERENT MAP'!$B$5=2022,#REF!,IF('INHERENT MAP'!$B$5=2023,#REF!,IF('INHERENT MAP'!$B$5=2024,#REF!,#REF!))))</f>
        <v>0</v>
      </c>
      <c r="K119">
        <f>IF('INHERENT MAP'!$B$5=2021,'РЕЕСТР РИСКОВ_2023'!O145,IF('INHERENT MAP'!$B$5=2022,#REF!,IF('INHERENT MAP'!$B$5=2023,#REF!,IF('INHERENT MAP'!$B$5=2024,#REF!,#REF!))))</f>
        <v>0</v>
      </c>
      <c r="L119">
        <f>IF('INHERENT MAP'!$B$5=2021,'РЕЕСТР РИСКОВ_2023'!P145,IF('INHERENT MAP'!$B$5=2022,#REF!,IF('INHERENT MAP'!$B$5=2023,#REF!,IF('INHERENT MAP'!$B$5=2024,#REF!,#REF!))))</f>
        <v>0</v>
      </c>
      <c r="M119" t="str">
        <f>IF('INHERENT MAP'!$B$5=2021,IF('РЕЕСТР РИСКОВ_2023'!Q145="",M118,'РЕЕСТР РИСКОВ_2023'!Q145),IF('INHERENT MAP'!$B$5=2022,IF(#REF!="",M118,#REF!),IF('INHERENT MAP'!$B$5=2023,IF(#REF!="",M118,#REF!),IF('INHERENT MAP'!$B$5=2024,IF(#REF!="",M118,#REF!),IF('РЕЕСТР РИСКОВ_2023'!Q145="",M118,'РЕЕСТР РИСКОВ_2023'!Q145)))))</f>
        <v>Старение устройств ЖАТС.</v>
      </c>
      <c r="N119" t="str">
        <f>IF('INHERENT MAP'!$B$5=2021,IF('РЕЕСТР РИСКОВ_2023'!R145="",N118,'РЕЕСТР РИСКОВ_2023'!R145),IF('INHERENT MAP'!$B$5=2022,IF(#REF!="",N118,#REF!),IF('INHERENT MAP'!$B$5=2023,IF(#REF!="",N118,#REF!),IF('INHERENT MAP'!$B$5=2024,IF(#REF!="",N118,#REF!),IF('РЕЕСТР РИСКОВ_2023'!R145="",N118,'РЕЕСТР РИСКОВ_2023'!R145)))))</f>
        <v>1. Дефицит денежных средств на текущее содержание и обновление устройств;
2. Прекращение выпуска оборудования заводами-изготовителями;
3. Отсутствие современных аналогов необходимых для замены невыпускаемых, или их дороговизна;
4. Истечение нормативного срока службы устройств ЖАТС (35 лет).</v>
      </c>
      <c r="O119">
        <f>'РЕЕСТР РИСКОВ_2023'!T145</f>
        <v>0</v>
      </c>
      <c r="P119" t="e">
        <f>IF('РЕЕСТР РИСКОВ_2023'!U145="",P118,'РЕЕСТР РИСКОВ_2023'!U145)</f>
        <v>#REF!</v>
      </c>
      <c r="Q119" t="str">
        <f>IF('РЕЕСТР РИСКОВ_2023'!V145="",Q118,'РЕЕСТР РИСКОВ_2023'!V145)</f>
        <v>Слабые стороны</v>
      </c>
      <c r="R119" t="str">
        <f>IF('РЕЕСТР РИСКОВ_2023'!W145="",R118,'РЕЕСТР РИСКОВ_2023'!W145)</f>
        <v>Истечение нормативного срока службы устройств  ЖАТС (более 35лет);</v>
      </c>
      <c r="S119">
        <f>'РЕЕСТР РИСКОВ_2023'!X145</f>
        <v>0</v>
      </c>
      <c r="T119" s="94">
        <f>IF('INHERENT MAP'!$B$5=2021,'РЕЕСТР РИСКОВ_2023'!Y145,IF('INHERENT MAP'!$B$5=2022,#REF!,IF('INHERENT MAP'!$B$5=2023,#REF!,IF('INHERENT MAP'!$B$5=2024,#REF!,#REF!))))</f>
        <v>0.4</v>
      </c>
      <c r="U119">
        <f>IF('INHERENT MAP'!$B$5=2021,'РЕЕСТР РИСКОВ_2023'!Z145,IF('INHERENT MAP'!$B$5=2022,#REF!,IF('INHERENT MAP'!$B$5=2023,#REF!,IF('INHERENT MAP'!$B$5=2024,#REF!,#REF!))))</f>
        <v>-4</v>
      </c>
      <c r="V119">
        <f>IF('INHERENT MAP'!$B$5=2021,'РЕЕСТР РИСКОВ_2023'!AA145,IF('INHERENT MAP'!$B$5=2022,#REF!,IF('INHERENT MAP'!$B$5=2023,#REF!,IF('INHERENT MAP'!$B$5=2024,#REF!,#REF!))))</f>
        <v>-1.6</v>
      </c>
      <c r="W119" t="str">
        <f>IF('INHERENT MAP'!$B$5=2021,'РЕЕСТР РИСКОВ_2023'!AB145,IF('INHERENT MAP'!$B$5=2022,#REF!,IF('INHERENT MAP'!$B$5=2023,#REF!,IF('INHERENT MAP'!$B$5=2024,#REF!,#REF!))))</f>
        <v xml:space="preserve">Вероятность риска при невыделении необходимого бюджета на обновление устройств ЖАТС при плане на 2022 г.:
— по инвестиционному бюджету на модернизацию устройств ЖАТC 5 000,0 млн тг;
— по эксплуатационному бюджету 4 000,0 млн тг.
Таким образом ущерб за 10 месяцев 2022 г составил: задержано 957 поездов на 627.8 часа на сумму 18 315 709 млн тг. </v>
      </c>
      <c r="X119" s="94">
        <f>IF('INHERENT MAP'!$B$5=2021,'РЕЕСТР РИСКОВ_2023'!AC145,IF('INHERENT MAP'!$B$5=2022,#REF!,IF('INHERENT MAP'!$B$5=2023,#REF!,IF('INHERENT MAP'!$B$5=2024,#REF!,#REF!))))</f>
        <v>0</v>
      </c>
      <c r="Y119">
        <f>IF('INHERENT MAP'!$B$5=2021,'РЕЕСТР РИСКОВ_2023'!AD145,IF('INHERENT MAP'!$B$5=2022,#REF!,IF('INHERENT MAP'!$B$5=2023,#REF!,IF('INHERENT MAP'!$B$5=2024,#REF!,#REF!))))</f>
        <v>0</v>
      </c>
      <c r="Z119">
        <f>IF('INHERENT MAP'!$B$5=2021,'РЕЕСТР РИСКОВ_2023'!AE145,IF('INHERENT MAP'!$B$5=2022,#REF!,IF('INHERENT MAP'!$B$5=2023,#REF!,IF('INHERENT MAP'!$B$5=2024,#REF!,#REF!))))</f>
        <v>0</v>
      </c>
      <c r="AA119">
        <f>IF('INHERENT MAP'!$B$5=2021,'РЕЕСТР РИСКОВ_2023'!AF145,IF('INHERENT MAP'!$B$5=2022,#REF!,IF('INHERENT MAP'!$B$5=2023,#REF!,IF('INHERENT MAP'!$B$5=2024,#REF!,#REF!))))</f>
        <v>0</v>
      </c>
      <c r="AB119">
        <f>IF('INHERENT MAP'!$B$5=2021,'РЕЕСТР РИСКОВ_2023'!AG145,IF('INHERENT MAP'!$B$5=2022,#REF!,IF('INHERENT MAP'!$B$5=2023,#REF!,IF('INHERENT MAP'!$B$5=2024,#REF!,#REF!))))</f>
        <v>0</v>
      </c>
      <c r="AC119">
        <f>IF('INHERENT MAP'!$B$5=2021,'РЕЕСТР РИСКОВ_2023'!AH145,IF('INHERENT MAP'!$B$5=2022,#REF!,IF('INHERENT MAP'!$B$5=2023,#REF!,IF('INHERENT MAP'!$B$5=2024,#REF!,#REF!))))</f>
        <v>0</v>
      </c>
      <c r="AD119" t="str">
        <f>IF('INHERENT MAP'!$B$5=2021,'РЕЕСТР РИСКОВ_2023'!AI145,IF('INHERENT MAP'!$B$5=2022,#REF!,IF('INHERENT MAP'!$B$5=2023,#REF!,IF('INHERENT MAP'!$B$5=2024,#REF!,#REF!))))</f>
        <v>1. Анализ технического состояния устройств с составлением потребности в обновлении.
2. Разработка производственных программ по обновлению устройств в соответствии с Технической политикой ЦШ, ЦЖС.
3. Корректировка плана закупа с учетом производственных программ.
4. Обоснование потребности в дополнительных денежных средствах в соответствии с производственными программами.
5. Вынесение вопросов на рассмотрение Руководства Компании.
6. Принятие решения о выделении дополнительных денежных средств.
7. Поиск альтернативных решений по замене не выпускаемого оборудования на современные аналоги (замена реле НР на НМШ, прожекторных светофоров на светодиодные системы и т. п.).
8. Эксплуатационные испытания, внедрение современного оборудования;
Для полной модернизации устройств ЖАТC требуется 382 000 млн тг.</v>
      </c>
      <c r="AE119">
        <f>IF('INHERENT MAP'!$B$5=2021,'РЕЕСТР РИСКОВ_2023'!AK145,IF('INHERENT MAP'!$B$5=2022,#REF!,IF('INHERENT MAP'!$B$5=2023,#REF!,IF('INHERENT MAP'!$B$5=2024,#REF!,#REF!))))</f>
        <v>0</v>
      </c>
      <c r="AF119">
        <f>IF('INHERENT MAP'!$B$5=2021,'РЕЕСТР РИСКОВ_2023'!AL145,IF('INHERENT MAP'!$B$5=2022,#REF!,IF('INHERENT MAP'!$B$5=2023,#REF!,IF('INHERENT MAP'!$B$5=2024,#REF!,#REF!))))</f>
        <v>0</v>
      </c>
      <c r="AG119" t="str">
        <f>IF('INHERENT MAP'!$B$5=2021,'РЕЕСТР РИСКОВ_2023'!AM145,IF('INHERENT MAP'!$B$5=2022,#REF!,IF('INHERENT MAP'!$B$5=2023,#REF!,IF('INHERENT MAP'!$B$5=2024,#REF!,#REF!))))</f>
        <v>средняя</v>
      </c>
      <c r="AH119">
        <f>IF('INHERENT MAP'!$B$5=2021,'РЕЕСТР РИСКОВ_2023'!AN145,IF('INHERENT MAP'!$B$5=2022,#REF!,IF('INHERENT MAP'!$B$5=2023,#REF!,IF('INHERENT MAP'!$B$5=2024,#REF!,#REF!))))</f>
        <v>0.2</v>
      </c>
      <c r="AI119">
        <f>IF('INHERENT MAP'!$B$5=2021,'РЕЕСТР РИСКОВ_2023'!AO145,IF('INHERENT MAP'!$B$5=2022,#REF!,IF('INHERENT MAP'!$B$5=2023,#REF!,IF('INHERENT MAP'!$B$5=2024,#REF!,#REF!))))</f>
        <v>-2</v>
      </c>
      <c r="AJ119">
        <f>IF('INHERENT MAP'!$B$5=2021,'РЕЕСТР РИСКОВ_2023'!AP145,IF('INHERENT MAP'!$B$5=2022,#REF!,IF('INHERENT MAP'!$B$5=2023,#REF!,IF('INHERENT MAP'!$B$5=2024,#REF!,#REF!))))</f>
        <v>-0.4</v>
      </c>
      <c r="AK119">
        <f>IF('РЕЕСТР РИСКОВ_2023'!AQ145="",AK118,'РЕЕСТР РИСКОВ_2023'!AQ145)</f>
        <v>-0.8</v>
      </c>
      <c r="AL119">
        <f>IF('РЕЕСТР РИСКОВ_2023'!AR145="",AL118,'РЕЕСТР РИСКОВ_2023'!AR145)</f>
        <v>8.3145837273494741E-2</v>
      </c>
      <c r="AM119">
        <f>IF('РЕЕСТР РИСКОВ_2023'!AS145="",AM118,'РЕЕСТР РИСКОВ_2023'!AS145)</f>
        <v>-7444.5336908148165</v>
      </c>
      <c r="AN119">
        <f>IF('РЕЕСТР РИСКОВ_2023'!AT145="",AN118,'РЕЕСТР РИСКОВ_2023'!AT145)</f>
        <v>-4187.696824450165</v>
      </c>
      <c r="AO119" t="e">
        <f>IF('РЕЕСТР РИСКОВ_2023'!AU145="",AO118,'РЕЕСТР РИСКОВ_2023'!AU145)</f>
        <v>#REF!</v>
      </c>
    </row>
    <row r="120" spans="2:41">
      <c r="B120" t="str">
        <f>IF('INHERENT MAP'!$B$5=2021,IF('РЕЕСТР РИСКОВ_2023'!F146="",B119,'РЕЕСТР РИСКОВ_2023'!F146),IF('INHERENT MAP'!$B$5=2022,IF(#REF!="",B119,#REF!),IF('INHERENT MAP'!$B$5=2023,IF(#REF!="",B119,#REF!),IF('INHERENT MAP'!$B$5=2024,IF(#REF!="",B119,#REF!),IF('РЕЕСТР РИСКОВ_2023'!F146="",B119,'РЕЕСТР РИСКОВ_2023'!F146)))))</f>
        <v>ИНФРАСТРУКТУРНЫЙ РИСК</v>
      </c>
      <c r="C120" t="e">
        <f>IF('INHERENT MAP'!$B$5=2021,IF('РЕЕСТР РИСКОВ_2023'!G146="",C119,'РЕЕСТР РИСКОВ_2023'!G146),IF('INHERENT MAP'!$B$5=2022,IF(#REF!="",C119,#REF!),IF('INHERENT MAP'!$B$5=2023,IF(#REF!="",C119,#REF!),IF('INHERENT MAP'!$B$5=2024,IF(#REF!="",C119,#REF!),IF('РЕЕСТР РИСКОВ_2023'!G146="",C119,'РЕЕСТР РИСКОВ_2023'!G146)))))</f>
        <v>#REF!</v>
      </c>
      <c r="D120" t="str">
        <f>IF('INHERENT MAP'!$B$5=2021,IF('РЕЕСТР РИСКОВ_2023'!H146="",D119,'РЕЕСТР РИСКОВ_2023'!H146),IF('INHERENT MAP'!$B$5=2022,IF(#REF!="",D119,#REF!),IF('INHERENT MAP'!$B$5=2023,IF(#REF!="",D119,#REF!),IF('INHERENT MAP'!$B$5=2024,IF(#REF!="",D119,#REF!),IF('РЕЕСТР РИСКОВ_2023'!H146="",D119,'РЕЕСТР РИСКОВ_2023'!H146)))))</f>
        <v>IR-6</v>
      </c>
      <c r="E120" t="str">
        <f>IF('INHERENT MAP'!$B$5=2021,IF('РЕЕСТР РИСКОВ_2023'!I146="",E119,'РЕЕСТР РИСКОВ_2023'!I146),IF('INHERENT MAP'!$B$5=2022,IF(#REF!="",E119,#REF!),IF('INHERENT MAP'!$B$5=2023,IF(#REF!="",E119,#REF!),IF('INHERENT MAP'!$B$5=2024,IF(#REF!="",E119,#REF!),IF('РЕЕСТР РИСКОВ_2023'!I146="",E119,'РЕЕСТР РИСКОВ_2023'!I146)))))</f>
        <v xml:space="preserve">ЦЗ-1, ЦЗИ
</v>
      </c>
      <c r="F120" t="str">
        <f>IF('INHERENT MAP'!$B$5=2021,IF('РЕЕСТР РИСКОВ_2023'!J146="",F119,'РЕЕСТР РИСКОВ_2023'!J146),IF('INHERENT MAP'!$B$5=2022,IF(#REF!="",F119,#REF!),IF('INHERENT MAP'!$B$5=2023,IF(#REF!="",F119,#REF!),IF('INHERENT MAP'!$B$5=2024,IF(#REF!="",F119,#REF!),IF('РЕЕСТР РИСКОВ_2023'!J146="",F119,'РЕЕСТР РИСКОВ_2023'!J146)))))</f>
        <v>Дирекция магистральной сети</v>
      </c>
      <c r="G120" t="str">
        <f>IF('INHERENT MAP'!$B$5=2021,IF('РЕЕСТР РИСКОВ_2023'!K146="",G119,'РЕЕСТР РИСКОВ_2023'!K146),IF('INHERENT MAP'!$B$5=2022,IF(#REF!="",G119,#REF!),IF('INHERENT MAP'!$B$5=2023,IF(#REF!="",G119,#REF!),IF('INHERENT MAP'!$B$5=2024,IF(#REF!="",G119,#REF!),IF('РЕЕСТР РИСКОВ_2023'!K146="",G119,'РЕЕСТР РИСКОВ_2023'!K146)))))</f>
        <v>Нарушение нормальной работы технических средств</v>
      </c>
      <c r="H120">
        <f>IF('INHERENT MAP'!$B$5=2021,'РЕЕСТР РИСКОВ_2023'!L146,IF('INHERENT MAP'!$B$5=2022,#REF!,IF('INHERENT MAP'!$B$5=2023,#REF!,IF('INHERENT MAP'!$B$5=2024,#REF!,#REF!))))</f>
        <v>0</v>
      </c>
      <c r="I120">
        <f>IF('INHERENT MAP'!$B$5=2021,'РЕЕСТР РИСКОВ_2023'!M146,IF('INHERENT MAP'!$B$5=2022,#REF!,IF('INHERENT MAP'!$B$5=2023,#REF!,IF('INHERENT MAP'!$B$5=2024,#REF!,#REF!))))</f>
        <v>0</v>
      </c>
      <c r="J120">
        <f>IF('INHERENT MAP'!$B$5=2021,'РЕЕСТР РИСКОВ_2023'!N146,IF('INHERENT MAP'!$B$5=2022,#REF!,IF('INHERENT MAP'!$B$5=2023,#REF!,IF('INHERENT MAP'!$B$5=2024,#REF!,#REF!))))</f>
        <v>0</v>
      </c>
      <c r="K120">
        <f>IF('INHERENT MAP'!$B$5=2021,'РЕЕСТР РИСКОВ_2023'!O146,IF('INHERENT MAP'!$B$5=2022,#REF!,IF('INHERENT MAP'!$B$5=2023,#REF!,IF('INHERENT MAP'!$B$5=2024,#REF!,#REF!))))</f>
        <v>0</v>
      </c>
      <c r="L120">
        <f>IF('INHERENT MAP'!$B$5=2021,'РЕЕСТР РИСКОВ_2023'!P146,IF('INHERENT MAP'!$B$5=2022,#REF!,IF('INHERENT MAP'!$B$5=2023,#REF!,IF('INHERENT MAP'!$B$5=2024,#REF!,#REF!))))</f>
        <v>0</v>
      </c>
      <c r="M120" t="str">
        <f>IF('INHERENT MAP'!$B$5=2021,IF('РЕЕСТР РИСКОВ_2023'!Q146="",M119,'РЕЕСТР РИСКОВ_2023'!Q146),IF('INHERENT MAP'!$B$5=2022,IF(#REF!="",M119,#REF!),IF('INHERENT MAP'!$B$5=2023,IF(#REF!="",M119,#REF!),IF('INHERENT MAP'!$B$5=2024,IF(#REF!="",M119,#REF!),IF('РЕЕСТР РИСКОВ_2023'!Q146="",M119,'РЕЕСТР РИСКОВ_2023'!Q146)))))</f>
        <v>1. Нарушение норм содержания устройств;
2. Нарушение ППР, некачественное выполнение ГТП</v>
      </c>
      <c r="N120" t="str">
        <f>IF('INHERENT MAP'!$B$5=2021,IF('РЕЕСТР РИСКОВ_2023'!R146="",N119,'РЕЕСТР РИСКОВ_2023'!R146),IF('INHERENT MAP'!$B$5=2022,IF(#REF!="",N119,#REF!),IF('INHERENT MAP'!$B$5=2023,IF(#REF!="",N119,#REF!),IF('INHERENT MAP'!$B$5=2024,IF(#REF!="",N119,#REF!),IF('РЕЕСТР РИСКОВ_2023'!R146="",N119,'РЕЕСТР РИСКОВ_2023'!R146)))))</f>
        <v>1. Недостаточная квалификация обслуживающего персонала;
2. Отсутствие автотранспорта, ССПС, инструментов, измерительных приборов, запасных частей;
3. Несвоевременное предоставление технологических окон особенно на поездонапряженных участках, станциях с большой маневровой работой;
4. Отсутствие контроля руководителями среднего звена, руководителями дистанций, Департамента;
5. Отсутствие нормативно-технической документации (при наличии методик отсутствует технологический процесс на данный вид работ, либо техкарты в ШЧ).
6. Неукомплектованность штатом;
7. Недостаточная квалификация обслуживающего персонала;
8. Неправильная транспортировка приборов;
9. Отсутствие инструментов, измерительных приборов, запасных частей, смазывающих материалов;
10. Отвлечение эксплуатационного штата от основной деятельности.</v>
      </c>
      <c r="O120">
        <f>'РЕЕСТР РИСКОВ_2023'!T146</f>
        <v>0</v>
      </c>
      <c r="P120" t="e">
        <f>IF('РЕЕСТР РИСКОВ_2023'!U146="",P119,'РЕЕСТР РИСКОВ_2023'!U146)</f>
        <v>#REF!</v>
      </c>
      <c r="Q120" t="str">
        <f>IF('РЕЕСТР РИСКОВ_2023'!V146="",Q119,'РЕЕСТР РИСКОВ_2023'!V146)</f>
        <v>Слабые стороны</v>
      </c>
      <c r="R120" t="str">
        <f>IF('РЕЕСТР РИСКОВ_2023'!W146="",R119,'РЕЕСТР РИСКОВ_2023'!W146)</f>
        <v>Доля устройств ЖАТС с истекшим сроком службы по отношению к общему количеству эксплуатируемых устройств ЖАТС.</v>
      </c>
      <c r="S120">
        <f>'РЕЕСТР РИСКОВ_2023'!X146</f>
        <v>0</v>
      </c>
      <c r="T120" s="94">
        <f>IF('INHERENT MAP'!$B$5=2021,'РЕЕСТР РИСКОВ_2023'!Y146,IF('INHERENT MAP'!$B$5=2022,#REF!,IF('INHERENT MAP'!$B$5=2023,#REF!,IF('INHERENT MAP'!$B$5=2024,#REF!,#REF!))))</f>
        <v>0.4</v>
      </c>
      <c r="U120">
        <f>IF('INHERENT MAP'!$B$5=2021,'РЕЕСТР РИСКОВ_2023'!Z146,IF('INHERENT MAP'!$B$5=2022,#REF!,IF('INHERENT MAP'!$B$5=2023,#REF!,IF('INHERENT MAP'!$B$5=2024,#REF!,#REF!))))</f>
        <v>-4.3479999999999999</v>
      </c>
      <c r="V120">
        <f>IF('INHERENT MAP'!$B$5=2021,'РЕЕСТР РИСКОВ_2023'!AA146,IF('INHERENT MAP'!$B$5=2022,#REF!,IF('INHERENT MAP'!$B$5=2023,#REF!,IF('INHERENT MAP'!$B$5=2024,#REF!,#REF!))))</f>
        <v>-1.7392000000000001</v>
      </c>
      <c r="W120" t="str">
        <f>IF('INHERENT MAP'!$B$5=2021,'РЕЕСТР РИСКОВ_2023'!AB146,IF('INHERENT MAP'!$B$5=2022,#REF!,IF('INHERENT MAP'!$B$5=2023,#REF!,IF('INHERENT MAP'!$B$5=2024,#REF!,#REF!))))</f>
        <v>Ущерб от общей суммы задержки поездов составило 25 % или 3 млн тг.</v>
      </c>
      <c r="X120" s="94">
        <f>IF('INHERENT MAP'!$B$5=2021,'РЕЕСТР РИСКОВ_2023'!AC146,IF('INHERENT MAP'!$B$5=2022,#REF!,IF('INHERENT MAP'!$B$5=2023,#REF!,IF('INHERENT MAP'!$B$5=2024,#REF!,#REF!))))</f>
        <v>0</v>
      </c>
      <c r="Y120">
        <f>IF('INHERENT MAP'!$B$5=2021,'РЕЕСТР РИСКОВ_2023'!AD146,IF('INHERENT MAP'!$B$5=2022,#REF!,IF('INHERENT MAP'!$B$5=2023,#REF!,IF('INHERENT MAP'!$B$5=2024,#REF!,#REF!))))</f>
        <v>0</v>
      </c>
      <c r="Z120">
        <f>IF('INHERENT MAP'!$B$5=2021,'РЕЕСТР РИСКОВ_2023'!AE146,IF('INHERENT MAP'!$B$5=2022,#REF!,IF('INHERENT MAP'!$B$5=2023,#REF!,IF('INHERENT MAP'!$B$5=2024,#REF!,#REF!))))</f>
        <v>0</v>
      </c>
      <c r="AA120">
        <f>IF('INHERENT MAP'!$B$5=2021,'РЕЕСТР РИСКОВ_2023'!AF146,IF('INHERENT MAP'!$B$5=2022,#REF!,IF('INHERENT MAP'!$B$5=2023,#REF!,IF('INHERENT MAP'!$B$5=2024,#REF!,#REF!))))</f>
        <v>0</v>
      </c>
      <c r="AB120">
        <f>IF('INHERENT MAP'!$B$5=2021,'РЕЕСТР РИСКОВ_2023'!AG146,IF('INHERENT MAP'!$B$5=2022,#REF!,IF('INHERENT MAP'!$B$5=2023,#REF!,IF('INHERENT MAP'!$B$5=2024,#REF!,#REF!))))</f>
        <v>0</v>
      </c>
      <c r="AC120">
        <f>IF('INHERENT MAP'!$B$5=2021,'РЕЕСТР РИСКОВ_2023'!AH146,IF('INHERENT MAP'!$B$5=2022,#REF!,IF('INHERENT MAP'!$B$5=2023,#REF!,IF('INHERENT MAP'!$B$5=2024,#REF!,#REF!))))</f>
        <v>0</v>
      </c>
      <c r="AD120" t="str">
        <f>IF('INHERENT MAP'!$B$5=2021,'РЕЕСТР РИСКОВ_2023'!AI146,IF('INHERENT MAP'!$B$5=2022,#REF!,IF('INHERENT MAP'!$B$5=2023,#REF!,IF('INHERENT MAP'!$B$5=2024,#REF!,#REF!))))</f>
        <v>1. Анализ отказов устройств из-за нарушения ППР, некачественного выполнения ГТП с определением коренных причин;
2. Обучение эксплуатационного штата с отрывом (дор. тех. школы, ЦТТ, учебный центр ст. Сороковая) и без отрыва от производства (проведение инструктажей, технические занятия, показательные окна в ШЧ);
3. Периодическая аттестация и проверка знаний эксплуатационного штата;
4. Включение в бюджет проектов по закупку автотранспорта, ССПС, инструментов, измерительных приборов, запасных частей, запасных частей. ;
5. Выделение дополнительного штата на сезонные работы (летне-путевые работы);
6. Включение в смету капитального ремонта пути выполнение подрядными организациями работ по выносу кабеля, отключению и замене дроссельных перемычек;
7. Составление ежемесячного плана-графика проведения технологических «окон», согласованного НЖС, утвержденного НОД;
8. Осуществление проверок согласно нормативов по обеспечению безопасности руководителей среднего звена, руководителей ШЧ, ЦШ;
9. Организация технических аудитов;
10. Актуализация, разработка и тиражирование НТД (разработка технологических карт, процессов на данный вид работ);
11. Приведение штата к расчету норматива численности;
12. Изготовление специальных ящиков для транспортировки приборов; 
13. Оборудование автомашин стеллажами для приборов.</v>
      </c>
      <c r="AE120">
        <f>IF('INHERENT MAP'!$B$5=2021,'РЕЕСТР РИСКОВ_2023'!AK146,IF('INHERENT MAP'!$B$5=2022,#REF!,IF('INHERENT MAP'!$B$5=2023,#REF!,IF('INHERENT MAP'!$B$5=2024,#REF!,#REF!))))</f>
        <v>0</v>
      </c>
      <c r="AF120">
        <f>IF('INHERENT MAP'!$B$5=2021,'РЕЕСТР РИСКОВ_2023'!AL146,IF('INHERENT MAP'!$B$5=2022,#REF!,IF('INHERENT MAP'!$B$5=2023,#REF!,IF('INHERENT MAP'!$B$5=2024,#REF!,#REF!))))</f>
        <v>0</v>
      </c>
      <c r="AG120" t="str">
        <f>IF('INHERENT MAP'!$B$5=2021,'РЕЕСТР РИСКОВ_2023'!AM146,IF('INHERENT MAP'!$B$5=2022,#REF!,IF('INHERENT MAP'!$B$5=2023,#REF!,IF('INHERENT MAP'!$B$5=2024,#REF!,#REF!))))</f>
        <v>низкая</v>
      </c>
      <c r="AH120">
        <f>IF('INHERENT MAP'!$B$5=2021,'РЕЕСТР РИСКОВ_2023'!AN146,IF('INHERENT MAP'!$B$5=2022,#REF!,IF('INHERENT MAP'!$B$5=2023,#REF!,IF('INHERENT MAP'!$B$5=2024,#REF!,#REF!))))</f>
        <v>0.4</v>
      </c>
      <c r="AI120">
        <f>IF('INHERENT MAP'!$B$5=2021,'РЕЕСТР РИСКОВ_2023'!AO146,IF('INHERENT MAP'!$B$5=2022,#REF!,IF('INHERENT MAP'!$B$5=2023,#REF!,IF('INHERENT MAP'!$B$5=2024,#REF!,#REF!))))</f>
        <v>-4.3479999999999999</v>
      </c>
      <c r="AJ120">
        <f>IF('INHERENT MAP'!$B$5=2021,'РЕЕСТР РИСКОВ_2023'!AP146,IF('INHERENT MAP'!$B$5=2022,#REF!,IF('INHERENT MAP'!$B$5=2023,#REF!,IF('INHERENT MAP'!$B$5=2024,#REF!,#REF!))))</f>
        <v>-1.7392000000000001</v>
      </c>
      <c r="AK120">
        <f>IF('РЕЕСТР РИСКОВ_2023'!AQ146="",AK119,'РЕЕСТР РИСКОВ_2023'!AQ146)</f>
        <v>-1.7392000000000001</v>
      </c>
      <c r="AL120">
        <f>IF('РЕЕСТР РИСКОВ_2023'!AR146="",AL119,'РЕЕСТР РИСКОВ_2023'!AR146)</f>
        <v>8.3145837273494741E-2</v>
      </c>
      <c r="AM120">
        <f>IF('РЕЕСТР РИСКОВ_2023'!AS146="",AM119,'РЕЕСТР РИСКОВ_2023'!AS146)</f>
        <v>-7444.5336908148165</v>
      </c>
      <c r="AN120">
        <f>IF('РЕЕСТР РИСКОВ_2023'!AT146="",AN119,'РЕЕСТР РИСКОВ_2023'!AT146)</f>
        <v>-4187.696824450165</v>
      </c>
      <c r="AO120" t="e">
        <f>IF('РЕЕСТР РИСКОВ_2023'!AU146="",AO119,'РЕЕСТР РИСКОВ_2023'!AU146)</f>
        <v>#REF!</v>
      </c>
    </row>
    <row r="121" spans="2:41">
      <c r="B121" t="str">
        <f>IF('INHERENT MAP'!$B$5=2021,IF('РЕЕСТР РИСКОВ_2023'!F147="",B120,'РЕЕСТР РИСКОВ_2023'!F147),IF('INHERENT MAP'!$B$5=2022,IF(#REF!="",B120,#REF!),IF('INHERENT MAP'!$B$5=2023,IF(#REF!="",B120,#REF!),IF('INHERENT MAP'!$B$5=2024,IF(#REF!="",B120,#REF!),IF('РЕЕСТР РИСКОВ_2023'!F147="",B120,'РЕЕСТР РИСКОВ_2023'!F147)))))</f>
        <v>ИНФРАСТРУКТУРНЫЙ РИСК</v>
      </c>
      <c r="C121" t="e">
        <f>IF('INHERENT MAP'!$B$5=2021,IF('РЕЕСТР РИСКОВ_2023'!G147="",C120,'РЕЕСТР РИСКОВ_2023'!G147),IF('INHERENT MAP'!$B$5=2022,IF(#REF!="",C120,#REF!),IF('INHERENT MAP'!$B$5=2023,IF(#REF!="",C120,#REF!),IF('INHERENT MAP'!$B$5=2024,IF(#REF!="",C120,#REF!),IF('РЕЕСТР РИСКОВ_2023'!G147="",C120,'РЕЕСТР РИСКОВ_2023'!G147)))))</f>
        <v>#REF!</v>
      </c>
      <c r="D121" t="str">
        <f>IF('INHERENT MAP'!$B$5=2021,IF('РЕЕСТР РИСКОВ_2023'!H147="",D120,'РЕЕСТР РИСКОВ_2023'!H147),IF('INHERENT MAP'!$B$5=2022,IF(#REF!="",D120,#REF!),IF('INHERENT MAP'!$B$5=2023,IF(#REF!="",D120,#REF!),IF('INHERENT MAP'!$B$5=2024,IF(#REF!="",D120,#REF!),IF('РЕЕСТР РИСКОВ_2023'!H147="",D120,'РЕЕСТР РИСКОВ_2023'!H147)))))</f>
        <v>IR-6</v>
      </c>
      <c r="E121" t="str">
        <f>IF('INHERENT MAP'!$B$5=2021,IF('РЕЕСТР РИСКОВ_2023'!I147="",E120,'РЕЕСТР РИСКОВ_2023'!I147),IF('INHERENT MAP'!$B$5=2022,IF(#REF!="",E120,#REF!),IF('INHERENT MAP'!$B$5=2023,IF(#REF!="",E120,#REF!),IF('INHERENT MAP'!$B$5=2024,IF(#REF!="",E120,#REF!),IF('РЕЕСТР РИСКОВ_2023'!I147="",E120,'РЕЕСТР РИСКОВ_2023'!I147)))))</f>
        <v xml:space="preserve">ЦЗ-1, ЦЗИ
</v>
      </c>
      <c r="F121" t="str">
        <f>IF('INHERENT MAP'!$B$5=2021,IF('РЕЕСТР РИСКОВ_2023'!J147="",F120,'РЕЕСТР РИСКОВ_2023'!J147),IF('INHERENT MAP'!$B$5=2022,IF(#REF!="",F120,#REF!),IF('INHERENT MAP'!$B$5=2023,IF(#REF!="",F120,#REF!),IF('INHERENT MAP'!$B$5=2024,IF(#REF!="",F120,#REF!),IF('РЕЕСТР РИСКОВ_2023'!J147="",F120,'РЕЕСТР РИСКОВ_2023'!J147)))))</f>
        <v>Дирекция магистральной сети</v>
      </c>
      <c r="G121" t="str">
        <f>IF('INHERENT MAP'!$B$5=2021,IF('РЕЕСТР РИСКОВ_2023'!K147="",G120,'РЕЕСТР РИСКОВ_2023'!K147),IF('INHERENT MAP'!$B$5=2022,IF(#REF!="",G120,#REF!),IF('INHERENT MAP'!$B$5=2023,IF(#REF!="",G120,#REF!),IF('INHERENT MAP'!$B$5=2024,IF(#REF!="",G120,#REF!),IF('РЕЕСТР РИСКОВ_2023'!K147="",G120,'РЕЕСТР РИСКОВ_2023'!K147)))))</f>
        <v>Нарушение нормальной работы технических средств</v>
      </c>
      <c r="H121">
        <f>IF('INHERENT MAP'!$B$5=2021,'РЕЕСТР РИСКОВ_2023'!L147,IF('INHERENT MAP'!$B$5=2022,#REF!,IF('INHERENT MAP'!$B$5=2023,#REF!,IF('INHERENT MAP'!$B$5=2024,#REF!,#REF!))))</f>
        <v>0</v>
      </c>
      <c r="I121">
        <f>IF('INHERENT MAP'!$B$5=2021,'РЕЕСТР РИСКОВ_2023'!M147,IF('INHERENT MAP'!$B$5=2022,#REF!,IF('INHERENT MAP'!$B$5=2023,#REF!,IF('INHERENT MAP'!$B$5=2024,#REF!,#REF!))))</f>
        <v>0</v>
      </c>
      <c r="J121">
        <f>IF('INHERENT MAP'!$B$5=2021,'РЕЕСТР РИСКОВ_2023'!N147,IF('INHERENT MAP'!$B$5=2022,#REF!,IF('INHERENT MAP'!$B$5=2023,#REF!,IF('INHERENT MAP'!$B$5=2024,#REF!,#REF!))))</f>
        <v>0</v>
      </c>
      <c r="K121">
        <f>IF('INHERENT MAP'!$B$5=2021,'РЕЕСТР РИСКОВ_2023'!O147,IF('INHERENT MAP'!$B$5=2022,#REF!,IF('INHERENT MAP'!$B$5=2023,#REF!,IF('INHERENT MAP'!$B$5=2024,#REF!,#REF!))))</f>
        <v>0</v>
      </c>
      <c r="L121">
        <f>IF('INHERENT MAP'!$B$5=2021,'РЕЕСТР РИСКОВ_2023'!P147,IF('INHERENT MAP'!$B$5=2022,#REF!,IF('INHERENT MAP'!$B$5=2023,#REF!,IF('INHERENT MAP'!$B$5=2024,#REF!,#REF!))))</f>
        <v>0</v>
      </c>
      <c r="M121" t="str">
        <f>IF('INHERENT MAP'!$B$5=2021,IF('РЕЕСТР РИСКОВ_2023'!Q147="",M120,'РЕЕСТР РИСКОВ_2023'!Q147),IF('INHERENT MAP'!$B$5=2022,IF(#REF!="",M120,#REF!),IF('INHERENT MAP'!$B$5=2023,IF(#REF!="",M120,#REF!),IF('INHERENT MAP'!$B$5=2024,IF(#REF!="",M120,#REF!),IF('РЕЕСТР РИСКОВ_2023'!Q147="",M120,'РЕЕСТР РИСКОВ_2023'!Q147)))))</f>
        <v>Влияние сторонних организаций, лиц (порыв кабеля, повреждение устройств, хищения и т. д.)</v>
      </c>
      <c r="N121" t="str">
        <f>IF('INHERENT MAP'!$B$5=2021,IF('РЕЕСТР РИСКОВ_2023'!R147="",N120,'РЕЕСТР РИСКОВ_2023'!R147),IF('INHERENT MAP'!$B$5=2022,IF(#REF!="",N120,#REF!),IF('INHERENT MAP'!$B$5=2023,IF(#REF!="",N120,#REF!),IF('INHERENT MAP'!$B$5=2024,IF(#REF!="",N120,#REF!),IF('РЕЕСТР РИСКОВ_2023'!R147="",N120,'РЕЕСТР РИСКОВ_2023'!R147)))))</f>
        <v>1. Отсутствие предупреждающих знаков, указателей объектов (трасса кабеля, указатели габаритных полос, вешки на напольном оборудовании и т. п.); 2.Отсутствие антивандальных приспособлений, особенно на устройствах расположенных удаленно от населенных пунктов;
3. Несоблюдение требований габаритов, глубины залегания при укладке в грунт, установке оборудования;
4.Неосведомленность физических и юридических лиц имеющих в наличии землеройную технику;
5. Неосведомленность физических и юридических лиц, детей о последствиях нанесения ущерба;
6. Некачественная работа (отсутствие работы) с органами власти по организации рейдов в пункты приема металла, поимке преступников и возмещению ущерба;
7. Нарушение требований предписаний, технических условий физическими и юридическими лицами.</v>
      </c>
      <c r="O121">
        <f>'РЕЕСТР РИСКОВ_2023'!T147</f>
        <v>0</v>
      </c>
      <c r="P121" t="e">
        <f>IF('РЕЕСТР РИСКОВ_2023'!U147="",P120,'РЕЕСТР РИСКОВ_2023'!U147)</f>
        <v>#REF!</v>
      </c>
      <c r="Q121" t="str">
        <f>IF('РЕЕСТР РИСКОВ_2023'!V147="",Q120,'РЕЕСТР РИСКОВ_2023'!V147)</f>
        <v>Слабые стороны</v>
      </c>
      <c r="R121" t="str">
        <f>IF('РЕЕСТР РИСКОВ_2023'!W147="",R120,'РЕЕСТР РИСКОВ_2023'!W147)</f>
        <v>Выполнение ППР устройств ЖАТС не в полном объеме по причине недофинансирования;</v>
      </c>
      <c r="S121">
        <f>'РЕЕСТР РИСКОВ_2023'!X147</f>
        <v>0</v>
      </c>
      <c r="T121" s="94">
        <f>IF('INHERENT MAP'!$B$5=2021,'РЕЕСТР РИСКОВ_2023'!Y147,IF('INHERENT MAP'!$B$5=2022,#REF!,IF('INHERENT MAP'!$B$5=2023,#REF!,IF('INHERENT MAP'!$B$5=2024,#REF!,#REF!))))</f>
        <v>0.25</v>
      </c>
      <c r="U121">
        <f>IF('INHERENT MAP'!$B$5=2021,'РЕЕСТР РИСКОВ_2023'!Z147,IF('INHERENT MAP'!$B$5=2022,#REF!,IF('INHERENT MAP'!$B$5=2023,#REF!,IF('INHERENT MAP'!$B$5=2024,#REF!,#REF!))))</f>
        <v>-3.2610000000000001</v>
      </c>
      <c r="V121">
        <f>IF('INHERENT MAP'!$B$5=2021,'РЕЕСТР РИСКОВ_2023'!AA147,IF('INHERENT MAP'!$B$5=2022,#REF!,IF('INHERENT MAP'!$B$5=2023,#REF!,IF('INHERENT MAP'!$B$5=2024,#REF!,#REF!))))</f>
        <v>-0.81525000000000003</v>
      </c>
      <c r="W121" t="str">
        <f>IF('INHERENT MAP'!$B$5=2021,'РЕЕСТР РИСКОВ_2023'!AB147,IF('INHERENT MAP'!$B$5=2022,#REF!,IF('INHERENT MAP'!$B$5=2023,#REF!,IF('INHERENT MAP'!$B$5=2024,#REF!,#REF!))))</f>
        <v>Риск хищения, порыва кабеля.</v>
      </c>
      <c r="X121" s="94">
        <f>IF('INHERENT MAP'!$B$5=2021,'РЕЕСТР РИСКОВ_2023'!AC147,IF('INHERENT MAP'!$B$5=2022,#REF!,IF('INHERENT MAP'!$B$5=2023,#REF!,IF('INHERENT MAP'!$B$5=2024,#REF!,#REF!))))</f>
        <v>0</v>
      </c>
      <c r="Y121">
        <f>IF('INHERENT MAP'!$B$5=2021,'РЕЕСТР РИСКОВ_2023'!AD147,IF('INHERENT MAP'!$B$5=2022,#REF!,IF('INHERENT MAP'!$B$5=2023,#REF!,IF('INHERENT MAP'!$B$5=2024,#REF!,#REF!))))</f>
        <v>0</v>
      </c>
      <c r="Z121">
        <f>IF('INHERENT MAP'!$B$5=2021,'РЕЕСТР РИСКОВ_2023'!AE147,IF('INHERENT MAP'!$B$5=2022,#REF!,IF('INHERENT MAP'!$B$5=2023,#REF!,IF('INHERENT MAP'!$B$5=2024,#REF!,#REF!))))</f>
        <v>0</v>
      </c>
      <c r="AA121">
        <f>IF('INHERENT MAP'!$B$5=2021,'РЕЕСТР РИСКОВ_2023'!AF147,IF('INHERENT MAP'!$B$5=2022,#REF!,IF('INHERENT MAP'!$B$5=2023,#REF!,IF('INHERENT MAP'!$B$5=2024,#REF!,#REF!))))</f>
        <v>0</v>
      </c>
      <c r="AB121">
        <f>IF('INHERENT MAP'!$B$5=2021,'РЕЕСТР РИСКОВ_2023'!AG147,IF('INHERENT MAP'!$B$5=2022,#REF!,IF('INHERENT MAP'!$B$5=2023,#REF!,IF('INHERENT MAP'!$B$5=2024,#REF!,#REF!))))</f>
        <v>0</v>
      </c>
      <c r="AC121">
        <f>IF('INHERENT MAP'!$B$5=2021,'РЕЕСТР РИСКОВ_2023'!AH147,IF('INHERENT MAP'!$B$5=2022,#REF!,IF('INHERENT MAP'!$B$5=2023,#REF!,IF('INHERENT MAP'!$B$5=2024,#REF!,#REF!))))</f>
        <v>0</v>
      </c>
      <c r="AD121" t="str">
        <f>IF('INHERENT MAP'!$B$5=2021,'РЕЕСТР РИСКОВ_2023'!AI147,IF('INHERENT MAP'!$B$5=2022,#REF!,IF('INHERENT MAP'!$B$5=2023,#REF!,IF('INHERENT MAP'!$B$5=2024,#REF!,#REF!))))</f>
        <v>Установка предупреждающих знаков, указателей объектов (трасса кабеля, указатели габаритных полос, вешки на напольном оборудовании и т.п.) Установка дополнительных устройств защиты, применение современных технологий видеонаблюдения, оповещения и сигнализации, замена на оборудование из высокопрочных материалов (светодиодные модули, акустические извещатели и т.п.) и скрытых от взора (подземные муфты СЦБС, МВС, МВР и т.п.) 1. Обеспечение специальной техникой и приспособлениями (траншеекопатели, ямобуры и т.п.)
2. обучение эксплуатационного штата без отрыва от производства (проведение инструктажей, технические занятия, обучение) 1. Обеспечение специальной техникой и приспособлениями (траншеекопатели, ямобуры и т.п.)
Проведение совместно с правоохранительными органами занятий в школах и учебных заведениях по вопросам хищения и порчи оборудования ж.д. автоматики и связи. Обеспечение работы с органами власти по организации рейдов в пункты приема металла, поимке преступников и возмещению ущерба, участие в проведении Круглых столов с правоохранительными органами, разработка и исполнение совместных мероприятий</v>
      </c>
      <c r="AE121">
        <f>IF('INHERENT MAP'!$B$5=2021,'РЕЕСТР РИСКОВ_2023'!AK147,IF('INHERENT MAP'!$B$5=2022,#REF!,IF('INHERENT MAP'!$B$5=2023,#REF!,IF('INHERENT MAP'!$B$5=2024,#REF!,#REF!))))</f>
        <v>0</v>
      </c>
      <c r="AF121">
        <f>IF('INHERENT MAP'!$B$5=2021,'РЕЕСТР РИСКОВ_2023'!AL147,IF('INHERENT MAP'!$B$5=2022,#REF!,IF('INHERENT MAP'!$B$5=2023,#REF!,IF('INHERENT MAP'!$B$5=2024,#REF!,#REF!))))</f>
        <v>0</v>
      </c>
      <c r="AG121" t="str">
        <f>IF('INHERENT MAP'!$B$5=2021,'РЕЕСТР РИСКОВ_2023'!AM147,IF('INHERENT MAP'!$B$5=2022,#REF!,IF('INHERENT MAP'!$B$5=2023,#REF!,IF('INHERENT MAP'!$B$5=2024,#REF!,#REF!))))</f>
        <v>низкая</v>
      </c>
      <c r="AH121">
        <f>IF('INHERENT MAP'!$B$5=2021,'РЕЕСТР РИСКОВ_2023'!AN147,IF('INHERENT MAP'!$B$5=2022,#REF!,IF('INHERENT MAP'!$B$5=2023,#REF!,IF('INHERENT MAP'!$B$5=2024,#REF!,#REF!))))</f>
        <v>0.25</v>
      </c>
      <c r="AI121">
        <f>IF('INHERENT MAP'!$B$5=2021,'РЕЕСТР РИСКОВ_2023'!AO147,IF('INHERENT MAP'!$B$5=2022,#REF!,IF('INHERENT MAP'!$B$5=2023,#REF!,IF('INHERENT MAP'!$B$5=2024,#REF!,#REF!))))</f>
        <v>-3.2610000000000001</v>
      </c>
      <c r="AJ121">
        <f>IF('INHERENT MAP'!$B$5=2021,'РЕЕСТР РИСКОВ_2023'!AP147,IF('INHERENT MAP'!$B$5=2022,#REF!,IF('INHERENT MAP'!$B$5=2023,#REF!,IF('INHERENT MAP'!$B$5=2024,#REF!,#REF!))))</f>
        <v>-0.81525000000000003</v>
      </c>
      <c r="AK121">
        <f>IF('РЕЕСТР РИСКОВ_2023'!AQ147="",AK120,'РЕЕСТР РИСКОВ_2023'!AQ147)</f>
        <v>-1.7392000000000001</v>
      </c>
      <c r="AL121">
        <f>IF('РЕЕСТР РИСКОВ_2023'!AR147="",AL120,'РЕЕСТР РИСКОВ_2023'!AR147)</f>
        <v>8.3145837273494741E-2</v>
      </c>
      <c r="AM121">
        <f>IF('РЕЕСТР РИСКОВ_2023'!AS147="",AM120,'РЕЕСТР РИСКОВ_2023'!AS147)</f>
        <v>-7444.5336908148165</v>
      </c>
      <c r="AN121">
        <f>IF('РЕЕСТР РИСКОВ_2023'!AT147="",AN120,'РЕЕСТР РИСКОВ_2023'!AT147)</f>
        <v>-4187.696824450165</v>
      </c>
      <c r="AO121" t="e">
        <f>IF('РЕЕСТР РИСКОВ_2023'!AU147="",AO120,'РЕЕСТР РИСКОВ_2023'!AU147)</f>
        <v>#REF!</v>
      </c>
    </row>
    <row r="122" spans="2:41">
      <c r="B122" t="str">
        <f>IF('INHERENT MAP'!$B$5=2021,IF('РЕЕСТР РИСКОВ_2023'!F148="",B121,'РЕЕСТР РИСКОВ_2023'!F148),IF('INHERENT MAP'!$B$5=2022,IF(#REF!="",B121,#REF!),IF('INHERENT MAP'!$B$5=2023,IF(#REF!="",B121,#REF!),IF('INHERENT MAP'!$B$5=2024,IF(#REF!="",B121,#REF!),IF('РЕЕСТР РИСКОВ_2023'!F148="",B121,'РЕЕСТР РИСКОВ_2023'!F148)))))</f>
        <v>ИНФРАСТРУКТУРНЫЙ РИСК</v>
      </c>
      <c r="C122" t="e">
        <f>IF('INHERENT MAP'!$B$5=2021,IF('РЕЕСТР РИСКОВ_2023'!G148="",C121,'РЕЕСТР РИСКОВ_2023'!G148),IF('INHERENT MAP'!$B$5=2022,IF(#REF!="",C121,#REF!),IF('INHERENT MAP'!$B$5=2023,IF(#REF!="",C121,#REF!),IF('INHERENT MAP'!$B$5=2024,IF(#REF!="",C121,#REF!),IF('РЕЕСТР РИСКОВ_2023'!G148="",C121,'РЕЕСТР РИСКОВ_2023'!G148)))))</f>
        <v>#REF!</v>
      </c>
      <c r="D122" t="str">
        <f>IF('INHERENT MAP'!$B$5=2021,IF('РЕЕСТР РИСКОВ_2023'!H148="",D121,'РЕЕСТР РИСКОВ_2023'!H148),IF('INHERENT MAP'!$B$5=2022,IF(#REF!="",D121,#REF!),IF('INHERENT MAP'!$B$5=2023,IF(#REF!="",D121,#REF!),IF('INHERENT MAP'!$B$5=2024,IF(#REF!="",D121,#REF!),IF('РЕЕСТР РИСКОВ_2023'!H148="",D121,'РЕЕСТР РИСКОВ_2023'!H148)))))</f>
        <v>IR-6</v>
      </c>
      <c r="E122" t="str">
        <f>IF('INHERENT MAP'!$B$5=2021,IF('РЕЕСТР РИСКОВ_2023'!I148="",E121,'РЕЕСТР РИСКОВ_2023'!I148),IF('INHERENT MAP'!$B$5=2022,IF(#REF!="",E121,#REF!),IF('INHERENT MAP'!$B$5=2023,IF(#REF!="",E121,#REF!),IF('INHERENT MAP'!$B$5=2024,IF(#REF!="",E121,#REF!),IF('РЕЕСТР РИСКОВ_2023'!I148="",E121,'РЕЕСТР РИСКОВ_2023'!I148)))))</f>
        <v xml:space="preserve">ЦЗ-1, ЦЗИ
</v>
      </c>
      <c r="F122" t="str">
        <f>IF('INHERENT MAP'!$B$5=2021,IF('РЕЕСТР РИСКОВ_2023'!J148="",F121,'РЕЕСТР РИСКОВ_2023'!J148),IF('INHERENT MAP'!$B$5=2022,IF(#REF!="",F121,#REF!),IF('INHERENT MAP'!$B$5=2023,IF(#REF!="",F121,#REF!),IF('INHERENT MAP'!$B$5=2024,IF(#REF!="",F121,#REF!),IF('РЕЕСТР РИСКОВ_2023'!J148="",F121,'РЕЕСТР РИСКОВ_2023'!J148)))))</f>
        <v>Дирекция магистральной сети</v>
      </c>
      <c r="G122" t="str">
        <f>IF('INHERENT MAP'!$B$5=2021,IF('РЕЕСТР РИСКОВ_2023'!K148="",G121,'РЕЕСТР РИСКОВ_2023'!K148),IF('INHERENT MAP'!$B$5=2022,IF(#REF!="",G121,#REF!),IF('INHERENT MAP'!$B$5=2023,IF(#REF!="",G121,#REF!),IF('INHERENT MAP'!$B$5=2024,IF(#REF!="",G121,#REF!),IF('РЕЕСТР РИСКОВ_2023'!K148="",G121,'РЕЕСТР РИСКОВ_2023'!K148)))))</f>
        <v>Нарушение нормальной работы технических средств</v>
      </c>
      <c r="H122">
        <f>IF('INHERENT MAP'!$B$5=2021,'РЕЕСТР РИСКОВ_2023'!L148,IF('INHERENT MAP'!$B$5=2022,#REF!,IF('INHERENT MAP'!$B$5=2023,#REF!,IF('INHERENT MAP'!$B$5=2024,#REF!,#REF!))))</f>
        <v>0</v>
      </c>
      <c r="I122">
        <f>IF('INHERENT MAP'!$B$5=2021,'РЕЕСТР РИСКОВ_2023'!M148,IF('INHERENT MAP'!$B$5=2022,#REF!,IF('INHERENT MAP'!$B$5=2023,#REF!,IF('INHERENT MAP'!$B$5=2024,#REF!,#REF!))))</f>
        <v>0</v>
      </c>
      <c r="J122">
        <f>IF('INHERENT MAP'!$B$5=2021,'РЕЕСТР РИСКОВ_2023'!N148,IF('INHERENT MAP'!$B$5=2022,#REF!,IF('INHERENT MAP'!$B$5=2023,#REF!,IF('INHERENT MAP'!$B$5=2024,#REF!,#REF!))))</f>
        <v>0</v>
      </c>
      <c r="K122">
        <f>IF('INHERENT MAP'!$B$5=2021,'РЕЕСТР РИСКОВ_2023'!O148,IF('INHERENT MAP'!$B$5=2022,#REF!,IF('INHERENT MAP'!$B$5=2023,#REF!,IF('INHERENT MAP'!$B$5=2024,#REF!,#REF!))))</f>
        <v>0</v>
      </c>
      <c r="L122">
        <f>IF('INHERENT MAP'!$B$5=2021,'РЕЕСТР РИСКОВ_2023'!P148,IF('INHERENT MAP'!$B$5=2022,#REF!,IF('INHERENT MAP'!$B$5=2023,#REF!,IF('INHERENT MAP'!$B$5=2024,#REF!,#REF!))))</f>
        <v>0</v>
      </c>
      <c r="M122" t="str">
        <f>IF('INHERENT MAP'!$B$5=2021,IF('РЕЕСТР РИСКОВ_2023'!Q148="",M121,'РЕЕСТР РИСКОВ_2023'!Q148),IF('INHERENT MAP'!$B$5=2022,IF(#REF!="",M121,#REF!),IF('INHERENT MAP'!$B$5=2023,IF(#REF!="",M121,#REF!),IF('INHERENT MAP'!$B$5=2024,IF(#REF!="",M121,#REF!),IF('РЕЕСТР РИСКОВ_2023'!Q148="",M121,'РЕЕСТР РИСКОВ_2023'!Q148)))))</f>
        <v>Природные влияния</v>
      </c>
      <c r="N122" t="str">
        <f>IF('INHERENT MAP'!$B$5=2021,IF('РЕЕСТР РИСКОВ_2023'!R148="",N121,'РЕЕСТР РИСКОВ_2023'!R148),IF('INHERENT MAP'!$B$5=2022,IF(#REF!="",N121,#REF!),IF('INHERENT MAP'!$B$5=2023,IF(#REF!="",N121,#REF!),IF('INHERENT MAP'!$B$5=2024,IF(#REF!="",N121,#REF!),IF('РЕЕСТР РИСКОВ_2023'!R148="",N121,'РЕЕСТР РИСКОВ_2023'!R148)))))</f>
        <v>Обледенение воздушной линии;
Гроза;
Шквальный ветер;
Наводнения и т. д.</v>
      </c>
      <c r="O122">
        <f>'РЕЕСТР РИСКОВ_2023'!T148</f>
        <v>0</v>
      </c>
      <c r="P122" t="e">
        <f>IF('РЕЕСТР РИСКОВ_2023'!U148="",P121,'РЕЕСТР РИСКОВ_2023'!U148)</f>
        <v>#REF!</v>
      </c>
      <c r="Q122" t="str">
        <f>IF('РЕЕСТР РИСКОВ_2023'!V148="",Q121,'РЕЕСТР РИСКОВ_2023'!V148)</f>
        <v>Слабые стороны</v>
      </c>
      <c r="R122" t="str">
        <f>IF('РЕЕСТР РИСКОВ_2023'!W148="",R121,'РЕЕСТР РИСКОВ_2023'!W148)</f>
        <v>Выполнение ППР устройств ЖАТС не в полном объеме по причине недофинансирования;</v>
      </c>
      <c r="S122">
        <f>'РЕЕСТР РИСКОВ_2023'!X148</f>
        <v>0</v>
      </c>
      <c r="T122" s="94">
        <f>IF('INHERENT MAP'!$B$5=2021,'РЕЕСТР РИСКОВ_2023'!Y148,IF('INHERENT MAP'!$B$5=2022,#REF!,IF('INHERENT MAP'!$B$5=2023,#REF!,IF('INHERENT MAP'!$B$5=2024,#REF!,#REF!))))</f>
        <v>0.05</v>
      </c>
      <c r="U122">
        <f>IF('INHERENT MAP'!$B$5=2021,'РЕЕСТР РИСКОВ_2023'!Z148,IF('INHERENT MAP'!$B$5=2022,#REF!,IF('INHERENT MAP'!$B$5=2023,#REF!,IF('INHERENT MAP'!$B$5=2024,#REF!,#REF!))))</f>
        <v>-2.1739999999999999</v>
      </c>
      <c r="V122">
        <f>IF('INHERENT MAP'!$B$5=2021,'РЕЕСТР РИСКОВ_2023'!AA148,IF('INHERENT MAP'!$B$5=2022,#REF!,IF('INHERENT MAP'!$B$5=2023,#REF!,IF('INHERENT MAP'!$B$5=2024,#REF!,#REF!))))</f>
        <v>-0.1087</v>
      </c>
      <c r="W122" t="str">
        <f>IF('INHERENT MAP'!$B$5=2021,'РЕЕСТР РИСКОВ_2023'!AB148,IF('INHERENT MAP'!$B$5=2022,#REF!,IF('INHERENT MAP'!$B$5=2023,#REF!,IF('INHERENT MAP'!$B$5=2024,#REF!,#REF!))))</f>
        <v>Неприведение заземлений в соответствие с требованиями НТД (в 2021 г. требуется произвести закуп необходимых материалов на сумму 106,4 млн тг).</v>
      </c>
      <c r="X122" s="94">
        <f>IF('INHERENT MAP'!$B$5=2021,'РЕЕСТР РИСКОВ_2023'!AC148,IF('INHERENT MAP'!$B$5=2022,#REF!,IF('INHERENT MAP'!$B$5=2023,#REF!,IF('INHERENT MAP'!$B$5=2024,#REF!,#REF!))))</f>
        <v>0</v>
      </c>
      <c r="Y122">
        <f>IF('INHERENT MAP'!$B$5=2021,'РЕЕСТР РИСКОВ_2023'!AD148,IF('INHERENT MAP'!$B$5=2022,#REF!,IF('INHERENT MAP'!$B$5=2023,#REF!,IF('INHERENT MAP'!$B$5=2024,#REF!,#REF!))))</f>
        <v>0</v>
      </c>
      <c r="Z122">
        <f>IF('INHERENT MAP'!$B$5=2021,'РЕЕСТР РИСКОВ_2023'!AE148,IF('INHERENT MAP'!$B$5=2022,#REF!,IF('INHERENT MAP'!$B$5=2023,#REF!,IF('INHERENT MAP'!$B$5=2024,#REF!,#REF!))))</f>
        <v>0</v>
      </c>
      <c r="AA122">
        <f>IF('INHERENT MAP'!$B$5=2021,'РЕЕСТР РИСКОВ_2023'!AF148,IF('INHERENT MAP'!$B$5=2022,#REF!,IF('INHERENT MAP'!$B$5=2023,#REF!,IF('INHERENT MAP'!$B$5=2024,#REF!,#REF!))))</f>
        <v>0</v>
      </c>
      <c r="AB122">
        <f>IF('INHERENT MAP'!$B$5=2021,'РЕЕСТР РИСКОВ_2023'!AG148,IF('INHERENT MAP'!$B$5=2022,#REF!,IF('INHERENT MAP'!$B$5=2023,#REF!,IF('INHERENT MAP'!$B$5=2024,#REF!,#REF!))))</f>
        <v>0</v>
      </c>
      <c r="AC122">
        <f>IF('INHERENT MAP'!$B$5=2021,'РЕЕСТР РИСКОВ_2023'!AH148,IF('INHERENT MAP'!$B$5=2022,#REF!,IF('INHERENT MAP'!$B$5=2023,#REF!,IF('INHERENT MAP'!$B$5=2024,#REF!,#REF!))))</f>
        <v>0</v>
      </c>
      <c r="AD122" t="str">
        <f>IF('INHERENT MAP'!$B$5=2021,'РЕЕСТР РИСКОВ_2023'!AI148,IF('INHERENT MAP'!$B$5=2022,#REF!,IF('INHERENT MAP'!$B$5=2023,#REF!,IF('INHERENT MAP'!$B$5=2024,#REF!,#REF!))))</f>
        <v>1. Перевод воздушных линий на кабельные в соответствии с производственной программой ЦШ;
2. Выполнение мероприятий по защите устройств от атмосферных и телекоммуникационных перенапряжений (заземление устройств, вынос в кабельные ящики элементов защиты, применение современных элементов защиты, выполнение всех каскадов защиты и т. п.) 
3. Своевременное определение опасных мест, подверженных затоплению, разработка планов-мероприятий по водоборьбе, выполнение водоотводных каналов, подъемка устройств и т. д.</v>
      </c>
      <c r="AE122">
        <f>IF('INHERENT MAP'!$B$5=2021,'РЕЕСТР РИСКОВ_2023'!AK148,IF('INHERENT MAP'!$B$5=2022,#REF!,IF('INHERENT MAP'!$B$5=2023,#REF!,IF('INHERENT MAP'!$B$5=2024,#REF!,#REF!))))</f>
        <v>0</v>
      </c>
      <c r="AF122">
        <f>IF('INHERENT MAP'!$B$5=2021,'РЕЕСТР РИСКОВ_2023'!AL148,IF('INHERENT MAP'!$B$5=2022,#REF!,IF('INHERENT MAP'!$B$5=2023,#REF!,IF('INHERENT MAP'!$B$5=2024,#REF!,#REF!))))</f>
        <v>0</v>
      </c>
      <c r="AG122" t="str">
        <f>IF('INHERENT MAP'!$B$5=2021,'РЕЕСТР РИСКОВ_2023'!AM148,IF('INHERENT MAP'!$B$5=2022,#REF!,IF('INHERENT MAP'!$B$5=2023,#REF!,IF('INHERENT MAP'!$B$5=2024,#REF!,#REF!))))</f>
        <v>низкая</v>
      </c>
      <c r="AH122">
        <f>IF('INHERENT MAP'!$B$5=2021,'РЕЕСТР РИСКОВ_2023'!AN148,IF('INHERENT MAP'!$B$5=2022,#REF!,IF('INHERENT MAP'!$B$5=2023,#REF!,IF('INHERENT MAP'!$B$5=2024,#REF!,#REF!))))</f>
        <v>0.05</v>
      </c>
      <c r="AI122">
        <f>IF('INHERENT MAP'!$B$5=2021,'РЕЕСТР РИСКОВ_2023'!AO148,IF('INHERENT MAP'!$B$5=2022,#REF!,IF('INHERENT MAP'!$B$5=2023,#REF!,IF('INHERENT MAP'!$B$5=2024,#REF!,#REF!))))</f>
        <v>-2.1739999999999999</v>
      </c>
      <c r="AJ122">
        <f>IF('INHERENT MAP'!$B$5=2021,'РЕЕСТР РИСКОВ_2023'!AP148,IF('INHERENT MAP'!$B$5=2022,#REF!,IF('INHERENT MAP'!$B$5=2023,#REF!,IF('INHERENT MAP'!$B$5=2024,#REF!,#REF!))))</f>
        <v>-0.1087</v>
      </c>
      <c r="AK122">
        <f>IF('РЕЕСТР РИСКОВ_2023'!AQ148="",AK121,'РЕЕСТР РИСКОВ_2023'!AQ148)</f>
        <v>-1.7392000000000001</v>
      </c>
      <c r="AL122">
        <f>IF('РЕЕСТР РИСКОВ_2023'!AR148="",AL121,'РЕЕСТР РИСКОВ_2023'!AR148)</f>
        <v>8.3145837273494741E-2</v>
      </c>
      <c r="AM122">
        <f>IF('РЕЕСТР РИСКОВ_2023'!AS148="",AM121,'РЕЕСТР РИСКОВ_2023'!AS148)</f>
        <v>-7444.5336908148165</v>
      </c>
      <c r="AN122">
        <f>IF('РЕЕСТР РИСКОВ_2023'!AT148="",AN121,'РЕЕСТР РИСКОВ_2023'!AT148)</f>
        <v>-4187.696824450165</v>
      </c>
      <c r="AO122" t="e">
        <f>IF('РЕЕСТР РИСКОВ_2023'!AU148="",AO121,'РЕЕСТР РИСКОВ_2023'!AU148)</f>
        <v>#REF!</v>
      </c>
    </row>
    <row r="123" spans="2:41">
      <c r="B123" t="str">
        <f>IF('INHERENT MAP'!$B$5=2021,IF('РЕЕСТР РИСКОВ_2023'!F149="",B122,'РЕЕСТР РИСКОВ_2023'!F149),IF('INHERENT MAP'!$B$5=2022,IF(#REF!="",B122,#REF!),IF('INHERENT MAP'!$B$5=2023,IF(#REF!="",B122,#REF!),IF('INHERENT MAP'!$B$5=2024,IF(#REF!="",B122,#REF!),IF('РЕЕСТР РИСКОВ_2023'!F149="",B122,'РЕЕСТР РИСКОВ_2023'!F149)))))</f>
        <v>ИНФРАСТРУКТУРНЫЙ РИСК</v>
      </c>
      <c r="C123" t="e">
        <f>IF('INHERENT MAP'!$B$5=2021,IF('РЕЕСТР РИСКОВ_2023'!G149="",C122,'РЕЕСТР РИСКОВ_2023'!G149),IF('INHERENT MAP'!$B$5=2022,IF(#REF!="",C122,#REF!),IF('INHERENT MAP'!$B$5=2023,IF(#REF!="",C122,#REF!),IF('INHERENT MAP'!$B$5=2024,IF(#REF!="",C122,#REF!),IF('РЕЕСТР РИСКОВ_2023'!G149="",C122,'РЕЕСТР РИСКОВ_2023'!G149)))))</f>
        <v>#REF!</v>
      </c>
      <c r="D123" t="str">
        <f>IF('INHERENT MAP'!$B$5=2021,IF('РЕЕСТР РИСКОВ_2023'!H149="",D122,'РЕЕСТР РИСКОВ_2023'!H149),IF('INHERENT MAP'!$B$5=2022,IF(#REF!="",D122,#REF!),IF('INHERENT MAP'!$B$5=2023,IF(#REF!="",D122,#REF!),IF('INHERENT MAP'!$B$5=2024,IF(#REF!="",D122,#REF!),IF('РЕЕСТР РИСКОВ_2023'!H149="",D122,'РЕЕСТР РИСКОВ_2023'!H149)))))</f>
        <v>IR-6</v>
      </c>
      <c r="E123" t="str">
        <f>IF('INHERENT MAP'!$B$5=2021,IF('РЕЕСТР РИСКОВ_2023'!I149="",E122,'РЕЕСТР РИСКОВ_2023'!I149),IF('INHERENT MAP'!$B$5=2022,IF(#REF!="",E122,#REF!),IF('INHERENT MAP'!$B$5=2023,IF(#REF!="",E122,#REF!),IF('INHERENT MAP'!$B$5=2024,IF(#REF!="",E122,#REF!),IF('РЕЕСТР РИСКОВ_2023'!I149="",E122,'РЕЕСТР РИСКОВ_2023'!I149)))))</f>
        <v xml:space="preserve">ЦЗ-1, ЦЗИ
</v>
      </c>
      <c r="F123" t="str">
        <f>IF('INHERENT MAP'!$B$5=2021,IF('РЕЕСТР РИСКОВ_2023'!J149="",F122,'РЕЕСТР РИСКОВ_2023'!J149),IF('INHERENT MAP'!$B$5=2022,IF(#REF!="",F122,#REF!),IF('INHERENT MAP'!$B$5=2023,IF(#REF!="",F122,#REF!),IF('INHERENT MAP'!$B$5=2024,IF(#REF!="",F122,#REF!),IF('РЕЕСТР РИСКОВ_2023'!J149="",F122,'РЕЕСТР РИСКОВ_2023'!J149)))))</f>
        <v>Дирекция магистральной сети</v>
      </c>
      <c r="G123" t="str">
        <f>IF('INHERENT MAP'!$B$5=2021,IF('РЕЕСТР РИСКОВ_2023'!K149="",G122,'РЕЕСТР РИСКОВ_2023'!K149),IF('INHERENT MAP'!$B$5=2022,IF(#REF!="",G122,#REF!),IF('INHERENT MAP'!$B$5=2023,IF(#REF!="",G122,#REF!),IF('INHERENT MAP'!$B$5=2024,IF(#REF!="",G122,#REF!),IF('РЕЕСТР РИСКОВ_2023'!K149="",G122,'РЕЕСТР РИСКОВ_2023'!K149)))))</f>
        <v>Нарушение нормальной работы технических средств</v>
      </c>
      <c r="H123">
        <f>IF('INHERENT MAP'!$B$5=2021,'РЕЕСТР РИСКОВ_2023'!L149,IF('INHERENT MAP'!$B$5=2022,#REF!,IF('INHERENT MAP'!$B$5=2023,#REF!,IF('INHERENT MAP'!$B$5=2024,#REF!,#REF!))))</f>
        <v>0</v>
      </c>
      <c r="I123">
        <f>IF('INHERENT MAP'!$B$5=2021,'РЕЕСТР РИСКОВ_2023'!M149,IF('INHERENT MAP'!$B$5=2022,#REF!,IF('INHERENT MAP'!$B$5=2023,#REF!,IF('INHERENT MAP'!$B$5=2024,#REF!,#REF!))))</f>
        <v>0</v>
      </c>
      <c r="J123">
        <f>IF('INHERENT MAP'!$B$5=2021,'РЕЕСТР РИСКОВ_2023'!N149,IF('INHERENT MAP'!$B$5=2022,#REF!,IF('INHERENT MAP'!$B$5=2023,#REF!,IF('INHERENT MAP'!$B$5=2024,#REF!,#REF!))))</f>
        <v>0</v>
      </c>
      <c r="K123">
        <f>IF('INHERENT MAP'!$B$5=2021,'РЕЕСТР РИСКОВ_2023'!O149,IF('INHERENT MAP'!$B$5=2022,#REF!,IF('INHERENT MAP'!$B$5=2023,#REF!,IF('INHERENT MAP'!$B$5=2024,#REF!,#REF!))))</f>
        <v>0</v>
      </c>
      <c r="L123">
        <f>IF('INHERENT MAP'!$B$5=2021,'РЕЕСТР РИСКОВ_2023'!P149,IF('INHERENT MAP'!$B$5=2022,#REF!,IF('INHERENT MAP'!$B$5=2023,#REF!,IF('INHERENT MAP'!$B$5=2024,#REF!,#REF!))))</f>
        <v>0</v>
      </c>
      <c r="M123" t="str">
        <f>IF('INHERENT MAP'!$B$5=2021,IF('РЕЕСТР РИСКОВ_2023'!Q149="",M122,'РЕЕСТР РИСКОВ_2023'!Q149),IF('INHERENT MAP'!$B$5=2022,IF(#REF!="",M122,#REF!),IF('INHERENT MAP'!$B$5=2023,IF(#REF!="",M122,#REF!),IF('INHERENT MAP'!$B$5=2024,IF(#REF!="",M122,#REF!),IF('РЕЕСТР РИСКОВ_2023'!Q149="",M122,'РЕЕСТР РИСКОВ_2023'!Q149)))))</f>
        <v>Некачественное сервисное обслуживание</v>
      </c>
      <c r="N123" t="str">
        <f>IF('INHERENT MAP'!$B$5=2021,IF('РЕЕСТР РИСКОВ_2023'!R149="",N122,'РЕЕСТР РИСКОВ_2023'!R149),IF('INHERENT MAP'!$B$5=2022,IF(#REF!="",N122,#REF!),IF('INHERENT MAP'!$B$5=2023,IF(#REF!="",N122,#REF!),IF('INHERENT MAP'!$B$5=2024,IF(#REF!="",N122,#REF!),IF('РЕЕСТР РИСКОВ_2023'!R149="",N122,'РЕЕСТР РИСКОВ_2023'!R149)))))</f>
        <v>1. Дефицит бюджета;
2. Длительность процедур подготовки и согласования тендерной документации;
3. Отсутствие центров компетенции, недостаточная квалификация работников.</v>
      </c>
      <c r="O123">
        <f>'РЕЕСТР РИСКОВ_2023'!T149</f>
        <v>0</v>
      </c>
      <c r="P123" t="e">
        <f>IF('РЕЕСТР РИСКОВ_2023'!U149="",P122,'РЕЕСТР РИСКОВ_2023'!U149)</f>
        <v>#REF!</v>
      </c>
      <c r="Q123" t="str">
        <f>IF('РЕЕСТР РИСКОВ_2023'!V149="",Q122,'РЕЕСТР РИСКОВ_2023'!V149)</f>
        <v>Слабые стороны</v>
      </c>
      <c r="R123" t="str">
        <f>IF('РЕЕСТР РИСКОВ_2023'!W149="",R122,'РЕЕСТР РИСКОВ_2023'!W149)</f>
        <v>Отказ устройств вследствие неблагоприятных погодных условий</v>
      </c>
      <c r="S123">
        <f>'РЕЕСТР РИСКОВ_2023'!X149</f>
        <v>0</v>
      </c>
      <c r="T123" s="94">
        <f>IF('INHERENT MAP'!$B$5=2021,'РЕЕСТР РИСКОВ_2023'!Y149,IF('INHERENT MAP'!$B$5=2022,#REF!,IF('INHERENT MAP'!$B$5=2023,#REF!,IF('INHERENT MAP'!$B$5=2024,#REF!,#REF!))))</f>
        <v>0.05</v>
      </c>
      <c r="U123">
        <f>IF('INHERENT MAP'!$B$5=2021,'РЕЕСТР РИСКОВ_2023'!Z149,IF('INHERENT MAP'!$B$5=2022,#REF!,IF('INHERENT MAP'!$B$5=2023,#REF!,IF('INHERENT MAP'!$B$5=2024,#REF!,#REF!))))</f>
        <v>-0.65654799999999991</v>
      </c>
      <c r="V123">
        <f>IF('INHERENT MAP'!$B$5=2021,'РЕЕСТР РИСКОВ_2023'!AA149,IF('INHERENT MAP'!$B$5=2022,#REF!,IF('INHERENT MAP'!$B$5=2023,#REF!,IF('INHERENT MAP'!$B$5=2024,#REF!,#REF!))))</f>
        <v>-3.28274E-2</v>
      </c>
      <c r="W123" t="str">
        <f>IF('INHERENT MAP'!$B$5=2021,'РЕЕСТР РИСКОВ_2023'!AB149,IF('INHERENT MAP'!$B$5=2022,#REF!,IF('INHERENT MAP'!$B$5=2023,#REF!,IF('INHERENT MAP'!$B$5=2024,#REF!,#REF!))))</f>
        <v>Невыделение необходимых средств для проведения сервисного обслуживания устройств при плане на 2021 г. 3 072,5 млн тг.</v>
      </c>
      <c r="X123" s="94">
        <f>IF('INHERENT MAP'!$B$5=2021,'РЕЕСТР РИСКОВ_2023'!AC149,IF('INHERENT MAP'!$B$5=2022,#REF!,IF('INHERENT MAP'!$B$5=2023,#REF!,IF('INHERENT MAP'!$B$5=2024,#REF!,#REF!))))</f>
        <v>0</v>
      </c>
      <c r="Y123">
        <f>IF('INHERENT MAP'!$B$5=2021,'РЕЕСТР РИСКОВ_2023'!AD149,IF('INHERENT MAP'!$B$5=2022,#REF!,IF('INHERENT MAP'!$B$5=2023,#REF!,IF('INHERENT MAP'!$B$5=2024,#REF!,#REF!))))</f>
        <v>0</v>
      </c>
      <c r="Z123">
        <f>IF('INHERENT MAP'!$B$5=2021,'РЕЕСТР РИСКОВ_2023'!AE149,IF('INHERENT MAP'!$B$5=2022,#REF!,IF('INHERENT MAP'!$B$5=2023,#REF!,IF('INHERENT MAP'!$B$5=2024,#REF!,#REF!))))</f>
        <v>0</v>
      </c>
      <c r="AA123">
        <f>IF('INHERENT MAP'!$B$5=2021,'РЕЕСТР РИСКОВ_2023'!AF149,IF('INHERENT MAP'!$B$5=2022,#REF!,IF('INHERENT MAP'!$B$5=2023,#REF!,IF('INHERENT MAP'!$B$5=2024,#REF!,#REF!))))</f>
        <v>0</v>
      </c>
      <c r="AB123">
        <f>IF('INHERENT MAP'!$B$5=2021,'РЕЕСТР РИСКОВ_2023'!AG149,IF('INHERENT MAP'!$B$5=2022,#REF!,IF('INHERENT MAP'!$B$5=2023,#REF!,IF('INHERENT MAP'!$B$5=2024,#REF!,#REF!))))</f>
        <v>0</v>
      </c>
      <c r="AC123">
        <f>IF('INHERENT MAP'!$B$5=2021,'РЕЕСТР РИСКОВ_2023'!AH149,IF('INHERENT MAP'!$B$5=2022,#REF!,IF('INHERENT MAP'!$B$5=2023,#REF!,IF('INHERENT MAP'!$B$5=2024,#REF!,#REF!))))</f>
        <v>0</v>
      </c>
      <c r="AD123" t="str">
        <f>IF('INHERENT MAP'!$B$5=2021,'РЕЕСТР РИСКОВ_2023'!AI149,IF('INHERENT MAP'!$B$5=2022,#REF!,IF('INHERENT MAP'!$B$5=2023,#REF!,IF('INHERENT MAP'!$B$5=2024,#REF!,#REF!))))</f>
        <v>1. Планирование объемов в соответствии с дефектными актами дистанций;
2. Выполнение регламентных работ силами ЦШЛ, ШЧ;
3. Обоснование потребности в выделении денежных средств;
4. Качественное формирование объемов работ по сервисному обслуживанию;
5. Качественная проработка тендерной документации с причастными структурными подразделениями, защита бюджета;
6. Требование от разработчиков систем создания Центров компетенции в РК;
7. Повышения уровня грамотности, обучение работников ЦШЛ, ШЧ;
8. Переработка нормативной документации по обслуживанию микропроцессорных устройств; 
9. Приобретение средств измерения и запасных частей.</v>
      </c>
      <c r="AE123">
        <f>IF('INHERENT MAP'!$B$5=2021,'РЕЕСТР РИСКОВ_2023'!AK149,IF('INHERENT MAP'!$B$5=2022,#REF!,IF('INHERENT MAP'!$B$5=2023,#REF!,IF('INHERENT MAP'!$B$5=2024,#REF!,#REF!))))</f>
        <v>0</v>
      </c>
      <c r="AF123">
        <f>IF('INHERENT MAP'!$B$5=2021,'РЕЕСТР РИСКОВ_2023'!AL149,IF('INHERENT MAP'!$B$5=2022,#REF!,IF('INHERENT MAP'!$B$5=2023,#REF!,IF('INHERENT MAP'!$B$5=2024,#REF!,#REF!))))</f>
        <v>0</v>
      </c>
      <c r="AG123" t="str">
        <f>IF('INHERENT MAP'!$B$5=2021,'РЕЕСТР РИСКОВ_2023'!AM149,IF('INHERENT MAP'!$B$5=2022,#REF!,IF('INHERENT MAP'!$B$5=2023,#REF!,IF('INHERENT MAP'!$B$5=2024,#REF!,#REF!))))</f>
        <v>низкая</v>
      </c>
      <c r="AH123">
        <f>IF('INHERENT MAP'!$B$5=2021,'РЕЕСТР РИСКОВ_2023'!AN149,IF('INHERENT MAP'!$B$5=2022,#REF!,IF('INHERENT MAP'!$B$5=2023,#REF!,IF('INHERENT MAP'!$B$5=2024,#REF!,#REF!))))</f>
        <v>0.05</v>
      </c>
      <c r="AI123">
        <f>IF('INHERENT MAP'!$B$5=2021,'РЕЕСТР РИСКОВ_2023'!AO149,IF('INHERENT MAP'!$B$5=2022,#REF!,IF('INHERENT MAP'!$B$5=2023,#REF!,IF('INHERENT MAP'!$B$5=2024,#REF!,#REF!))))</f>
        <v>-0.65654799999999991</v>
      </c>
      <c r="AJ123">
        <f>IF('INHERENT MAP'!$B$5=2021,'РЕЕСТР РИСКОВ_2023'!AP149,IF('INHERENT MAP'!$B$5=2022,#REF!,IF('INHERENT MAP'!$B$5=2023,#REF!,IF('INHERENT MAP'!$B$5=2024,#REF!,#REF!))))</f>
        <v>-3.28274E-2</v>
      </c>
      <c r="AK123">
        <f>IF('РЕЕСТР РИСКОВ_2023'!AQ149="",AK122,'РЕЕСТР РИСКОВ_2023'!AQ149)</f>
        <v>-1.7392000000000001</v>
      </c>
      <c r="AL123">
        <f>IF('РЕЕСТР РИСКОВ_2023'!AR149="",AL122,'РЕЕСТР РИСКОВ_2023'!AR149)</f>
        <v>8.3145837273494741E-2</v>
      </c>
      <c r="AM123">
        <f>IF('РЕЕСТР РИСКОВ_2023'!AS149="",AM122,'РЕЕСТР РИСКОВ_2023'!AS149)</f>
        <v>-7444.5336908148165</v>
      </c>
      <c r="AN123">
        <f>IF('РЕЕСТР РИСКОВ_2023'!AT149="",AN122,'РЕЕСТР РИСКОВ_2023'!AT149)</f>
        <v>-4187.696824450165</v>
      </c>
      <c r="AO123" t="e">
        <f>IF('РЕЕСТР РИСКОВ_2023'!AU149="",AO122,'РЕЕСТР РИСКОВ_2023'!AU149)</f>
        <v>#REF!</v>
      </c>
    </row>
    <row r="124" spans="2:41">
      <c r="B124" t="str">
        <f>IF('INHERENT MAP'!$B$5=2021,IF('РЕЕСТР РИСКОВ_2023'!F150="",B123,'РЕЕСТР РИСКОВ_2023'!F150),IF('INHERENT MAP'!$B$5=2022,IF(#REF!="",B123,#REF!),IF('INHERENT MAP'!$B$5=2023,IF(#REF!="",B123,#REF!),IF('INHERENT MAP'!$B$5=2024,IF(#REF!="",B123,#REF!),IF('РЕЕСТР РИСКОВ_2023'!F150="",B123,'РЕЕСТР РИСКОВ_2023'!F150)))))</f>
        <v>ИНФРАСТРУКТУРНЫЙ РИСК</v>
      </c>
      <c r="C124" t="e">
        <f>IF('INHERENT MAP'!$B$5=2021,IF('РЕЕСТР РИСКОВ_2023'!G150="",C123,'РЕЕСТР РИСКОВ_2023'!G150),IF('INHERENT MAP'!$B$5=2022,IF(#REF!="",C123,#REF!),IF('INHERENT MAP'!$B$5=2023,IF(#REF!="",C123,#REF!),IF('INHERENT MAP'!$B$5=2024,IF(#REF!="",C123,#REF!),IF('РЕЕСТР РИСКОВ_2023'!G150="",C123,'РЕЕСТР РИСКОВ_2023'!G150)))))</f>
        <v>#REF!</v>
      </c>
      <c r="D124" t="str">
        <f>IF('INHERENT MAP'!$B$5=2021,IF('РЕЕСТР РИСКОВ_2023'!H150="",D123,'РЕЕСТР РИСКОВ_2023'!H150),IF('INHERENT MAP'!$B$5=2022,IF(#REF!="",D123,#REF!),IF('INHERENT MAP'!$B$5=2023,IF(#REF!="",D123,#REF!),IF('INHERENT MAP'!$B$5=2024,IF(#REF!="",D123,#REF!),IF('РЕЕСТР РИСКОВ_2023'!H150="",D123,'РЕЕСТР РИСКОВ_2023'!H150)))))</f>
        <v>IR-6</v>
      </c>
      <c r="E124" t="str">
        <f>IF('INHERENT MAP'!$B$5=2021,IF('РЕЕСТР РИСКОВ_2023'!I150="",E123,'РЕЕСТР РИСКОВ_2023'!I150),IF('INHERENT MAP'!$B$5=2022,IF(#REF!="",E123,#REF!),IF('INHERENT MAP'!$B$5=2023,IF(#REF!="",E123,#REF!),IF('INHERENT MAP'!$B$5=2024,IF(#REF!="",E123,#REF!),IF('РЕЕСТР РИСКОВ_2023'!I150="",E123,'РЕЕСТР РИСКОВ_2023'!I150)))))</f>
        <v xml:space="preserve">ЦЗ-1, ЦЗИ
</v>
      </c>
      <c r="F124" t="str">
        <f>IF('INHERENT MAP'!$B$5=2021,IF('РЕЕСТР РИСКОВ_2023'!J150="",F123,'РЕЕСТР РИСКОВ_2023'!J150),IF('INHERENT MAP'!$B$5=2022,IF(#REF!="",F123,#REF!),IF('INHERENT MAP'!$B$5=2023,IF(#REF!="",F123,#REF!),IF('INHERENT MAP'!$B$5=2024,IF(#REF!="",F123,#REF!),IF('РЕЕСТР РИСКОВ_2023'!J150="",F123,'РЕЕСТР РИСКОВ_2023'!J150)))))</f>
        <v>Дирекция магистральной сети</v>
      </c>
      <c r="G124" t="str">
        <f>IF('INHERENT MAP'!$B$5=2021,IF('РЕЕСТР РИСКОВ_2023'!K150="",G123,'РЕЕСТР РИСКОВ_2023'!K150),IF('INHERENT MAP'!$B$5=2022,IF(#REF!="",G123,#REF!),IF('INHERENT MAP'!$B$5=2023,IF(#REF!="",G123,#REF!),IF('INHERENT MAP'!$B$5=2024,IF(#REF!="",G123,#REF!),IF('РЕЕСТР РИСКОВ_2023'!K150="",G123,'РЕЕСТР РИСКОВ_2023'!K150)))))</f>
        <v>Нарушение нормальной работы технических средств</v>
      </c>
      <c r="H124">
        <f>IF('INHERENT MAP'!$B$5=2021,'РЕЕСТР РИСКОВ_2023'!L150,IF('INHERENT MAP'!$B$5=2022,#REF!,IF('INHERENT MAP'!$B$5=2023,#REF!,IF('INHERENT MAP'!$B$5=2024,#REF!,#REF!))))</f>
        <v>0</v>
      </c>
      <c r="I124">
        <f>IF('INHERENT MAP'!$B$5=2021,'РЕЕСТР РИСКОВ_2023'!M150,IF('INHERENT MAP'!$B$5=2022,#REF!,IF('INHERENT MAP'!$B$5=2023,#REF!,IF('INHERENT MAP'!$B$5=2024,#REF!,#REF!))))</f>
        <v>0</v>
      </c>
      <c r="J124">
        <f>IF('INHERENT MAP'!$B$5=2021,'РЕЕСТР РИСКОВ_2023'!N150,IF('INHERENT MAP'!$B$5=2022,#REF!,IF('INHERENT MAP'!$B$5=2023,#REF!,IF('INHERENT MAP'!$B$5=2024,#REF!,#REF!))))</f>
        <v>0</v>
      </c>
      <c r="K124">
        <f>IF('INHERENT MAP'!$B$5=2021,'РЕЕСТР РИСКОВ_2023'!O150,IF('INHERENT MAP'!$B$5=2022,#REF!,IF('INHERENT MAP'!$B$5=2023,#REF!,IF('INHERENT MAP'!$B$5=2024,#REF!,#REF!))))</f>
        <v>0</v>
      </c>
      <c r="L124">
        <f>IF('INHERENT MAP'!$B$5=2021,'РЕЕСТР РИСКОВ_2023'!P150,IF('INHERENT MAP'!$B$5=2022,#REF!,IF('INHERENT MAP'!$B$5=2023,#REF!,IF('INHERENT MAP'!$B$5=2024,#REF!,#REF!))))</f>
        <v>0</v>
      </c>
      <c r="M124" t="str">
        <f>IF('INHERENT MAP'!$B$5=2021,IF('РЕЕСТР РИСКОВ_2023'!Q150="",M123,'РЕЕСТР РИСКОВ_2023'!Q150),IF('INHERENT MAP'!$B$5=2022,IF(#REF!="",M123,#REF!),IF('INHERENT MAP'!$B$5=2023,IF(#REF!="",M123,#REF!),IF('INHERENT MAP'!$B$5=2024,IF(#REF!="",M123,#REF!),IF('РЕЕСТР РИСКОВ_2023'!Q150="",M123,'РЕЕСТР РИСКОВ_2023'!Q150)))))</f>
        <v>Неправильное пользование устройствами ЖАТС работниками смежных служб</v>
      </c>
      <c r="N124" t="str">
        <f>IF('INHERENT MAP'!$B$5=2021,IF('РЕЕСТР РИСКОВ_2023'!R150="",N123,'РЕЕСТР РИСКОВ_2023'!R150),IF('INHERENT MAP'!$B$5=2022,IF(#REF!="",N123,#REF!),IF('INHERENT MAP'!$B$5=2023,IF(#REF!="",N123,#REF!),IF('INHERENT MAP'!$B$5=2024,IF(#REF!="",N123,#REF!),IF('РЕЕСТР РИСКОВ_2023'!R150="",N123,'РЕЕСТР РИСКОВ_2023'!R150)))))</f>
        <v>1. Нарушение требований ПТЭ, ИСИ, ИДП, местных инструкций, ТРА станций, должностных инструкций.
2. Недостаточное обладание техническими знаниями работников, участвующих в организации движения поездов.
3. Человеческий фактор.</v>
      </c>
      <c r="O124">
        <f>'РЕЕСТР РИСКОВ_2023'!T150</f>
        <v>0</v>
      </c>
      <c r="P124" t="e">
        <f>IF('РЕЕСТР РИСКОВ_2023'!U150="",P123,'РЕЕСТР РИСКОВ_2023'!U150)</f>
        <v>#REF!</v>
      </c>
      <c r="Q124" t="str">
        <f>IF('РЕЕСТР РИСКОВ_2023'!V150="",Q123,'РЕЕСТР РИСКОВ_2023'!V150)</f>
        <v>Слабые стороны</v>
      </c>
      <c r="R124" t="str">
        <f>IF('РЕЕСТР РИСКОВ_2023'!W150="",R123,'РЕЕСТР РИСКОВ_2023'!W150)</f>
        <v>Частота отказов</v>
      </c>
      <c r="S124">
        <f>'РЕЕСТР РИСКОВ_2023'!X150</f>
        <v>0</v>
      </c>
      <c r="T124" s="94">
        <f>IF('INHERENT MAP'!$B$5=2021,'РЕЕСТР РИСКОВ_2023'!Y150,IF('INHERENT MAP'!$B$5=2022,#REF!,IF('INHERENT MAP'!$B$5=2023,#REF!,IF('INHERENT MAP'!$B$5=2024,#REF!,#REF!))))</f>
        <v>0.05</v>
      </c>
      <c r="U124">
        <f>IF('INHERENT MAP'!$B$5=2021,'РЕЕСТР РИСКОВ_2023'!Z150,IF('INHERENT MAP'!$B$5=2022,#REF!,IF('INHERENT MAP'!$B$5=2023,#REF!,IF('INHERENT MAP'!$B$5=2024,#REF!,#REF!))))</f>
        <v>-0.6522</v>
      </c>
      <c r="V124">
        <f>IF('INHERENT MAP'!$B$5=2021,'РЕЕСТР РИСКОВ_2023'!AA150,IF('INHERENT MAP'!$B$5=2022,#REF!,IF('INHERENT MAP'!$B$5=2023,#REF!,IF('INHERENT MAP'!$B$5=2024,#REF!,#REF!))))</f>
        <v>-3.261E-2</v>
      </c>
      <c r="W124">
        <f>IF('INHERENT MAP'!$B$5=2021,'РЕЕСТР РИСКОВ_2023'!AB150,IF('INHERENT MAP'!$B$5=2022,#REF!,IF('INHERENT MAP'!$B$5=2023,#REF!,IF('INHERENT MAP'!$B$5=2024,#REF!,#REF!))))</f>
        <v>0</v>
      </c>
      <c r="X124" s="94">
        <f>IF('INHERENT MAP'!$B$5=2021,'РЕЕСТР РИСКОВ_2023'!AC150,IF('INHERENT MAP'!$B$5=2022,#REF!,IF('INHERENT MAP'!$B$5=2023,#REF!,IF('INHERENT MAP'!$B$5=2024,#REF!,#REF!))))</f>
        <v>0</v>
      </c>
      <c r="Y124">
        <f>IF('INHERENT MAP'!$B$5=2021,'РЕЕСТР РИСКОВ_2023'!AD150,IF('INHERENT MAP'!$B$5=2022,#REF!,IF('INHERENT MAP'!$B$5=2023,#REF!,IF('INHERENT MAP'!$B$5=2024,#REF!,#REF!))))</f>
        <v>0</v>
      </c>
      <c r="Z124">
        <f>IF('INHERENT MAP'!$B$5=2021,'РЕЕСТР РИСКОВ_2023'!AE150,IF('INHERENT MAP'!$B$5=2022,#REF!,IF('INHERENT MAP'!$B$5=2023,#REF!,IF('INHERENT MAP'!$B$5=2024,#REF!,#REF!))))</f>
        <v>0</v>
      </c>
      <c r="AA124">
        <f>IF('INHERENT MAP'!$B$5=2021,'РЕЕСТР РИСКОВ_2023'!AF150,IF('INHERENT MAP'!$B$5=2022,#REF!,IF('INHERENT MAP'!$B$5=2023,#REF!,IF('INHERENT MAP'!$B$5=2024,#REF!,#REF!))))</f>
        <v>0</v>
      </c>
      <c r="AB124">
        <f>IF('INHERENT MAP'!$B$5=2021,'РЕЕСТР РИСКОВ_2023'!AG150,IF('INHERENT MAP'!$B$5=2022,#REF!,IF('INHERENT MAP'!$B$5=2023,#REF!,IF('INHERENT MAP'!$B$5=2024,#REF!,#REF!))))</f>
        <v>0</v>
      </c>
      <c r="AC124">
        <f>IF('INHERENT MAP'!$B$5=2021,'РЕЕСТР РИСКОВ_2023'!AH150,IF('INHERENT MAP'!$B$5=2022,#REF!,IF('INHERENT MAP'!$B$5=2023,#REF!,IF('INHERENT MAP'!$B$5=2024,#REF!,#REF!))))</f>
        <v>0</v>
      </c>
      <c r="AD124" t="str">
        <f>IF('INHERENT MAP'!$B$5=2021,'РЕЕСТР РИСКОВ_2023'!AI150,IF('INHERENT MAP'!$B$5=2022,#REF!,IF('INHERENT MAP'!$B$5=2023,#REF!,IF('INHERENT MAP'!$B$5=2024,#REF!,#REF!))))</f>
        <v xml:space="preserve">1. Обучение эксплуатационного штата с отрывом и без отрыва от производства (проведение инструктажей, технические занятия, показательные окна в ШЧ); 
2. Периодическая аттестация и проверка знаний эксплуатационного штата.
3. Мониторинг и анализ возникновения причин отказов
4. Поиск новых методов выполнения технологического процесса, минимизирующиг участие производственного персонала </v>
      </c>
      <c r="AE124">
        <f>IF('INHERENT MAP'!$B$5=2021,'РЕЕСТР РИСКОВ_2023'!AK150,IF('INHERENT MAP'!$B$5=2022,#REF!,IF('INHERENT MAP'!$B$5=2023,#REF!,IF('INHERENT MAP'!$B$5=2024,#REF!,#REF!))))</f>
        <v>0</v>
      </c>
      <c r="AF124">
        <f>IF('INHERENT MAP'!$B$5=2021,'РЕЕСТР РИСКОВ_2023'!AL150,IF('INHERENT MAP'!$B$5=2022,#REF!,IF('INHERENT MAP'!$B$5=2023,#REF!,IF('INHERENT MAP'!$B$5=2024,#REF!,#REF!))))</f>
        <v>0</v>
      </c>
      <c r="AG124" t="str">
        <f>IF('INHERENT MAP'!$B$5=2021,'РЕЕСТР РИСКОВ_2023'!AM150,IF('INHERENT MAP'!$B$5=2022,#REF!,IF('INHERENT MAP'!$B$5=2023,#REF!,IF('INHERENT MAP'!$B$5=2024,#REF!,#REF!))))</f>
        <v>низкая</v>
      </c>
      <c r="AH124">
        <f>IF('INHERENT MAP'!$B$5=2021,'РЕЕСТР РИСКОВ_2023'!AN150,IF('INHERENT MAP'!$B$5=2022,#REF!,IF('INHERENT MAP'!$B$5=2023,#REF!,IF('INHERENT MAP'!$B$5=2024,#REF!,#REF!))))</f>
        <v>0.05</v>
      </c>
      <c r="AI124">
        <f>IF('INHERENT MAP'!$B$5=2021,'РЕЕСТР РИСКОВ_2023'!AO150,IF('INHERENT MAP'!$B$5=2022,#REF!,IF('INHERENT MAP'!$B$5=2023,#REF!,IF('INHERENT MAP'!$B$5=2024,#REF!,#REF!))))</f>
        <v>-0.6522</v>
      </c>
      <c r="AJ124">
        <f>IF('INHERENT MAP'!$B$5=2021,'РЕЕСТР РИСКОВ_2023'!AP150,IF('INHERENT MAP'!$B$5=2022,#REF!,IF('INHERENT MAP'!$B$5=2023,#REF!,IF('INHERENT MAP'!$B$5=2024,#REF!,#REF!))))</f>
        <v>-3.261E-2</v>
      </c>
      <c r="AK124">
        <f>IF('РЕЕСТР РИСКОВ_2023'!AQ150="",AK123,'РЕЕСТР РИСКОВ_2023'!AQ150)</f>
        <v>-1.7392000000000001</v>
      </c>
      <c r="AL124">
        <f>IF('РЕЕСТР РИСКОВ_2023'!AR150="",AL123,'РЕЕСТР РИСКОВ_2023'!AR150)</f>
        <v>8.3145837273494741E-2</v>
      </c>
      <c r="AM124">
        <f>IF('РЕЕСТР РИСКОВ_2023'!AS150="",AM123,'РЕЕСТР РИСКОВ_2023'!AS150)</f>
        <v>-7444.5336908148165</v>
      </c>
      <c r="AN124">
        <f>IF('РЕЕСТР РИСКОВ_2023'!AT150="",AN123,'РЕЕСТР РИСКОВ_2023'!AT150)</f>
        <v>-4187.696824450165</v>
      </c>
      <c r="AO124" t="e">
        <f>IF('РЕЕСТР РИСКОВ_2023'!AU150="",AO123,'РЕЕСТР РИСКОВ_2023'!AU150)</f>
        <v>#REF!</v>
      </c>
    </row>
    <row r="125" spans="2:41">
      <c r="B125" t="str">
        <f>IF('INHERENT MAP'!$B$5=2021,IF('РЕЕСТР РИСКОВ_2023'!F151="",B124,'РЕЕСТР РИСКОВ_2023'!F151),IF('INHERENT MAP'!$B$5=2022,IF(#REF!="",B124,#REF!),IF('INHERENT MAP'!$B$5=2023,IF(#REF!="",B124,#REF!),IF('INHERENT MAP'!$B$5=2024,IF(#REF!="",B124,#REF!),IF('РЕЕСТР РИСКОВ_2023'!F151="",B124,'РЕЕСТР РИСКОВ_2023'!F151)))))</f>
        <v>ИНФРАСТРУКТУРНЫЙ РИСК</v>
      </c>
      <c r="C125" t="e">
        <f>IF('INHERENT MAP'!$B$5=2021,IF('РЕЕСТР РИСКОВ_2023'!G151="",C124,'РЕЕСТР РИСКОВ_2023'!G151),IF('INHERENT MAP'!$B$5=2022,IF(#REF!="",C124,#REF!),IF('INHERENT MAP'!$B$5=2023,IF(#REF!="",C124,#REF!),IF('INHERENT MAP'!$B$5=2024,IF(#REF!="",C124,#REF!),IF('РЕЕСТР РИСКОВ_2023'!G151="",C124,'РЕЕСТР РИСКОВ_2023'!G151)))))</f>
        <v>#REF!</v>
      </c>
      <c r="D125" t="str">
        <f>IF('INHERENT MAP'!$B$5=2021,IF('РЕЕСТР РИСКОВ_2023'!H151="",D124,'РЕЕСТР РИСКОВ_2023'!H151),IF('INHERENT MAP'!$B$5=2022,IF(#REF!="",D124,#REF!),IF('INHERENT MAP'!$B$5=2023,IF(#REF!="",D124,#REF!),IF('INHERENT MAP'!$B$5=2024,IF(#REF!="",D124,#REF!),IF('РЕЕСТР РИСКОВ_2023'!H151="",D124,'РЕЕСТР РИСКОВ_2023'!H151)))))</f>
        <v>IR-6</v>
      </c>
      <c r="E125" t="str">
        <f>IF('INHERENT MAP'!$B$5=2021,IF('РЕЕСТР РИСКОВ_2023'!I151="",E124,'РЕЕСТР РИСКОВ_2023'!I151),IF('INHERENT MAP'!$B$5=2022,IF(#REF!="",E124,#REF!),IF('INHERENT MAP'!$B$5=2023,IF(#REF!="",E124,#REF!),IF('INHERENT MAP'!$B$5=2024,IF(#REF!="",E124,#REF!),IF('РЕЕСТР РИСКОВ_2023'!I151="",E124,'РЕЕСТР РИСКОВ_2023'!I151)))))</f>
        <v xml:space="preserve">ЦЗ-1, ЦЗИ
</v>
      </c>
      <c r="F125" t="str">
        <f>IF('INHERENT MAP'!$B$5=2021,IF('РЕЕСТР РИСКОВ_2023'!J151="",F124,'РЕЕСТР РИСКОВ_2023'!J151),IF('INHERENT MAP'!$B$5=2022,IF(#REF!="",F124,#REF!),IF('INHERENT MAP'!$B$5=2023,IF(#REF!="",F124,#REF!),IF('INHERENT MAP'!$B$5=2024,IF(#REF!="",F124,#REF!),IF('РЕЕСТР РИСКОВ_2023'!J151="",F124,'РЕЕСТР РИСКОВ_2023'!J151)))))</f>
        <v>Дирекция магистральной сети</v>
      </c>
      <c r="G125" t="str">
        <f>IF('INHERENT MAP'!$B$5=2021,IF('РЕЕСТР РИСКОВ_2023'!K151="",G124,'РЕЕСТР РИСКОВ_2023'!K151),IF('INHERENT MAP'!$B$5=2022,IF(#REF!="",G124,#REF!),IF('INHERENT MAP'!$B$5=2023,IF(#REF!="",G124,#REF!),IF('INHERENT MAP'!$B$5=2024,IF(#REF!="",G124,#REF!),IF('РЕЕСТР РИСКОВ_2023'!K151="",G124,'РЕЕСТР РИСКОВ_2023'!K151)))))</f>
        <v>Нарушение нормальной работы технических средств</v>
      </c>
      <c r="H125">
        <f>IF('INHERENT MAP'!$B$5=2021,'РЕЕСТР РИСКОВ_2023'!L151,IF('INHERENT MAP'!$B$5=2022,#REF!,IF('INHERENT MAP'!$B$5=2023,#REF!,IF('INHERENT MAP'!$B$5=2024,#REF!,#REF!))))</f>
        <v>0</v>
      </c>
      <c r="I125">
        <f>IF('INHERENT MAP'!$B$5=2021,'РЕЕСТР РИСКОВ_2023'!M151,IF('INHERENT MAP'!$B$5=2022,#REF!,IF('INHERENT MAP'!$B$5=2023,#REF!,IF('INHERENT MAP'!$B$5=2024,#REF!,#REF!))))</f>
        <v>0</v>
      </c>
      <c r="J125">
        <f>IF('INHERENT MAP'!$B$5=2021,'РЕЕСТР РИСКОВ_2023'!N151,IF('INHERENT MAP'!$B$5=2022,#REF!,IF('INHERENT MAP'!$B$5=2023,#REF!,IF('INHERENT MAP'!$B$5=2024,#REF!,#REF!))))</f>
        <v>0</v>
      </c>
      <c r="K125">
        <f>IF('INHERENT MAP'!$B$5=2021,'РЕЕСТР РИСКОВ_2023'!O151,IF('INHERENT MAP'!$B$5=2022,#REF!,IF('INHERENT MAP'!$B$5=2023,#REF!,IF('INHERENT MAP'!$B$5=2024,#REF!,#REF!))))</f>
        <v>0</v>
      </c>
      <c r="L125">
        <f>IF('INHERENT MAP'!$B$5=2021,'РЕЕСТР РИСКОВ_2023'!P151,IF('INHERENT MAP'!$B$5=2022,#REF!,IF('INHERENT MAP'!$B$5=2023,#REF!,IF('INHERENT MAP'!$B$5=2024,#REF!,#REF!))))</f>
        <v>0</v>
      </c>
      <c r="M125" t="str">
        <f>IF('INHERENT MAP'!$B$5=2021,IF('РЕЕСТР РИСКОВ_2023'!Q151="",M124,'РЕЕСТР РИСКОВ_2023'!Q151),IF('INHERENT MAP'!$B$5=2022,IF(#REF!="",M124,#REF!),IF('INHERENT MAP'!$B$5=2023,IF(#REF!="",M124,#REF!),IF('INHERENT MAP'!$B$5=2024,IF(#REF!="",M124,#REF!),IF('РЕЕСТР РИСКОВ_2023'!Q151="",M124,'РЕЕСТР РИСКОВ_2023'!Q151)))))</f>
        <v>Разрушение зданий постов ЭЦ, ДЦ, ЛАЗ и т.п.</v>
      </c>
      <c r="N125" t="str">
        <f>IF('INHERENT MAP'!$B$5=2021,IF('РЕЕСТР РИСКОВ_2023'!R151="",N124,'РЕЕСТР РИСКОВ_2023'!R151),IF('INHERENT MAP'!$B$5=2022,IF(#REF!="",N124,#REF!),IF('INHERENT MAP'!$B$5=2023,IF(#REF!="",N124,#REF!),IF('INHERENT MAP'!$B$5=2024,IF(#REF!="",N124,#REF!),IF('РЕЕСТР РИСКОВ_2023'!R151="",N124,'РЕЕСТР РИСКОВ_2023'!R151)))))</f>
        <v>1. Несвоевременное проведение обследования зданий и помещений;
2. Отсутствие капитального ремонта зданий с нулевой остаточной стоимостью.
3. Отсутствие специализированных бригад по содержанию зданий.
4. Природные и техногенные воздействия (ураган, землетрясение, паводок, взрыв и т. п.).
5. Истечение нормативного срока службы зданий (более 30 лет).</v>
      </c>
      <c r="O125">
        <f>'РЕЕСТР РИСКОВ_2023'!T151</f>
        <v>0</v>
      </c>
      <c r="P125" t="e">
        <f>IF('РЕЕСТР РИСКОВ_2023'!U151="",P124,'РЕЕСТР РИСКОВ_2023'!U151)</f>
        <v>#REF!</v>
      </c>
      <c r="Q125" t="str">
        <f>IF('РЕЕСТР РИСКОВ_2023'!V151="",Q124,'РЕЕСТР РИСКОВ_2023'!V151)</f>
        <v>Слабые стороны</v>
      </c>
      <c r="R125" t="str">
        <f>IF('РЕЕСТР РИСКОВ_2023'!W151="",R124,'РЕЕСТР РИСКОВ_2023'!W151)</f>
        <v>Количество зарегистированных случаев нарушений требований НТД</v>
      </c>
      <c r="S125">
        <f>'РЕЕСТР РИСКОВ_2023'!X151</f>
        <v>0</v>
      </c>
      <c r="T125" s="94">
        <f>IF('INHERENT MAP'!$B$5=2021,'РЕЕСТР РИСКОВ_2023'!Y151,IF('INHERENT MAP'!$B$5=2022,#REF!,IF('INHERENT MAP'!$B$5=2023,#REF!,IF('INHERENT MAP'!$B$5=2024,#REF!,#REF!))))</f>
        <v>0.05</v>
      </c>
      <c r="U125">
        <f>IF('INHERENT MAP'!$B$5=2021,'РЕЕСТР РИСКОВ_2023'!Z151,IF('INHERENT MAP'!$B$5=2022,#REF!,IF('INHERENT MAP'!$B$5=2023,#REF!,IF('INHERENT MAP'!$B$5=2024,#REF!,#REF!))))</f>
        <v>-0.6522</v>
      </c>
      <c r="V125">
        <f>IF('INHERENT MAP'!$B$5=2021,'РЕЕСТР РИСКОВ_2023'!AA151,IF('INHERENT MAP'!$B$5=2022,#REF!,IF('INHERENT MAP'!$B$5=2023,#REF!,IF('INHERENT MAP'!$B$5=2024,#REF!,#REF!))))</f>
        <v>-3.261E-2</v>
      </c>
      <c r="W125" t="str">
        <f>IF('INHERENT MAP'!$B$5=2021,'РЕЕСТР РИСКОВ_2023'!AB151,IF('INHERENT MAP'!$B$5=2022,#REF!,IF('INHERENT MAP'!$B$5=2023,#REF!,IF('INHERENT MAP'!$B$5=2024,#REF!,#REF!))))</f>
        <v>Требуется капитальный ремонт зданий в количестве 508 ед., на сумму 11 360 млн тг.</v>
      </c>
      <c r="X125" s="94">
        <f>IF('INHERENT MAP'!$B$5=2021,'РЕЕСТР РИСКОВ_2023'!AC151,IF('INHERENT MAP'!$B$5=2022,#REF!,IF('INHERENT MAP'!$B$5=2023,#REF!,IF('INHERENT MAP'!$B$5=2024,#REF!,#REF!))))</f>
        <v>0</v>
      </c>
      <c r="Y125">
        <f>IF('INHERENT MAP'!$B$5=2021,'РЕЕСТР РИСКОВ_2023'!AD151,IF('INHERENT MAP'!$B$5=2022,#REF!,IF('INHERENT MAP'!$B$5=2023,#REF!,IF('INHERENT MAP'!$B$5=2024,#REF!,#REF!))))</f>
        <v>0</v>
      </c>
      <c r="Z125">
        <f>IF('INHERENT MAP'!$B$5=2021,'РЕЕСТР РИСКОВ_2023'!AE151,IF('INHERENT MAP'!$B$5=2022,#REF!,IF('INHERENT MAP'!$B$5=2023,#REF!,IF('INHERENT MAP'!$B$5=2024,#REF!,#REF!))))</f>
        <v>0</v>
      </c>
      <c r="AA125">
        <f>IF('INHERENT MAP'!$B$5=2021,'РЕЕСТР РИСКОВ_2023'!AF151,IF('INHERENT MAP'!$B$5=2022,#REF!,IF('INHERENT MAP'!$B$5=2023,#REF!,IF('INHERENT MAP'!$B$5=2024,#REF!,#REF!))))</f>
        <v>0</v>
      </c>
      <c r="AB125">
        <f>IF('INHERENT MAP'!$B$5=2021,'РЕЕСТР РИСКОВ_2023'!AG151,IF('INHERENT MAP'!$B$5=2022,#REF!,IF('INHERENT MAP'!$B$5=2023,#REF!,IF('INHERENT MAP'!$B$5=2024,#REF!,#REF!))))</f>
        <v>0</v>
      </c>
      <c r="AC125">
        <f>IF('INHERENT MAP'!$B$5=2021,'РЕЕСТР РИСКОВ_2023'!AH151,IF('INHERENT MAP'!$B$5=2022,#REF!,IF('INHERENT MAP'!$B$5=2023,#REF!,IF('INHERENT MAP'!$B$5=2024,#REF!,#REF!))))</f>
        <v>0</v>
      </c>
      <c r="AD125" t="str">
        <f>IF('INHERENT MAP'!$B$5=2021,'РЕЕСТР РИСКОВ_2023'!AI151,IF('INHERENT MAP'!$B$5=2022,#REF!,IF('INHERENT MAP'!$B$5=2023,#REF!,IF('INHERENT MAP'!$B$5=2024,#REF!,#REF!))))</f>
        <v>1. Проведение анализа по объектам, расположенных в зонах наиболее подверженных природным и техногенным ???
2. Выделение бюджета для проведения обследования зданий и разработки ПСД и проведение ремонтных работ или работ по реконструкции зданий.
3. Выполнение СМР согласно разработанных ПСД.
4. Пересмотр нормативных документов.
5. Строительство новык капитальных строений или зданий модульного типа.
6. Перенос оборудования ЖАТС из аварийных зданий в новые здания или здания модульного типа.
7. Разработка и выполнение мероприятий направленных на снижения уровня воздействия природных и техногенных воздействий.
8. Строительство новых объектов в соответствии с строительными нормами, с учетом их географического расположения.</v>
      </c>
      <c r="AE125">
        <f>IF('INHERENT MAP'!$B$5=2021,'РЕЕСТР РИСКОВ_2023'!AK151,IF('INHERENT MAP'!$B$5=2022,#REF!,IF('INHERENT MAP'!$B$5=2023,#REF!,IF('INHERENT MAP'!$B$5=2024,#REF!,#REF!))))</f>
        <v>0</v>
      </c>
      <c r="AF125">
        <f>IF('INHERENT MAP'!$B$5=2021,'РЕЕСТР РИСКОВ_2023'!AL151,IF('INHERENT MAP'!$B$5=2022,#REF!,IF('INHERENT MAP'!$B$5=2023,#REF!,IF('INHERENT MAP'!$B$5=2024,#REF!,#REF!))))</f>
        <v>0</v>
      </c>
      <c r="AG125" t="str">
        <f>IF('INHERENT MAP'!$B$5=2021,'РЕЕСТР РИСКОВ_2023'!AM151,IF('INHERENT MAP'!$B$5=2022,#REF!,IF('INHERENT MAP'!$B$5=2023,#REF!,IF('INHERENT MAP'!$B$5=2024,#REF!,#REF!))))</f>
        <v>низкая</v>
      </c>
      <c r="AH125">
        <f>IF('INHERENT MAP'!$B$5=2021,'РЕЕСТР РИСКОВ_2023'!AN151,IF('INHERENT MAP'!$B$5=2022,#REF!,IF('INHERENT MAP'!$B$5=2023,#REF!,IF('INHERENT MAP'!$B$5=2024,#REF!,#REF!))))</f>
        <v>0.05</v>
      </c>
      <c r="AI125">
        <f>IF('INHERENT MAP'!$B$5=2021,'РЕЕСТР РИСКОВ_2023'!AO151,IF('INHERENT MAP'!$B$5=2022,#REF!,IF('INHERENT MAP'!$B$5=2023,#REF!,IF('INHERENT MAP'!$B$5=2024,#REF!,#REF!))))</f>
        <v>-0.6522</v>
      </c>
      <c r="AJ125">
        <f>IF('INHERENT MAP'!$B$5=2021,'РЕЕСТР РИСКОВ_2023'!AP151,IF('INHERENT MAP'!$B$5=2022,#REF!,IF('INHERENT MAP'!$B$5=2023,#REF!,IF('INHERENT MAP'!$B$5=2024,#REF!,#REF!))))</f>
        <v>-3.261E-2</v>
      </c>
      <c r="AK125">
        <f>IF('РЕЕСТР РИСКОВ_2023'!AQ151="",AK124,'РЕЕСТР РИСКОВ_2023'!AQ151)</f>
        <v>-3.261E-2</v>
      </c>
      <c r="AL125">
        <f>IF('РЕЕСТР РИСКОВ_2023'!AR151="",AL124,'РЕЕСТР РИСКОВ_2023'!AR151)</f>
        <v>8.3145837273494741E-2</v>
      </c>
      <c r="AM125">
        <f>IF('РЕЕСТР РИСКОВ_2023'!AS151="",AM124,'РЕЕСТР РИСКОВ_2023'!AS151)</f>
        <v>-7444.5336908148165</v>
      </c>
      <c r="AN125">
        <f>IF('РЕЕСТР РИСКОВ_2023'!AT151="",AN124,'РЕЕСТР РИСКОВ_2023'!AT151)</f>
        <v>-4187.696824450165</v>
      </c>
      <c r="AO125" t="e">
        <f>IF('РЕЕСТР РИСКОВ_2023'!AU151="",AO124,'РЕЕСТР РИСКОВ_2023'!AU151)</f>
        <v>#REF!</v>
      </c>
    </row>
    <row r="126" spans="2:41">
      <c r="B126" t="str">
        <f>IF('INHERENT MAP'!$B$5=2021,IF('РЕЕСТР РИСКОВ_2023'!F152="",B125,'РЕЕСТР РИСКОВ_2023'!F152),IF('INHERENT MAP'!$B$5=2022,IF(#REF!="",B125,#REF!),IF('INHERENT MAP'!$B$5=2023,IF(#REF!="",B125,#REF!),IF('INHERENT MAP'!$B$5=2024,IF(#REF!="",B125,#REF!),IF('РЕЕСТР РИСКОВ_2023'!F152="",B125,'РЕЕСТР РИСКОВ_2023'!F152)))))</f>
        <v>ПРОЕКТНЫЕ И ИНВЕСТИЦИОННЫЕ РИСКИ</v>
      </c>
      <c r="C126" t="e">
        <f>IF('INHERENT MAP'!$B$5=2021,IF('РЕЕСТР РИСКОВ_2023'!G152="",C125,'РЕЕСТР РИСКОВ_2023'!G152),IF('INHERENT MAP'!$B$5=2022,IF(#REF!="",C125,#REF!),IF('INHERENT MAP'!$B$5=2023,IF(#REF!="",C125,#REF!),IF('INHERENT MAP'!$B$5=2024,IF(#REF!="",C125,#REF!),IF('РЕЕСТР РИСКОВ_2023'!G152="",C125,'РЕЕСТР РИСКОВ_2023'!G152)))))</f>
        <v>#REF!</v>
      </c>
      <c r="D126" t="str">
        <f>IF('INHERENT MAP'!$B$5=2021,IF('РЕЕСТР РИСКОВ_2023'!H152="",D125,'РЕЕСТР РИСКОВ_2023'!H152),IF('INHERENT MAP'!$B$5=2022,IF(#REF!="",D125,#REF!),IF('INHERENT MAP'!$B$5=2023,IF(#REF!="",D125,#REF!),IF('INHERENT MAP'!$B$5=2024,IF(#REF!="",D125,#REF!),IF('РЕЕСТР РИСКОВ_2023'!H152="",D125,'РЕЕСТР РИСКОВ_2023'!H152)))))</f>
        <v>PIR-1</v>
      </c>
      <c r="E126" t="str">
        <f>IF('INHERENT MAP'!$B$5=2021,IF('РЕЕСТР РИСКОВ_2023'!I152="",E125,'РЕЕСТР РИСКОВ_2023'!I152),IF('INHERENT MAP'!$B$5=2022,IF(#REF!="",E125,#REF!),IF('INHERENT MAP'!$B$5=2023,IF(#REF!="",E125,#REF!),IF('INHERENT MAP'!$B$5=2024,IF(#REF!="",E125,#REF!),IF('РЕЕСТР РИСКОВ_2023'!I152="",E125,'РЕЕСТР РИСКОВ_2023'!I152)))))</f>
        <v>ЦЗЛ</v>
      </c>
      <c r="F126" t="str">
        <f>IF('INHERENT MAP'!$B$5=2021,IF('РЕЕСТР РИСКОВ_2023'!J152="",F125,'РЕЕСТР РИСКОВ_2023'!J152),IF('INHERENT MAP'!$B$5=2022,IF(#REF!="",F125,#REF!),IF('INHERENT MAP'!$B$5=2023,IF(#REF!="",F125,#REF!),IF('INHERENT MAP'!$B$5=2024,IF(#REF!="",F125,#REF!),IF('РЕЕСТР РИСКОВ_2023'!J152="",F125,'РЕЕСТР РИСКОВ_2023'!J152)))))</f>
        <v>АО "KTZ Express"</v>
      </c>
      <c r="G126" t="str">
        <f>IF('INHERENT MAP'!$B$5=2021,IF('РЕЕСТР РИСКОВ_2023'!K152="",G125,'РЕЕСТР РИСКОВ_2023'!K152),IF('INHERENT MAP'!$B$5=2022,IF(#REF!="",G125,#REF!),IF('INHERENT MAP'!$B$5=2023,IF(#REF!="",G125,#REF!),IF('INHERENT MAP'!$B$5=2024,IF(#REF!="",G125,#REF!),IF('РЕЕСТР РИСКОВ_2023'!K152="",G125,'РЕЕСТР РИСКОВ_2023'!K152)))))</f>
        <v>Риск обесценения инвестиций</v>
      </c>
      <c r="H126">
        <f>IF('INHERENT MAP'!$B$5=2021,'РЕЕСТР РИСКОВ_2023'!L152,IF('INHERENT MAP'!$B$5=2022,#REF!,IF('INHERENT MAP'!$B$5=2023,#REF!,IF('INHERENT MAP'!$B$5=2024,#REF!,#REF!))))</f>
        <v>0</v>
      </c>
      <c r="I126">
        <f>IF('INHERENT MAP'!$B$5=2021,'РЕЕСТР РИСКОВ_2023'!M152,IF('INHERENT MAP'!$B$5=2022,#REF!,IF('INHERENT MAP'!$B$5=2023,#REF!,IF('INHERENT MAP'!$B$5=2024,#REF!,#REF!))))</f>
        <v>0</v>
      </c>
      <c r="J126">
        <f>IF('INHERENT MAP'!$B$5=2021,'РЕЕСТР РИСКОВ_2023'!N152,IF('INHERENT MAP'!$B$5=2022,#REF!,IF('INHERENT MAP'!$B$5=2023,#REF!,IF('INHERENT MAP'!$B$5=2024,#REF!,#REF!))))</f>
        <v>0</v>
      </c>
      <c r="K126">
        <f>IF('INHERENT MAP'!$B$5=2021,'РЕЕСТР РИСКОВ_2023'!O152,IF('INHERENT MAP'!$B$5=2022,#REF!,IF('INHERENT MAP'!$B$5=2023,#REF!,IF('INHERENT MAP'!$B$5=2024,#REF!,#REF!))))</f>
        <v>0</v>
      </c>
      <c r="L126">
        <f>IF('INHERENT MAP'!$B$5=2021,'РЕЕСТР РИСКОВ_2023'!P152,IF('INHERENT MAP'!$B$5=2022,#REF!,IF('INHERENT MAP'!$B$5=2023,#REF!,IF('INHERENT MAP'!$B$5=2024,#REF!,#REF!))))</f>
        <v>0</v>
      </c>
      <c r="M126" t="str">
        <f>IF('INHERENT MAP'!$B$5=2021,IF('РЕЕСТР РИСКОВ_2023'!Q152="",M125,'РЕЕСТР РИСКОВ_2023'!Q152),IF('INHERENT MAP'!$B$5=2022,IF(#REF!="",M125,#REF!),IF('INHERENT MAP'!$B$5=2023,IF(#REF!="",M125,#REF!),IF('INHERENT MAP'!$B$5=2024,IF(#REF!="",M125,#REF!),IF('РЕЕСТР РИСКОВ_2023'!Q152="",M125,'РЕЕСТР РИСКОВ_2023'!Q152)))))</f>
        <v xml:space="preserve">Риск невозврата инвестиций, вложенных в уставный капитал ТОО «АМСТ» ввиду реализации риска обращения взыскания на принадлежащую  АО "KTZ Express " долю (30%) в уставном капитале ТОО "АМСТ", находящуюся в залоге у ПАО «Сбербанк» в соответствии с договором залога долей участия от 28.01.2016 г. </v>
      </c>
      <c r="N126" t="str">
        <f>IF('INHERENT MAP'!$B$5=2021,IF('РЕЕСТР РИСКОВ_2023'!R152="",N125,'РЕЕСТР РИСКОВ_2023'!R152),IF('INHERENT MAP'!$B$5=2022,IF(#REF!="",N125,#REF!),IF('INHERENT MAP'!$B$5=2023,IF(#REF!="",N125,#REF!),IF('INHERENT MAP'!$B$5=2024,IF(#REF!="",N125,#REF!),IF('РЕЕСТР РИСКОВ_2023'!R152="",N125,'РЕЕСТР РИСКОВ_2023'!R152)))))</f>
        <v>1. Несвоевременное проведение обследования зданий и помещений;
2. Отсутствие капитального ремонта зданий с нулевой остаточной стоимостью.
3. Отсутствие специализированных бригад по содержанию зданий.
4. Природные и техногенные воздействия (ураган, землетрясение, паводок, взрыв и т. п.).
5. Истечение нормативного срока службы зданий (более 30 лет).</v>
      </c>
      <c r="O126">
        <f>'РЕЕСТР РИСКОВ_2023'!T152</f>
        <v>0</v>
      </c>
      <c r="P126" t="e">
        <f>IF('РЕЕСТР РИСКОВ_2023'!U152="",P125,'РЕЕСТР РИСКОВ_2023'!U152)</f>
        <v>#REF!</v>
      </c>
      <c r="Q126" t="str">
        <f>IF('РЕЕСТР РИСКОВ_2023'!V152="",Q125,'РЕЕСТР РИСКОВ_2023'!V152)</f>
        <v>Угрозы</v>
      </c>
      <c r="R126" t="str">
        <f>IF('РЕЕСТР РИСКОВ_2023'!W152="",R125,'РЕЕСТР РИСКОВ_2023'!W152)</f>
        <v>Количество зарегистированных случаев нарушений требований НТД</v>
      </c>
      <c r="S126">
        <f>'РЕЕСТР РИСКОВ_2023'!X152</f>
        <v>0</v>
      </c>
      <c r="T126" s="94">
        <f>IF('INHERENT MAP'!$B$5=2021,'РЕЕСТР РИСКОВ_2023'!Y152,IF('INHERENT MAP'!$B$5=2022,#REF!,IF('INHERENT MAP'!$B$5=2023,#REF!,IF('INHERENT MAP'!$B$5=2024,#REF!,#REF!))))</f>
        <v>0.6</v>
      </c>
      <c r="U126">
        <f>IF('INHERENT MAP'!$B$5=2021,'РЕЕСТР РИСКОВ_2023'!Z152,IF('INHERENT MAP'!$B$5=2022,#REF!,IF('INHERENT MAP'!$B$5=2023,#REF!,IF('INHERENT MAP'!$B$5=2024,#REF!,#REF!))))</f>
        <v>-6056</v>
      </c>
      <c r="V126">
        <f>IF('INHERENT MAP'!$B$5=2021,'РЕЕСТР РИСКОВ_2023'!AA152,IF('INHERENT MAP'!$B$5=2022,#REF!,IF('INHERENT MAP'!$B$5=2023,#REF!,IF('INHERENT MAP'!$B$5=2024,#REF!,#REF!))))</f>
        <v>-3633.6</v>
      </c>
      <c r="W126">
        <f>IF('INHERENT MAP'!$B$5=2021,'РЕЕСТР РИСКОВ_2023'!AB152,IF('INHERENT MAP'!$B$5=2022,#REF!,IF('INHERENT MAP'!$B$5=2023,#REF!,IF('INHERENT MAP'!$B$5=2024,#REF!,#REF!))))</f>
        <v>0</v>
      </c>
      <c r="X126" s="94">
        <f>IF('INHERENT MAP'!$B$5=2021,'РЕЕСТР РИСКОВ_2023'!AC152,IF('INHERENT MAP'!$B$5=2022,#REF!,IF('INHERENT MAP'!$B$5=2023,#REF!,IF('INHERENT MAP'!$B$5=2024,#REF!,#REF!))))</f>
        <v>0.59222100961904522</v>
      </c>
      <c r="Y126">
        <f>IF('INHERENT MAP'!$B$5=2021,'РЕЕСТР РИСКОВ_2023'!AD152,IF('INHERENT MAP'!$B$5=2022,#REF!,IF('INHERENT MAP'!$B$5=2023,#REF!,IF('INHERENT MAP'!$B$5=2024,#REF!,#REF!))))</f>
        <v>-6669</v>
      </c>
      <c r="Z126">
        <f>IF('INHERENT MAP'!$B$5=2021,'РЕЕСТР РИСКОВ_2023'!AE152,IF('INHERENT MAP'!$B$5=2022,#REF!,IF('INHERENT MAP'!$B$5=2023,#REF!,IF('INHERENT MAP'!$B$5=2024,#REF!,#REF!))))</f>
        <v>-3949.5219131494127</v>
      </c>
      <c r="AA126">
        <f>IF('INHERENT MAP'!$B$5=2021,'РЕЕСТР РИСКОВ_2023'!AF152,IF('INHERENT MAP'!$B$5=2022,#REF!,IF('INHERENT MAP'!$B$5=2023,#REF!,IF('INHERENT MAP'!$B$5=2024,#REF!,#REF!))))</f>
        <v>0</v>
      </c>
      <c r="AB126">
        <f>IF('INHERENT MAP'!$B$5=2021,'РЕЕСТР РИСКОВ_2023'!AG152,IF('INHERENT MAP'!$B$5=2022,#REF!,IF('INHERENT MAP'!$B$5=2023,#REF!,IF('INHERENT MAP'!$B$5=2024,#REF!,#REF!))))</f>
        <v>0</v>
      </c>
      <c r="AC126">
        <f>IF('INHERENT MAP'!$B$5=2021,'РЕЕСТР РИСКОВ_2023'!AH152,IF('INHERENT MAP'!$B$5=2022,#REF!,IF('INHERENT MAP'!$B$5=2023,#REF!,IF('INHERENT MAP'!$B$5=2024,#REF!,#REF!))))</f>
        <v>0</v>
      </c>
      <c r="AD126" t="str">
        <f>IF('INHERENT MAP'!$B$5=2021,'РЕЕСТР РИСКОВ_2023'!AI152,IF('INHERENT MAP'!$B$5=2022,#REF!,IF('INHERENT MAP'!$B$5=2023,#REF!,IF('INHERENT MAP'!$B$5=2024,#REF!,#REF!))))</f>
        <v>13 апреля 2022 года подписано дополнительное соглашение к Кредитному договору, согласно которому платежи осуществляются в российских рублях и местом проведения арбитражных разбирательств определен Гонконгский международных арбитражный центр («HKIAC»). 17 мая 2022 года подписано Дополнительное соглашение о внесении изменений в Кредитный договор, согласно которому: 1) осуществлена  конвертация суммы остатка ссудной задолженности по кредитному договору на дату конвертации (включая сумму основного обязательства, текущих процентов, просроченных процентов, а также всех дополнительных обязательств) с долларов США на российские рубли (эквивалент в рублях РФ) по курсу Банка России на дату конвертации; 2) увеличен срок финансирования займа с 120 месяцев до 165 месяцев (до 28.04.2029 г.); 3) изменен график платежей; 4) утверждена фиксированная базовая ставка с даты конвертации на уровне 17,3% (с оплатой 2% годовых ежемесячно, 15,3% в конце срока займа); утверждена фиксированная льготная ставка с даты конвертации на уровне - 7% (с оплатой 2% годовых ежемесячно, 5% в конце срока займа) при условии: отсутствиия просрочки по основному долгу и вознаграждению более 10 дней; дополнительной оплаты основного долга $2 млн. в 2022 году, последующие года по $3 млн. в рублях по курсу конвертации; оплаты основного долга в размере 12,2% (15 000 000 долларов США) от остатка задолженности на дату конвертации; ежемесячного направления свободных денежных средств, полученных от операционной деятельности, в счет погашения основной задолженности: - $2 млн. в 2022 году;
- по $3 млн. ежегодно, с 2023г. по 2028г. 5) погашение основного долга осуществляется ежеквартально.
30.06.2022г. было проведено рефинансирование основного долга (далее - ОД) на сумму 128,8 млн. долларов США в Сбербанке по курсу 51,158 рублей за 1 доллар США, который составил 6,3 млрд. RUB, на следующих основных условиях:
Базовая ставка - 17,3% льготная ставка - 7%. Ежемесячно к оплате 2% годовых, оплата разницы будет осуществлена в конце срока займа. Условия льготной ставки: отсутствие просрочки по ОД и %, оплата 28.12.2022г. ОД на сумму $15 млн. либо до 15.11.2022г. заключить оффтейк или иные соглашения с клиентами с коэффициентом покрытия долга (DSCR) не менее 0,9, которые подлежат пролонгации на 12 месяцев ежегодно. Ежемесячное направление всех свободных денежных средств от операционной деятельности, в счет погашения ОД на сумму $2 млн. в 2022 году, по $3 млн. ежегодно, с 2023г по 2028г.</v>
      </c>
      <c r="AE126">
        <f>IF('INHERENT MAP'!$B$5=2021,'РЕЕСТР РИСКОВ_2023'!AK152,IF('INHERENT MAP'!$B$5=2022,#REF!,IF('INHERENT MAP'!$B$5=2023,#REF!,IF('INHERENT MAP'!$B$5=2024,#REF!,#REF!))))</f>
        <v>0</v>
      </c>
      <c r="AF126">
        <f>IF('INHERENT MAP'!$B$5=2021,'РЕЕСТР РИСКОВ_2023'!AL152,IF('INHERENT MAP'!$B$5=2022,#REF!,IF('INHERENT MAP'!$B$5=2023,#REF!,IF('INHERENT MAP'!$B$5=2024,#REF!,#REF!))))</f>
        <v>2023</v>
      </c>
      <c r="AG126" t="str">
        <f>IF('INHERENT MAP'!$B$5=2021,'РЕЕСТР РИСКОВ_2023'!AM152,IF('INHERENT MAP'!$B$5=2022,#REF!,IF('INHERENT MAP'!$B$5=2023,#REF!,IF('INHERENT MAP'!$B$5=2024,#REF!,#REF!))))</f>
        <v>средняя</v>
      </c>
      <c r="AH126">
        <f>IF('INHERENT MAP'!$B$5=2021,'РЕЕСТР РИСКОВ_2023'!AN152,IF('INHERENT MAP'!$B$5=2022,#REF!,IF('INHERENT MAP'!$B$5=2023,#REF!,IF('INHERENT MAP'!$B$5=2024,#REF!,#REF!))))</f>
        <v>0.3</v>
      </c>
      <c r="AI126">
        <f>IF('INHERENT MAP'!$B$5=2021,'РЕЕСТР РИСКОВ_2023'!AO152,IF('INHERENT MAP'!$B$5=2022,#REF!,IF('INHERENT MAP'!$B$5=2023,#REF!,IF('INHERENT MAP'!$B$5=2024,#REF!,#REF!))))</f>
        <v>-3028</v>
      </c>
      <c r="AJ126">
        <f>IF('INHERENT MAP'!$B$5=2021,'РЕЕСТР РИСКОВ_2023'!AP152,IF('INHERENT MAP'!$B$5=2022,#REF!,IF('INHERENT MAP'!$B$5=2023,#REF!,IF('INHERENT MAP'!$B$5=2024,#REF!,#REF!))))</f>
        <v>-908.4</v>
      </c>
      <c r="AK126">
        <f>IF('РЕЕСТР РИСКОВ_2023'!AQ152="",AK125,'РЕЕСТР РИСКОВ_2023'!AQ152)</f>
        <v>-1816.8</v>
      </c>
      <c r="AL126" t="e">
        <f>IF('РЕЕСТР РИСКОВ_2023'!AR152="",AL125,'РЕЕСТР РИСКОВ_2023'!AR152)</f>
        <v>#REF!</v>
      </c>
      <c r="AM126">
        <f>IF('РЕЕСТР РИСКОВ_2023'!AS152="",AM125,'РЕЕСТР РИСКОВ_2023'!AS152)</f>
        <v>-3641</v>
      </c>
      <c r="AN126">
        <f>IF('РЕЕСТР РИСКОВ_2023'!AT152="",AN125,'РЕЕСТР РИСКОВ_2023'!AT152)</f>
        <v>-2123.3000000000002</v>
      </c>
      <c r="AO126" t="e">
        <f>IF('РЕЕСТР РИСКОВ_2023'!AU152="",AO125,'РЕЕСТР РИСКОВ_2023'!AU152)</f>
        <v>#REF!</v>
      </c>
    </row>
    <row r="127" spans="2:41">
      <c r="B127" t="str">
        <f>IF('INHERENT MAP'!$B$5=2021,IF('РЕЕСТР РИСКОВ_2023'!F153="",B126,'РЕЕСТР РИСКОВ_2023'!F153),IF('INHERENT MAP'!$B$5=2022,IF(#REF!="",B126,#REF!),IF('INHERENT MAP'!$B$5=2023,IF(#REF!="",B126,#REF!),IF('INHERENT MAP'!$B$5=2024,IF(#REF!="",B126,#REF!),IF('РЕЕСТР РИСКОВ_2023'!F153="",B126,'РЕЕСТР РИСКОВ_2023'!F153)))))</f>
        <v>ПРОЕКТНЫЕ И ИНВЕСТИЦИОННЫЕ РИСКИ</v>
      </c>
      <c r="C127" t="e">
        <f>IF('INHERENT MAP'!$B$5=2021,IF('РЕЕСТР РИСКОВ_2023'!G153="",C126,'РЕЕСТР РИСКОВ_2023'!G153),IF('INHERENT MAP'!$B$5=2022,IF(#REF!="",C126,#REF!),IF('INHERENT MAP'!$B$5=2023,IF(#REF!="",C126,#REF!),IF('INHERENT MAP'!$B$5=2024,IF(#REF!="",C126,#REF!),IF('РЕЕСТР РИСКОВ_2023'!G153="",C126,'РЕЕСТР РИСКОВ_2023'!G153)))))</f>
        <v>#REF!</v>
      </c>
      <c r="D127" t="str">
        <f>IF('INHERENT MAP'!$B$5=2021,IF('РЕЕСТР РИСКОВ_2023'!H153="",D126,'РЕЕСТР РИСКОВ_2023'!H153),IF('INHERENT MAP'!$B$5=2022,IF(#REF!="",D126,#REF!),IF('INHERENT MAP'!$B$5=2023,IF(#REF!="",D126,#REF!),IF('INHERENT MAP'!$B$5=2024,IF(#REF!="",D126,#REF!),IF('РЕЕСТР РИСКОВ_2023'!H153="",D126,'РЕЕСТР РИСКОВ_2023'!H153)))))</f>
        <v>PIR-1</v>
      </c>
      <c r="E127" t="str">
        <f>IF('INHERENT MAP'!$B$5=2021,IF('РЕЕСТР РИСКОВ_2023'!I153="",E126,'РЕЕСТР РИСКОВ_2023'!I153),IF('INHERENT MAP'!$B$5=2022,IF(#REF!="",E126,#REF!),IF('INHERENT MAP'!$B$5=2023,IF(#REF!="",E126,#REF!),IF('INHERENT MAP'!$B$5=2024,IF(#REF!="",E126,#REF!),IF('РЕЕСТР РИСКОВ_2023'!I153="",E126,'РЕЕСТР РИСКОВ_2023'!I153)))))</f>
        <v>ЦЗЛ</v>
      </c>
      <c r="F127" t="str">
        <f>IF('INHERENT MAP'!$B$5=2021,IF('РЕЕСТР РИСКОВ_2023'!J153="",F126,'РЕЕСТР РИСКОВ_2023'!J153),IF('INHERENT MAP'!$B$5=2022,IF(#REF!="",F126,#REF!),IF('INHERENT MAP'!$B$5=2023,IF(#REF!="",F126,#REF!),IF('INHERENT MAP'!$B$5=2024,IF(#REF!="",F126,#REF!),IF('РЕЕСТР РИСКОВ_2023'!J153="",F126,'РЕЕСТР РИСКОВ_2023'!J153)))))</f>
        <v>АО "KTZ Express"</v>
      </c>
      <c r="G127" t="str">
        <f>IF('INHERENT MAP'!$B$5=2021,IF('РЕЕСТР РИСКОВ_2023'!K153="",G126,'РЕЕСТР РИСКОВ_2023'!K153),IF('INHERENT MAP'!$B$5=2022,IF(#REF!="",G126,#REF!),IF('INHERENT MAP'!$B$5=2023,IF(#REF!="",G126,#REF!),IF('INHERENT MAP'!$B$5=2024,IF(#REF!="",G126,#REF!),IF('РЕЕСТР РИСКОВ_2023'!K153="",G126,'РЕЕСТР РИСКОВ_2023'!K153)))))</f>
        <v>Риск обесценения инвестиций</v>
      </c>
      <c r="H127">
        <f>IF('INHERENT MAP'!$B$5=2021,'РЕЕСТР РИСКОВ_2023'!L153,IF('INHERENT MAP'!$B$5=2022,#REF!,IF('INHERENT MAP'!$B$5=2023,#REF!,IF('INHERENT MAP'!$B$5=2024,#REF!,#REF!))))</f>
        <v>0</v>
      </c>
      <c r="I127">
        <f>IF('INHERENT MAP'!$B$5=2021,'РЕЕСТР РИСКОВ_2023'!M153,IF('INHERENT MAP'!$B$5=2022,#REF!,IF('INHERENT MAP'!$B$5=2023,#REF!,IF('INHERENT MAP'!$B$5=2024,#REF!,#REF!))))</f>
        <v>0</v>
      </c>
      <c r="J127">
        <f>IF('INHERENT MAP'!$B$5=2021,'РЕЕСТР РИСКОВ_2023'!N153,IF('INHERENT MAP'!$B$5=2022,#REF!,IF('INHERENT MAP'!$B$5=2023,#REF!,IF('INHERENT MAP'!$B$5=2024,#REF!,#REF!))))</f>
        <v>0</v>
      </c>
      <c r="K127">
        <f>IF('INHERENT MAP'!$B$5=2021,'РЕЕСТР РИСКОВ_2023'!O153,IF('INHERENT MAP'!$B$5=2022,#REF!,IF('INHERENT MAP'!$B$5=2023,#REF!,IF('INHERENT MAP'!$B$5=2024,#REF!,#REF!))))</f>
        <v>0</v>
      </c>
      <c r="L127">
        <f>IF('INHERENT MAP'!$B$5=2021,'РЕЕСТР РИСКОВ_2023'!P153,IF('INHERENT MAP'!$B$5=2022,#REF!,IF('INHERENT MAP'!$B$5=2023,#REF!,IF('INHERENT MAP'!$B$5=2024,#REF!,#REF!))))</f>
        <v>0</v>
      </c>
      <c r="M127" t="str">
        <f>IF('INHERENT MAP'!$B$5=2021,IF('РЕЕСТР РИСКОВ_2023'!Q153="",M126,'РЕЕСТР РИСКОВ_2023'!Q153),IF('INHERENT MAP'!$B$5=2022,IF(#REF!="",M126,#REF!),IF('INHERENT MAP'!$B$5=2023,IF(#REF!="",M126,#REF!),IF('INHERENT MAP'!$B$5=2024,IF(#REF!="",M126,#REF!),IF('РЕЕСТР РИСКОВ_2023'!Q153="",M126,'РЕЕСТР РИСКОВ_2023'!Q153)))))</f>
        <v xml:space="preserve">Риск невозврата инвестиций вложенных при выкупе доли участия в уставном капитале ТОО «KIF Warehouses»  ввиду первоначальной независимой оценки доли выкупа. </v>
      </c>
      <c r="N127" t="str">
        <f>IF('INHERENT MAP'!$B$5=2021,IF('РЕЕСТР РИСКОВ_2023'!R153="",N126,'РЕЕСТР РИСКОВ_2023'!R153),IF('INHERENT MAP'!$B$5=2022,IF(#REF!="",N126,#REF!),IF('INHERENT MAP'!$B$5=2023,IF(#REF!="",N126,#REF!),IF('INHERENT MAP'!$B$5=2024,IF(#REF!="",N126,#REF!),IF('РЕЕСТР РИСКОВ_2023'!R153="",N126,'РЕЕСТР РИСКОВ_2023'!R153)))))</f>
        <v>1. Несвоевременное проведение обследования зданий и помещений;
2. Отсутствие капитального ремонта зданий с нулевой остаточной стоимостью.
3. Отсутствие специализированных бригад по содержанию зданий.
4. Природные и техногенные воздействия (ураган, землетрясение, паводок, взрыв и т. п.).
5. Истечение нормативного срока службы зданий (более 30 лет).</v>
      </c>
      <c r="O127">
        <f>'РЕЕСТР РИСКОВ_2023'!T153</f>
        <v>0</v>
      </c>
      <c r="P127" t="e">
        <f>IF('РЕЕСТР РИСКОВ_2023'!U153="",P126,'РЕЕСТР РИСКОВ_2023'!U153)</f>
        <v>#REF!</v>
      </c>
      <c r="Q127" t="str">
        <f>IF('РЕЕСТР РИСКОВ_2023'!V153="",Q126,'РЕЕСТР РИСКОВ_2023'!V153)</f>
        <v>Угрозы</v>
      </c>
      <c r="R127" t="str">
        <f>IF('РЕЕСТР РИСКОВ_2023'!W153="",R126,'РЕЕСТР РИСКОВ_2023'!W153)</f>
        <v>Количество зарегистированных случаев нарушений требований НТД</v>
      </c>
      <c r="S127">
        <f>'РЕЕСТР РИСКОВ_2023'!X153</f>
        <v>0</v>
      </c>
      <c r="T127" s="94">
        <f>IF('INHERENT MAP'!$B$5=2021,'РЕЕСТР РИСКОВ_2023'!Y153,IF('INHERENT MAP'!$B$5=2022,#REF!,IF('INHERENT MAP'!$B$5=2023,#REF!,IF('INHERENT MAP'!$B$5=2024,#REF!,#REF!))))</f>
        <v>0.5</v>
      </c>
      <c r="U127">
        <f>IF('INHERENT MAP'!$B$5=2021,'РЕЕСТР РИСКОВ_2023'!Z153,IF('INHERENT MAP'!$B$5=2022,#REF!,IF('INHERENT MAP'!$B$5=2023,#REF!,IF('INHERENT MAP'!$B$5=2024,#REF!,#REF!))))</f>
        <v>-613</v>
      </c>
      <c r="V127">
        <f>IF('INHERENT MAP'!$B$5=2021,'РЕЕСТР РИСКОВ_2023'!AA153,IF('INHERENT MAP'!$B$5=2022,#REF!,IF('INHERENT MAP'!$B$5=2023,#REF!,IF('INHERENT MAP'!$B$5=2024,#REF!,#REF!))))</f>
        <v>-306.5</v>
      </c>
      <c r="W127">
        <f>IF('INHERENT MAP'!$B$5=2021,'РЕЕСТР РИСКОВ_2023'!AB153,IF('INHERENT MAP'!$B$5=2022,#REF!,IF('INHERENT MAP'!$B$5=2023,#REF!,IF('INHERENT MAP'!$B$5=2024,#REF!,#REF!))))</f>
        <v>0</v>
      </c>
      <c r="X127" s="94">
        <f>IF('INHERENT MAP'!$B$5=2021,'РЕЕСТР РИСКОВ_2023'!AC153,IF('INHERENT MAP'!$B$5=2022,#REF!,IF('INHERENT MAP'!$B$5=2023,#REF!,IF('INHERENT MAP'!$B$5=2024,#REF!,#REF!))))</f>
        <v>0</v>
      </c>
      <c r="Y127">
        <f>IF('INHERENT MAP'!$B$5=2021,'РЕЕСТР РИСКОВ_2023'!AD153,IF('INHERENT MAP'!$B$5=2022,#REF!,IF('INHERENT MAP'!$B$5=2023,#REF!,IF('INHERENT MAP'!$B$5=2024,#REF!,#REF!))))</f>
        <v>0</v>
      </c>
      <c r="Z127">
        <f>IF('INHERENT MAP'!$B$5=2021,'РЕЕСТР РИСКОВ_2023'!AE153,IF('INHERENT MAP'!$B$5=2022,#REF!,IF('INHERENT MAP'!$B$5=2023,#REF!,IF('INHERENT MAP'!$B$5=2024,#REF!,#REF!))))</f>
        <v>0</v>
      </c>
      <c r="AA127">
        <f>IF('INHERENT MAP'!$B$5=2021,'РЕЕСТР РИСКОВ_2023'!AF153,IF('INHERENT MAP'!$B$5=2022,#REF!,IF('INHERENT MAP'!$B$5=2023,#REF!,IF('INHERENT MAP'!$B$5=2024,#REF!,#REF!))))</f>
        <v>0</v>
      </c>
      <c r="AB127">
        <f>IF('INHERENT MAP'!$B$5=2021,'РЕЕСТР РИСКОВ_2023'!AG153,IF('INHERENT MAP'!$B$5=2022,#REF!,IF('INHERENT MAP'!$B$5=2023,#REF!,IF('INHERENT MAP'!$B$5=2024,#REF!,#REF!))))</f>
        <v>0</v>
      </c>
      <c r="AC127">
        <f>IF('INHERENT MAP'!$B$5=2021,'РЕЕСТР РИСКОВ_2023'!AH153,IF('INHERENT MAP'!$B$5=2022,#REF!,IF('INHERENT MAP'!$B$5=2023,#REF!,IF('INHERENT MAP'!$B$5=2024,#REF!,#REF!))))</f>
        <v>0</v>
      </c>
      <c r="AD127" t="str">
        <f>IF('INHERENT MAP'!$B$5=2021,'РЕЕСТР РИСКОВ_2023'!AI153,IF('INHERENT MAP'!$B$5=2022,#REF!,IF('INHERENT MAP'!$B$5=2023,#REF!,IF('INHERENT MAP'!$B$5=2024,#REF!,#REF!))))</f>
        <v>По итогам 9 месяцев 2022 года сдано в аренду 7 тыс кв м.
EBITDA составила 33,4 млн тг.
В 2023 году планируется увеличить площадь аренды до 14 тыс кв м</v>
      </c>
      <c r="AE127">
        <f>IF('INHERENT MAP'!$B$5=2021,'РЕЕСТР РИСКОВ_2023'!AK153,IF('INHERENT MAP'!$B$5=2022,#REF!,IF('INHERENT MAP'!$B$5=2023,#REF!,IF('INHERENT MAP'!$B$5=2024,#REF!,#REF!))))</f>
        <v>0</v>
      </c>
      <c r="AF127">
        <f>IF('INHERENT MAP'!$B$5=2021,'РЕЕСТР РИСКОВ_2023'!AL153,IF('INHERENT MAP'!$B$5=2022,#REF!,IF('INHERENT MAP'!$B$5=2023,#REF!,IF('INHERENT MAP'!$B$5=2024,#REF!,#REF!))))</f>
        <v>0</v>
      </c>
      <c r="AG127" t="str">
        <f>IF('INHERENT MAP'!$B$5=2021,'РЕЕСТР РИСКОВ_2023'!AM153,IF('INHERENT MAP'!$B$5=2022,#REF!,IF('INHERENT MAP'!$B$5=2023,#REF!,IF('INHERENT MAP'!$B$5=2024,#REF!,#REF!))))</f>
        <v>низкая</v>
      </c>
      <c r="AH127">
        <f>IF('INHERENT MAP'!$B$5=2021,'РЕЕСТР РИСКОВ_2023'!AN153,IF('INHERENT MAP'!$B$5=2022,#REF!,IF('INHERENT MAP'!$B$5=2023,#REF!,IF('INHERENT MAP'!$B$5=2024,#REF!,#REF!))))</f>
        <v>0.5</v>
      </c>
      <c r="AI127">
        <f>IF('INHERENT MAP'!$B$5=2021,'РЕЕСТР РИСКОВ_2023'!AO153,IF('INHERENT MAP'!$B$5=2022,#REF!,IF('INHERENT MAP'!$B$5=2023,#REF!,IF('INHERENT MAP'!$B$5=2024,#REF!,#REF!))))</f>
        <v>-613</v>
      </c>
      <c r="AJ127">
        <f>IF('INHERENT MAP'!$B$5=2021,'РЕЕСТР РИСКОВ_2023'!AP153,IF('INHERENT MAP'!$B$5=2022,#REF!,IF('INHERENT MAP'!$B$5=2023,#REF!,IF('INHERENT MAP'!$B$5=2024,#REF!,#REF!))))</f>
        <v>-306.5</v>
      </c>
      <c r="AK127">
        <f>IF('РЕЕСТР РИСКОВ_2023'!AQ153="",AK126,'РЕЕСТР РИСКОВ_2023'!AQ153)</f>
        <v>-306.5</v>
      </c>
      <c r="AL127" t="e">
        <f>IF('РЕЕСТР РИСКОВ_2023'!AR153="",AL126,'РЕЕСТР РИСКОВ_2023'!AR153)</f>
        <v>#REF!</v>
      </c>
      <c r="AM127">
        <f>IF('РЕЕСТР РИСКОВ_2023'!AS153="",AM126,'РЕЕСТР РИСКОВ_2023'!AS153)</f>
        <v>-3641</v>
      </c>
      <c r="AN127">
        <f>IF('РЕЕСТР РИСКОВ_2023'!AT153="",AN126,'РЕЕСТР РИСКОВ_2023'!AT153)</f>
        <v>-2123.3000000000002</v>
      </c>
      <c r="AO127" t="e">
        <f>IF('РЕЕСТР РИСКОВ_2023'!AU153="",AO126,'РЕЕСТР РИСКОВ_2023'!AU153)</f>
        <v>#REF!</v>
      </c>
    </row>
    <row r="128" spans="2:41">
      <c r="B128" t="e">
        <f>IF('INHERENT MAP'!$B$5=2021,IF('РЕЕСТР РИСКОВ_2023'!#REF!="",B127,'РЕЕСТР РИСКОВ_2023'!#REF!),IF('INHERENT MAP'!$B$5=2022,IF(#REF!="",B127,#REF!),IF('INHERENT MAP'!$B$5=2023,IF(#REF!="",B127,#REF!),IF('INHERENT MAP'!$B$5=2024,IF(#REF!="",B127,#REF!),IF('РЕЕСТР РИСКОВ_2023'!#REF!="",B127,'РЕЕСТР РИСКОВ_2023'!#REF!)))))</f>
        <v>#REF!</v>
      </c>
      <c r="C128" t="e">
        <f>IF('INHERENT MAP'!$B$5=2021,IF('РЕЕСТР РИСКОВ_2023'!#REF!="",C127,'РЕЕСТР РИСКОВ_2023'!#REF!),IF('INHERENT MAP'!$B$5=2022,IF(#REF!="",C127,#REF!),IF('INHERENT MAP'!$B$5=2023,IF(#REF!="",C127,#REF!),IF('INHERENT MAP'!$B$5=2024,IF(#REF!="",C127,#REF!),IF('РЕЕСТР РИСКОВ_2023'!#REF!="",C127,'РЕЕСТР РИСКОВ_2023'!#REF!)))))</f>
        <v>#REF!</v>
      </c>
      <c r="D128" t="e">
        <f>IF('INHERENT MAP'!$B$5=2021,IF('РЕЕСТР РИСКОВ_2023'!#REF!="",D127,'РЕЕСТР РИСКОВ_2023'!#REF!),IF('INHERENT MAP'!$B$5=2022,IF(#REF!="",D127,#REF!),IF('INHERENT MAP'!$B$5=2023,IF(#REF!="",D127,#REF!),IF('INHERENT MAP'!$B$5=2024,IF(#REF!="",D127,#REF!),IF('РЕЕСТР РИСКОВ_2023'!#REF!="",D127,'РЕЕСТР РИСКОВ_2023'!#REF!)))))</f>
        <v>#REF!</v>
      </c>
      <c r="E128" t="e">
        <f>IF('INHERENT MAP'!$B$5=2021,IF('РЕЕСТР РИСКОВ_2023'!#REF!="",E127,'РЕЕСТР РИСКОВ_2023'!#REF!),IF('INHERENT MAP'!$B$5=2022,IF(#REF!="",E127,#REF!),IF('INHERENT MAP'!$B$5=2023,IF(#REF!="",E127,#REF!),IF('INHERENT MAP'!$B$5=2024,IF(#REF!="",E127,#REF!),IF('РЕЕСТР РИСКОВ_2023'!#REF!="",E127,'РЕЕСТР РИСКОВ_2023'!#REF!)))))</f>
        <v>#REF!</v>
      </c>
      <c r="F128" t="e">
        <f>IF('INHERENT MAP'!$B$5=2021,IF('РЕЕСТР РИСКОВ_2023'!#REF!="",F127,'РЕЕСТР РИСКОВ_2023'!#REF!),IF('INHERENT MAP'!$B$5=2022,IF(#REF!="",F127,#REF!),IF('INHERENT MAP'!$B$5=2023,IF(#REF!="",F127,#REF!),IF('INHERENT MAP'!$B$5=2024,IF(#REF!="",F127,#REF!),IF('РЕЕСТР РИСКОВ_2023'!#REF!="",F127,'РЕЕСТР РИСКОВ_2023'!#REF!)))))</f>
        <v>#REF!</v>
      </c>
      <c r="G128" t="e">
        <f>IF('INHERENT MAP'!$B$5=2021,IF('РЕЕСТР РИСКОВ_2023'!#REF!="",G127,'РЕЕСТР РИСКОВ_2023'!#REF!),IF('INHERENT MAP'!$B$5=2022,IF(#REF!="",G127,#REF!),IF('INHERENT MAP'!$B$5=2023,IF(#REF!="",G127,#REF!),IF('INHERENT MAP'!$B$5=2024,IF(#REF!="",G127,#REF!),IF('РЕЕСТР РИСКОВ_2023'!#REF!="",G127,'РЕЕСТР РИСКОВ_2023'!#REF!)))))</f>
        <v>#REF!</v>
      </c>
      <c r="H128" t="e">
        <f>IF('INHERENT MAP'!$B$5=2021,'РЕЕСТР РИСКОВ_2023'!#REF!,IF('INHERENT MAP'!$B$5=2022,#REF!,IF('INHERENT MAP'!$B$5=2023,#REF!,IF('INHERENT MAP'!$B$5=2024,#REF!,#REF!))))</f>
        <v>#REF!</v>
      </c>
      <c r="I128" t="e">
        <f>IF('INHERENT MAP'!$B$5=2021,'РЕЕСТР РИСКОВ_2023'!#REF!,IF('INHERENT MAP'!$B$5=2022,#REF!,IF('INHERENT MAP'!$B$5=2023,#REF!,IF('INHERENT MAP'!$B$5=2024,#REF!,#REF!))))</f>
        <v>#REF!</v>
      </c>
      <c r="J128" t="e">
        <f>IF('INHERENT MAP'!$B$5=2021,'РЕЕСТР РИСКОВ_2023'!#REF!,IF('INHERENT MAP'!$B$5=2022,#REF!,IF('INHERENT MAP'!$B$5=2023,#REF!,IF('INHERENT MAP'!$B$5=2024,#REF!,#REF!))))</f>
        <v>#REF!</v>
      </c>
      <c r="K128" t="e">
        <f>IF('INHERENT MAP'!$B$5=2021,'РЕЕСТР РИСКОВ_2023'!#REF!,IF('INHERENT MAP'!$B$5=2022,#REF!,IF('INHERENT MAP'!$B$5=2023,#REF!,IF('INHERENT MAP'!$B$5=2024,#REF!,#REF!))))</f>
        <v>#REF!</v>
      </c>
      <c r="L128" t="e">
        <f>IF('INHERENT MAP'!$B$5=2021,'РЕЕСТР РИСКОВ_2023'!#REF!,IF('INHERENT MAP'!$B$5=2022,#REF!,IF('INHERENT MAP'!$B$5=2023,#REF!,IF('INHERENT MAP'!$B$5=2024,#REF!,#REF!))))</f>
        <v>#REF!</v>
      </c>
      <c r="M128" t="e">
        <f>IF('INHERENT MAP'!$B$5=2021,IF('РЕЕСТР РИСКОВ_2023'!#REF!="",M127,'РЕЕСТР РИСКОВ_2023'!#REF!),IF('INHERENT MAP'!$B$5=2022,IF(#REF!="",M127,#REF!),IF('INHERENT MAP'!$B$5=2023,IF(#REF!="",M127,#REF!),IF('INHERENT MAP'!$B$5=2024,IF(#REF!="",M127,#REF!),IF('РЕЕСТР РИСКОВ_2023'!#REF!="",M127,'РЕЕСТР РИСКОВ_2023'!#REF!)))))</f>
        <v>#REF!</v>
      </c>
      <c r="N128" t="e">
        <f>IF('INHERENT MAP'!$B$5=2021,IF('РЕЕСТР РИСКОВ_2023'!#REF!="",N127,'РЕЕСТР РИСКОВ_2023'!#REF!),IF('INHERENT MAP'!$B$5=2022,IF(#REF!="",N127,#REF!),IF('INHERENT MAP'!$B$5=2023,IF(#REF!="",N127,#REF!),IF('INHERENT MAP'!$B$5=2024,IF(#REF!="",N127,#REF!),IF('РЕЕСТР РИСКОВ_2023'!#REF!="",N127,'РЕЕСТР РИСКОВ_2023'!#REF!)))))</f>
        <v>#REF!</v>
      </c>
      <c r="O128" t="e">
        <f>'РЕЕСТР РИСКОВ_2023'!#REF!</f>
        <v>#REF!</v>
      </c>
      <c r="P128" t="e">
        <f>IF('РЕЕСТР РИСКОВ_2023'!#REF!="",P127,'РЕЕСТР РИСКОВ_2023'!#REF!)</f>
        <v>#REF!</v>
      </c>
      <c r="Q128" t="e">
        <f>IF('РЕЕСТР РИСКОВ_2023'!#REF!="",Q127,'РЕЕСТР РИСКОВ_2023'!#REF!)</f>
        <v>#REF!</v>
      </c>
      <c r="R128" t="e">
        <f>IF('РЕЕСТР РИСКОВ_2023'!#REF!="",R127,'РЕЕСТР РИСКОВ_2023'!#REF!)</f>
        <v>#REF!</v>
      </c>
      <c r="S128" t="e">
        <f>'РЕЕСТР РИСКОВ_2023'!#REF!</f>
        <v>#REF!</v>
      </c>
      <c r="T128" s="94" t="e">
        <f>IF('INHERENT MAP'!$B$5=2021,'РЕЕСТР РИСКОВ_2023'!#REF!,IF('INHERENT MAP'!$B$5=2022,#REF!,IF('INHERENT MAP'!$B$5=2023,#REF!,IF('INHERENT MAP'!$B$5=2024,#REF!,#REF!))))</f>
        <v>#REF!</v>
      </c>
      <c r="U128" t="e">
        <f>IF('INHERENT MAP'!$B$5=2021,'РЕЕСТР РИСКОВ_2023'!#REF!,IF('INHERENT MAP'!$B$5=2022,#REF!,IF('INHERENT MAP'!$B$5=2023,#REF!,IF('INHERENT MAP'!$B$5=2024,#REF!,#REF!))))</f>
        <v>#REF!</v>
      </c>
      <c r="V128" t="e">
        <f>IF('INHERENT MAP'!$B$5=2021,'РЕЕСТР РИСКОВ_2023'!#REF!,IF('INHERENT MAP'!$B$5=2022,#REF!,IF('INHERENT MAP'!$B$5=2023,#REF!,IF('INHERENT MAP'!$B$5=2024,#REF!,#REF!))))</f>
        <v>#REF!</v>
      </c>
      <c r="W128" t="e">
        <f>IF('INHERENT MAP'!$B$5=2021,'РЕЕСТР РИСКОВ_2023'!#REF!,IF('INHERENT MAP'!$B$5=2022,#REF!,IF('INHERENT MAP'!$B$5=2023,#REF!,IF('INHERENT MAP'!$B$5=2024,#REF!,#REF!))))</f>
        <v>#REF!</v>
      </c>
      <c r="X128" s="94" t="e">
        <f>IF('INHERENT MAP'!$B$5=2021,'РЕЕСТР РИСКОВ_2023'!#REF!,IF('INHERENT MAP'!$B$5=2022,#REF!,IF('INHERENT MAP'!$B$5=2023,#REF!,IF('INHERENT MAP'!$B$5=2024,#REF!,#REF!))))</f>
        <v>#REF!</v>
      </c>
      <c r="Y128" t="e">
        <f>IF('INHERENT MAP'!$B$5=2021,'РЕЕСТР РИСКОВ_2023'!#REF!,IF('INHERENT MAP'!$B$5=2022,#REF!,IF('INHERENT MAP'!$B$5=2023,#REF!,IF('INHERENT MAP'!$B$5=2024,#REF!,#REF!))))</f>
        <v>#REF!</v>
      </c>
      <c r="Z128" t="e">
        <f>IF('INHERENT MAP'!$B$5=2021,'РЕЕСТР РИСКОВ_2023'!#REF!,IF('INHERENT MAP'!$B$5=2022,#REF!,IF('INHERENT MAP'!$B$5=2023,#REF!,IF('INHERENT MAP'!$B$5=2024,#REF!,#REF!))))</f>
        <v>#REF!</v>
      </c>
      <c r="AA128" t="e">
        <f>IF('INHERENT MAP'!$B$5=2021,'РЕЕСТР РИСКОВ_2023'!#REF!,IF('INHERENT MAP'!$B$5=2022,#REF!,IF('INHERENT MAP'!$B$5=2023,#REF!,IF('INHERENT MAP'!$B$5=2024,#REF!,#REF!))))</f>
        <v>#REF!</v>
      </c>
      <c r="AB128" t="e">
        <f>IF('INHERENT MAP'!$B$5=2021,'РЕЕСТР РИСКОВ_2023'!#REF!,IF('INHERENT MAP'!$B$5=2022,#REF!,IF('INHERENT MAP'!$B$5=2023,#REF!,IF('INHERENT MAP'!$B$5=2024,#REF!,#REF!))))</f>
        <v>#REF!</v>
      </c>
      <c r="AC128" t="e">
        <f>IF('INHERENT MAP'!$B$5=2021,'РЕЕСТР РИСКОВ_2023'!#REF!,IF('INHERENT MAP'!$B$5=2022,#REF!,IF('INHERENT MAP'!$B$5=2023,#REF!,IF('INHERENT MAP'!$B$5=2024,#REF!,#REF!))))</f>
        <v>#REF!</v>
      </c>
      <c r="AD128" t="e">
        <f>IF('INHERENT MAP'!$B$5=2021,'РЕЕСТР РИСКОВ_2023'!#REF!,IF('INHERENT MAP'!$B$5=2022,#REF!,IF('INHERENT MAP'!$B$5=2023,#REF!,IF('INHERENT MAP'!$B$5=2024,#REF!,#REF!))))</f>
        <v>#REF!</v>
      </c>
      <c r="AE128" t="e">
        <f>IF('INHERENT MAP'!$B$5=2021,'РЕЕСТР РИСКОВ_2023'!#REF!,IF('INHERENT MAP'!$B$5=2022,#REF!,IF('INHERENT MAP'!$B$5=2023,#REF!,IF('INHERENT MAP'!$B$5=2024,#REF!,#REF!))))</f>
        <v>#REF!</v>
      </c>
      <c r="AF128" t="e">
        <f>IF('INHERENT MAP'!$B$5=2021,'РЕЕСТР РИСКОВ_2023'!#REF!,IF('INHERENT MAP'!$B$5=2022,#REF!,IF('INHERENT MAP'!$B$5=2023,#REF!,IF('INHERENT MAP'!$B$5=2024,#REF!,#REF!))))</f>
        <v>#REF!</v>
      </c>
      <c r="AG128" t="e">
        <f>IF('INHERENT MAP'!$B$5=2021,'РЕЕСТР РИСКОВ_2023'!#REF!,IF('INHERENT MAP'!$B$5=2022,#REF!,IF('INHERENT MAP'!$B$5=2023,#REF!,IF('INHERENT MAP'!$B$5=2024,#REF!,#REF!))))</f>
        <v>#REF!</v>
      </c>
      <c r="AH128" t="e">
        <f>IF('INHERENT MAP'!$B$5=2021,'РЕЕСТР РИСКОВ_2023'!#REF!,IF('INHERENT MAP'!$B$5=2022,#REF!,IF('INHERENT MAP'!$B$5=2023,#REF!,IF('INHERENT MAP'!$B$5=2024,#REF!,#REF!))))</f>
        <v>#REF!</v>
      </c>
      <c r="AI128" t="e">
        <f>IF('INHERENT MAP'!$B$5=2021,'РЕЕСТР РИСКОВ_2023'!#REF!,IF('INHERENT MAP'!$B$5=2022,#REF!,IF('INHERENT MAP'!$B$5=2023,#REF!,IF('INHERENT MAP'!$B$5=2024,#REF!,#REF!))))</f>
        <v>#REF!</v>
      </c>
      <c r="AJ128" t="e">
        <f>IF('INHERENT MAP'!$B$5=2021,'РЕЕСТР РИСКОВ_2023'!#REF!,IF('INHERENT MAP'!$B$5=2022,#REF!,IF('INHERENT MAP'!$B$5=2023,#REF!,IF('INHERENT MAP'!$B$5=2024,#REF!,#REF!))))</f>
        <v>#REF!</v>
      </c>
      <c r="AK128" t="e">
        <f>IF('РЕЕСТР РИСКОВ_2023'!#REF!="",AK127,'РЕЕСТР РИСКОВ_2023'!#REF!)</f>
        <v>#REF!</v>
      </c>
      <c r="AL128" t="e">
        <f>IF('РЕЕСТР РИСКОВ_2023'!#REF!="",AL127,'РЕЕСТР РИСКОВ_2023'!#REF!)</f>
        <v>#REF!</v>
      </c>
      <c r="AM128" t="e">
        <f>IF('РЕЕСТР РИСКОВ_2023'!#REF!="",AM127,'РЕЕСТР РИСКОВ_2023'!#REF!)</f>
        <v>#REF!</v>
      </c>
      <c r="AN128" t="e">
        <f>IF('РЕЕСТР РИСКОВ_2023'!#REF!="",AN127,'РЕЕСТР РИСКОВ_2023'!#REF!)</f>
        <v>#REF!</v>
      </c>
      <c r="AO128" t="e">
        <f>IF('РЕЕСТР РИСКОВ_2023'!#REF!="",AO127,'РЕЕСТР РИСКОВ_2023'!#REF!)</f>
        <v>#REF!</v>
      </c>
    </row>
    <row r="129" spans="2:41">
      <c r="B129" t="e">
        <f>IF('INHERENT MAP'!$B$5=2021,IF('РЕЕСТР РИСКОВ_2023'!F154="",B128,'РЕЕСТР РИСКОВ_2023'!F154),IF('INHERENT MAP'!$B$5=2022,IF(#REF!="",B128,#REF!),IF('INHERENT MAP'!$B$5=2023,IF(#REF!="",B128,#REF!),IF('INHERENT MAP'!$B$5=2024,IF(#REF!="",B128,#REF!),IF('РЕЕСТР РИСКОВ_2023'!F154="",B128,'РЕЕСТР РИСКОВ_2023'!F154)))))</f>
        <v>#REF!</v>
      </c>
      <c r="C129" t="e">
        <f>IF('INHERENT MAP'!$B$5=2021,IF('РЕЕСТР РИСКОВ_2023'!G154="",C128,'РЕЕСТР РИСКОВ_2023'!G154),IF('INHERENT MAP'!$B$5=2022,IF(#REF!="",C128,#REF!),IF('INHERENT MAP'!$B$5=2023,IF(#REF!="",C128,#REF!),IF('INHERENT MAP'!$B$5=2024,IF(#REF!="",C128,#REF!),IF('РЕЕСТР РИСКОВ_2023'!G154="",C128,'РЕЕСТР РИСКОВ_2023'!G154)))))</f>
        <v>#REF!</v>
      </c>
      <c r="D129" t="str">
        <f>IF('INHERENT MAP'!$B$5=2021,IF('РЕЕСТР РИСКОВ_2023'!H154="",D128,'РЕЕСТР РИСКОВ_2023'!H154),IF('INHERENT MAP'!$B$5=2022,IF(#REF!="",D128,#REF!),IF('INHERENT MAP'!$B$5=2023,IF(#REF!="",D128,#REF!),IF('INHERENT MAP'!$B$5=2024,IF(#REF!="",D128,#REF!),IF('РЕЕСТР РИСКОВ_2023'!H154="",D128,'РЕЕСТР РИСКОВ_2023'!H154)))))</f>
        <v>PIR-2</v>
      </c>
      <c r="E129" t="str">
        <f>IF('INHERENT MAP'!$B$5=2021,IF('РЕЕСТР РИСКОВ_2023'!I154="",E128,'РЕЕСТР РИСКОВ_2023'!I154),IF('INHERENT MAP'!$B$5=2022,IF(#REF!="",E128,#REF!),IF('INHERENT MAP'!$B$5=2023,IF(#REF!="",E128,#REF!),IF('INHERENT MAP'!$B$5=2024,IF(#REF!="",E128,#REF!),IF('РЕЕСТР РИСКОВ_2023'!I154="",E128,'РЕЕСТР РИСКОВ_2023'!I154)))))</f>
        <v>ЦЗИ</v>
      </c>
      <c r="F129" t="str">
        <f>IF('INHERENT MAP'!$B$5=2021,IF('РЕЕСТР РИСКОВ_2023'!J154="",F128,'РЕЕСТР РИСКОВ_2023'!J154),IF('INHERENT MAP'!$B$5=2022,IF(#REF!="",F128,#REF!),IF('INHERENT MAP'!$B$5=2023,IF(#REF!="",F128,#REF!),IF('INHERENT MAP'!$B$5=2024,IF(#REF!="",F128,#REF!),IF('РЕЕСТР РИСКОВ_2023'!J154="",F128,'РЕЕСТР РИСКОВ_2023'!J154)))))</f>
        <v>Дирекция магистральной сети</v>
      </c>
      <c r="G129" t="str">
        <f>IF('INHERENT MAP'!$B$5=2021,IF('РЕЕСТР РИСКОВ_2023'!K154="",G128,'РЕЕСТР РИСКОВ_2023'!K154),IF('INHERENT MAP'!$B$5=2022,IF(#REF!="",G128,#REF!),IF('INHERENT MAP'!$B$5=2023,IF(#REF!="",G128,#REF!),IF('INHERENT MAP'!$B$5=2024,IF(#REF!="",G128,#REF!),IF('РЕЕСТР РИСКОВ_2023'!K154="",G128,'РЕЕСТР РИСКОВ_2023'!K154)))))</f>
        <v>Недостаток инвестиций в развитие инфраструктуры</v>
      </c>
      <c r="H129">
        <f>IF('INHERENT MAP'!$B$5=2021,'РЕЕСТР РИСКОВ_2023'!L154,IF('INHERENT MAP'!$B$5=2022,#REF!,IF('INHERENT MAP'!$B$5=2023,#REF!,IF('INHERENT MAP'!$B$5=2024,#REF!,#REF!))))</f>
        <v>0</v>
      </c>
      <c r="I129">
        <f>IF('INHERENT MAP'!$B$5=2021,'РЕЕСТР РИСКОВ_2023'!M154,IF('INHERENT MAP'!$B$5=2022,#REF!,IF('INHERENT MAP'!$B$5=2023,#REF!,IF('INHERENT MAP'!$B$5=2024,#REF!,#REF!))))</f>
        <v>0</v>
      </c>
      <c r="J129">
        <f>IF('INHERENT MAP'!$B$5=2021,'РЕЕСТР РИСКОВ_2023'!N154,IF('INHERENT MAP'!$B$5=2022,#REF!,IF('INHERENT MAP'!$B$5=2023,#REF!,IF('INHERENT MAP'!$B$5=2024,#REF!,#REF!))))</f>
        <v>0</v>
      </c>
      <c r="K129">
        <f>IF('INHERENT MAP'!$B$5=2021,'РЕЕСТР РИСКОВ_2023'!O154,IF('INHERENT MAP'!$B$5=2022,#REF!,IF('INHERENT MAP'!$B$5=2023,#REF!,IF('INHERENT MAP'!$B$5=2024,#REF!,#REF!))))</f>
        <v>0</v>
      </c>
      <c r="L129">
        <f>IF('INHERENT MAP'!$B$5=2021,'РЕЕСТР РИСКОВ_2023'!P154,IF('INHERENT MAP'!$B$5=2022,#REF!,IF('INHERENT MAP'!$B$5=2023,#REF!,IF('INHERENT MAP'!$B$5=2024,#REF!,#REF!))))</f>
        <v>0</v>
      </c>
      <c r="M129" t="str">
        <f>IF('INHERENT MAP'!$B$5=2021,IF('РЕЕСТР РИСКОВ_2023'!Q154="",M128,'РЕЕСТР РИСКОВ_2023'!Q154),IF('INHERENT MAP'!$B$5=2022,IF(#REF!="",M128,#REF!),IF('INHERENT MAP'!$B$5=2023,IF(#REF!="",M128,#REF!),IF('INHERENT MAP'!$B$5=2024,IF(#REF!="",M128,#REF!),IF('РЕЕСТР РИСКОВ_2023'!Q154="",M128,'РЕЕСТР РИСКОВ_2023'!Q154)))))</f>
        <v>Риск увеличения длины изношенных путей</v>
      </c>
      <c r="N129" t="str">
        <f>IF('INHERENT MAP'!$B$5=2021,IF('РЕЕСТР РИСКОВ_2023'!R154="",N128,'РЕЕСТР РИСКОВ_2023'!R154),IF('INHERENT MAP'!$B$5=2022,IF(#REF!="",N128,#REF!),IF('INHERENT MAP'!$B$5=2023,IF(#REF!="",N128,#REF!),IF('INHERENT MAP'!$B$5=2024,IF(#REF!="",N128,#REF!),IF('РЕЕСТР РИСКОВ_2023'!R154="",N128,'РЕЕСТР РИСКОВ_2023'!R154)))))</f>
        <v>По состоянию на 01.01.2023г. потребность в капитальном ремонте пути составляет 2 520 км.
В 2023 г. запланирован капремонт пути в объеме 567 км на сумму 105 мрд. 214 млн. 986 тыс.тг (стоимость ремонта 1 км составляет 187,236 млн тг).
При этом максимальный возможный объем капитального ремонта пути составляет 567 км ежегодно с учетом пропускной способности МЖС.</v>
      </c>
      <c r="O129">
        <f>'РЕЕСТР РИСКОВ_2023'!T154</f>
        <v>0</v>
      </c>
      <c r="P129" t="e">
        <f>IF('РЕЕСТР РИСКОВ_2023'!U154="",P128,'РЕЕСТР РИСКОВ_2023'!U154)</f>
        <v>#REF!</v>
      </c>
      <c r="Q129" t="str">
        <f>IF('РЕЕСТР РИСКОВ_2023'!V154="",Q128,'РЕЕСТР РИСКОВ_2023'!V154)</f>
        <v>Слабые стороны</v>
      </c>
      <c r="R129" t="e">
        <f>IF('РЕЕСТР РИСКОВ_2023'!W154="",R128,'РЕЕСТР РИСКОВ_2023'!W154)</f>
        <v>#REF!</v>
      </c>
      <c r="S129">
        <f>'РЕЕСТР РИСКОВ_2023'!X154</f>
        <v>0</v>
      </c>
      <c r="T129" s="94">
        <f>IF('INHERENT MAP'!$B$5=2021,'РЕЕСТР РИСКОВ_2023'!Y154,IF('INHERENT MAP'!$B$5=2022,#REF!,IF('INHERENT MAP'!$B$5=2023,#REF!,IF('INHERENT MAP'!$B$5=2024,#REF!,#REF!))))</f>
        <v>0.3</v>
      </c>
      <c r="U129">
        <f>IF('INHERENT MAP'!$B$5=2021,'РЕЕСТР РИСКОВ_2023'!Z154,IF('INHERENT MAP'!$B$5=2022,#REF!,IF('INHERENT MAP'!$B$5=2023,#REF!,IF('INHERENT MAP'!$B$5=2024,#REF!,#REF!))))</f>
        <v>0</v>
      </c>
      <c r="V129">
        <f>IF('INHERENT MAP'!$B$5=2021,'РЕЕСТР РИСКОВ_2023'!AA154,IF('INHERENT MAP'!$B$5=2022,#REF!,IF('INHERENT MAP'!$B$5=2023,#REF!,IF('INHERENT MAP'!$B$5=2024,#REF!,#REF!))))</f>
        <v>0</v>
      </c>
      <c r="W129">
        <f>IF('INHERENT MAP'!$B$5=2021,'РЕЕСТР РИСКОВ_2023'!AB154,IF('INHERENT MAP'!$B$5=2022,#REF!,IF('INHERENT MAP'!$B$5=2023,#REF!,IF('INHERENT MAP'!$B$5=2024,#REF!,#REF!))))</f>
        <v>0</v>
      </c>
      <c r="X129" s="94">
        <f>IF('INHERENT MAP'!$B$5=2021,'РЕЕСТР РИСКОВ_2023'!AC154,IF('INHERENT MAP'!$B$5=2022,#REF!,IF('INHERENT MAP'!$B$5=2023,#REF!,IF('INHERENT MAP'!$B$5=2024,#REF!,#REF!))))</f>
        <v>0</v>
      </c>
      <c r="Y129">
        <f>IF('INHERENT MAP'!$B$5=2021,'РЕЕСТР РИСКОВ_2023'!AD154,IF('INHERENT MAP'!$B$5=2022,#REF!,IF('INHERENT MAP'!$B$5=2023,#REF!,IF('INHERENT MAP'!$B$5=2024,#REF!,#REF!))))</f>
        <v>0</v>
      </c>
      <c r="Z129">
        <f>IF('INHERENT MAP'!$B$5=2021,'РЕЕСТР РИСКОВ_2023'!AE154,IF('INHERENT MAP'!$B$5=2022,#REF!,IF('INHERENT MAP'!$B$5=2023,#REF!,IF('INHERENT MAP'!$B$5=2024,#REF!,#REF!))))</f>
        <v>0</v>
      </c>
      <c r="AA129">
        <f>IF('INHERENT MAP'!$B$5=2021,'РЕЕСТР РИСКОВ_2023'!AF154,IF('INHERENT MAP'!$B$5=2022,#REF!,IF('INHERENT MAP'!$B$5=2023,#REF!,IF('INHERENT MAP'!$B$5=2024,#REF!,#REF!))))</f>
        <v>0</v>
      </c>
      <c r="AB129">
        <f>IF('INHERENT MAP'!$B$5=2021,'РЕЕСТР РИСКОВ_2023'!AG154,IF('INHERENT MAP'!$B$5=2022,#REF!,IF('INHERENT MAP'!$B$5=2023,#REF!,IF('INHERENT MAP'!$B$5=2024,#REF!,#REF!))))</f>
        <v>0</v>
      </c>
      <c r="AC129">
        <f>IF('INHERENT MAP'!$B$5=2021,'РЕЕСТР РИСКОВ_2023'!AH154,IF('INHERENT MAP'!$B$5=2022,#REF!,IF('INHERENT MAP'!$B$5=2023,#REF!,IF('INHERENT MAP'!$B$5=2024,#REF!,#REF!))))</f>
        <v>0</v>
      </c>
      <c r="AD129" t="str">
        <f>IF('INHERENT MAP'!$B$5=2021,'РЕЕСТР РИСКОВ_2023'!AI154,IF('INHERENT MAP'!$B$5=2022,#REF!,IF('INHERENT MAP'!$B$5=2023,#REF!,IF('INHERENT MAP'!$B$5=2024,#REF!,#REF!))))</f>
        <v>Выделение достаточного финансирования на капитальный ремонт
Недопущение резкого роста стоимости материалов и услуг</v>
      </c>
      <c r="AE129" t="str">
        <f>IF('INHERENT MAP'!$B$5=2021,'РЕЕСТР РИСКОВ_2023'!AK154,IF('INHERENT MAP'!$B$5=2022,#REF!,IF('INHERENT MAP'!$B$5=2023,#REF!,IF('INHERENT MAP'!$B$5=2024,#REF!,#REF!))))</f>
        <v>ЦЖС</v>
      </c>
      <c r="AF129" t="str">
        <f>IF('INHERENT MAP'!$B$5=2021,'РЕЕСТР РИСКОВ_2023'!AL154,IF('INHERENT MAP'!$B$5=2022,#REF!,IF('INHERENT MAP'!$B$5=2023,#REF!,IF('INHERENT MAP'!$B$5=2024,#REF!,#REF!))))</f>
        <v>постоянно</v>
      </c>
      <c r="AG129" t="str">
        <f>IF('INHERENT MAP'!$B$5=2021,'РЕЕСТР РИСКОВ_2023'!AM154,IF('INHERENT MAP'!$B$5=2022,#REF!,IF('INHERENT MAP'!$B$5=2023,#REF!,IF('INHERENT MAP'!$B$5=2024,#REF!,#REF!))))</f>
        <v>низкая</v>
      </c>
      <c r="AH129">
        <f>IF('INHERENT MAP'!$B$5=2021,'РЕЕСТР РИСКОВ_2023'!AN154,IF('INHERENT MAP'!$B$5=2022,#REF!,IF('INHERENT MAP'!$B$5=2023,#REF!,IF('INHERENT MAP'!$B$5=2024,#REF!,#REF!))))</f>
        <v>0</v>
      </c>
      <c r="AI129">
        <f>IF('INHERENT MAP'!$B$5=2021,'РЕЕСТР РИСКОВ_2023'!AO154,IF('INHERENT MAP'!$B$5=2022,#REF!,IF('INHERENT MAP'!$B$5=2023,#REF!,IF('INHERENT MAP'!$B$5=2024,#REF!,#REF!))))</f>
        <v>0</v>
      </c>
      <c r="AJ129">
        <f>IF('INHERENT MAP'!$B$5=2021,'РЕЕСТР РИСКОВ_2023'!AP154,IF('INHERENT MAP'!$B$5=2022,#REF!,IF('INHERENT MAP'!$B$5=2023,#REF!,IF('INHERENT MAP'!$B$5=2024,#REF!,#REF!))))</f>
        <v>0</v>
      </c>
      <c r="AK129" t="e">
        <f>IF('РЕЕСТР РИСКОВ_2023'!AQ154="",AK128,'РЕЕСТР РИСКОВ_2023'!AQ154)</f>
        <v>#REF!</v>
      </c>
      <c r="AL129" t="e">
        <f>IF('РЕЕСТР РИСКОВ_2023'!AR154="",AL128,'РЕЕСТР РИСКОВ_2023'!AR154)</f>
        <v>#REF!</v>
      </c>
      <c r="AM129" t="e">
        <f>IF('РЕЕСТР РИСКОВ_2023'!AS154="",AM128,'РЕЕСТР РИСКОВ_2023'!AS154)</f>
        <v>#REF!</v>
      </c>
      <c r="AN129" t="e">
        <f>IF('РЕЕСТР РИСКОВ_2023'!AT154="",AN128,'РЕЕСТР РИСКОВ_2023'!AT154)</f>
        <v>#REF!</v>
      </c>
      <c r="AO129" t="e">
        <f>IF('РЕЕСТР РИСКОВ_2023'!AU154="",AO128,'РЕЕСТР РИСКОВ_2023'!AU154)</f>
        <v>#REF!</v>
      </c>
    </row>
    <row r="130" spans="2:41">
      <c r="B130" t="e">
        <f>IF('INHERENT MAP'!$B$5=2021,IF('РЕЕСТР РИСКОВ_2023'!F155="",B129,'РЕЕСТР РИСКОВ_2023'!F155),IF('INHERENT MAP'!$B$5=2022,IF(#REF!="",B129,#REF!),IF('INHERENT MAP'!$B$5=2023,IF(#REF!="",B129,#REF!),IF('INHERENT MAP'!$B$5=2024,IF(#REF!="",B129,#REF!),IF('РЕЕСТР РИСКОВ_2023'!F155="",B129,'РЕЕСТР РИСКОВ_2023'!F155)))))</f>
        <v>#REF!</v>
      </c>
      <c r="C130" t="e">
        <f>IF('INHERENT MAP'!$B$5=2021,IF('РЕЕСТР РИСКОВ_2023'!G155="",C129,'РЕЕСТР РИСКОВ_2023'!G155),IF('INHERENT MAP'!$B$5=2022,IF(#REF!="",C129,#REF!),IF('INHERENT MAP'!$B$5=2023,IF(#REF!="",C129,#REF!),IF('INHERENT MAP'!$B$5=2024,IF(#REF!="",C129,#REF!),IF('РЕЕСТР РИСКОВ_2023'!G155="",C129,'РЕЕСТР РИСКОВ_2023'!G155)))))</f>
        <v>#REF!</v>
      </c>
      <c r="D130" t="str">
        <f>IF('INHERENT MAP'!$B$5=2021,IF('РЕЕСТР РИСКОВ_2023'!H155="",D129,'РЕЕСТР РИСКОВ_2023'!H155),IF('INHERENT MAP'!$B$5=2022,IF(#REF!="",D129,#REF!),IF('INHERENT MAP'!$B$5=2023,IF(#REF!="",D129,#REF!),IF('INHERENT MAP'!$B$5=2024,IF(#REF!="",D129,#REF!),IF('РЕЕСТР РИСКОВ_2023'!H155="",D129,'РЕЕСТР РИСКОВ_2023'!H155)))))</f>
        <v>PIR-3</v>
      </c>
      <c r="E130" t="str">
        <f>IF('INHERENT MAP'!$B$5=2021,IF('РЕЕСТР РИСКОВ_2023'!I155="",E129,'РЕЕСТР РИСКОВ_2023'!I155),IF('INHERENT MAP'!$B$5=2022,IF(#REF!="",E129,#REF!),IF('INHERENT MAP'!$B$5=2023,IF(#REF!="",E129,#REF!),IF('INHERENT MAP'!$B$5=2024,IF(#REF!="",E129,#REF!),IF('РЕЕСТР РИСКОВ_2023'!I155="",E129,'РЕЕСТР РИСКОВ_2023'!I155)))))</f>
        <v>ЦЗЦ-1</v>
      </c>
      <c r="F130" t="str">
        <f>IF('INHERENT MAP'!$B$5=2021,IF('РЕЕСТР РИСКОВ_2023'!J155="",F129,'РЕЕСТР РИСКОВ_2023'!J155),IF('INHERENT MAP'!$B$5=2022,IF(#REF!="",F129,#REF!),IF('INHERENT MAP'!$B$5=2023,IF(#REF!="",F129,#REF!),IF('INHERENT MAP'!$B$5=2024,IF(#REF!="",F129,#REF!),IF('РЕЕСТР РИСКОВ_2023'!J155="",F129,'РЕЕСТР РИСКОВ_2023'!J155)))))</f>
        <v>Департамент управления портфелем проектов</v>
      </c>
      <c r="G130" t="str">
        <f>IF('INHERENT MAP'!$B$5=2021,IF('РЕЕСТР РИСКОВ_2023'!K155="",G129,'РЕЕСТР РИСКОВ_2023'!K155),IF('INHERENT MAP'!$B$5=2022,IF(#REF!="",G129,#REF!),IF('INHERENT MAP'!$B$5=2023,IF(#REF!="",G129,#REF!),IF('INHERENT MAP'!$B$5=2024,IF(#REF!="",G129,#REF!),IF('РЕЕСТР РИСКОВ_2023'!K155="",G129,'РЕЕСТР РИСКОВ_2023'!K155)))))</f>
        <v xml:space="preserve">Риск реализации новых низкорентабельных/непрофильных проектов без соответствующих решений органов Компании и Фонда </v>
      </c>
      <c r="H130">
        <f>IF('INHERENT MAP'!$B$5=2021,'РЕЕСТР РИСКОВ_2023'!L155,IF('INHERENT MAP'!$B$5=2022,#REF!,IF('INHERENT MAP'!$B$5=2023,#REF!,IF('INHERENT MAP'!$B$5=2024,#REF!,#REF!))))</f>
        <v>0</v>
      </c>
      <c r="I130">
        <f>IF('INHERENT MAP'!$B$5=2021,'РЕЕСТР РИСКОВ_2023'!M155,IF('INHERENT MAP'!$B$5=2022,#REF!,IF('INHERENT MAP'!$B$5=2023,#REF!,IF('INHERENT MAP'!$B$5=2024,#REF!,#REF!))))</f>
        <v>0</v>
      </c>
      <c r="J130">
        <f>IF('INHERENT MAP'!$B$5=2021,'РЕЕСТР РИСКОВ_2023'!N155,IF('INHERENT MAP'!$B$5=2022,#REF!,IF('INHERENT MAP'!$B$5=2023,#REF!,IF('INHERENT MAP'!$B$5=2024,#REF!,#REF!))))</f>
        <v>0</v>
      </c>
      <c r="K130">
        <f>IF('INHERENT MAP'!$B$5=2021,'РЕЕСТР РИСКОВ_2023'!O155,IF('INHERENT MAP'!$B$5=2022,#REF!,IF('INHERENT MAP'!$B$5=2023,#REF!,IF('INHERENT MAP'!$B$5=2024,#REF!,#REF!))))</f>
        <v>0</v>
      </c>
      <c r="L130">
        <f>IF('INHERENT MAP'!$B$5=2021,'РЕЕСТР РИСКОВ_2023'!P155,IF('INHERENT MAP'!$B$5=2022,#REF!,IF('INHERENT MAP'!$B$5=2023,#REF!,IF('INHERENT MAP'!$B$5=2024,#REF!,#REF!))))</f>
        <v>0</v>
      </c>
      <c r="M130" t="str">
        <f>IF('INHERENT MAP'!$B$5=2021,IF('РЕЕСТР РИСКОВ_2023'!Q155="",M129,'РЕЕСТР РИСКОВ_2023'!Q155),IF('INHERENT MAP'!$B$5=2022,IF(#REF!="",M129,#REF!),IF('INHERENT MAP'!$B$5=2023,IF(#REF!="",M129,#REF!),IF('INHERENT MAP'!$B$5=2024,IF(#REF!="",M129,#REF!),IF('РЕЕСТР РИСКОВ_2023'!Q155="",M129,'РЕЕСТР РИСКОВ_2023'!Q155)))))</f>
        <v>Запрет на реализацию новых нерентабельных/низкорентабельных/непрофильных инвестиционных проектов</v>
      </c>
      <c r="N130" t="str">
        <f>IF('INHERENT MAP'!$B$5=2021,IF('РЕЕСТР РИСКОВ_2023'!R155="",N129,'РЕЕСТР РИСКОВ_2023'!R155),IF('INHERENT MAP'!$B$5=2022,IF(#REF!="",N129,#REF!),IF('INHERENT MAP'!$B$5=2023,IF(#REF!="",N129,#REF!),IF('INHERENT MAP'!$B$5=2024,IF(#REF!="",N129,#REF!),IF('РЕЕСТР РИСКОВ_2023'!R155="",N129,'РЕЕСТР РИСКОВ_2023'!R155)))))</f>
        <v>Отвлечение собственных средств и/или привлечение заемных средств на низкорентабельные и непрофильные проекты. Недофинансирование проектов, направленных на обеспечение безопасности движения поездов, поддержание текущей деятельности в бесперебойном режиме. Увеличение долга Компании, обесценение активов, нарушение финансовых ковенантов.</v>
      </c>
      <c r="O130" t="str">
        <f>'РЕЕСТР РИСКОВ_2023'!T155</f>
        <v>Финансовая модель проекта</v>
      </c>
      <c r="P130" t="e">
        <f>IF('РЕЕСТР РИСКОВ_2023'!U155="",P129,'РЕЕСТР РИСКОВ_2023'!U155)</f>
        <v>#REF!</v>
      </c>
      <c r="Q130" t="str">
        <f>IF('РЕЕСТР РИСКОВ_2023'!V155="",Q129,'РЕЕСТР РИСКОВ_2023'!V155)</f>
        <v>угроза</v>
      </c>
      <c r="R130" t="str">
        <f>IF('РЕЕСТР РИСКОВ_2023'!W155="",R129,'РЕЕСТР РИСКОВ_2023'!W155)</f>
        <v>Влияние на стоимость Компании</v>
      </c>
      <c r="S130">
        <f>'РЕЕСТР РИСКОВ_2023'!X155</f>
        <v>0</v>
      </c>
      <c r="T130" s="94">
        <f>IF('INHERENT MAP'!$B$5=2021,'РЕЕСТР РИСКОВ_2023'!Y155,IF('INHERENT MAP'!$B$5=2022,#REF!,IF('INHERENT MAP'!$B$5=2023,#REF!,IF('INHERENT MAP'!$B$5=2024,#REF!,#REF!))))</f>
        <v>0.01</v>
      </c>
      <c r="U130">
        <f>IF('INHERENT MAP'!$B$5=2021,'РЕЕСТР РИСКОВ_2023'!Z155,IF('INHERENT MAP'!$B$5=2022,#REF!,IF('INHERENT MAP'!$B$5=2023,#REF!,IF('INHERENT MAP'!$B$5=2024,#REF!,#REF!))))</f>
        <v>0</v>
      </c>
      <c r="V130">
        <f>IF('INHERENT MAP'!$B$5=2021,'РЕЕСТР РИСКОВ_2023'!AA155,IF('INHERENT MAP'!$B$5=2022,#REF!,IF('INHERENT MAP'!$B$5=2023,#REF!,IF('INHERENT MAP'!$B$5=2024,#REF!,#REF!))))</f>
        <v>0</v>
      </c>
      <c r="W130">
        <f>IF('INHERENT MAP'!$B$5=2021,'РЕЕСТР РИСКОВ_2023'!AB155,IF('INHERENT MAP'!$B$5=2022,#REF!,IF('INHERENT MAP'!$B$5=2023,#REF!,IF('INHERENT MAP'!$B$5=2024,#REF!,#REF!))))</f>
        <v>0</v>
      </c>
      <c r="X130" s="94">
        <f>IF('INHERENT MAP'!$B$5=2021,'РЕЕСТР РИСКОВ_2023'!AC155,IF('INHERENT MAP'!$B$5=2022,#REF!,IF('INHERENT MAP'!$B$5=2023,#REF!,IF('INHERENT MAP'!$B$5=2024,#REF!,#REF!))))</f>
        <v>0</v>
      </c>
      <c r="Y130">
        <f>IF('INHERENT MAP'!$B$5=2021,'РЕЕСТР РИСКОВ_2023'!AD155,IF('INHERENT MAP'!$B$5=2022,#REF!,IF('INHERENT MAP'!$B$5=2023,#REF!,IF('INHERENT MAP'!$B$5=2024,#REF!,#REF!))))</f>
        <v>0</v>
      </c>
      <c r="Z130">
        <f>IF('INHERENT MAP'!$B$5=2021,'РЕЕСТР РИСКОВ_2023'!AE155,IF('INHERENT MAP'!$B$5=2022,#REF!,IF('INHERENT MAP'!$B$5=2023,#REF!,IF('INHERENT MAP'!$B$5=2024,#REF!,#REF!))))</f>
        <v>0</v>
      </c>
      <c r="AA130" t="str">
        <f>IF('INHERENT MAP'!$B$5=2021,'РЕЕСТР РИСКОВ_2023'!AF155,IF('INHERENT MAP'!$B$5=2022,#REF!,IF('INHERENT MAP'!$B$5=2023,#REF!,IF('INHERENT MAP'!$B$5=2024,#REF!,#REF!))))</f>
        <v>постоянно</v>
      </c>
      <c r="AB130" t="str">
        <f>IF('INHERENT MAP'!$B$5=2021,'РЕЕСТР РИСКОВ_2023'!AG155,IF('INHERENT MAP'!$B$5=2022,#REF!,IF('INHERENT MAP'!$B$5=2023,#REF!,IF('INHERENT MAP'!$B$5=2024,#REF!,#REF!))))</f>
        <v>высокий</v>
      </c>
      <c r="AC130">
        <f>IF('INHERENT MAP'!$B$5=2021,'РЕЕСТР РИСКОВ_2023'!AH155,IF('INHERENT MAP'!$B$5=2022,#REF!,IF('INHERENT MAP'!$B$5=2023,#REF!,IF('INHERENT MAP'!$B$5=2024,#REF!,#REF!))))</f>
        <v>0</v>
      </c>
      <c r="AD130" t="str">
        <f>IF('INHERENT MAP'!$B$5=2021,'РЕЕСТР РИСКОВ_2023'!AI155,IF('INHERENT MAP'!$B$5=2022,#REF!,IF('INHERENT MAP'!$B$5=2023,#REF!,IF('INHERENT MAP'!$B$5=2024,#REF!,#REF!))))</f>
        <v>1. Обеспечение соблюдения требований Корпоративных стандартов инвестиционной деятельности и проектов АО "Самрук-Казына" и АО "НК "КТЖ" в части запрета на реализацию низкорентабельных/непрофильных без получения соответствующей рекомендации Инвестиционно-стратегического комитета АО "Самрук-Казына" и решения Совета директоров АО "НК "КТЖ"
2. Признание расходов на реализацию проекта в качестве прочих распределений Единственному акционеру. 3. Обращение в Правительство РК о выделении средств Республиканского бюджета.</v>
      </c>
      <c r="AE130">
        <f>IF('INHERENT MAP'!$B$5=2021,'РЕЕСТР РИСКОВ_2023'!AK155,IF('INHERENT MAP'!$B$5=2022,#REF!,IF('INHERENT MAP'!$B$5=2023,#REF!,IF('INHERENT MAP'!$B$5=2024,#REF!,#REF!))))</f>
        <v>0</v>
      </c>
      <c r="AF130">
        <f>IF('INHERENT MAP'!$B$5=2021,'РЕЕСТР РИСКОВ_2023'!AL155,IF('INHERENT MAP'!$B$5=2022,#REF!,IF('INHERENT MAP'!$B$5=2023,#REF!,IF('INHERENT MAP'!$B$5=2024,#REF!,#REF!))))</f>
        <v>0</v>
      </c>
      <c r="AG130">
        <f>IF('INHERENT MAP'!$B$5=2021,'РЕЕСТР РИСКОВ_2023'!AM155,IF('INHERENT MAP'!$B$5=2022,#REF!,IF('INHERENT MAP'!$B$5=2023,#REF!,IF('INHERENT MAP'!$B$5=2024,#REF!,#REF!))))</f>
        <v>0</v>
      </c>
      <c r="AH130">
        <f>IF('INHERENT MAP'!$B$5=2021,'РЕЕСТР РИСКОВ_2023'!AN155,IF('INHERENT MAP'!$B$5=2022,#REF!,IF('INHERENT MAP'!$B$5=2023,#REF!,IF('INHERENT MAP'!$B$5=2024,#REF!,#REF!))))</f>
        <v>0</v>
      </c>
      <c r="AI130">
        <f>IF('INHERENT MAP'!$B$5=2021,'РЕЕСТР РИСКОВ_2023'!AO155,IF('INHERENT MAP'!$B$5=2022,#REF!,IF('INHERENT MAP'!$B$5=2023,#REF!,IF('INHERENT MAP'!$B$5=2024,#REF!,#REF!))))</f>
        <v>0</v>
      </c>
      <c r="AJ130">
        <f>IF('INHERENT MAP'!$B$5=2021,'РЕЕСТР РИСКОВ_2023'!AP155,IF('INHERENT MAP'!$B$5=2022,#REF!,IF('INHERENT MAP'!$B$5=2023,#REF!,IF('INHERENT MAP'!$B$5=2024,#REF!,#REF!))))</f>
        <v>0</v>
      </c>
      <c r="AK130" t="e">
        <f>IF('РЕЕСТР РИСКОВ_2023'!AQ155="",AK129,'РЕЕСТР РИСКОВ_2023'!AQ155)</f>
        <v>#REF!</v>
      </c>
      <c r="AL130" t="e">
        <f>IF('РЕЕСТР РИСКОВ_2023'!AR155="",AL129,'РЕЕСТР РИСКОВ_2023'!AR155)</f>
        <v>#REF!</v>
      </c>
      <c r="AM130" t="e">
        <f>IF('РЕЕСТР РИСКОВ_2023'!AS155="",AM129,'РЕЕСТР РИСКОВ_2023'!AS155)</f>
        <v>#REF!</v>
      </c>
      <c r="AN130" t="e">
        <f>IF('РЕЕСТР РИСКОВ_2023'!AT155="",AN129,'РЕЕСТР РИСКОВ_2023'!AT155)</f>
        <v>#REF!</v>
      </c>
      <c r="AO130" t="e">
        <f>IF('РЕЕСТР РИСКОВ_2023'!AU155="",AO129,'РЕЕСТР РИСКОВ_2023'!AU155)</f>
        <v>#REF!</v>
      </c>
    </row>
    <row r="131" spans="2:41">
      <c r="B131" t="str">
        <f>IF('INHERENT MAP'!$B$5=2021,IF('РЕЕСТР РИСКОВ_2023'!F159="",B130,'РЕЕСТР РИСКОВ_2023'!F159),IF('INHERENT MAP'!$B$5=2022,IF(#REF!="",B130,#REF!),IF('INHERENT MAP'!$B$5=2023,IF(#REF!="",B130,#REF!),IF('INHERENT MAP'!$B$5=2024,IF(#REF!="",B130,#REF!),IF('РЕЕСТР РИСКОВ_2023'!F159="",B130,'РЕЕСТР РИСКОВ_2023'!F159)))))</f>
        <v>НАЛОГОВЫЙ РИСК</v>
      </c>
      <c r="C131" t="e">
        <f>IF('INHERENT MAP'!$B$5=2021,IF('РЕЕСТР РИСКОВ_2023'!G159="",C130,'РЕЕСТР РИСКОВ_2023'!G159),IF('INHERENT MAP'!$B$5=2022,IF(#REF!="",C130,#REF!),IF('INHERENT MAP'!$B$5=2023,IF(#REF!="",C130,#REF!),IF('INHERENT MAP'!$B$5=2024,IF(#REF!="",C130,#REF!),IF('РЕЕСТР РИСКОВ_2023'!G159="",C130,'РЕЕСТР РИСКОВ_2023'!G159)))))</f>
        <v>#REF!</v>
      </c>
      <c r="D131" t="str">
        <f>IF('INHERENT MAP'!$B$5=2021,IF('РЕЕСТР РИСКОВ_2023'!H159="",D130,'РЕЕСТР РИСКОВ_2023'!H159),IF('INHERENT MAP'!$B$5=2022,IF(#REF!="",D130,#REF!),IF('INHERENT MAP'!$B$5=2023,IF(#REF!="",D130,#REF!),IF('INHERENT MAP'!$B$5=2024,IF(#REF!="",D130,#REF!),IF('РЕЕСТР РИСКОВ_2023'!H159="",D130,'РЕЕСТР РИСКОВ_2023'!H159)))))</f>
        <v>TR-1</v>
      </c>
      <c r="E131" t="str">
        <f>IF('INHERENT MAP'!$B$5=2021,IF('РЕЕСТР РИСКОВ_2023'!I159="",E130,'РЕЕСТР РИСКОВ_2023'!I159),IF('INHERENT MAP'!$B$5=2022,IF(#REF!="",E130,#REF!),IF('INHERENT MAP'!$B$5=2023,IF(#REF!="",E130,#REF!),IF('INHERENT MAP'!$B$5=2024,IF(#REF!="",E130,#REF!),IF('РЕЕСТР РИСКОВ_2023'!I159="",E130,'РЕЕСТР РИСКОВ_2023'!I159)))))</f>
        <v>ЦЗФ</v>
      </c>
      <c r="F131" t="str">
        <f>IF('INHERENT MAP'!$B$5=2021,IF('РЕЕСТР РИСКОВ_2023'!J159="",F130,'РЕЕСТР РИСКОВ_2023'!J159),IF('INHERENT MAP'!$B$5=2022,IF(#REF!="",F130,#REF!),IF('INHERENT MAP'!$B$5=2023,IF(#REF!="",F130,#REF!),IF('INHERENT MAP'!$B$5=2024,IF(#REF!="",F130,#REF!),IF('РЕЕСТР РИСКОВ_2023'!J159="",F130,'РЕЕСТР РИСКОВ_2023'!J159)))))</f>
        <v>ЦФО, ЦБН</v>
      </c>
      <c r="G131" t="str">
        <f>IF('INHERENT MAP'!$B$5=2021,IF('РЕЕСТР РИСКОВ_2023'!K159="",G130,'РЕЕСТР РИСКОВ_2023'!K159),IF('INHERENT MAP'!$B$5=2022,IF(#REF!="",G130,#REF!),IF('INHERENT MAP'!$B$5=2023,IF(#REF!="",G130,#REF!),IF('INHERENT MAP'!$B$5=2024,IF(#REF!="",G130,#REF!),IF('РЕЕСТР РИСКОВ_2023'!K159="",G130,'РЕЕСТР РИСКОВ_2023'!K159)))))</f>
        <v>Неправильное исчисление и несвоевременная уплата налогов и других обязательных платежей в бюджет</v>
      </c>
      <c r="H131">
        <f>IF('INHERENT MAP'!$B$5=2021,'РЕЕСТР РИСКОВ_2023'!L159,IF('INHERENT MAP'!$B$5=2022,#REF!,IF('INHERENT MAP'!$B$5=2023,#REF!,IF('INHERENT MAP'!$B$5=2024,#REF!,#REF!))))</f>
        <v>0</v>
      </c>
      <c r="I131">
        <f>IF('INHERENT MAP'!$B$5=2021,'РЕЕСТР РИСКОВ_2023'!M159,IF('INHERENT MAP'!$B$5=2022,#REF!,IF('INHERENT MAP'!$B$5=2023,#REF!,IF('INHERENT MAP'!$B$5=2024,#REF!,#REF!))))</f>
        <v>0</v>
      </c>
      <c r="J131">
        <f>IF('INHERENT MAP'!$B$5=2021,'РЕЕСТР РИСКОВ_2023'!N159,IF('INHERENT MAP'!$B$5=2022,#REF!,IF('INHERENT MAP'!$B$5=2023,#REF!,IF('INHERENT MAP'!$B$5=2024,#REF!,#REF!))))</f>
        <v>0</v>
      </c>
      <c r="K131">
        <f>IF('INHERENT MAP'!$B$5=2021,'РЕЕСТР РИСКОВ_2023'!O159,IF('INHERENT MAP'!$B$5=2022,#REF!,IF('INHERENT MAP'!$B$5=2023,#REF!,IF('INHERENT MAP'!$B$5=2024,#REF!,#REF!))))</f>
        <v>0</v>
      </c>
      <c r="L131">
        <f>IF('INHERENT MAP'!$B$5=2021,'РЕЕСТР РИСКОВ_2023'!P159,IF('INHERENT MAP'!$B$5=2022,#REF!,IF('INHERENT MAP'!$B$5=2023,#REF!,IF('INHERENT MAP'!$B$5=2024,#REF!,#REF!))))</f>
        <v>0</v>
      </c>
      <c r="M131" t="str">
        <f>IF('INHERENT MAP'!$B$5=2021,IF('РЕЕСТР РИСКОВ_2023'!Q159="",M130,'РЕЕСТР РИСКОВ_2023'!Q159),IF('INHERENT MAP'!$B$5=2022,IF(#REF!="",M130,#REF!),IF('INHERENT MAP'!$B$5=2023,IF(#REF!="",M130,#REF!),IF('INHERENT MAP'!$B$5=2024,IF(#REF!="",M130,#REF!),IF('РЕЕСТР РИСКОВ_2023'!Q159="",M130,'РЕЕСТР РИСКОВ_2023'!Q159)))))</f>
        <v xml:space="preserve">Некорректное и/или несвоевременное отражение бухгалтерских записей в учетной системе;                                           Неправильное исчисление налогов и других обязательных платежей в бюджет;                                                  Несвоевременное представление налоговой отчетности в налоговые органы;                                                   Несвоевременное и/или некорректное предоставления структурными подразделениями Компании документов (правоудостоверяющих, разрешительных, расчетов, договоров, актов, технических паспортов и других), сведений и информации, необходимых для исчисления налогов и других обязательных платежей в бюджет. </v>
      </c>
      <c r="N131" t="str">
        <f>IF('INHERENT MAP'!$B$5=2021,IF('РЕЕСТР РИСКОВ_2023'!R159="",N130,'РЕЕСТР РИСКОВ_2023'!R159),IF('INHERENT MAP'!$B$5=2022,IF(#REF!="",N130,#REF!),IF('INHERENT MAP'!$B$5=2023,IF(#REF!="",N130,#REF!),IF('INHERENT MAP'!$B$5=2024,IF(#REF!="",N130,#REF!),IF('РЕЕСТР РИСКОВ_2023'!R159="",N130,'РЕЕСТР РИСКОВ_2023'!R159)))))</f>
        <v>Отвлечение собственных средств и/или привлечение заемных средств на низкорентабельные и непрофильные проекты. Недофинансирование проектов, направленных на обеспечение безопасности движения поездов, поддержание текущей деятельности в бесперебойном режиме. Увеличение долга Компании, обесценение активов, нарушение финансовых ковенантов.</v>
      </c>
      <c r="O131">
        <f>'РЕЕСТР РИСКОВ_2023'!T159</f>
        <v>0</v>
      </c>
      <c r="P131" t="e">
        <f>IF('РЕЕСТР РИСКОВ_2023'!U159="",P130,'РЕЕСТР РИСКОВ_2023'!U159)</f>
        <v>#REF!</v>
      </c>
      <c r="Q131" t="str">
        <f>IF('РЕЕСТР РИСКОВ_2023'!V159="",Q130,'РЕЕСТР РИСКОВ_2023'!V159)</f>
        <v>Угрозы</v>
      </c>
      <c r="R131" t="str">
        <f>IF('РЕЕСТР РИСКОВ_2023'!W159="",R130,'РЕЕСТР РИСКОВ_2023'!W159)</f>
        <v>Недоимка по налогам и платежам в бюджет, начисление пени и штрафных санкций</v>
      </c>
      <c r="S131">
        <f>'РЕЕСТР РИСКОВ_2023'!X159</f>
        <v>0</v>
      </c>
      <c r="T131" s="94">
        <f>IF('INHERENT MAP'!$B$5=2021,'РЕЕСТР РИСКОВ_2023'!Y159,IF('INHERENT MAP'!$B$5=2022,#REF!,IF('INHERENT MAP'!$B$5=2023,#REF!,IF('INHERENT MAP'!$B$5=2024,#REF!,#REF!))))</f>
        <v>0.25</v>
      </c>
      <c r="U131">
        <f>IF('INHERENT MAP'!$B$5=2021,'РЕЕСТР РИСКОВ_2023'!Z159,IF('INHERENT MAP'!$B$5=2022,#REF!,IF('INHERENT MAP'!$B$5=2023,#REF!,IF('INHERENT MAP'!$B$5=2024,#REF!,#REF!))))</f>
        <v>0</v>
      </c>
      <c r="V131">
        <f>IF('INHERENT MAP'!$B$5=2021,'РЕЕСТР РИСКОВ_2023'!AA159,IF('INHERENT MAP'!$B$5=2022,#REF!,IF('INHERENT MAP'!$B$5=2023,#REF!,IF('INHERENT MAP'!$B$5=2024,#REF!,#REF!))))</f>
        <v>0</v>
      </c>
      <c r="W131">
        <f>IF('INHERENT MAP'!$B$5=2021,'РЕЕСТР РИСКОВ_2023'!AB159,IF('INHERENT MAP'!$B$5=2022,#REF!,IF('INHERENT MAP'!$B$5=2023,#REF!,IF('INHERENT MAP'!$B$5=2024,#REF!,#REF!))))</f>
        <v>0</v>
      </c>
      <c r="X131" s="94">
        <f>IF('INHERENT MAP'!$B$5=2021,'РЕЕСТР РИСКОВ_2023'!AC159,IF('INHERENT MAP'!$B$5=2022,#REF!,IF('INHERENT MAP'!$B$5=2023,#REF!,IF('INHERENT MAP'!$B$5=2024,#REF!,#REF!))))</f>
        <v>0.25</v>
      </c>
      <c r="Y131">
        <f>IF('INHERENT MAP'!$B$5=2021,'РЕЕСТР РИСКОВ_2023'!AD159,IF('INHERENT MAP'!$B$5=2022,#REF!,IF('INHERENT MAP'!$B$5=2023,#REF!,IF('INHERENT MAP'!$B$5=2024,#REF!,#REF!))))</f>
        <v>0</v>
      </c>
      <c r="Z131">
        <f>IF('INHERENT MAP'!$B$5=2021,'РЕЕСТР РИСКОВ_2023'!AE159,IF('INHERENT MAP'!$B$5=2022,#REF!,IF('INHERENT MAP'!$B$5=2023,#REF!,IF('INHERENT MAP'!$B$5=2024,#REF!,#REF!))))</f>
        <v>0</v>
      </c>
      <c r="AA131">
        <f>IF('INHERENT MAP'!$B$5=2021,'РЕЕСТР РИСКОВ_2023'!AF159,IF('INHERENT MAP'!$B$5=2022,#REF!,IF('INHERENT MAP'!$B$5=2023,#REF!,IF('INHERENT MAP'!$B$5=2024,#REF!,#REF!))))</f>
        <v>0</v>
      </c>
      <c r="AB131">
        <f>IF('INHERENT MAP'!$B$5=2021,'РЕЕСТР РИСКОВ_2023'!AG159,IF('INHERENT MAP'!$B$5=2022,#REF!,IF('INHERENT MAP'!$B$5=2023,#REF!,IF('INHERENT MAP'!$B$5=2024,#REF!,#REF!))))</f>
        <v>0</v>
      </c>
      <c r="AC131">
        <f>IF('INHERENT MAP'!$B$5=2021,'РЕЕСТР РИСКОВ_2023'!AH159,IF('INHERENT MAP'!$B$5=2022,#REF!,IF('INHERENT MAP'!$B$5=2023,#REF!,IF('INHERENT MAP'!$B$5=2024,#REF!,#REF!))))</f>
        <v>0</v>
      </c>
      <c r="AD131" t="str">
        <f>IF('INHERENT MAP'!$B$5=2021,'РЕЕСТР РИСКОВ_2023'!AI159,IF('INHERENT MAP'!$B$5=2022,#REF!,IF('INHERENT MAP'!$B$5=2023,#REF!,IF('INHERENT MAP'!$B$5=2024,#REF!,#REF!))))</f>
        <v>Методологические консультации и разъяснения (устные и письменные) по вопросам ведения налогового учета;                      Своевременное предоставление структурными подразделениями первичных документов и информациии для налогообложения; Постоянное взаимодействие со структурными подразделениями;                                                                                                                                                                                                                         Проведение и участие в семинарах, обучениях по вопросам изменений в налоговом законодательстве Республики Казахстан;                                                  Мониторинг изменений налогового законодательства Республики Казахстан;
Соблюдение Налоговой учетной политики АО «НК «ҚТЖ»;                                                                                                Правильное и своевременное отражение бухгалтерских записей в учетной системе;                                                                                                 Правильное исчисление налогов и других обязательных платежей в бюджет;                                                                                                                                                                                 Соблюдение сроков предоставления налоговой отчетности в налоговые органы установленных налоговым законодательством Республики Казахстан;                                                                                                                                                                                                                                                                                                                                                                                                                                                      Проведение внутренних налоговых проверок структурных подразделений филиала АО «НК «ҚТЖ» - «Многофункциональный центр обслуживания»;                                                                                                                                                                      Проверка на ежедневной основе наличия налоговой задолженности на лицевых счетах в Кабинете налогоплательщика по регистрационному учету налогоплательщика, а также по месту нахождения объектов налогообложения.
Автоматизация и роботизация  процессов ведения налогового учета.Интеграция с государственными базами данных.</v>
      </c>
      <c r="AE131" t="str">
        <f>IF('INHERENT MAP'!$B$5=2021,'РЕЕСТР РИСКОВ_2023'!AK159,IF('INHERENT MAP'!$B$5=2022,#REF!,IF('INHERENT MAP'!$B$5=2023,#REF!,IF('INHERENT MAP'!$B$5=2024,#REF!,#REF!))))</f>
        <v>ЦФО, ЦБН</v>
      </c>
      <c r="AF131">
        <f>IF('INHERENT MAP'!$B$5=2021,'РЕЕСТР РИСКОВ_2023'!AL159,IF('INHERENT MAP'!$B$5=2022,#REF!,IF('INHERENT MAP'!$B$5=2023,#REF!,IF('INHERENT MAP'!$B$5=2024,#REF!,#REF!))))</f>
        <v>0</v>
      </c>
      <c r="AG131" t="str">
        <f>IF('INHERENT MAP'!$B$5=2021,'РЕЕСТР РИСКОВ_2023'!AM159,IF('INHERENT MAP'!$B$5=2022,#REF!,IF('INHERENT MAP'!$B$5=2023,#REF!,IF('INHERENT MAP'!$B$5=2024,#REF!,#REF!))))</f>
        <v>средняя</v>
      </c>
      <c r="AH131">
        <f>IF('INHERENT MAP'!$B$5=2021,'РЕЕСТР РИСКОВ_2023'!AN159,IF('INHERENT MAP'!$B$5=2022,#REF!,IF('INHERENT MAP'!$B$5=2023,#REF!,IF('INHERENT MAP'!$B$5=2024,#REF!,#REF!))))</f>
        <v>0.125</v>
      </c>
      <c r="AI131">
        <f>IF('INHERENT MAP'!$B$5=2021,'РЕЕСТР РИСКОВ_2023'!AO159,IF('INHERENT MAP'!$B$5=2022,#REF!,IF('INHERENT MAP'!$B$5=2023,#REF!,IF('INHERENT MAP'!$B$5=2024,#REF!,#REF!))))</f>
        <v>0</v>
      </c>
      <c r="AJ131">
        <f>IF('INHERENT MAP'!$B$5=2021,'РЕЕСТР РИСКОВ_2023'!AP159,IF('INHERENT MAP'!$B$5=2022,#REF!,IF('INHERENT MAP'!$B$5=2023,#REF!,IF('INHERENT MAP'!$B$5=2024,#REF!,#REF!))))</f>
        <v>0</v>
      </c>
      <c r="AK131">
        <f>IF('РЕЕСТР РИСКОВ_2023'!AQ159="",AK130,'РЕЕСТР РИСКОВ_2023'!AQ159)</f>
        <v>0</v>
      </c>
      <c r="AL131">
        <f>IF('РЕЕСТР РИСКОВ_2023'!AR159="",AL130,'РЕЕСТР РИСКОВ_2023'!AR159)</f>
        <v>0.20833333333333334</v>
      </c>
      <c r="AM131">
        <f>IF('РЕЕСТР РИСКОВ_2023'!AS159="",AM130,'РЕЕСТР РИСКОВ_2023'!AS159)</f>
        <v>0</v>
      </c>
      <c r="AN131">
        <f>IF('РЕЕСТР РИСКОВ_2023'!AT159="",AN130,'РЕЕСТР РИСКОВ_2023'!AT159)</f>
        <v>0</v>
      </c>
      <c r="AO131" t="e">
        <f>IF('РЕЕСТР РИСКОВ_2023'!AU159="",AO130,'РЕЕСТР РИСКОВ_2023'!AU159)</f>
        <v>#REF!</v>
      </c>
    </row>
    <row r="132" spans="2:41">
      <c r="B132" t="str">
        <f>IF('INHERENT MAP'!$B$5=2021,IF('РЕЕСТР РИСКОВ_2023'!F160="",B131,'РЕЕСТР РИСКОВ_2023'!F160),IF('INHERENT MAP'!$B$5=2022,IF(#REF!="",B131,#REF!),IF('INHERENT MAP'!$B$5=2023,IF(#REF!="",B131,#REF!),IF('INHERENT MAP'!$B$5=2024,IF(#REF!="",B131,#REF!),IF('РЕЕСТР РИСКОВ_2023'!F160="",B131,'РЕЕСТР РИСКОВ_2023'!F160)))))</f>
        <v>НАЛОГОВЫЙ РИСК</v>
      </c>
      <c r="C132" t="e">
        <f>IF('INHERENT MAP'!$B$5=2021,IF('РЕЕСТР РИСКОВ_2023'!G160="",C131,'РЕЕСТР РИСКОВ_2023'!G160),IF('INHERENT MAP'!$B$5=2022,IF(#REF!="",C131,#REF!),IF('INHERENT MAP'!$B$5=2023,IF(#REF!="",C131,#REF!),IF('INHERENT MAP'!$B$5=2024,IF(#REF!="",C131,#REF!),IF('РЕЕСТР РИСКОВ_2023'!G160="",C131,'РЕЕСТР РИСКОВ_2023'!G160)))))</f>
        <v>#REF!</v>
      </c>
      <c r="D132" t="str">
        <f>IF('INHERENT MAP'!$B$5=2021,IF('РЕЕСТР РИСКОВ_2023'!H160="",D131,'РЕЕСТР РИСКОВ_2023'!H160),IF('INHERENT MAP'!$B$5=2022,IF(#REF!="",D131,#REF!),IF('INHERENT MAP'!$B$5=2023,IF(#REF!="",D131,#REF!),IF('INHERENT MAP'!$B$5=2024,IF(#REF!="",D131,#REF!),IF('РЕЕСТР РИСКОВ_2023'!H160="",D131,'РЕЕСТР РИСКОВ_2023'!H160)))))</f>
        <v>TR-2</v>
      </c>
      <c r="E132" t="str">
        <f>IF('INHERENT MAP'!$B$5=2021,IF('РЕЕСТР РИСКОВ_2023'!I160="",E131,'РЕЕСТР РИСКОВ_2023'!I160),IF('INHERENT MAP'!$B$5=2022,IF(#REF!="",E131,#REF!),IF('INHERENT MAP'!$B$5=2023,IF(#REF!="",E131,#REF!),IF('INHERENT MAP'!$B$5=2024,IF(#REF!="",E131,#REF!),IF('РЕЕСТР РИСКОВ_2023'!I160="",E131,'РЕЕСТР РИСКОВ_2023'!I160)))))</f>
        <v>ЦЗФ</v>
      </c>
      <c r="F132" t="str">
        <f>IF('INHERENT MAP'!$B$5=2021,IF('РЕЕСТР РИСКОВ_2023'!J160="",F131,'РЕЕСТР РИСКОВ_2023'!J160),IF('INHERENT MAP'!$B$5=2022,IF(#REF!="",F131,#REF!),IF('INHERENT MAP'!$B$5=2023,IF(#REF!="",F131,#REF!),IF('INHERENT MAP'!$B$5=2024,IF(#REF!="",F131,#REF!),IF('РЕЕСТР РИСКОВ_2023'!J160="",F131,'РЕЕСТР РИСКОВ_2023'!J160)))))</f>
        <v>ЦФО, ЦБН</v>
      </c>
      <c r="G132" t="str">
        <f>IF('INHERENT MAP'!$B$5=2021,IF('РЕЕСТР РИСКОВ_2023'!K160="",G131,'РЕЕСТР РИСКОВ_2023'!K160),IF('INHERENT MAP'!$B$5=2022,IF(#REF!="",G131,#REF!),IF('INHERENT MAP'!$B$5=2023,IF(#REF!="",G131,#REF!),IF('INHERENT MAP'!$B$5=2024,IF(#REF!="",G131,#REF!),IF('РЕЕСТР РИСКОВ_2023'!K160="",G131,'РЕЕСТР РИСКОВ_2023'!K160)))))</f>
        <v>Дополнительные  нагрузки на работников</v>
      </c>
      <c r="H132">
        <f>IF('INHERENT MAP'!$B$5=2021,'РЕЕСТР РИСКОВ_2023'!L160,IF('INHERENT MAP'!$B$5=2022,#REF!,IF('INHERENT MAP'!$B$5=2023,#REF!,IF('INHERENT MAP'!$B$5=2024,#REF!,#REF!))))</f>
        <v>0</v>
      </c>
      <c r="I132">
        <f>IF('INHERENT MAP'!$B$5=2021,'РЕЕСТР РИСКОВ_2023'!M160,IF('INHERENT MAP'!$B$5=2022,#REF!,IF('INHERENT MAP'!$B$5=2023,#REF!,IF('INHERENT MAP'!$B$5=2024,#REF!,#REF!))))</f>
        <v>0</v>
      </c>
      <c r="J132">
        <f>IF('INHERENT MAP'!$B$5=2021,'РЕЕСТР РИСКОВ_2023'!N160,IF('INHERENT MAP'!$B$5=2022,#REF!,IF('INHERENT MAP'!$B$5=2023,#REF!,IF('INHERENT MAP'!$B$5=2024,#REF!,#REF!))))</f>
        <v>0</v>
      </c>
      <c r="K132">
        <f>IF('INHERENT MAP'!$B$5=2021,'РЕЕСТР РИСКОВ_2023'!O160,IF('INHERENT MAP'!$B$5=2022,#REF!,IF('INHERENT MAP'!$B$5=2023,#REF!,IF('INHERENT MAP'!$B$5=2024,#REF!,#REF!))))</f>
        <v>0</v>
      </c>
      <c r="L132">
        <f>IF('INHERENT MAP'!$B$5=2021,'РЕЕСТР РИСКОВ_2023'!P160,IF('INHERENT MAP'!$B$5=2022,#REF!,IF('INHERENT MAP'!$B$5=2023,#REF!,IF('INHERENT MAP'!$B$5=2024,#REF!,#REF!))))</f>
        <v>0</v>
      </c>
      <c r="M132" t="str">
        <f>IF('INHERENT MAP'!$B$5=2021,IF('РЕЕСТР РИСКОВ_2023'!Q160="",M131,'РЕЕСТР РИСКОВ_2023'!Q160),IF('INHERENT MAP'!$B$5=2022,IF(#REF!="",M131,#REF!),IF('INHERENT MAP'!$B$5=2023,IF(#REF!="",M131,#REF!),IF('INHERENT MAP'!$B$5=2024,IF(#REF!="",M131,#REF!),IF('РЕЕСТР РИСКОВ_2023'!Q160="",M131,'РЕЕСТР РИСКОВ_2023'!Q160)))))</f>
        <v>Отсутствие материальной заинтересованности работников, осуществление сверхурочной работы в будние дни, работа в выходные и праздничные дни;                                               
Отсутствие автоматизации некоторых процессов ведения налогового учета.</v>
      </c>
      <c r="N132" t="str">
        <f>IF('INHERENT MAP'!$B$5=2021,IF('РЕЕСТР РИСКОВ_2023'!R160="",N131,'РЕЕСТР РИСКОВ_2023'!R160),IF('INHERENT MAP'!$B$5=2022,IF(#REF!="",N131,#REF!),IF('INHERENT MAP'!$B$5=2023,IF(#REF!="",N131,#REF!),IF('INHERENT MAP'!$B$5=2024,IF(#REF!="",N131,#REF!),IF('РЕЕСТР РИСКОВ_2023'!R160="",N131,'РЕЕСТР РИСКОВ_2023'!R160)))))</f>
        <v>Отвлечение собственных средств и/или привлечение заемных средств на низкорентабельные и непрофильные проекты. Недофинансирование проектов, направленных на обеспечение безопасности движения поездов, поддержание текущей деятельности в бесперебойном режиме. Увеличение долга Компании, обесценение активов, нарушение финансовых ковенантов.</v>
      </c>
      <c r="O132">
        <f>'РЕЕСТР РИСКОВ_2023'!T160</f>
        <v>0</v>
      </c>
      <c r="P132" t="e">
        <f>IF('РЕЕСТР РИСКОВ_2023'!U160="",P131,'РЕЕСТР РИСКОВ_2023'!U160)</f>
        <v>#REF!</v>
      </c>
      <c r="Q132" t="str">
        <f>IF('РЕЕСТР РИСКОВ_2023'!V160="",Q131,'РЕЕСТР РИСКОВ_2023'!V160)</f>
        <v>Угрозы</v>
      </c>
      <c r="R132" t="str">
        <f>IF('РЕЕСТР РИСКОВ_2023'!W160="",R131,'РЕЕСТР РИСКОВ_2023'!W160)</f>
        <v>Недоимка по налогам и платежам в бюджет, начисление пени и штрафных санкций</v>
      </c>
      <c r="S132">
        <f>'РЕЕСТР РИСКОВ_2023'!X160</f>
        <v>0</v>
      </c>
      <c r="T132" s="94">
        <f>IF('INHERENT MAP'!$B$5=2021,'РЕЕСТР РИСКОВ_2023'!Y160,IF('INHERENT MAP'!$B$5=2022,#REF!,IF('INHERENT MAP'!$B$5=2023,#REF!,IF('INHERENT MAP'!$B$5=2024,#REF!,#REF!))))</f>
        <v>0.25</v>
      </c>
      <c r="U132">
        <f>IF('INHERENT MAP'!$B$5=2021,'РЕЕСТР РИСКОВ_2023'!Z160,IF('INHERENT MAP'!$B$5=2022,#REF!,IF('INHERENT MAP'!$B$5=2023,#REF!,IF('INHERENT MAP'!$B$5=2024,#REF!,#REF!))))</f>
        <v>0</v>
      </c>
      <c r="V132">
        <f>IF('INHERENT MAP'!$B$5=2021,'РЕЕСТР РИСКОВ_2023'!AA160,IF('INHERENT MAP'!$B$5=2022,#REF!,IF('INHERENT MAP'!$B$5=2023,#REF!,IF('INHERENT MAP'!$B$5=2024,#REF!,#REF!))))</f>
        <v>0</v>
      </c>
      <c r="W132">
        <f>IF('INHERENT MAP'!$B$5=2021,'РЕЕСТР РИСКОВ_2023'!AB160,IF('INHERENT MAP'!$B$5=2022,#REF!,IF('INHERENT MAP'!$B$5=2023,#REF!,IF('INHERENT MAP'!$B$5=2024,#REF!,#REF!))))</f>
        <v>0</v>
      </c>
      <c r="X132" s="94">
        <f>IF('INHERENT MAP'!$B$5=2021,'РЕЕСТР РИСКОВ_2023'!AC160,IF('INHERENT MAP'!$B$5=2022,#REF!,IF('INHERENT MAP'!$B$5=2023,#REF!,IF('INHERENT MAP'!$B$5=2024,#REF!,#REF!))))</f>
        <v>0</v>
      </c>
      <c r="Y132">
        <f>IF('INHERENT MAP'!$B$5=2021,'РЕЕСТР РИСКОВ_2023'!AD160,IF('INHERENT MAP'!$B$5=2022,#REF!,IF('INHERENT MAP'!$B$5=2023,#REF!,IF('INHERENT MAP'!$B$5=2024,#REF!,#REF!))))</f>
        <v>0</v>
      </c>
      <c r="Z132">
        <f>IF('INHERENT MAP'!$B$5=2021,'РЕЕСТР РИСКОВ_2023'!AE160,IF('INHERENT MAP'!$B$5=2022,#REF!,IF('INHERENT MAP'!$B$5=2023,#REF!,IF('INHERENT MAP'!$B$5=2024,#REF!,#REF!))))</f>
        <v>0</v>
      </c>
      <c r="AA132">
        <f>IF('INHERENT MAP'!$B$5=2021,'РЕЕСТР РИСКОВ_2023'!AF160,IF('INHERENT MAP'!$B$5=2022,#REF!,IF('INHERENT MAP'!$B$5=2023,#REF!,IF('INHERENT MAP'!$B$5=2024,#REF!,#REF!))))</f>
        <v>0</v>
      </c>
      <c r="AB132">
        <f>IF('INHERENT MAP'!$B$5=2021,'РЕЕСТР РИСКОВ_2023'!AG160,IF('INHERENT MAP'!$B$5=2022,#REF!,IF('INHERENT MAP'!$B$5=2023,#REF!,IF('INHERENT MAP'!$B$5=2024,#REF!,#REF!))))</f>
        <v>0</v>
      </c>
      <c r="AC132">
        <f>IF('INHERENT MAP'!$B$5=2021,'РЕЕСТР РИСКОВ_2023'!AH160,IF('INHERENT MAP'!$B$5=2022,#REF!,IF('INHERENT MAP'!$B$5=2023,#REF!,IF('INHERENT MAP'!$B$5=2024,#REF!,#REF!))))</f>
        <v>0</v>
      </c>
      <c r="AD132" t="str">
        <f>IF('INHERENT MAP'!$B$5=2021,'РЕЕСТР РИСКОВ_2023'!AI160,IF('INHERENT MAP'!$B$5=2022,#REF!,IF('INHERENT MAP'!$B$5=2023,#REF!,IF('INHERENT MAP'!$B$5=2024,#REF!,#REF!))))</f>
        <v>Моральное и материальное поощрение работников, осуществляющих сверхурочную работу в будние дни, работу в выходные и праздничные дни; автоматизация процессов ведения налогового учета; увеличение штата работников по ведению налогового учета.</v>
      </c>
      <c r="AE132">
        <f>IF('INHERENT MAP'!$B$5=2021,'РЕЕСТР РИСКОВ_2023'!AK160,IF('INHERENT MAP'!$B$5=2022,#REF!,IF('INHERENT MAP'!$B$5=2023,#REF!,IF('INHERENT MAP'!$B$5=2024,#REF!,#REF!))))</f>
        <v>0</v>
      </c>
      <c r="AF132">
        <f>IF('INHERENT MAP'!$B$5=2021,'РЕЕСТР РИСКОВ_2023'!AL160,IF('INHERENT MAP'!$B$5=2022,#REF!,IF('INHERENT MAP'!$B$5=2023,#REF!,IF('INHERENT MAP'!$B$5=2024,#REF!,#REF!))))</f>
        <v>0</v>
      </c>
      <c r="AG132" t="str">
        <f>IF('INHERENT MAP'!$B$5=2021,'РЕЕСТР РИСКОВ_2023'!AM160,IF('INHERENT MAP'!$B$5=2022,#REF!,IF('INHERENT MAP'!$B$5=2023,#REF!,IF('INHERENT MAP'!$B$5=2024,#REF!,#REF!))))</f>
        <v>низкая</v>
      </c>
      <c r="AH132">
        <f>IF('INHERENT MAP'!$B$5=2021,'РЕЕСТР РИСКОВ_2023'!AN160,IF('INHERENT MAP'!$B$5=2022,#REF!,IF('INHERENT MAP'!$B$5=2023,#REF!,IF('INHERENT MAP'!$B$5=2024,#REF!,#REF!))))</f>
        <v>0.25</v>
      </c>
      <c r="AI132">
        <f>IF('INHERENT MAP'!$B$5=2021,'РЕЕСТР РИСКОВ_2023'!AO160,IF('INHERENT MAP'!$B$5=2022,#REF!,IF('INHERENT MAP'!$B$5=2023,#REF!,IF('INHERENT MAP'!$B$5=2024,#REF!,#REF!))))</f>
        <v>0</v>
      </c>
      <c r="AJ132">
        <f>IF('INHERENT MAP'!$B$5=2021,'РЕЕСТР РИСКОВ_2023'!AP160,IF('INHERENT MAP'!$B$5=2022,#REF!,IF('INHERENT MAP'!$B$5=2023,#REF!,IF('INHERENT MAP'!$B$5=2024,#REF!,#REF!))))</f>
        <v>0</v>
      </c>
      <c r="AK132">
        <f>IF('РЕЕСТР РИСКОВ_2023'!AQ160="",AK131,'РЕЕСТР РИСКОВ_2023'!AQ160)</f>
        <v>0</v>
      </c>
      <c r="AL132">
        <f>IF('РЕЕСТР РИСКОВ_2023'!AR160="",AL131,'РЕЕСТР РИСКОВ_2023'!AR160)</f>
        <v>0.20833333333333334</v>
      </c>
      <c r="AM132">
        <f>IF('РЕЕСТР РИСКОВ_2023'!AS160="",AM131,'РЕЕСТР РИСКОВ_2023'!AS160)</f>
        <v>0</v>
      </c>
      <c r="AN132">
        <f>IF('РЕЕСТР РИСКОВ_2023'!AT160="",AN131,'РЕЕСТР РИСКОВ_2023'!AT160)</f>
        <v>0</v>
      </c>
      <c r="AO132" t="e">
        <f>IF('РЕЕСТР РИСКОВ_2023'!AU160="",AO131,'РЕЕСТР РИСКОВ_2023'!AU160)</f>
        <v>#REF!</v>
      </c>
    </row>
    <row r="133" spans="2:41">
      <c r="B133" t="str">
        <f>IF('INHERENT MAP'!$B$5=2021,IF('РЕЕСТР РИСКОВ_2023'!F161="",B132,'РЕЕСТР РИСКОВ_2023'!F161),IF('INHERENT MAP'!$B$5=2022,IF(#REF!="",B132,#REF!),IF('INHERENT MAP'!$B$5=2023,IF(#REF!="",B132,#REF!),IF('INHERENT MAP'!$B$5=2024,IF(#REF!="",B132,#REF!),IF('РЕЕСТР РИСКОВ_2023'!F161="",B132,'РЕЕСТР РИСКОВ_2023'!F161)))))</f>
        <v>НАЛОГОВЫЙ РИСК</v>
      </c>
      <c r="C133" t="e">
        <f>IF('INHERENT MAP'!$B$5=2021,IF('РЕЕСТР РИСКОВ_2023'!G161="",C132,'РЕЕСТР РИСКОВ_2023'!G161),IF('INHERENT MAP'!$B$5=2022,IF(#REF!="",C132,#REF!),IF('INHERENT MAP'!$B$5=2023,IF(#REF!="",C132,#REF!),IF('INHERENT MAP'!$B$5=2024,IF(#REF!="",C132,#REF!),IF('РЕЕСТР РИСКОВ_2023'!G161="",C132,'РЕЕСТР РИСКОВ_2023'!G161)))))</f>
        <v>#REF!</v>
      </c>
      <c r="D133" t="str">
        <f>IF('INHERENT MAP'!$B$5=2021,IF('РЕЕСТР РИСКОВ_2023'!H161="",D132,'РЕЕСТР РИСКОВ_2023'!H161),IF('INHERENT MAP'!$B$5=2022,IF(#REF!="",D132,#REF!),IF('INHERENT MAP'!$B$5=2023,IF(#REF!="",D132,#REF!),IF('INHERENT MAP'!$B$5=2024,IF(#REF!="",D132,#REF!),IF('РЕЕСТР РИСКОВ_2023'!H161="",D132,'РЕЕСТР РИСКОВ_2023'!H161)))))</f>
        <v>TR-3</v>
      </c>
      <c r="E133" t="str">
        <f>IF('INHERENT MAP'!$B$5=2021,IF('РЕЕСТР РИСКОВ_2023'!I161="",E132,'РЕЕСТР РИСКОВ_2023'!I161),IF('INHERENT MAP'!$B$5=2022,IF(#REF!="",E132,#REF!),IF('INHERENT MAP'!$B$5=2023,IF(#REF!="",E132,#REF!),IF('INHERENT MAP'!$B$5=2024,IF(#REF!="",E132,#REF!),IF('РЕЕСТР РИСКОВ_2023'!I161="",E132,'РЕЕСТР РИСКОВ_2023'!I161)))))</f>
        <v>ЦЗФ</v>
      </c>
      <c r="F133" t="str">
        <f>IF('INHERENT MAP'!$B$5=2021,IF('РЕЕСТР РИСКОВ_2023'!J161="",F132,'РЕЕСТР РИСКОВ_2023'!J161),IF('INHERENT MAP'!$B$5=2022,IF(#REF!="",F132,#REF!),IF('INHERENT MAP'!$B$5=2023,IF(#REF!="",F132,#REF!),IF('INHERENT MAP'!$B$5=2024,IF(#REF!="",F132,#REF!),IF('РЕЕСТР РИСКОВ_2023'!J161="",F132,'РЕЕСТР РИСКОВ_2023'!J161)))))</f>
        <v>ЦФО, ЦБН</v>
      </c>
      <c r="G133" t="str">
        <f>IF('INHERENT MAP'!$B$5=2021,IF('РЕЕСТР РИСКОВ_2023'!K161="",G132,'РЕЕСТР РИСКОВ_2023'!K161),IF('INHERENT MAP'!$B$5=2022,IF(#REF!="",G132,#REF!),IF('INHERENT MAP'!$B$5=2023,IF(#REF!="",G132,#REF!),IF('INHERENT MAP'!$B$5=2024,IF(#REF!="",G132,#REF!),IF('РЕЕСТР РИСКОВ_2023'!K161="",G132,'РЕЕСТР РИСКОВ_2023'!K161)))))</f>
        <v>Нестабильность интернет-ресурсов</v>
      </c>
      <c r="H133">
        <f>IF('INHERENT MAP'!$B$5=2021,'РЕЕСТР РИСКОВ_2023'!L161,IF('INHERENT MAP'!$B$5=2022,#REF!,IF('INHERENT MAP'!$B$5=2023,#REF!,IF('INHERENT MAP'!$B$5=2024,#REF!,#REF!))))</f>
        <v>0</v>
      </c>
      <c r="I133">
        <f>IF('INHERENT MAP'!$B$5=2021,'РЕЕСТР РИСКОВ_2023'!M161,IF('INHERENT MAP'!$B$5=2022,#REF!,IF('INHERENT MAP'!$B$5=2023,#REF!,IF('INHERENT MAP'!$B$5=2024,#REF!,#REF!))))</f>
        <v>0</v>
      </c>
      <c r="J133">
        <f>IF('INHERENT MAP'!$B$5=2021,'РЕЕСТР РИСКОВ_2023'!N161,IF('INHERENT MAP'!$B$5=2022,#REF!,IF('INHERENT MAP'!$B$5=2023,#REF!,IF('INHERENT MAP'!$B$5=2024,#REF!,#REF!))))</f>
        <v>0</v>
      </c>
      <c r="K133">
        <f>IF('INHERENT MAP'!$B$5=2021,'РЕЕСТР РИСКОВ_2023'!O161,IF('INHERENT MAP'!$B$5=2022,#REF!,IF('INHERENT MAP'!$B$5=2023,#REF!,IF('INHERENT MAP'!$B$5=2024,#REF!,#REF!))))</f>
        <v>0</v>
      </c>
      <c r="L133">
        <f>IF('INHERENT MAP'!$B$5=2021,'РЕЕСТР РИСКОВ_2023'!P161,IF('INHERENT MAP'!$B$5=2022,#REF!,IF('INHERENT MAP'!$B$5=2023,#REF!,IF('INHERENT MAP'!$B$5=2024,#REF!,#REF!))))</f>
        <v>0</v>
      </c>
      <c r="M133" t="str">
        <f>IF('INHERENT MAP'!$B$5=2021,IF('РЕЕСТР РИСКОВ_2023'!Q161="",M132,'РЕЕСТР РИСКОВ_2023'!Q161),IF('INHERENT MAP'!$B$5=2022,IF(#REF!="",M132,#REF!),IF('INHERENT MAP'!$B$5=2023,IF(#REF!="",M132,#REF!),IF('INHERENT MAP'!$B$5=2024,IF(#REF!="",M132,#REF!),IF('РЕЕСТР РИСКОВ_2023'!Q161="",M132,'РЕЕСТР РИСКОВ_2023'!Q161)))))</f>
        <v>Загруженность Кабинета налогоплательщика в отчетные периоды и сбои в информационных системах, приводящие к несвоевременному представлению налоговой отчетности в налоговые органы.</v>
      </c>
      <c r="N133" t="str">
        <f>IF('INHERENT MAP'!$B$5=2021,IF('РЕЕСТР РИСКОВ_2023'!R161="",N132,'РЕЕСТР РИСКОВ_2023'!R161),IF('INHERENT MAP'!$B$5=2022,IF(#REF!="",N132,#REF!),IF('INHERENT MAP'!$B$5=2023,IF(#REF!="",N132,#REF!),IF('INHERENT MAP'!$B$5=2024,IF(#REF!="",N132,#REF!),IF('РЕЕСТР РИСКОВ_2023'!R161="",N132,'РЕЕСТР РИСКОВ_2023'!R161)))))</f>
        <v>Отвлечение собственных средств и/или привлечение заемных средств на низкорентабельные и непрофильные проекты. Недофинансирование проектов, направленных на обеспечение безопасности движения поездов, поддержание текущей деятельности в бесперебойном режиме. Увеличение долга Компании, обесценение активов, нарушение финансовых ковенантов.</v>
      </c>
      <c r="O133">
        <f>'РЕЕСТР РИСКОВ_2023'!T161</f>
        <v>0</v>
      </c>
      <c r="P133" t="e">
        <f>IF('РЕЕСТР РИСКОВ_2023'!U161="",P132,'РЕЕСТР РИСКОВ_2023'!U161)</f>
        <v>#REF!</v>
      </c>
      <c r="Q133" t="str">
        <f>IF('РЕЕСТР РИСКОВ_2023'!V161="",Q132,'РЕЕСТР РИСКОВ_2023'!V161)</f>
        <v>Угрозы</v>
      </c>
      <c r="R133" t="str">
        <f>IF('РЕЕСТР РИСКОВ_2023'!W161="",R132,'РЕЕСТР РИСКОВ_2023'!W161)</f>
        <v>Недоимка по налогам и платежам в бюджет, начисление пени и штрафных санкций</v>
      </c>
      <c r="S133">
        <f>'РЕЕСТР РИСКОВ_2023'!X161</f>
        <v>0</v>
      </c>
      <c r="T133" s="94">
        <f>IF('INHERENT MAP'!$B$5=2021,'РЕЕСТР РИСКОВ_2023'!Y161,IF('INHERENT MAP'!$B$5=2022,#REF!,IF('INHERENT MAP'!$B$5=2023,#REF!,IF('INHERENT MAP'!$B$5=2024,#REF!,#REF!))))</f>
        <v>0.25</v>
      </c>
      <c r="U133">
        <f>IF('INHERENT MAP'!$B$5=2021,'РЕЕСТР РИСКОВ_2023'!Z161,IF('INHERENT MAP'!$B$5=2022,#REF!,IF('INHERENT MAP'!$B$5=2023,#REF!,IF('INHERENT MAP'!$B$5=2024,#REF!,#REF!))))</f>
        <v>0</v>
      </c>
      <c r="V133">
        <f>IF('INHERENT MAP'!$B$5=2021,'РЕЕСТР РИСКОВ_2023'!AA161,IF('INHERENT MAP'!$B$5=2022,#REF!,IF('INHERENT MAP'!$B$5=2023,#REF!,IF('INHERENT MAP'!$B$5=2024,#REF!,#REF!))))</f>
        <v>0</v>
      </c>
      <c r="W133">
        <f>IF('INHERENT MAP'!$B$5=2021,'РЕЕСТР РИСКОВ_2023'!AB161,IF('INHERENT MAP'!$B$5=2022,#REF!,IF('INHERENT MAP'!$B$5=2023,#REF!,IF('INHERENT MAP'!$B$5=2024,#REF!,#REF!))))</f>
        <v>0</v>
      </c>
      <c r="X133" s="94">
        <f>IF('INHERENT MAP'!$B$5=2021,'РЕЕСТР РИСКОВ_2023'!AC161,IF('INHERENT MAP'!$B$5=2022,#REF!,IF('INHERENT MAP'!$B$5=2023,#REF!,IF('INHERENT MAP'!$B$5=2024,#REF!,#REF!))))</f>
        <v>0</v>
      </c>
      <c r="Y133">
        <f>IF('INHERENT MAP'!$B$5=2021,'РЕЕСТР РИСКОВ_2023'!AD161,IF('INHERENT MAP'!$B$5=2022,#REF!,IF('INHERENT MAP'!$B$5=2023,#REF!,IF('INHERENT MAP'!$B$5=2024,#REF!,#REF!))))</f>
        <v>0</v>
      </c>
      <c r="Z133">
        <f>IF('INHERENT MAP'!$B$5=2021,'РЕЕСТР РИСКОВ_2023'!AE161,IF('INHERENT MAP'!$B$5=2022,#REF!,IF('INHERENT MAP'!$B$5=2023,#REF!,IF('INHERENT MAP'!$B$5=2024,#REF!,#REF!))))</f>
        <v>0</v>
      </c>
      <c r="AA133">
        <f>IF('INHERENT MAP'!$B$5=2021,'РЕЕСТР РИСКОВ_2023'!AF161,IF('INHERENT MAP'!$B$5=2022,#REF!,IF('INHERENT MAP'!$B$5=2023,#REF!,IF('INHERENT MAP'!$B$5=2024,#REF!,#REF!))))</f>
        <v>0</v>
      </c>
      <c r="AB133">
        <f>IF('INHERENT MAP'!$B$5=2021,'РЕЕСТР РИСКОВ_2023'!AG161,IF('INHERENT MAP'!$B$5=2022,#REF!,IF('INHERENT MAP'!$B$5=2023,#REF!,IF('INHERENT MAP'!$B$5=2024,#REF!,#REF!))))</f>
        <v>0</v>
      </c>
      <c r="AC133">
        <f>IF('INHERENT MAP'!$B$5=2021,'РЕЕСТР РИСКОВ_2023'!AH161,IF('INHERENT MAP'!$B$5=2022,#REF!,IF('INHERENT MAP'!$B$5=2023,#REF!,IF('INHERENT MAP'!$B$5=2024,#REF!,#REF!))))</f>
        <v>0</v>
      </c>
      <c r="AD133" t="str">
        <f>IF('INHERENT MAP'!$B$5=2021,'РЕЕСТР РИСКОВ_2023'!AI161,IF('INHERENT MAP'!$B$5=2022,#REF!,IF('INHERENT MAP'!$B$5=2023,#REF!,IF('INHERENT MAP'!$B$5=2024,#REF!,#REF!))))</f>
        <v>Заблаговременное представление налоговой отчетности в налоговые органы через Кабинет налогоплательщика.</v>
      </c>
      <c r="AE133">
        <f>IF('INHERENT MAP'!$B$5=2021,'РЕЕСТР РИСКОВ_2023'!AK161,IF('INHERENT MAP'!$B$5=2022,#REF!,IF('INHERENT MAP'!$B$5=2023,#REF!,IF('INHERENT MAP'!$B$5=2024,#REF!,#REF!))))</f>
        <v>0</v>
      </c>
      <c r="AF133">
        <f>IF('INHERENT MAP'!$B$5=2021,'РЕЕСТР РИСКОВ_2023'!AL161,IF('INHERENT MAP'!$B$5=2022,#REF!,IF('INHERENT MAP'!$B$5=2023,#REF!,IF('INHERENT MAP'!$B$5=2024,#REF!,#REF!))))</f>
        <v>0</v>
      </c>
      <c r="AG133" t="str">
        <f>IF('INHERENT MAP'!$B$5=2021,'РЕЕСТР РИСКОВ_2023'!AM161,IF('INHERENT MAP'!$B$5=2022,#REF!,IF('INHERENT MAP'!$B$5=2023,#REF!,IF('INHERENT MAP'!$B$5=2024,#REF!,#REF!))))</f>
        <v>низкая</v>
      </c>
      <c r="AH133">
        <f>IF('INHERENT MAP'!$B$5=2021,'РЕЕСТР РИСКОВ_2023'!AN161,IF('INHERENT MAP'!$B$5=2022,#REF!,IF('INHERENT MAP'!$B$5=2023,#REF!,IF('INHERENT MAP'!$B$5=2024,#REF!,#REF!))))</f>
        <v>0.25</v>
      </c>
      <c r="AI133">
        <f>IF('INHERENT MAP'!$B$5=2021,'РЕЕСТР РИСКОВ_2023'!AO161,IF('INHERENT MAP'!$B$5=2022,#REF!,IF('INHERENT MAP'!$B$5=2023,#REF!,IF('INHERENT MAP'!$B$5=2024,#REF!,#REF!))))</f>
        <v>0</v>
      </c>
      <c r="AJ133">
        <f>IF('INHERENT MAP'!$B$5=2021,'РЕЕСТР РИСКОВ_2023'!AP161,IF('INHERENT MAP'!$B$5=2022,#REF!,IF('INHERENT MAP'!$B$5=2023,#REF!,IF('INHERENT MAP'!$B$5=2024,#REF!,#REF!))))</f>
        <v>0</v>
      </c>
      <c r="AK133">
        <f>IF('РЕЕСТР РИСКОВ_2023'!AQ161="",AK132,'РЕЕСТР РИСКОВ_2023'!AQ161)</f>
        <v>0</v>
      </c>
      <c r="AL133">
        <f>IF('РЕЕСТР РИСКОВ_2023'!AR161="",AL132,'РЕЕСТР РИСКОВ_2023'!AR161)</f>
        <v>0.20833333333333334</v>
      </c>
      <c r="AM133">
        <f>IF('РЕЕСТР РИСКОВ_2023'!AS161="",AM132,'РЕЕСТР РИСКОВ_2023'!AS161)</f>
        <v>0</v>
      </c>
      <c r="AN133">
        <f>IF('РЕЕСТР РИСКОВ_2023'!AT161="",AN132,'РЕЕСТР РИСКОВ_2023'!AT161)</f>
        <v>0</v>
      </c>
      <c r="AO133" t="e">
        <f>IF('РЕЕСТР РИСКОВ_2023'!AU161="",AO132,'РЕЕСТР РИСКОВ_2023'!AU161)</f>
        <v>#REF!</v>
      </c>
    </row>
    <row r="134" spans="2:41">
      <c r="B134" t="str">
        <f>IF('INHERENT MAP'!$B$5=2021,IF('РЕЕСТР РИСКОВ_2023'!F162="",B133,'РЕЕСТР РИСКОВ_2023'!F162),IF('INHERENT MAP'!$B$5=2022,IF(#REF!="",B133,#REF!),IF('INHERENT MAP'!$B$5=2023,IF(#REF!="",B133,#REF!),IF('INHERENT MAP'!$B$5=2024,IF(#REF!="",B133,#REF!),IF('РЕЕСТР РИСКОВ_2023'!F162="",B133,'РЕЕСТР РИСКОВ_2023'!F162)))))</f>
        <v>КОНТРАКТНЫЙ РИСК</v>
      </c>
      <c r="C134" t="str">
        <f>IF('INHERENT MAP'!$B$5=2021,IF('РЕЕСТР РИСКОВ_2023'!G162="",C133,'РЕЕСТР РИСКОВ_2023'!G162),IF('INHERENT MAP'!$B$5=2022,IF(#REF!="",C133,#REF!),IF('INHERENT MAP'!$B$5=2023,IF(#REF!="",C133,#REF!),IF('INHERENT MAP'!$B$5=2024,IF(#REF!="",C133,#REF!),IF('РЕЕСТР РИСКОВ_2023'!G162="",C133,'РЕЕСТР РИСКОВ_2023'!G162)))))</f>
        <v>- ХХХ млн. тенге</v>
      </c>
      <c r="D134" t="str">
        <f>IF('INHERENT MAP'!$B$5=2021,IF('РЕЕСТР РИСКОВ_2023'!H162="",D133,'РЕЕСТР РИСКОВ_2023'!H162),IF('INHERENT MAP'!$B$5=2022,IF(#REF!="",D133,#REF!),IF('INHERENT MAP'!$B$5=2023,IF(#REF!="",D133,#REF!),IF('INHERENT MAP'!$B$5=2024,IF(#REF!="",D133,#REF!),IF('РЕЕСТР РИСКОВ_2023'!H162="",D133,'РЕЕСТР РИСКОВ_2023'!H162)))))</f>
        <v>CCR-1</v>
      </c>
      <c r="E134" t="str">
        <f>IF('INHERENT MAP'!$B$5=2021,IF('РЕЕСТР РИСКОВ_2023'!I162="",E133,'РЕЕСТР РИСКОВ_2023'!I162),IF('INHERENT MAP'!$B$5=2022,IF(#REF!="",E133,#REF!),IF('INHERENT MAP'!$B$5=2023,IF(#REF!="",E133,#REF!),IF('INHERENT MAP'!$B$5=2024,IF(#REF!="",E133,#REF!),IF('РЕЕСТР РИСКОВ_2023'!I162="",E133,'РЕЕСТР РИСКОВ_2023'!I162)))))</f>
        <v>ЦЗЛ</v>
      </c>
      <c r="F134" t="str">
        <f>IF('INHERENT MAP'!$B$5=2021,IF('РЕЕСТР РИСКОВ_2023'!J162="",F133,'РЕЕСТР РИСКОВ_2023'!J162),IF('INHERENT MAP'!$B$5=2022,IF(#REF!="",F133,#REF!),IF('INHERENT MAP'!$B$5=2023,IF(#REF!="",F133,#REF!),IF('INHERENT MAP'!$B$5=2024,IF(#REF!="",F133,#REF!),IF('РЕЕСТР РИСКОВ_2023'!J162="",F133,'РЕЕСТР РИСКОВ_2023'!J162)))))</f>
        <v>АО "KTZ Expess"</v>
      </c>
      <c r="G134" t="str">
        <f>IF('INHERENT MAP'!$B$5=2021,IF('РЕЕСТР РИСКОВ_2023'!K162="",G133,'РЕЕСТР РИСКОВ_2023'!K162),IF('INHERENT MAP'!$B$5=2022,IF(#REF!="",G133,#REF!),IF('INHERENT MAP'!$B$5=2023,IF(#REF!="",G133,#REF!),IF('INHERENT MAP'!$B$5=2024,IF(#REF!="",G133,#REF!),IF('РЕЕСТР РИСКОВ_2023'!K162="",G133,'РЕЕСТР РИСКОВ_2023'!K162)))))</f>
        <v>Риск принудительного исполнения контрактов</v>
      </c>
      <c r="H134">
        <f>IF('INHERENT MAP'!$B$5=2021,'РЕЕСТР РИСКОВ_2023'!L162,IF('INHERENT MAP'!$B$5=2022,#REF!,IF('INHERENT MAP'!$B$5=2023,#REF!,IF('INHERENT MAP'!$B$5=2024,#REF!,#REF!))))</f>
        <v>0</v>
      </c>
      <c r="I134">
        <f>IF('INHERENT MAP'!$B$5=2021,'РЕЕСТР РИСКОВ_2023'!M162,IF('INHERENT MAP'!$B$5=2022,#REF!,IF('INHERENT MAP'!$B$5=2023,#REF!,IF('INHERENT MAP'!$B$5=2024,#REF!,#REF!))))</f>
        <v>0</v>
      </c>
      <c r="J134">
        <f>IF('INHERENT MAP'!$B$5=2021,'РЕЕСТР РИСКОВ_2023'!N162,IF('INHERENT MAP'!$B$5=2022,#REF!,IF('INHERENT MAP'!$B$5=2023,#REF!,IF('INHERENT MAP'!$B$5=2024,#REF!,#REF!))))</f>
        <v>0</v>
      </c>
      <c r="K134">
        <f>IF('INHERENT MAP'!$B$5=2021,'РЕЕСТР РИСКОВ_2023'!O162,IF('INHERENT MAP'!$B$5=2022,#REF!,IF('INHERENT MAP'!$B$5=2023,#REF!,IF('INHERENT MAP'!$B$5=2024,#REF!,#REF!))))</f>
        <v>0</v>
      </c>
      <c r="L134">
        <f>IF('INHERENT MAP'!$B$5=2021,'РЕЕСТР РИСКОВ_2023'!P162,IF('INHERENT MAP'!$B$5=2022,#REF!,IF('INHERENT MAP'!$B$5=2023,#REF!,IF('INHERENT MAP'!$B$5=2024,#REF!,#REF!))))</f>
        <v>0</v>
      </c>
      <c r="M134" t="str">
        <f>IF('INHERENT MAP'!$B$5=2021,IF('РЕЕСТР РИСКОВ_2023'!Q162="",M133,'РЕЕСТР РИСКОВ_2023'!Q162),IF('INHERENT MAP'!$B$5=2022,IF(#REF!="",M133,#REF!),IF('INHERENT MAP'!$B$5=2023,IF(#REF!="",M133,#REF!),IF('INHERENT MAP'!$B$5=2024,IF(#REF!="",M133,#REF!),IF('РЕЕСТР РИСКОВ_2023'!Q162="",M133,'РЕЕСТР РИСКОВ_2023'!Q162)))))</f>
        <v>Соглашение на оказание погрузочно-разгрузочных услуг и услуг по хранению грузов в будущем №162-АО от 28.12.2015 г. (далее - Оффтэйк контракт) было подписано между ТОО "Актауский морской северный терминал" (далее  - ТОО "АМСТ"), АО "KTZ Express" (далее - KTZE) , АО "НК "ҚТЖ" (далее - КТЖ),  ПАО "Сбербанк России" и Inter Port Development на общую сумму 175 000 млн. тенге (из расчета 430 тенге за 1 доллар США). Срок оказания услуг – до исполнения обязательств. Обязательства группы КТЖ по Оффтэйк контракту:  перевалка  19,6 млн. тонн грузов со сроком до исполнения обязательств в течение 10 лет. По Оффтэйк контракту ТОО «АМСТ» должен оказать минимальные годовые объемы Услуг по хранению грузов, а KTZE должен осуществлять оплату за Услуги на условиях 100%-ой предоплаты. При этом у KTZE отсутствует грузовая база для исполнения обязательств по Оффтэйк контракту.
Риск перевода обязанности АО «KTZ Express» на АО «НК «ҚТЖ».
Согласно пункту 13.2 (а) Оффтэйк контракта в случае существенного нарушения АО «KTZ Express» обязательств по Оффтэйк контракту, при наличии требования ТОО «АМСТ» права и обязательства АО «KTZ Express» по Оффтэйк контракту переводятся на АО «НК «ҚТЖ».
Риск признания кредитором факта неисполнения Оффтэйк контракт «Случаем неисполнения обязательств» / «Event of default» в соответствии с условиями Синдицированного срочного кредитного договора от 28 июля 2015 года в обеспечение исполнение которого был заключен Оффтэйк контракт.</v>
      </c>
      <c r="N134" t="str">
        <f>IF('INHERENT MAP'!$B$5=2021,IF('РЕЕСТР РИСКОВ_2023'!R162="",N133,'РЕЕСТР РИСКОВ_2023'!R162),IF('INHERENT MAP'!$B$5=2022,IF(#REF!="",N133,#REF!),IF('INHERENT MAP'!$B$5=2023,IF(#REF!="",N133,#REF!),IF('INHERENT MAP'!$B$5=2024,IF(#REF!="",N133,#REF!),IF('РЕЕСТР РИСКОВ_2023'!R162="",N133,'РЕЕСТР РИСКОВ_2023'!R162)))))</f>
        <v>Отвлечение собственных средств и/или привлечение заемных средств на низкорентабельные и непрофильные проекты. Недофинансирование проектов, направленных на обеспечение безопасности движения поездов, поддержание текущей деятельности в бесперебойном режиме. Увеличение долга Компании, обесценение активов, нарушение финансовых ковенантов.</v>
      </c>
      <c r="O134">
        <f>'РЕЕСТР РИСКОВ_2023'!T162</f>
        <v>0</v>
      </c>
      <c r="P134" t="e">
        <f>IF('РЕЕСТР РИСКОВ_2023'!U162="",P133,'РЕЕСТР РИСКОВ_2023'!U162)</f>
        <v>#REF!</v>
      </c>
      <c r="Q134" t="str">
        <f>IF('РЕЕСТР РИСКОВ_2023'!V162="",Q133,'РЕЕСТР РИСКОВ_2023'!V162)</f>
        <v>Угрозы</v>
      </c>
      <c r="R134" t="str">
        <f>IF('РЕЕСТР РИСКОВ_2023'!W162="",R133,'РЕЕСТР РИСКОВ_2023'!W162)</f>
        <v>Недоимка по налогам и платежам в бюджет, начисление пени и штрафных санкций</v>
      </c>
      <c r="S134">
        <f>'РЕЕСТР РИСКОВ_2023'!X162</f>
        <v>0</v>
      </c>
      <c r="T134" s="94">
        <f>IF('INHERENT MAP'!$B$5=2021,'РЕЕСТР РИСКОВ_2023'!Y162,IF('INHERENT MAP'!$B$5=2022,#REF!,IF('INHERENT MAP'!$B$5=2023,#REF!,IF('INHERENT MAP'!$B$5=2024,#REF!,#REF!))))</f>
        <v>0.4</v>
      </c>
      <c r="U134">
        <f>IF('INHERENT MAP'!$B$5=2021,'РЕЕСТР РИСКОВ_2023'!Z162,IF('INHERENT MAP'!$B$5=2022,#REF!,IF('INHERENT MAP'!$B$5=2023,#REF!,IF('INHERENT MAP'!$B$5=2024,#REF!,#REF!))))</f>
        <v>-9817.5</v>
      </c>
      <c r="V134">
        <f>IF('INHERENT MAP'!$B$5=2021,'РЕЕСТР РИСКОВ_2023'!AA162,IF('INHERENT MAP'!$B$5=2022,#REF!,IF('INHERENT MAP'!$B$5=2023,#REF!,IF('INHERENT MAP'!$B$5=2024,#REF!,#REF!))))</f>
        <v>-3927</v>
      </c>
      <c r="W134">
        <f>IF('INHERENT MAP'!$B$5=2021,'РЕЕСТР РИСКОВ_2023'!AB162,IF('INHERENT MAP'!$B$5=2022,#REF!,IF('INHERENT MAP'!$B$5=2023,#REF!,IF('INHERENT MAP'!$B$5=2024,#REF!,#REF!))))</f>
        <v>0</v>
      </c>
      <c r="X134" s="94">
        <f>IF('INHERENT MAP'!$B$5=2021,'РЕЕСТР РИСКОВ_2023'!AC162,IF('INHERENT MAP'!$B$5=2022,#REF!,IF('INHERENT MAP'!$B$5=2023,#REF!,IF('INHERENT MAP'!$B$5=2024,#REF!,#REF!))))</f>
        <v>0.53775113536229191</v>
      </c>
      <c r="Y134">
        <f>IF('INHERENT MAP'!$B$5=2021,'РЕЕСТР РИСКОВ_2023'!AD162,IF('INHERENT MAP'!$B$5=2022,#REF!,IF('INHERENT MAP'!$B$5=2023,#REF!,IF('INHERENT MAP'!$B$5=2024,#REF!,#REF!))))</f>
        <v>-15253.264999999999</v>
      </c>
      <c r="Z134">
        <f>IF('INHERENT MAP'!$B$5=2021,'РЕЕСТР РИСКОВ_2023'!AE162,IF('INHERENT MAP'!$B$5=2022,#REF!,IF('INHERENT MAP'!$B$5=2023,#REF!,IF('INHERENT MAP'!$B$5=2024,#REF!,#REF!))))</f>
        <v>-8202.46057173191</v>
      </c>
      <c r="AA134">
        <f>IF('INHERENT MAP'!$B$5=2021,'РЕЕСТР РИСКОВ_2023'!AF162,IF('INHERENT MAP'!$B$5=2022,#REF!,IF('INHERENT MAP'!$B$5=2023,#REF!,IF('INHERENT MAP'!$B$5=2024,#REF!,#REF!))))</f>
        <v>0</v>
      </c>
      <c r="AB134">
        <f>IF('INHERENT MAP'!$B$5=2021,'РЕЕСТР РИСКОВ_2023'!AG162,IF('INHERENT MAP'!$B$5=2022,#REF!,IF('INHERENT MAP'!$B$5=2023,#REF!,IF('INHERENT MAP'!$B$5=2024,#REF!,#REF!))))</f>
        <v>0</v>
      </c>
      <c r="AC134">
        <f>IF('INHERENT MAP'!$B$5=2021,'РЕЕСТР РИСКОВ_2023'!AH162,IF('INHERENT MAP'!$B$5=2022,#REF!,IF('INHERENT MAP'!$B$5=2023,#REF!,IF('INHERENT MAP'!$B$5=2024,#REF!,#REF!))))</f>
        <v>0</v>
      </c>
      <c r="AD134" t="str">
        <f>IF('INHERENT MAP'!$B$5=2021,'РЕЕСТР РИСКОВ_2023'!AI162,IF('INHERENT MAP'!$B$5=2022,#REF!,IF('INHERENT MAP'!$B$5=2023,#REF!,IF('INHERENT MAP'!$B$5=2024,#REF!,#REF!))))</f>
        <v>Привлечение объемов для получения доходов для обслуживание займа по Кредитному договору.</v>
      </c>
      <c r="AE134" t="str">
        <f>IF('INHERENT MAP'!$B$5=2021,'РЕЕСТР РИСКОВ_2023'!AK162,IF('INHERENT MAP'!$B$5=2022,#REF!,IF('INHERENT MAP'!$B$5=2023,#REF!,IF('INHERENT MAP'!$B$5=2024,#REF!,#REF!))))</f>
        <v>Департамент корпоративного развития и управления активами</v>
      </c>
      <c r="AF134">
        <f>IF('INHERENT MAP'!$B$5=2021,'РЕЕСТР РИСКОВ_2023'!AL162,IF('INHERENT MAP'!$B$5=2022,#REF!,IF('INHERENT MAP'!$B$5=2023,#REF!,IF('INHERENT MAP'!$B$5=2024,#REF!,#REF!))))</f>
        <v>2021</v>
      </c>
      <c r="AG134" t="str">
        <f>IF('INHERENT MAP'!$B$5=2021,'РЕЕСТР РИСКОВ_2023'!AM162,IF('INHERENT MAP'!$B$5=2022,#REF!,IF('INHERENT MAP'!$B$5=2023,#REF!,IF('INHERENT MAP'!$B$5=2024,#REF!,#REF!))))</f>
        <v>средняя</v>
      </c>
      <c r="AH134">
        <f>IF('INHERENT MAP'!$B$5=2021,'РЕЕСТР РИСКОВ_2023'!AN162,IF('INHERENT MAP'!$B$5=2022,#REF!,IF('INHERENT MAP'!$B$5=2023,#REF!,IF('INHERENT MAP'!$B$5=2024,#REF!,#REF!))))</f>
        <v>0.2</v>
      </c>
      <c r="AI134">
        <f>IF('INHERENT MAP'!$B$5=2021,'РЕЕСТР РИСКОВ_2023'!AO162,IF('INHERENT MAP'!$B$5=2022,#REF!,IF('INHERENT MAP'!$B$5=2023,#REF!,IF('INHERENT MAP'!$B$5=2024,#REF!,#REF!))))</f>
        <v>-4908.75</v>
      </c>
      <c r="AJ134">
        <f>IF('INHERENT MAP'!$B$5=2021,'РЕЕСТР РИСКОВ_2023'!AP162,IF('INHERENT MAP'!$B$5=2022,#REF!,IF('INHERENT MAP'!$B$5=2023,#REF!,IF('INHERENT MAP'!$B$5=2024,#REF!,#REF!))))</f>
        <v>-981.75</v>
      </c>
      <c r="AK134">
        <f>IF('РЕЕСТР РИСКОВ_2023'!AQ162="",AK133,'РЕЕСТР РИСКОВ_2023'!AQ162)</f>
        <v>-1963.5</v>
      </c>
      <c r="AL134">
        <f>IF('РЕЕСТР РИСКОВ_2023'!AR162="",AL133,'РЕЕСТР РИСКОВ_2023'!AR162)</f>
        <v>0.56670303014481749</v>
      </c>
      <c r="AM134">
        <f>IF('РЕЕСТР РИСКОВ_2023'!AS162="",AM133,'РЕЕСТР РИСКОВ_2023'!AS162)</f>
        <v>-10344.514999999999</v>
      </c>
      <c r="AN134">
        <f>IF('РЕЕСТР РИСКОВ_2023'!AT162="",AN133,'РЕЕСТР РИСКОВ_2023'!AT162)</f>
        <v>-5557.1555749999998</v>
      </c>
      <c r="AO134" t="e">
        <f>IF('РЕЕСТР РИСКОВ_2023'!AU162="",AO133,'РЕЕСТР РИСКОВ_2023'!AU162)</f>
        <v>#REF!</v>
      </c>
    </row>
    <row r="135" spans="2:41">
      <c r="B135" t="str">
        <f>IF('INHERENT MAP'!$B$5=2021,IF('РЕЕСТР РИСКОВ_2023'!F163="",B134,'РЕЕСТР РИСКОВ_2023'!F163),IF('INHERENT MAP'!$B$5=2022,IF(#REF!="",B134,#REF!),IF('INHERENT MAP'!$B$5=2023,IF(#REF!="",B134,#REF!),IF('INHERENT MAP'!$B$5=2024,IF(#REF!="",B134,#REF!),IF('РЕЕСТР РИСКОВ_2023'!F163="",B134,'РЕЕСТР РИСКОВ_2023'!F163)))))</f>
        <v>КОНТРАКТНЫЙ РИСК</v>
      </c>
      <c r="C135" t="str">
        <f>IF('INHERENT MAP'!$B$5=2021,IF('РЕЕСТР РИСКОВ_2023'!G163="",C134,'РЕЕСТР РИСКОВ_2023'!G163),IF('INHERENT MAP'!$B$5=2022,IF(#REF!="",C134,#REF!),IF('INHERENT MAP'!$B$5=2023,IF(#REF!="",C134,#REF!),IF('INHERENT MAP'!$B$5=2024,IF(#REF!="",C134,#REF!),IF('РЕЕСТР РИСКОВ_2023'!G163="",C134,'РЕЕСТР РИСКОВ_2023'!G163)))))</f>
        <v>- ХХХ млн. тенге</v>
      </c>
      <c r="D135" t="str">
        <f>IF('INHERENT MAP'!$B$5=2021,IF('РЕЕСТР РИСКОВ_2023'!H163="",D134,'РЕЕСТР РИСКОВ_2023'!H163),IF('INHERENT MAP'!$B$5=2022,IF(#REF!="",D134,#REF!),IF('INHERENT MAP'!$B$5=2023,IF(#REF!="",D134,#REF!),IF('INHERENT MAP'!$B$5=2024,IF(#REF!="",D134,#REF!),IF('РЕЕСТР РИСКОВ_2023'!H163="",D134,'РЕЕСТР РИСКОВ_2023'!H163)))))</f>
        <v>CCR-1</v>
      </c>
      <c r="E135" t="str">
        <f>IF('INHERENT MAP'!$B$5=2021,IF('РЕЕСТР РИСКОВ_2023'!I163="",E134,'РЕЕСТР РИСКОВ_2023'!I163),IF('INHERENT MAP'!$B$5=2022,IF(#REF!="",E134,#REF!),IF('INHERENT MAP'!$B$5=2023,IF(#REF!="",E134,#REF!),IF('INHERENT MAP'!$B$5=2024,IF(#REF!="",E134,#REF!),IF('РЕЕСТР РИСКОВ_2023'!I163="",E134,'РЕЕСТР РИСКОВ_2023'!I163)))))</f>
        <v>ЦЗЛ</v>
      </c>
      <c r="F135" t="str">
        <f>IF('INHERENT MAP'!$B$5=2021,IF('РЕЕСТР РИСКОВ_2023'!J163="",F134,'РЕЕСТР РИСКОВ_2023'!J163),IF('INHERENT MAP'!$B$5=2022,IF(#REF!="",F134,#REF!),IF('INHERENT MAP'!$B$5=2023,IF(#REF!="",F134,#REF!),IF('INHERENT MAP'!$B$5=2024,IF(#REF!="",F134,#REF!),IF('РЕЕСТР РИСКОВ_2023'!J163="",F134,'РЕЕСТР РИСКОВ_2023'!J163)))))</f>
        <v>АО "KTZ Expess"</v>
      </c>
      <c r="G135" t="str">
        <f>IF('INHERENT MAP'!$B$5=2021,IF('РЕЕСТР РИСКОВ_2023'!K163="",G134,'РЕЕСТР РИСКОВ_2023'!K163),IF('INHERENT MAP'!$B$5=2022,IF(#REF!="",G134,#REF!),IF('INHERENT MAP'!$B$5=2023,IF(#REF!="",G134,#REF!),IF('INHERENT MAP'!$B$5=2024,IF(#REF!="",G134,#REF!),IF('РЕЕСТР РИСКОВ_2023'!K163="",G134,'РЕЕСТР РИСКОВ_2023'!K163)))))</f>
        <v>Риск принудительного исполнения контрактов</v>
      </c>
      <c r="H135">
        <f>IF('INHERENT MAP'!$B$5=2021,'РЕЕСТР РИСКОВ_2023'!L163,IF('INHERENT MAP'!$B$5=2022,#REF!,IF('INHERENT MAP'!$B$5=2023,#REF!,IF('INHERENT MAP'!$B$5=2024,#REF!,#REF!))))</f>
        <v>0</v>
      </c>
      <c r="I135">
        <f>IF('INHERENT MAP'!$B$5=2021,'РЕЕСТР РИСКОВ_2023'!M163,IF('INHERENT MAP'!$B$5=2022,#REF!,IF('INHERENT MAP'!$B$5=2023,#REF!,IF('INHERENT MAP'!$B$5=2024,#REF!,#REF!))))</f>
        <v>0</v>
      </c>
      <c r="J135">
        <f>IF('INHERENT MAP'!$B$5=2021,'РЕЕСТР РИСКОВ_2023'!N163,IF('INHERENT MAP'!$B$5=2022,#REF!,IF('INHERENT MAP'!$B$5=2023,#REF!,IF('INHERENT MAP'!$B$5=2024,#REF!,#REF!))))</f>
        <v>0</v>
      </c>
      <c r="K135">
        <f>IF('INHERENT MAP'!$B$5=2021,'РЕЕСТР РИСКОВ_2023'!O163,IF('INHERENT MAP'!$B$5=2022,#REF!,IF('INHERENT MAP'!$B$5=2023,#REF!,IF('INHERENT MAP'!$B$5=2024,#REF!,#REF!))))</f>
        <v>0</v>
      </c>
      <c r="L135">
        <f>IF('INHERENT MAP'!$B$5=2021,'РЕЕСТР РИСКОВ_2023'!P163,IF('INHERENT MAP'!$B$5=2022,#REF!,IF('INHERENT MAP'!$B$5=2023,#REF!,IF('INHERENT MAP'!$B$5=2024,#REF!,#REF!))))</f>
        <v>0</v>
      </c>
      <c r="M135" t="str">
        <f>IF('INHERENT MAP'!$B$5=2021,IF('РЕЕСТР РИСКОВ_2023'!Q163="",M134,'РЕЕСТР РИСКОВ_2023'!Q163),IF('INHERENT MAP'!$B$5=2022,IF(#REF!="",M134,#REF!),IF('INHERENT MAP'!$B$5=2023,IF(#REF!="",M134,#REF!),IF('INHERENT MAP'!$B$5=2024,IF(#REF!="",M134,#REF!),IF('РЕЕСТР РИСКОВ_2023'!Q163="",M134,'РЕЕСТР РИСКОВ_2023'!Q163)))))</f>
        <v>19.09.2016г. между XINJIANG KTZ INTERNATIONAL LOGISTICS Co. LTD и Unit 45 B.V. заключено Соглашение по операционной обработке рефрижераторных контейнеров, в соответствии с которым арендованы контейнеры в количестве 230 единиц, срок аренды 9 лет и 4 месяца, стоимость аренды составляет 27 долл. США в сутки за единицу. На 30.09.22г. обязательство XINJIANG KTZ INTERNATIONAL LOGISTICS Co. LTD перед Unit 45  по аренде 230 рефконтейнеров составляет 3,91 млрд. тенге</v>
      </c>
      <c r="N135" t="str">
        <f>IF('INHERENT MAP'!$B$5=2021,IF('РЕЕСТР РИСКОВ_2023'!R163="",N134,'РЕЕСТР РИСКОВ_2023'!R163),IF('INHERENT MAP'!$B$5=2022,IF(#REF!="",N134,#REF!),IF('INHERENT MAP'!$B$5=2023,IF(#REF!="",N134,#REF!),IF('INHERENT MAP'!$B$5=2024,IF(#REF!="",N134,#REF!),IF('РЕЕСТР РИСКОВ_2023'!R163="",N134,'РЕЕСТР РИСКОВ_2023'!R163)))))</f>
        <v>Отвлечение собственных средств и/или привлечение заемных средств на низкорентабельные и непрофильные проекты. Недофинансирование проектов, направленных на обеспечение безопасности движения поездов, поддержание текущей деятельности в бесперебойном режиме. Увеличение долга Компании, обесценение активов, нарушение финансовых ковенантов.</v>
      </c>
      <c r="O135">
        <f>'РЕЕСТР РИСКОВ_2023'!T163</f>
        <v>0</v>
      </c>
      <c r="P135" t="e">
        <f>IF('РЕЕСТР РИСКОВ_2023'!U163="",P134,'РЕЕСТР РИСКОВ_2023'!U163)</f>
        <v>#REF!</v>
      </c>
      <c r="Q135" t="str">
        <f>IF('РЕЕСТР РИСКОВ_2023'!V163="",Q134,'РЕЕСТР РИСКОВ_2023'!V163)</f>
        <v>Угрозы</v>
      </c>
      <c r="R135" t="str">
        <f>IF('РЕЕСТР РИСКОВ_2023'!W163="",R134,'РЕЕСТР РИСКОВ_2023'!W163)</f>
        <v>На 31.12.2021 обязателсьва составили 3,9 млрд тенге</v>
      </c>
      <c r="S135">
        <f>'РЕЕСТР РИСКОВ_2023'!X163</f>
        <v>0</v>
      </c>
      <c r="T135" s="94">
        <f>IF('INHERENT MAP'!$B$5=2021,'РЕЕСТР РИСКОВ_2023'!Y163,IF('INHERENT MAP'!$B$5=2022,#REF!,IF('INHERENT MAP'!$B$5=2023,#REF!,IF('INHERENT MAP'!$B$5=2024,#REF!,#REF!))))</f>
        <v>0.95499999999999996</v>
      </c>
      <c r="U135">
        <f>IF('INHERENT MAP'!$B$5=2021,'РЕЕСТР РИСКОВ_2023'!Z163,IF('INHERENT MAP'!$B$5=2022,#REF!,IF('INHERENT MAP'!$B$5=2023,#REF!,IF('INHERENT MAP'!$B$5=2024,#REF!,#REF!))))</f>
        <v>-935.76499999999999</v>
      </c>
      <c r="V135">
        <f>IF('INHERENT MAP'!$B$5=2021,'РЕЕСТР РИСКОВ_2023'!AA163,IF('INHERENT MAP'!$B$5=2022,#REF!,IF('INHERENT MAP'!$B$5=2023,#REF!,IF('INHERENT MAP'!$B$5=2024,#REF!,#REF!))))</f>
        <v>-893.655575</v>
      </c>
      <c r="W135" t="str">
        <f>IF('INHERENT MAP'!$B$5=2021,'РЕЕСТР РИСКОВ_2023'!AB163,IF('INHERENT MAP'!$B$5=2022,#REF!,IF('INHERENT MAP'!$B$5=2023,#REF!,IF('INHERENT MAP'!$B$5=2024,#REF!,#REF!))))</f>
        <v>нет резерва</v>
      </c>
      <c r="X135" s="94">
        <f>IF('INHERENT MAP'!$B$5=2021,'РЕЕСТР РИСКОВ_2023'!AC163,IF('INHERENT MAP'!$B$5=2022,#REF!,IF('INHERENT MAP'!$B$5=2023,#REF!,IF('INHERENT MAP'!$B$5=2024,#REF!,#REF!))))</f>
        <v>0</v>
      </c>
      <c r="Y135">
        <f>IF('INHERENT MAP'!$B$5=2021,'РЕЕСТР РИСКОВ_2023'!AD163,IF('INHERENT MAP'!$B$5=2022,#REF!,IF('INHERENT MAP'!$B$5=2023,#REF!,IF('INHERENT MAP'!$B$5=2024,#REF!,#REF!))))</f>
        <v>0</v>
      </c>
      <c r="Z135">
        <f>IF('INHERENT MAP'!$B$5=2021,'РЕЕСТР РИСКОВ_2023'!AE163,IF('INHERENT MAP'!$B$5=2022,#REF!,IF('INHERENT MAP'!$B$5=2023,#REF!,IF('INHERENT MAP'!$B$5=2024,#REF!,#REF!))))</f>
        <v>0</v>
      </c>
      <c r="AA135">
        <f>IF('INHERENT MAP'!$B$5=2021,'РЕЕСТР РИСКОВ_2023'!AF163,IF('INHERENT MAP'!$B$5=2022,#REF!,IF('INHERENT MAP'!$B$5=2023,#REF!,IF('INHERENT MAP'!$B$5=2024,#REF!,#REF!))))</f>
        <v>0</v>
      </c>
      <c r="AB135">
        <f>IF('INHERENT MAP'!$B$5=2021,'РЕЕСТР РИСКОВ_2023'!AG163,IF('INHERENT MAP'!$B$5=2022,#REF!,IF('INHERENT MAP'!$B$5=2023,#REF!,IF('INHERENT MAP'!$B$5=2024,#REF!,#REF!))))</f>
        <v>0</v>
      </c>
      <c r="AC135">
        <f>IF('INHERENT MAP'!$B$5=2021,'РЕЕСТР РИСКОВ_2023'!AH163,IF('INHERENT MAP'!$B$5=2022,#REF!,IF('INHERENT MAP'!$B$5=2023,#REF!,IF('INHERENT MAP'!$B$5=2024,#REF!,#REF!))))</f>
        <v>0</v>
      </c>
      <c r="AD135" t="str">
        <f>IF('INHERENT MAP'!$B$5=2021,'РЕЕСТР РИСКОВ_2023'!AI163,IF('INHERENT MAP'!$B$5=2022,#REF!,IF('INHERENT MAP'!$B$5=2023,#REF!,IF('INHERENT MAP'!$B$5=2024,#REF!,#REF!))))</f>
        <v xml:space="preserve">В целях снижения убытков реализуются мероприятия по постоянному поиску клиентов для загрузки рефконтейнеров. </v>
      </c>
      <c r="AE135">
        <f>IF('INHERENT MAP'!$B$5=2021,'РЕЕСТР РИСКОВ_2023'!AK163,IF('INHERENT MAP'!$B$5=2022,#REF!,IF('INHERENT MAP'!$B$5=2023,#REF!,IF('INHERENT MAP'!$B$5=2024,#REF!,#REF!))))</f>
        <v>0</v>
      </c>
      <c r="AF135" t="str">
        <f>IF('INHERENT MAP'!$B$5=2021,'РЕЕСТР РИСКОВ_2023'!AL163,IF('INHERENT MAP'!$B$5=2022,#REF!,IF('INHERENT MAP'!$B$5=2023,#REF!,IF('INHERENT MAP'!$B$5=2024,#REF!,#REF!))))</f>
        <v>2021-2022</v>
      </c>
      <c r="AG135" t="str">
        <f>IF('INHERENT MAP'!$B$5=2021,'РЕЕСТР РИСКОВ_2023'!AM163,IF('INHERENT MAP'!$B$5=2022,#REF!,IF('INHERENT MAP'!$B$5=2023,#REF!,IF('INHERENT MAP'!$B$5=2024,#REF!,#REF!))))</f>
        <v>низкая</v>
      </c>
      <c r="AH135">
        <f>IF('INHERENT MAP'!$B$5=2021,'РЕЕСТР РИСКОВ_2023'!AN163,IF('INHERENT MAP'!$B$5=2022,#REF!,IF('INHERENT MAP'!$B$5=2023,#REF!,IF('INHERENT MAP'!$B$5=2024,#REF!,#REF!))))</f>
        <v>0.95499999999999996</v>
      </c>
      <c r="AI135">
        <f>IF('INHERENT MAP'!$B$5=2021,'РЕЕСТР РИСКОВ_2023'!AO163,IF('INHERENT MAP'!$B$5=2022,#REF!,IF('INHERENT MAP'!$B$5=2023,#REF!,IF('INHERENT MAP'!$B$5=2024,#REF!,#REF!))))</f>
        <v>-935.76499999999999</v>
      </c>
      <c r="AJ135">
        <f>IF('INHERENT MAP'!$B$5=2021,'РЕЕСТР РИСКОВ_2023'!AP163,IF('INHERENT MAP'!$B$5=2022,#REF!,IF('INHERENT MAP'!$B$5=2023,#REF!,IF('INHERENT MAP'!$B$5=2024,#REF!,#REF!))))</f>
        <v>-893.655575</v>
      </c>
      <c r="AK135">
        <f>IF('РЕЕСТР РИСКОВ_2023'!AQ163="",AK134,'РЕЕСТР РИСКОВ_2023'!AQ163)</f>
        <v>-893.655575</v>
      </c>
      <c r="AL135">
        <f>IF('РЕЕСТР РИСКОВ_2023'!AR163="",AL134,'РЕЕСТР РИСКОВ_2023'!AR163)</f>
        <v>0.56670303014481749</v>
      </c>
      <c r="AM135">
        <f>IF('РЕЕСТР РИСКОВ_2023'!AS163="",AM134,'РЕЕСТР РИСКОВ_2023'!AS163)</f>
        <v>-10344.514999999999</v>
      </c>
      <c r="AN135">
        <f>IF('РЕЕСТР РИСКОВ_2023'!AT163="",AN134,'РЕЕСТР РИСКОВ_2023'!AT163)</f>
        <v>-5557.1555749999998</v>
      </c>
      <c r="AO135" t="e">
        <f>IF('РЕЕСТР РИСКОВ_2023'!AU163="",AO134,'РЕЕСТР РИСКОВ_2023'!AU163)</f>
        <v>#REF!</v>
      </c>
    </row>
    <row r="136" spans="2:41">
      <c r="B136" t="str">
        <f>IF('INHERENT MAP'!$B$5=2021,IF('РЕЕСТР РИСКОВ_2023'!F164="",B135,'РЕЕСТР РИСКОВ_2023'!F164),IF('INHERENT MAP'!$B$5=2022,IF(#REF!="",B135,#REF!),IF('INHERENT MAP'!$B$5=2023,IF(#REF!="",B135,#REF!),IF('INHERENT MAP'!$B$5=2024,IF(#REF!="",B135,#REF!),IF('РЕЕСТР РИСКОВ_2023'!F164="",B135,'РЕЕСТР РИСКОВ_2023'!F164)))))</f>
        <v>КОНТРАКТНЫЙ РИСК</v>
      </c>
      <c r="C136" t="str">
        <f>IF('INHERENT MAP'!$B$5=2021,IF('РЕЕСТР РИСКОВ_2023'!G164="",C135,'РЕЕСТР РИСКОВ_2023'!G164),IF('INHERENT MAP'!$B$5=2022,IF(#REF!="",C135,#REF!),IF('INHERENT MAP'!$B$5=2023,IF(#REF!="",C135,#REF!),IF('INHERENT MAP'!$B$5=2024,IF(#REF!="",C135,#REF!),IF('РЕЕСТР РИСКОВ_2023'!G164="",C135,'РЕЕСТР РИСКОВ_2023'!G164)))))</f>
        <v>- ХХХ млн. тенге</v>
      </c>
      <c r="D136" t="str">
        <f>IF('INHERENT MAP'!$B$5=2021,IF('РЕЕСТР РИСКОВ_2023'!H164="",D135,'РЕЕСТР РИСКОВ_2023'!H164),IF('INHERENT MAP'!$B$5=2022,IF(#REF!="",D135,#REF!),IF('INHERENT MAP'!$B$5=2023,IF(#REF!="",D135,#REF!),IF('INHERENT MAP'!$B$5=2024,IF(#REF!="",D135,#REF!),IF('РЕЕСТР РИСКОВ_2023'!H164="",D135,'РЕЕСТР РИСКОВ_2023'!H164)))))</f>
        <v>CCR-1</v>
      </c>
      <c r="E136" t="str">
        <f>IF('INHERENT MAP'!$B$5=2021,IF('РЕЕСТР РИСКОВ_2023'!I164="",E135,'РЕЕСТР РИСКОВ_2023'!I164),IF('INHERENT MAP'!$B$5=2022,IF(#REF!="",E135,#REF!),IF('INHERENT MAP'!$B$5=2023,IF(#REF!="",E135,#REF!),IF('INHERENT MAP'!$B$5=2024,IF(#REF!="",E135,#REF!),IF('РЕЕСТР РИСКОВ_2023'!I164="",E135,'РЕЕСТР РИСКОВ_2023'!I164)))))</f>
        <v>ЦЗЛ</v>
      </c>
      <c r="F136" t="str">
        <f>IF('INHERENT MAP'!$B$5=2021,IF('РЕЕСТР РИСКОВ_2023'!J164="",F135,'РЕЕСТР РИСКОВ_2023'!J164),IF('INHERENT MAP'!$B$5=2022,IF(#REF!="",F135,#REF!),IF('INHERENT MAP'!$B$5=2023,IF(#REF!="",F135,#REF!),IF('INHERENT MAP'!$B$5=2024,IF(#REF!="",F135,#REF!),IF('РЕЕСТР РИСКОВ_2023'!J164="",F135,'РЕЕСТР РИСКОВ_2023'!J164)))))</f>
        <v>АО "KTZ Expess"</v>
      </c>
      <c r="G136" t="str">
        <f>IF('INHERENT MAP'!$B$5=2021,IF('РЕЕСТР РИСКОВ_2023'!K164="",G135,'РЕЕСТР РИСКОВ_2023'!K164),IF('INHERENT MAP'!$B$5=2022,IF(#REF!="",G135,#REF!),IF('INHERENT MAP'!$B$5=2023,IF(#REF!="",G135,#REF!),IF('INHERENT MAP'!$B$5=2024,IF(#REF!="",G135,#REF!),IF('РЕЕСТР РИСКОВ_2023'!K164="",G135,'РЕЕСТР РИСКОВ_2023'!K164)))))</f>
        <v>Риск принудительного исполнения контрактов</v>
      </c>
      <c r="H136">
        <f>IF('INHERENT MAP'!$B$5=2021,'РЕЕСТР РИСКОВ_2023'!L164,IF('INHERENT MAP'!$B$5=2022,#REF!,IF('INHERENT MAP'!$B$5=2023,#REF!,IF('INHERENT MAP'!$B$5=2024,#REF!,#REF!))))</f>
        <v>0</v>
      </c>
      <c r="I136">
        <f>IF('INHERENT MAP'!$B$5=2021,'РЕЕСТР РИСКОВ_2023'!M164,IF('INHERENT MAP'!$B$5=2022,#REF!,IF('INHERENT MAP'!$B$5=2023,#REF!,IF('INHERENT MAP'!$B$5=2024,#REF!,#REF!))))</f>
        <v>0</v>
      </c>
      <c r="J136">
        <f>IF('INHERENT MAP'!$B$5=2021,'РЕЕСТР РИСКОВ_2023'!N164,IF('INHERENT MAP'!$B$5=2022,#REF!,IF('INHERENT MAP'!$B$5=2023,#REF!,IF('INHERENT MAP'!$B$5=2024,#REF!,#REF!))))</f>
        <v>0</v>
      </c>
      <c r="K136">
        <f>IF('INHERENT MAP'!$B$5=2021,'РЕЕСТР РИСКОВ_2023'!O164,IF('INHERENT MAP'!$B$5=2022,#REF!,IF('INHERENT MAP'!$B$5=2023,#REF!,IF('INHERENT MAP'!$B$5=2024,#REF!,#REF!))))</f>
        <v>0</v>
      </c>
      <c r="L136">
        <f>IF('INHERENT MAP'!$B$5=2021,'РЕЕСТР РИСКОВ_2023'!P164,IF('INHERENT MAP'!$B$5=2022,#REF!,IF('INHERENT MAP'!$B$5=2023,#REF!,IF('INHERENT MAP'!$B$5=2024,#REF!,#REF!))))</f>
        <v>0</v>
      </c>
      <c r="M136" t="str">
        <f>IF('INHERENT MAP'!$B$5=2021,IF('РЕЕСТР РИСКОВ_2023'!Q164="",M135,'РЕЕСТР РИСКОВ_2023'!Q164),IF('INHERENT MAP'!$B$5=2022,IF(#REF!="",M135,#REF!),IF('INHERENT MAP'!$B$5=2023,IF(#REF!="",M135,#REF!),IF('INHERENT MAP'!$B$5=2024,IF(#REF!="",M135,#REF!),IF('РЕЕСТР РИСКОВ_2023'!Q164="",M135,'РЕЕСТР РИСКОВ_2023'!Q164)))))</f>
        <v>Риски принудительного исполнения принятых АО «KTZ Express» обязательств.
Подписано проектное соглашение № 24-СП-Z/05 от 16.05.2017 между АО «БРК», АО «МАА», ТОО «AMG" и АО «KTZ Express». АО «KTZ Express» обязуется оказать финансовую поддержку заемщику (МАА) в случае неспособности Заемщика обслужить договор финансирования перед банком. 
В случае отсутствия возможности погашения займа АО «БРК» будет востребована гарантия АО «НК «КТЖ».</v>
      </c>
      <c r="N136" t="str">
        <f>IF('INHERENT MAP'!$B$5=2021,IF('РЕЕСТР РИСКОВ_2023'!R164="",N135,'РЕЕСТР РИСКОВ_2023'!R164),IF('INHERENT MAP'!$B$5=2022,IF(#REF!="",N135,#REF!),IF('INHERENT MAP'!$B$5=2023,IF(#REF!="",N135,#REF!),IF('INHERENT MAP'!$B$5=2024,IF(#REF!="",N135,#REF!),IF('РЕЕСТР РИСКОВ_2023'!R164="",N135,'РЕЕСТР РИСКОВ_2023'!R164)))))</f>
        <v>Отвлечение собственных средств и/или привлечение заемных средств на низкорентабельные и непрофильные проекты. Недофинансирование проектов, направленных на обеспечение безопасности движения поездов, поддержание текущей деятельности в бесперебойном режиме. Увеличение долга Компании, обесценение активов, нарушение финансовых ковенантов.</v>
      </c>
      <c r="O136">
        <f>'РЕЕСТР РИСКОВ_2023'!T164</f>
        <v>0</v>
      </c>
      <c r="P136" t="e">
        <f>IF('РЕЕСТР РИСКОВ_2023'!U164="",P135,'РЕЕСТР РИСКОВ_2023'!U164)</f>
        <v>#REF!</v>
      </c>
      <c r="Q136" t="str">
        <f>IF('РЕЕСТР РИСКОВ_2023'!V164="",Q135,'РЕЕСТР РИСКОВ_2023'!V164)</f>
        <v>Угрозы</v>
      </c>
      <c r="R136" t="str">
        <f>IF('РЕЕСТР РИСКОВ_2023'!W164="",R135,'РЕЕСТР РИСКОВ_2023'!W164)</f>
        <v>На 31.12.2021 обязателсьва составили 3,9 млрд тенге</v>
      </c>
      <c r="S136">
        <f>'РЕЕСТР РИСКОВ_2023'!X164</f>
        <v>0</v>
      </c>
      <c r="T136" s="94">
        <f>IF('INHERENT MAP'!$B$5=2021,'РЕЕСТР РИСКОВ_2023'!Y164,IF('INHERENT MAP'!$B$5=2022,#REF!,IF('INHERENT MAP'!$B$5=2023,#REF!,IF('INHERENT MAP'!$B$5=2024,#REF!,#REF!))))</f>
        <v>0.6</v>
      </c>
      <c r="U136">
        <f>IF('INHERENT MAP'!$B$5=2021,'РЕЕСТР РИСКОВ_2023'!Z164,IF('INHERENT MAP'!$B$5=2022,#REF!,IF('INHERENT MAP'!$B$5=2023,#REF!,IF('INHERENT MAP'!$B$5=2024,#REF!,#REF!))))</f>
        <v>-4500</v>
      </c>
      <c r="V136">
        <f>IF('INHERENT MAP'!$B$5=2021,'РЕЕСТР РИСКОВ_2023'!AA164,IF('INHERENT MAP'!$B$5=2022,#REF!,IF('INHERENT MAP'!$B$5=2023,#REF!,IF('INHERENT MAP'!$B$5=2024,#REF!,#REF!))))</f>
        <v>-2700</v>
      </c>
      <c r="W136" t="str">
        <f>IF('INHERENT MAP'!$B$5=2021,'РЕЕСТР РИСКОВ_2023'!AB164,IF('INHERENT MAP'!$B$5=2022,#REF!,IF('INHERENT MAP'!$B$5=2023,#REF!,IF('INHERENT MAP'!$B$5=2024,#REF!,#REF!))))</f>
        <v>нет резерва</v>
      </c>
      <c r="X136" s="94">
        <f>IF('INHERENT MAP'!$B$5=2021,'РЕЕСТР РИСКОВ_2023'!AC164,IF('INHERENT MAP'!$B$5=2022,#REF!,IF('INHERENT MAP'!$B$5=2023,#REF!,IF('INHERENT MAP'!$B$5=2024,#REF!,#REF!))))</f>
        <v>0</v>
      </c>
      <c r="Y136">
        <f>IF('INHERENT MAP'!$B$5=2021,'РЕЕСТР РИСКОВ_2023'!AD164,IF('INHERENT MAP'!$B$5=2022,#REF!,IF('INHERENT MAP'!$B$5=2023,#REF!,IF('INHERENT MAP'!$B$5=2024,#REF!,#REF!))))</f>
        <v>0</v>
      </c>
      <c r="Z136">
        <f>IF('INHERENT MAP'!$B$5=2021,'РЕЕСТР РИСКОВ_2023'!AE164,IF('INHERENT MAP'!$B$5=2022,#REF!,IF('INHERENT MAP'!$B$5=2023,#REF!,IF('INHERENT MAP'!$B$5=2024,#REF!,#REF!))))</f>
        <v>0</v>
      </c>
      <c r="AA136">
        <f>IF('INHERENT MAP'!$B$5=2021,'РЕЕСТР РИСКОВ_2023'!AF164,IF('INHERENT MAP'!$B$5=2022,#REF!,IF('INHERENT MAP'!$B$5=2023,#REF!,IF('INHERENT MAP'!$B$5=2024,#REF!,#REF!))))</f>
        <v>0</v>
      </c>
      <c r="AB136">
        <f>IF('INHERENT MAP'!$B$5=2021,'РЕЕСТР РИСКОВ_2023'!AG164,IF('INHERENT MAP'!$B$5=2022,#REF!,IF('INHERENT MAP'!$B$5=2023,#REF!,IF('INHERENT MAP'!$B$5=2024,#REF!,#REF!))))</f>
        <v>0</v>
      </c>
      <c r="AC136">
        <f>IF('INHERENT MAP'!$B$5=2021,'РЕЕСТР РИСКОВ_2023'!AH164,IF('INHERENT MAP'!$B$5=2022,#REF!,IF('INHERENT MAP'!$B$5=2023,#REF!,IF('INHERENT MAP'!$B$5=2024,#REF!,#REF!))))</f>
        <v>0</v>
      </c>
      <c r="AD136" t="str">
        <f>IF('INHERENT MAP'!$B$5=2021,'РЕЕСТР РИСКОВ_2023'!AI164,IF('INHERENT MAP'!$B$5=2022,#REF!,IF('INHERENT MAP'!$B$5=2023,#REF!,IF('INHERENT MAP'!$B$5=2024,#REF!,#REF!))))</f>
        <v>Письмом АО «Банк Развития Казахстана» от 04.07.2021 № 1730 в адрес АО «Международный аэропорт Астана» и АО"НК"КТЖ" уведомило о просроченной задолженности и в случае неисполнения  АО «Международный аэропорт Астана» обязательств в срок до 19 апреля 2021 года, АО «Банк Развития Казахстана» примет все меры, предусмотренные условиями договора финансирования, включая обращение взыскания в рамках гарантии КТЖ. 
В связи с неспособностью обслуживание займа АО «МАА» данный вопрос рассматривается АО «ФНБ «Самрук-Казына»  и МИИР) .Терминал в последующем планируют передать АО «МАА» в доверительное управление.
Работа по исключению из проектного соглашения АО «KTZ Express» и ТОО "Пассажирские локомотивы" приостановлена в связи с отсутсвием согласия от АО «Банк Развития Казахстана».  Аэропорту Астаны в настоящее время не обслуживает займ 22,5 млрд тг и выносит данный вопро на Совет по транспорту при Премьер-Министре РК (Аэропорт Астаны предлагает вариант при котором АО "Самрук-Казына" выкупит акции аэропорта на сумму займа, аэропорт погасит займ ). В целях снижения убытков предусмотрено мероприятие - своевременная подготовка материалов и согласование вопроса возможности  исключения АО "KTZ Express" из проектного соглашения.
В связи с неспособностью обслуживание займа АО «МАА» данный вопрос рассматривается АО «ФНБ «Самрук-Казына»  и МИИР).</v>
      </c>
      <c r="AE136">
        <f>IF('INHERENT MAP'!$B$5=2021,'РЕЕСТР РИСКОВ_2023'!AK164,IF('INHERENT MAP'!$B$5=2022,#REF!,IF('INHERENT MAP'!$B$5=2023,#REF!,IF('INHERENT MAP'!$B$5=2024,#REF!,#REF!))))</f>
        <v>0</v>
      </c>
      <c r="AF136">
        <f>IF('INHERENT MAP'!$B$5=2021,'РЕЕСТР РИСКОВ_2023'!AL164,IF('INHERENT MAP'!$B$5=2022,#REF!,IF('INHERENT MAP'!$B$5=2023,#REF!,IF('INHERENT MAP'!$B$5=2024,#REF!,#REF!))))</f>
        <v>0</v>
      </c>
      <c r="AG136" t="str">
        <f>IF('INHERENT MAP'!$B$5=2021,'РЕЕСТР РИСКОВ_2023'!AM164,IF('INHERENT MAP'!$B$5=2022,#REF!,IF('INHERENT MAP'!$B$5=2023,#REF!,IF('INHERENT MAP'!$B$5=2024,#REF!,#REF!))))</f>
        <v>низкая</v>
      </c>
      <c r="AH136">
        <f>IF('INHERENT MAP'!$B$5=2021,'РЕЕСТР РИСКОВ_2023'!AN164,IF('INHERENT MAP'!$B$5=2022,#REF!,IF('INHERENT MAP'!$B$5=2023,#REF!,IF('INHERENT MAP'!$B$5=2024,#REF!,#REF!))))</f>
        <v>0.6</v>
      </c>
      <c r="AI136">
        <f>IF('INHERENT MAP'!$B$5=2021,'РЕЕСТР РИСКОВ_2023'!AO164,IF('INHERENT MAP'!$B$5=2022,#REF!,IF('INHERENT MAP'!$B$5=2023,#REF!,IF('INHERENT MAP'!$B$5=2024,#REF!,#REF!))))</f>
        <v>-4500</v>
      </c>
      <c r="AJ136">
        <f>IF('INHERENT MAP'!$B$5=2021,'РЕЕСТР РИСКОВ_2023'!AP164,IF('INHERENT MAP'!$B$5=2022,#REF!,IF('INHERENT MAP'!$B$5=2023,#REF!,IF('INHERENT MAP'!$B$5=2024,#REF!,#REF!))))</f>
        <v>-2700</v>
      </c>
      <c r="AK136">
        <f>IF('РЕЕСТР РИСКОВ_2023'!AQ164="",AK135,'РЕЕСТР РИСКОВ_2023'!AQ164)</f>
        <v>-2700</v>
      </c>
      <c r="AL136">
        <f>IF('РЕЕСТР РИСКОВ_2023'!AR164="",AL135,'РЕЕСТР РИСКОВ_2023'!AR164)</f>
        <v>0.56670303014481749</v>
      </c>
      <c r="AM136">
        <f>IF('РЕЕСТР РИСКОВ_2023'!AS164="",AM135,'РЕЕСТР РИСКОВ_2023'!AS164)</f>
        <v>-10344.514999999999</v>
      </c>
      <c r="AN136">
        <f>IF('РЕЕСТР РИСКОВ_2023'!AT164="",AN135,'РЕЕСТР РИСКОВ_2023'!AT164)</f>
        <v>-5557.1555749999998</v>
      </c>
      <c r="AO136" t="e">
        <f>IF('РЕЕСТР РИСКОВ_2023'!AU164="",AO135,'РЕЕСТР РИСКОВ_2023'!AU164)</f>
        <v>#REF!</v>
      </c>
    </row>
    <row r="137" spans="2:41">
      <c r="B137" t="str">
        <f>IF('INHERENT MAP'!$B$5=2021,IF('РЕЕСТР РИСКОВ_2023'!F165="",B136,'РЕЕСТР РИСКОВ_2023'!F165),IF('INHERENT MAP'!$B$5=2022,IF(#REF!="",B136,#REF!),IF('INHERENT MAP'!$B$5=2023,IF(#REF!="",B136,#REF!),IF('INHERENT MAP'!$B$5=2024,IF(#REF!="",B136,#REF!),IF('РЕЕСТР РИСКОВ_2023'!F165="",B136,'РЕЕСТР РИСКОВ_2023'!F165)))))</f>
        <v>КОНТРАКТНЫЙ РИСК</v>
      </c>
      <c r="C137" t="str">
        <f>IF('INHERENT MAP'!$B$5=2021,IF('РЕЕСТР РИСКОВ_2023'!G165="",C136,'РЕЕСТР РИСКОВ_2023'!G165),IF('INHERENT MAP'!$B$5=2022,IF(#REF!="",C136,#REF!),IF('INHERENT MAP'!$B$5=2023,IF(#REF!="",C136,#REF!),IF('INHERENT MAP'!$B$5=2024,IF(#REF!="",C136,#REF!),IF('РЕЕСТР РИСКОВ_2023'!G165="",C136,'РЕЕСТР РИСКОВ_2023'!G165)))))</f>
        <v>- ХХХ млн. тенге</v>
      </c>
      <c r="D137" t="str">
        <f>IF('INHERENT MAP'!$B$5=2021,IF('РЕЕСТР РИСКОВ_2023'!H165="",D136,'РЕЕСТР РИСКОВ_2023'!H165),IF('INHERENT MAP'!$B$5=2022,IF(#REF!="",D136,#REF!),IF('INHERENT MAP'!$B$5=2023,IF(#REF!="",D136,#REF!),IF('INHERENT MAP'!$B$5=2024,IF(#REF!="",D136,#REF!),IF('РЕЕСТР РИСКОВ_2023'!H165="",D136,'РЕЕСТР РИСКОВ_2023'!H165)))))</f>
        <v>CCR-2</v>
      </c>
      <c r="E137" t="str">
        <f>IF('INHERENT MAP'!$B$5=2021,IF('РЕЕСТР РИСКОВ_2023'!I165="",E136,'РЕЕСТР РИСКОВ_2023'!I165),IF('INHERENT MAP'!$B$5=2022,IF(#REF!="",E136,#REF!),IF('INHERENT MAP'!$B$5=2023,IF(#REF!="",E136,#REF!),IF('INHERENT MAP'!$B$5=2024,IF(#REF!="",E136,#REF!),IF('РЕЕСТР РИСКОВ_2023'!I165="",E136,'РЕЕСТР РИСКОВ_2023'!I165)))))</f>
        <v>ЦЗЛ</v>
      </c>
      <c r="F137" t="str">
        <f>IF('INHERENT MAP'!$B$5=2021,IF('РЕЕСТР РИСКОВ_2023'!J165="",F136,'РЕЕСТР РИСКОВ_2023'!J165),IF('INHERENT MAP'!$B$5=2022,IF(#REF!="",F136,#REF!),IF('INHERENT MAP'!$B$5=2023,IF(#REF!="",F136,#REF!),IF('INHERENT MAP'!$B$5=2024,IF(#REF!="",F136,#REF!),IF('РЕЕСТР РИСКОВ_2023'!J165="",F136,'РЕЕСТР РИСКОВ_2023'!J165)))))</f>
        <v>АО "KTZ Expess" и АМТП</v>
      </c>
      <c r="G137" t="str">
        <f>IF('INHERENT MAP'!$B$5=2021,IF('РЕЕСТР РИСКОВ_2023'!K165="",G136,'РЕЕСТР РИСКОВ_2023'!K165),IF('INHERENT MAP'!$B$5=2022,IF(#REF!="",G136,#REF!),IF('INHERENT MAP'!$B$5=2023,IF(#REF!="",G136,#REF!),IF('INHERENT MAP'!$B$5=2024,IF(#REF!="",G136,#REF!),IF('РЕЕСТР РИСКОВ_2023'!K165="",G136,'РЕЕСТР РИСКОВ_2023'!K165)))))</f>
        <v>Уплата штрафных санкций АО "KTZ Expess" и АО "АМТП" по договору с DP World</v>
      </c>
      <c r="H137">
        <f>IF('INHERENT MAP'!$B$5=2021,'РЕЕСТР РИСКОВ_2023'!L165,IF('INHERENT MAP'!$B$5=2022,#REF!,IF('INHERENT MAP'!$B$5=2023,#REF!,IF('INHERENT MAP'!$B$5=2024,#REF!,#REF!))))</f>
        <v>0</v>
      </c>
      <c r="I137">
        <f>IF('INHERENT MAP'!$B$5=2021,'РЕЕСТР РИСКОВ_2023'!M165,IF('INHERENT MAP'!$B$5=2022,#REF!,IF('INHERENT MAP'!$B$5=2023,#REF!,IF('INHERENT MAP'!$B$5=2024,#REF!,#REF!))))</f>
        <v>0</v>
      </c>
      <c r="J137">
        <f>IF('INHERENT MAP'!$B$5=2021,'РЕЕСТР РИСКОВ_2023'!N165,IF('INHERENT MAP'!$B$5=2022,#REF!,IF('INHERENT MAP'!$B$5=2023,#REF!,IF('INHERENT MAP'!$B$5=2024,#REF!,#REF!))))</f>
        <v>0</v>
      </c>
      <c r="K137">
        <f>IF('INHERENT MAP'!$B$5=2021,'РЕЕСТР РИСКОВ_2023'!O165,IF('INHERENT MAP'!$B$5=2022,#REF!,IF('INHERENT MAP'!$B$5=2023,#REF!,IF('INHERENT MAP'!$B$5=2024,#REF!,#REF!))))</f>
        <v>0</v>
      </c>
      <c r="L137">
        <f>IF('INHERENT MAP'!$B$5=2021,'РЕЕСТР РИСКОВ_2023'!P165,IF('INHERENT MAP'!$B$5=2022,#REF!,IF('INHERENT MAP'!$B$5=2023,#REF!,IF('INHERENT MAP'!$B$5=2024,#REF!,#REF!))))</f>
        <v>0</v>
      </c>
      <c r="M137" t="str">
        <f>IF('INHERENT MAP'!$B$5=2021,IF('РЕЕСТР РИСКОВ_2023'!Q165="",M136,'РЕЕСТР РИСКОВ_2023'!Q165),IF('INHERENT MAP'!$B$5=2022,IF(#REF!="",M136,#REF!),IF('INHERENT MAP'!$B$5=2023,IF(#REF!="",M136,#REF!),IF('INHERENT MAP'!$B$5=2024,IF(#REF!="",M136,#REF!),IF('РЕЕСТР РИСКОВ_2023'!Q165="",M136,'РЕЕСТР РИСКОВ_2023'!Q165)))))</f>
        <v>В ноябре 2013 г. заключен договор с компанией DP World на оказание консультационных услуг на управление СЭЗ "Хоргос-Восточные ворота", срок действия договора 10 лет (по 2023 г.). Стоимость услуг на момент заключения договора составляла 4 млн. долл. США ежегодно. С 2018 г. стоимость услуг DP World по договору была снижена до 2 млн.дол. США ежегодно.
Сумма договора по АО КТЖЭкспресс = 2 млн. долларов США (Сумма признанного оценочного обяз-ва по КТЖЭ на 30.09.2022 = 1.80 млрд.тенге)
Сумма договора по АО АМТП = 3,66 млн. долларов США</v>
      </c>
      <c r="N137" t="str">
        <f>IF('INHERENT MAP'!$B$5=2021,IF('РЕЕСТР РИСКОВ_2023'!R165="",N136,'РЕЕСТР РИСКОВ_2023'!R165),IF('INHERENT MAP'!$B$5=2022,IF(#REF!="",N136,#REF!),IF('INHERENT MAP'!$B$5=2023,IF(#REF!="",N136,#REF!),IF('INHERENT MAP'!$B$5=2024,IF(#REF!="",N136,#REF!),IF('РЕЕСТР РИСКОВ_2023'!R165="",N136,'РЕЕСТР РИСКОВ_2023'!R165)))))</f>
        <v>Отвлечение собственных средств и/или привлечение заемных средств на низкорентабельные и непрофильные проекты. Недофинансирование проектов, направленных на обеспечение безопасности движения поездов, поддержание текущей деятельности в бесперебойном режиме. Увеличение долга Компании, обесценение активов, нарушение финансовых ковенантов.</v>
      </c>
      <c r="O137">
        <f>'РЕЕСТР РИСКОВ_2023'!T165</f>
        <v>0</v>
      </c>
      <c r="P137" t="e">
        <f>IF('РЕЕСТР РИСКОВ_2023'!U165="",P136,'РЕЕСТР РИСКОВ_2023'!U165)</f>
        <v>#REF!</v>
      </c>
      <c r="Q137" t="str">
        <f>IF('РЕЕСТР РИСКОВ_2023'!V165="",Q136,'РЕЕСТР РИСКОВ_2023'!V165)</f>
        <v>Угрозы</v>
      </c>
      <c r="R137" t="str">
        <f>IF('РЕЕСТР РИСКОВ_2023'!W165="",R136,'РЕЕСТР РИСКОВ_2023'!W165)</f>
        <v>На 31.12.2021 обязателсьва составили 3,9 млрд тенге</v>
      </c>
      <c r="S137">
        <f>'РЕЕСТР РИСКОВ_2023'!X165</f>
        <v>0</v>
      </c>
      <c r="T137" s="94">
        <f>IF('INHERENT MAP'!$B$5=2021,'РЕЕСТР РИСКОВ_2023'!Y165,IF('INHERENT MAP'!$B$5=2022,#REF!,IF('INHERENT MAP'!$B$5=2023,#REF!,IF('INHERENT MAP'!$B$5=2024,#REF!,#REF!))))</f>
        <v>0.7</v>
      </c>
      <c r="U137">
        <f>IF('INHERENT MAP'!$B$5=2021,'РЕЕСТР РИСКОВ_2023'!Z165,IF('INHERENT MAP'!$B$5=2022,#REF!,IF('INHERENT MAP'!$B$5=2023,#REF!,IF('INHERENT MAP'!$B$5=2024,#REF!,#REF!))))</f>
        <v>-3008</v>
      </c>
      <c r="V137">
        <f>IF('INHERENT MAP'!$B$5=2021,'РЕЕСТР РИСКОВ_2023'!AA165,IF('INHERENT MAP'!$B$5=2022,#REF!,IF('INHERENT MAP'!$B$5=2023,#REF!,IF('INHERENT MAP'!$B$5=2024,#REF!,#REF!))))</f>
        <v>-2105.6</v>
      </c>
      <c r="W137">
        <f>IF('INHERENT MAP'!$B$5=2021,'РЕЕСТР РИСКОВ_2023'!AB165,IF('INHERENT MAP'!$B$5=2022,#REF!,IF('INHERENT MAP'!$B$5=2023,#REF!,IF('INHERENT MAP'!$B$5=2024,#REF!,#REF!))))</f>
        <v>0</v>
      </c>
      <c r="X137" s="94">
        <f>IF('INHERENT MAP'!$B$5=2021,'РЕЕСТР РИСКОВ_2023'!AC165,IF('INHERENT MAP'!$B$5=2022,#REF!,IF('INHERENT MAP'!$B$5=2023,#REF!,IF('INHERENT MAP'!$B$5=2024,#REF!,#REF!))))</f>
        <v>0.7</v>
      </c>
      <c r="Y137">
        <f>IF('INHERENT MAP'!$B$5=2021,'РЕЕСТР РИСКОВ_2023'!AD165,IF('INHERENT MAP'!$B$5=2022,#REF!,IF('INHERENT MAP'!$B$5=2023,#REF!,IF('INHERENT MAP'!$B$5=2024,#REF!,#REF!))))</f>
        <v>-3008</v>
      </c>
      <c r="Z137">
        <f>IF('INHERENT MAP'!$B$5=2021,'РЕЕСТР РИСКОВ_2023'!AE165,IF('INHERENT MAP'!$B$5=2022,#REF!,IF('INHERENT MAP'!$B$5=2023,#REF!,IF('INHERENT MAP'!$B$5=2024,#REF!,#REF!))))</f>
        <v>-2105.6</v>
      </c>
      <c r="AA137">
        <f>IF('INHERENT MAP'!$B$5=2021,'РЕЕСТР РИСКОВ_2023'!AF165,IF('INHERENT MAP'!$B$5=2022,#REF!,IF('INHERENT MAP'!$B$5=2023,#REF!,IF('INHERENT MAP'!$B$5=2024,#REF!,#REF!))))</f>
        <v>0</v>
      </c>
      <c r="AB137">
        <f>IF('INHERENT MAP'!$B$5=2021,'РЕЕСТР РИСКОВ_2023'!AG165,IF('INHERENT MAP'!$B$5=2022,#REF!,IF('INHERENT MAP'!$B$5=2023,#REF!,IF('INHERENT MAP'!$B$5=2024,#REF!,#REF!))))</f>
        <v>0</v>
      </c>
      <c r="AC137">
        <f>IF('INHERENT MAP'!$B$5=2021,'РЕЕСТР РИСКОВ_2023'!AH165,IF('INHERENT MAP'!$B$5=2022,#REF!,IF('INHERENT MAP'!$B$5=2023,#REF!,IF('INHERENT MAP'!$B$5=2024,#REF!,#REF!))))</f>
        <v>0</v>
      </c>
      <c r="AD137" t="str">
        <f>IF('INHERENT MAP'!$B$5=2021,'РЕЕСТР РИСКОВ_2023'!AI165,IF('INHERENT MAP'!$B$5=2022,#REF!,IF('INHERENT MAP'!$B$5=2023,#REF!,IF('INHERENT MAP'!$B$5=2024,#REF!,#REF!))))</f>
        <v xml:space="preserve">Продолжение необходимых работ по скорейшему расторжению договора.
Принимая во внимание финансовую нагрузку при постоянно низком уровне доходов СЭЗ "Хоргос-Восточные ворота", с DP World достигнута договорённость приостановления Договора и выплат по нему на 3 года (с 01.01.2019 г. по 31.12.2021 г.). Дополнительное соглашение подписано 23.07.2020 г. Однако, с  января 2022 г. по дату окончания договора у группы КТЖ возникает приостановленное обязательство по оплате вознаграждения DP World по договору ~ 3,7 млн. долл. США.С декабря 2021 года ведутся переговоры с DP World по вопросу расторжения консультационного договора. Проводится работа по анализу эффективности оказанных DP World услуг. 
</v>
      </c>
      <c r="AE137" t="str">
        <f>IF('INHERENT MAP'!$B$5=2021,'РЕЕСТР РИСКОВ_2023'!AK165,IF('INHERENT MAP'!$B$5=2022,#REF!,IF('INHERENT MAP'!$B$5=2023,#REF!,IF('INHERENT MAP'!$B$5=2024,#REF!,#REF!))))</f>
        <v>АО "KTZ Express"</v>
      </c>
      <c r="AF137">
        <f>IF('INHERENT MAP'!$B$5=2021,'РЕЕСТР РИСКОВ_2023'!AL165,IF('INHERENT MAP'!$B$5=2022,#REF!,IF('INHERENT MAP'!$B$5=2023,#REF!,IF('INHERENT MAP'!$B$5=2024,#REF!,#REF!))))</f>
        <v>0</v>
      </c>
      <c r="AG137" t="str">
        <f>IF('INHERENT MAP'!$B$5=2021,'РЕЕСТР РИСКОВ_2023'!AM165,IF('INHERENT MAP'!$B$5=2022,#REF!,IF('INHERENT MAP'!$B$5=2023,#REF!,IF('INHERENT MAP'!$B$5=2024,#REF!,#REF!))))</f>
        <v>средняя</v>
      </c>
      <c r="AH137">
        <f>IF('INHERENT MAP'!$B$5=2021,'РЕЕСТР РИСКОВ_2023'!AN165,IF('INHERENT MAP'!$B$5=2022,#REF!,IF('INHERENT MAP'!$B$5=2023,#REF!,IF('INHERENT MAP'!$B$5=2024,#REF!,#REF!))))</f>
        <v>0.35</v>
      </c>
      <c r="AI137">
        <f>IF('INHERENT MAP'!$B$5=2021,'РЕЕСТР РИСКОВ_2023'!AO165,IF('INHERENT MAP'!$B$5=2022,#REF!,IF('INHERENT MAP'!$B$5=2023,#REF!,IF('INHERENT MAP'!$B$5=2024,#REF!,#REF!))))</f>
        <v>-1504</v>
      </c>
      <c r="AJ137">
        <f>IF('INHERENT MAP'!$B$5=2021,'РЕЕСТР РИСКОВ_2023'!AP165,IF('INHERENT MAP'!$B$5=2022,#REF!,IF('INHERENT MAP'!$B$5=2023,#REF!,IF('INHERENT MAP'!$B$5=2024,#REF!,#REF!))))</f>
        <v>-526.4</v>
      </c>
      <c r="AK137">
        <f>IF('РЕЕСТР РИСКОВ_2023'!AQ165="",AK136,'РЕЕСТР РИСКОВ_2023'!AQ165)</f>
        <v>-1052.8</v>
      </c>
      <c r="AL137">
        <f>IF('РЕЕСТР РИСКОВ_2023'!AR165="",AL136,'РЕЕСТР РИСКОВ_2023'!AR165)</f>
        <v>0.35</v>
      </c>
      <c r="AM137">
        <f>IF('РЕЕСТР РИСКОВ_2023'!AS165="",AM136,'РЕЕСТР РИСКОВ_2023'!AS165)</f>
        <v>-526.4</v>
      </c>
      <c r="AN137">
        <f>IF('РЕЕСТР РИСКОВ_2023'!AT165="",AN136,'РЕЕСТР РИСКОВ_2023'!AT165)</f>
        <v>-1052.8</v>
      </c>
      <c r="AO137" t="e">
        <f>IF('РЕЕСТР РИСКОВ_2023'!AU165="",AO136,'РЕЕСТР РИСКОВ_2023'!AU165)</f>
        <v>#REF!</v>
      </c>
    </row>
    <row r="138" spans="2:41">
      <c r="B138" t="str">
        <f>IF('INHERENT MAP'!$B$5=2021,IF('РЕЕСТР РИСКОВ_2023'!F166="",B137,'РЕЕСТР РИСКОВ_2023'!F166),IF('INHERENT MAP'!$B$5=2022,IF(#REF!="",B137,#REF!),IF('INHERENT MAP'!$B$5=2023,IF(#REF!="",B137,#REF!),IF('INHERENT MAP'!$B$5=2024,IF(#REF!="",B137,#REF!),IF('РЕЕСТР РИСКОВ_2023'!F166="",B137,'РЕЕСТР РИСКОВ_2023'!F166)))))</f>
        <v>КОНТРАКТНЫЙ РИСК</v>
      </c>
      <c r="C138" t="str">
        <f>IF('INHERENT MAP'!$B$5=2021,IF('РЕЕСТР РИСКОВ_2023'!G166="",C137,'РЕЕСТР РИСКОВ_2023'!G166),IF('INHERENT MAP'!$B$5=2022,IF(#REF!="",C137,#REF!),IF('INHERENT MAP'!$B$5=2023,IF(#REF!="",C137,#REF!),IF('INHERENT MAP'!$B$5=2024,IF(#REF!="",C137,#REF!),IF('РЕЕСТР РИСКОВ_2023'!G166="",C137,'РЕЕСТР РИСКОВ_2023'!G166)))))</f>
        <v>- ХХХ млн. тенге</v>
      </c>
      <c r="D138" t="str">
        <f>IF('INHERENT MAP'!$B$5=2021,IF('РЕЕСТР РИСКОВ_2023'!H166="",D137,'РЕЕСТР РИСКОВ_2023'!H166),IF('INHERENT MAP'!$B$5=2022,IF(#REF!="",D137,#REF!),IF('INHERENT MAP'!$B$5=2023,IF(#REF!="",D137,#REF!),IF('INHERENT MAP'!$B$5=2024,IF(#REF!="",D137,#REF!),IF('РЕЕСТР РИСКОВ_2023'!H166="",D137,'РЕЕСТР РИСКОВ_2023'!H166)))))</f>
        <v>CCR-3</v>
      </c>
      <c r="E138" t="str">
        <f>IF('INHERENT MAP'!$B$5=2021,IF('РЕЕСТР РИСКОВ_2023'!I166="",E137,'РЕЕСТР РИСКОВ_2023'!I166),IF('INHERENT MAP'!$B$5=2022,IF(#REF!="",E137,#REF!),IF('INHERENT MAP'!$B$5=2023,IF(#REF!="",E137,#REF!),IF('INHERENT MAP'!$B$5=2024,IF(#REF!="",E137,#REF!),IF('РЕЕСТР РИСКОВ_2023'!I166="",E137,'РЕЕСТР РИСКОВ_2023'!I166)))))</f>
        <v>ЦЗ-1</v>
      </c>
      <c r="F138" t="str">
        <f>IF('INHERENT MAP'!$B$5=2021,IF('РЕЕСТР РИСКОВ_2023'!J166="",F137,'РЕЕСТР РИСКОВ_2023'!J166),IF('INHERENT MAP'!$B$5=2022,IF(#REF!="",F137,#REF!),IF('INHERENT MAP'!$B$5=2023,IF(#REF!="",F137,#REF!),IF('INHERENT MAP'!$B$5=2024,IF(#REF!="",F137,#REF!),IF('РЕЕСТР РИСКОВ_2023'!J166="",F137,'РЕЕСТР РИСКОВ_2023'!J166)))))</f>
        <v>АО "Қазтеміртранс"</v>
      </c>
      <c r="G138" t="str">
        <f>IF('INHERENT MAP'!$B$5=2021,IF('РЕЕСТР РИСКОВ_2023'!K166="",G137,'РЕЕСТР РИСКОВ_2023'!K166),IF('INHERENT MAP'!$B$5=2022,IF(#REF!="",G137,#REF!),IF('INHERENT MAP'!$B$5=2023,IF(#REF!="",G137,#REF!),IF('INHERENT MAP'!$B$5=2024,IF(#REF!="",G137,#REF!),IF('РЕЕСТР РИСКОВ_2023'!K166="",G137,'РЕЕСТР РИСКОВ_2023'!K166)))))</f>
        <v>Банкротство и невозврат дебиторской задолженности ТОО "Казахстанская вагоностроительная компания"</v>
      </c>
      <c r="H138">
        <f>IF('INHERENT MAP'!$B$5=2021,'РЕЕСТР РИСКОВ_2023'!L166,IF('INHERENT MAP'!$B$5=2022,#REF!,IF('INHERENT MAP'!$B$5=2023,#REF!,IF('INHERENT MAP'!$B$5=2024,#REF!,#REF!))))</f>
        <v>0</v>
      </c>
      <c r="I138">
        <f>IF('INHERENT MAP'!$B$5=2021,'РЕЕСТР РИСКОВ_2023'!M166,IF('INHERENT MAP'!$B$5=2022,#REF!,IF('INHERENT MAP'!$B$5=2023,#REF!,IF('INHERENT MAP'!$B$5=2024,#REF!,#REF!))))</f>
        <v>0</v>
      </c>
      <c r="J138">
        <f>IF('INHERENT MAP'!$B$5=2021,'РЕЕСТР РИСКОВ_2023'!N166,IF('INHERENT MAP'!$B$5=2022,#REF!,IF('INHERENT MAP'!$B$5=2023,#REF!,IF('INHERENT MAP'!$B$5=2024,#REF!,#REF!))))</f>
        <v>0</v>
      </c>
      <c r="K138">
        <f>IF('INHERENT MAP'!$B$5=2021,'РЕЕСТР РИСКОВ_2023'!O166,IF('INHERENT MAP'!$B$5=2022,#REF!,IF('INHERENT MAP'!$B$5=2023,#REF!,IF('INHERENT MAP'!$B$5=2024,#REF!,#REF!))))</f>
        <v>0</v>
      </c>
      <c r="L138">
        <f>IF('INHERENT MAP'!$B$5=2021,'РЕЕСТР РИСКОВ_2023'!P166,IF('INHERENT MAP'!$B$5=2022,#REF!,IF('INHERENT MAP'!$B$5=2023,#REF!,IF('INHERENT MAP'!$B$5=2024,#REF!,#REF!))))</f>
        <v>0</v>
      </c>
      <c r="M138" t="str">
        <f>IF('INHERENT MAP'!$B$5=2021,IF('РЕЕСТР РИСКОВ_2023'!Q166="",M137,'РЕЕСТР РИСКОВ_2023'!Q166),IF('INHERENT MAP'!$B$5=2022,IF(#REF!="",M137,#REF!),IF('INHERENT MAP'!$B$5=2023,IF(#REF!="",M137,#REF!),IF('INHERENT MAP'!$B$5=2024,IF(#REF!="",M137,#REF!),IF('РЕЕСТР РИСКОВ_2023'!Q166="",M137,'РЕЕСТР РИСКОВ_2023'!Q166)))))</f>
        <v>Низкий уровень рентабельности производства, убыточность деятельности Товарищества, простой предприятия, инфляционных процессов и нестабильности на валютном рынке.</v>
      </c>
      <c r="N138" t="str">
        <f>IF('INHERENT MAP'!$B$5=2021,IF('РЕЕСТР РИСКОВ_2023'!R166="",N137,'РЕЕСТР РИСКОВ_2023'!R166),IF('INHERENT MAP'!$B$5=2022,IF(#REF!="",N137,#REF!),IF('INHERENT MAP'!$B$5=2023,IF(#REF!="",N137,#REF!),IF('INHERENT MAP'!$B$5=2024,IF(#REF!="",N137,#REF!),IF('РЕЕСТР РИСКОВ_2023'!R166="",N137,'РЕЕСТР РИСКОВ_2023'!R166)))))</f>
        <v>Отвлечение собственных средств и/или привлечение заемных средств на низкорентабельные и непрофильные проекты. Недофинансирование проектов, направленных на обеспечение безопасности движения поездов, поддержание текущей деятельности в бесперебойном режиме. Увеличение долга Компании, обесценение активов, нарушение финансовых ковенантов.</v>
      </c>
      <c r="O138">
        <f>'РЕЕСТР РИСКОВ_2023'!T166</f>
        <v>0</v>
      </c>
      <c r="P138" t="e">
        <f>IF('РЕЕСТР РИСКОВ_2023'!U166="",P137,'РЕЕСТР РИСКОВ_2023'!U166)</f>
        <v>#REF!</v>
      </c>
      <c r="Q138" t="str">
        <f>IF('РЕЕСТР РИСКОВ_2023'!V166="",Q137,'РЕЕСТР РИСКОВ_2023'!V166)</f>
        <v>Угрозы</v>
      </c>
      <c r="R138" t="str">
        <f>IF('РЕЕСТР РИСКОВ_2023'!W166="",R137,'РЕЕСТР РИСКОВ_2023'!W166)</f>
        <v>На 31.12.2021 обязателсьва составили 3,9 млрд тенге</v>
      </c>
      <c r="S138">
        <f>'РЕЕСТР РИСКОВ_2023'!X166</f>
        <v>0</v>
      </c>
      <c r="T138" s="94">
        <f>IF('INHERENT MAP'!$B$5=2021,'РЕЕСТР РИСКОВ_2023'!Y166,IF('INHERENT MAP'!$B$5=2022,#REF!,IF('INHERENT MAP'!$B$5=2023,#REF!,IF('INHERENT MAP'!$B$5=2024,#REF!,#REF!))))</f>
        <v>0.25</v>
      </c>
      <c r="U138">
        <f>IF('INHERENT MAP'!$B$5=2021,'РЕЕСТР РИСКОВ_2023'!Z166,IF('INHERENT MAP'!$B$5=2022,#REF!,IF('INHERENT MAP'!$B$5=2023,#REF!,IF('INHERENT MAP'!$B$5=2024,#REF!,#REF!))))</f>
        <v>-8907.4</v>
      </c>
      <c r="V138">
        <f>IF('INHERENT MAP'!$B$5=2021,'РЕЕСТР РИСКОВ_2023'!AA166,IF('INHERENT MAP'!$B$5=2022,#REF!,IF('INHERENT MAP'!$B$5=2023,#REF!,IF('INHERENT MAP'!$B$5=2024,#REF!,#REF!))))</f>
        <v>-2226.85</v>
      </c>
      <c r="W138">
        <f>IF('INHERENT MAP'!$B$5=2021,'РЕЕСТР РИСКОВ_2023'!AB166,IF('INHERENT MAP'!$B$5=2022,#REF!,IF('INHERENT MAP'!$B$5=2023,#REF!,IF('INHERENT MAP'!$B$5=2024,#REF!,#REF!))))</f>
        <v>0</v>
      </c>
      <c r="X138" s="94">
        <f>IF('INHERENT MAP'!$B$5=2021,'РЕЕСТР РИСКОВ_2023'!AC166,IF('INHERENT MAP'!$B$5=2022,#REF!,IF('INHERENT MAP'!$B$5=2023,#REF!,IF('INHERENT MAP'!$B$5=2024,#REF!,#REF!))))</f>
        <v>0.25</v>
      </c>
      <c r="Y138">
        <f>IF('INHERENT MAP'!$B$5=2021,'РЕЕСТР РИСКОВ_2023'!AD166,IF('INHERENT MAP'!$B$5=2022,#REF!,IF('INHERENT MAP'!$B$5=2023,#REF!,IF('INHERENT MAP'!$B$5=2024,#REF!,#REF!))))</f>
        <v>-8907.4</v>
      </c>
      <c r="Z138">
        <f>IF('INHERENT MAP'!$B$5=2021,'РЕЕСТР РИСКОВ_2023'!AE166,IF('INHERENT MAP'!$B$5=2022,#REF!,IF('INHERENT MAP'!$B$5=2023,#REF!,IF('INHERENT MAP'!$B$5=2024,#REF!,#REF!))))</f>
        <v>-2226.85</v>
      </c>
      <c r="AA138">
        <f>IF('INHERENT MAP'!$B$5=2021,'РЕЕСТР РИСКОВ_2023'!AF166,IF('INHERENT MAP'!$B$5=2022,#REF!,IF('INHERENT MAP'!$B$5=2023,#REF!,IF('INHERENT MAP'!$B$5=2024,#REF!,#REF!))))</f>
        <v>0</v>
      </c>
      <c r="AB138">
        <f>IF('INHERENT MAP'!$B$5=2021,'РЕЕСТР РИСКОВ_2023'!AG166,IF('INHERENT MAP'!$B$5=2022,#REF!,IF('INHERENT MAP'!$B$5=2023,#REF!,IF('INHERENT MAP'!$B$5=2024,#REF!,#REF!))))</f>
        <v>0</v>
      </c>
      <c r="AC138">
        <f>IF('INHERENT MAP'!$B$5=2021,'РЕЕСТР РИСКОВ_2023'!AH166,IF('INHERENT MAP'!$B$5=2022,#REF!,IF('INHERENT MAP'!$B$5=2023,#REF!,IF('INHERENT MAP'!$B$5=2024,#REF!,#REF!))))</f>
        <v>0</v>
      </c>
      <c r="AD138" t="str">
        <f>IF('INHERENT MAP'!$B$5=2021,'РЕЕСТР РИСКОВ_2023'!AI166,IF('INHERENT MAP'!$B$5=2022,#REF!,IF('INHERENT MAP'!$B$5=2023,#REF!,IF('INHERENT MAP'!$B$5=2024,#REF!,#REF!))))</f>
        <v>Планируется реализация доли КТТ в КВК в период 2021-2022 годы</v>
      </c>
      <c r="AE138" t="str">
        <f>IF('INHERENT MAP'!$B$5=2021,'РЕЕСТР РИСКОВ_2023'!AK166,IF('INHERENT MAP'!$B$5=2022,#REF!,IF('INHERENT MAP'!$B$5=2023,#REF!,IF('INHERENT MAP'!$B$5=2024,#REF!,#REF!))))</f>
        <v>АО "Қазтеміртранс"</v>
      </c>
      <c r="AF138">
        <f>IF('INHERENT MAP'!$B$5=2021,'РЕЕСТР РИСКОВ_2023'!AL166,IF('INHERENT MAP'!$B$5=2022,#REF!,IF('INHERENT MAP'!$B$5=2023,#REF!,IF('INHERENT MAP'!$B$5=2024,#REF!,#REF!))))</f>
        <v>0</v>
      </c>
      <c r="AG138" t="str">
        <f>IF('INHERENT MAP'!$B$5=2021,'РЕЕСТР РИСКОВ_2023'!AM166,IF('INHERENT MAP'!$B$5=2022,#REF!,IF('INHERENT MAP'!$B$5=2023,#REF!,IF('INHERENT MAP'!$B$5=2024,#REF!,#REF!))))</f>
        <v>низкая</v>
      </c>
      <c r="AH138">
        <f>IF('INHERENT MAP'!$B$5=2021,'РЕЕСТР РИСКОВ_2023'!AN166,IF('INHERENT MAP'!$B$5=2022,#REF!,IF('INHERENT MAP'!$B$5=2023,#REF!,IF('INHERENT MAP'!$B$5=2024,#REF!,#REF!))))</f>
        <v>0.25</v>
      </c>
      <c r="AI138">
        <f>IF('INHERENT MAP'!$B$5=2021,'РЕЕСТР РИСКОВ_2023'!AO166,IF('INHERENT MAP'!$B$5=2022,#REF!,IF('INHERENT MAP'!$B$5=2023,#REF!,IF('INHERENT MAP'!$B$5=2024,#REF!,#REF!))))</f>
        <v>-8907.4</v>
      </c>
      <c r="AJ138">
        <f>IF('INHERENT MAP'!$B$5=2021,'РЕЕСТР РИСКОВ_2023'!AP166,IF('INHERENT MAP'!$B$5=2022,#REF!,IF('INHERENT MAP'!$B$5=2023,#REF!,IF('INHERENT MAP'!$B$5=2024,#REF!,#REF!))))</f>
        <v>-2226.85</v>
      </c>
      <c r="AK138">
        <f>IF('РЕЕСТР РИСКОВ_2023'!AQ166="",AK137,'РЕЕСТР РИСКОВ_2023'!AQ166)</f>
        <v>-2226.85</v>
      </c>
      <c r="AL138">
        <f>IF('РЕЕСТР РИСКОВ_2023'!AR166="",AL137,'РЕЕСТР РИСКОВ_2023'!AR166)</f>
        <v>0.25</v>
      </c>
      <c r="AM138">
        <f>IF('РЕЕСТР РИСКОВ_2023'!AS166="",AM137,'РЕЕСТР РИСКОВ_2023'!AS166)</f>
        <v>-2226.85</v>
      </c>
      <c r="AN138">
        <f>IF('РЕЕСТР РИСКОВ_2023'!AT166="",AN137,'РЕЕСТР РИСКОВ_2023'!AT166)</f>
        <v>-2226.85</v>
      </c>
      <c r="AO138" t="e">
        <f>IF('РЕЕСТР РИСКОВ_2023'!AU166="",AO137,'РЕЕСТР РИСКОВ_2023'!AU166)</f>
        <v>#REF!</v>
      </c>
    </row>
    <row r="139" spans="2:41">
      <c r="B139" t="str">
        <f>IF('INHERENT MAP'!$B$5=2021,IF('РЕЕСТР РИСКОВ_2023'!F167="",B138,'РЕЕСТР РИСКОВ_2023'!F167),IF('INHERENT MAP'!$B$5=2022,IF(#REF!="",B138,#REF!),IF('INHERENT MAP'!$B$5=2023,IF(#REF!="",B138,#REF!),IF('INHERENT MAP'!$B$5=2024,IF(#REF!="",B138,#REF!),IF('РЕЕСТР РИСКОВ_2023'!F167="",B138,'РЕЕСТР РИСКОВ_2023'!F167)))))</f>
        <v>КОНТРАКТНЫЙ РИСК</v>
      </c>
      <c r="C139" t="str">
        <f>IF('INHERENT MAP'!$B$5=2021,IF('РЕЕСТР РИСКОВ_2023'!G167="",C138,'РЕЕСТР РИСКОВ_2023'!G167),IF('INHERENT MAP'!$B$5=2022,IF(#REF!="",C138,#REF!),IF('INHERENT MAP'!$B$5=2023,IF(#REF!="",C138,#REF!),IF('INHERENT MAP'!$B$5=2024,IF(#REF!="",C138,#REF!),IF('РЕЕСТР РИСКОВ_2023'!G167="",C138,'РЕЕСТР РИСКОВ_2023'!G167)))))</f>
        <v>- ХХХ млн. тенге</v>
      </c>
      <c r="D139" t="str">
        <f>IF('INHERENT MAP'!$B$5=2021,IF('РЕЕСТР РИСКОВ_2023'!H167="",D138,'РЕЕСТР РИСКОВ_2023'!H167),IF('INHERENT MAP'!$B$5=2022,IF(#REF!="",D138,#REF!),IF('INHERENT MAP'!$B$5=2023,IF(#REF!="",D138,#REF!),IF('INHERENT MAP'!$B$5=2024,IF(#REF!="",D138,#REF!),IF('РЕЕСТР РИСКОВ_2023'!H167="",D138,'РЕЕСТР РИСКОВ_2023'!H167)))))</f>
        <v>CCR-4</v>
      </c>
      <c r="E139" t="str">
        <f>IF('INHERENT MAP'!$B$5=2021,IF('РЕЕСТР РИСКОВ_2023'!I167="",E138,'РЕЕСТР РИСКОВ_2023'!I167),IF('INHERENT MAP'!$B$5=2022,IF(#REF!="",E138,#REF!),IF('INHERENT MAP'!$B$5=2023,IF(#REF!="",E138,#REF!),IF('INHERENT MAP'!$B$5=2024,IF(#REF!="",E138,#REF!),IF('РЕЕСТР РИСКОВ_2023'!I167="",E138,'РЕЕСТР РИСКОВ_2023'!I167)))))</f>
        <v>ЦЗЛ</v>
      </c>
      <c r="F139" t="str">
        <f>IF('INHERENT MAP'!$B$5=2021,IF('РЕЕСТР РИСКОВ_2023'!J167="",F138,'РЕЕСТР РИСКОВ_2023'!J167),IF('INHERENT MAP'!$B$5=2022,IF(#REF!="",F138,#REF!),IF('INHERENT MAP'!$B$5=2023,IF(#REF!="",F138,#REF!),IF('INHERENT MAP'!$B$5=2024,IF(#REF!="",F138,#REF!),IF('РЕЕСТР РИСКОВ_2023'!J167="",F138,'РЕЕСТР РИСКОВ_2023'!J167)))))</f>
        <v>АО "KTZ Express"</v>
      </c>
      <c r="G139" t="str">
        <f>IF('INHERENT MAP'!$B$5=2021,IF('РЕЕСТР РИСКОВ_2023'!K167="",G138,'РЕЕСТР РИСКОВ_2023'!K167),IF('INHERENT MAP'!$B$5=2022,IF(#REF!="",G138,#REF!),IF('INHERENT MAP'!$B$5=2023,IF(#REF!="",G138,#REF!),IF('INHERENT MAP'!$B$5=2024,IF(#REF!="",G138,#REF!),IF('РЕЕСТР РИСКОВ_2023'!K167="",G138,'РЕЕСТР РИСКОВ_2023'!K167)))))</f>
        <v>Неисполнение договорных (контрактных) обязательств ЗИКСТО перед Компанией</v>
      </c>
      <c r="H139">
        <f>IF('INHERENT MAP'!$B$5=2021,'РЕЕСТР РИСКОВ_2023'!L167,IF('INHERENT MAP'!$B$5=2022,#REF!,IF('INHERENT MAP'!$B$5=2023,#REF!,IF('INHERENT MAP'!$B$5=2024,#REF!,#REF!))))</f>
        <v>0</v>
      </c>
      <c r="I139">
        <f>IF('INHERENT MAP'!$B$5=2021,'РЕЕСТР РИСКОВ_2023'!M167,IF('INHERENT MAP'!$B$5=2022,#REF!,IF('INHERENT MAP'!$B$5=2023,#REF!,IF('INHERENT MAP'!$B$5=2024,#REF!,#REF!))))</f>
        <v>0</v>
      </c>
      <c r="J139">
        <f>IF('INHERENT MAP'!$B$5=2021,'РЕЕСТР РИСКОВ_2023'!N167,IF('INHERENT MAP'!$B$5=2022,#REF!,IF('INHERENT MAP'!$B$5=2023,#REF!,IF('INHERENT MAP'!$B$5=2024,#REF!,#REF!))))</f>
        <v>0</v>
      </c>
      <c r="K139">
        <f>IF('INHERENT MAP'!$B$5=2021,'РЕЕСТР РИСКОВ_2023'!O167,IF('INHERENT MAP'!$B$5=2022,#REF!,IF('INHERENT MAP'!$B$5=2023,#REF!,IF('INHERENT MAP'!$B$5=2024,#REF!,#REF!))))</f>
        <v>0</v>
      </c>
      <c r="L139">
        <f>IF('INHERENT MAP'!$B$5=2021,'РЕЕСТР РИСКОВ_2023'!P167,IF('INHERENT MAP'!$B$5=2022,#REF!,IF('INHERENT MAP'!$B$5=2023,#REF!,IF('INHERENT MAP'!$B$5=2024,#REF!,#REF!))))</f>
        <v>0</v>
      </c>
      <c r="M139" t="str">
        <f>IF('INHERENT MAP'!$B$5=2021,IF('РЕЕСТР РИСКОВ_2023'!Q167="",M138,'РЕЕСТР РИСКОВ_2023'!Q167),IF('INHERENT MAP'!$B$5=2022,IF(#REF!="",M138,#REF!),IF('INHERENT MAP'!$B$5=2023,IF(#REF!="",M138,#REF!),IF('INHERENT MAP'!$B$5=2024,IF(#REF!="",M138,#REF!),IF('РЕЕСТР РИСКОВ_2023'!Q167="",M138,'РЕЕСТР РИСКОВ_2023'!Q167)))))</f>
        <v xml:space="preserve">Риск недопоставки и/или невозврата оплаченных сумм по договору финансового лизинга №88 от 25.08.2017г. между   KTZE, ЗИКСТО и БРК-Лизинг
Риск недопоставки и/или невозврата оплаченных сумм по договору купли-продажи вагонов-платформ №285/180/1-КП от 30.11.2020 г. в рамках сделки между АО "KTZ Express", АО "ЗИКСТО" и АО «ФРП». 
</v>
      </c>
      <c r="N139" t="str">
        <f>IF('INHERENT MAP'!$B$5=2021,IF('РЕЕСТР РИСКОВ_2023'!R167="",N138,'РЕЕСТР РИСКОВ_2023'!R167),IF('INHERENT MAP'!$B$5=2022,IF(#REF!="",N138,#REF!),IF('INHERENT MAP'!$B$5=2023,IF(#REF!="",N138,#REF!),IF('INHERENT MAP'!$B$5=2024,IF(#REF!="",N138,#REF!),IF('РЕЕСТР РИСКОВ_2023'!R167="",N138,'РЕЕСТР РИСКОВ_2023'!R167)))))</f>
        <v xml:space="preserve"> - финансовая несостоятельность в процессе исполнения договорных обязательств;
- установка забракованных, запрещенных, задвоенных (двойников), не сертифицированных или контрафактных запасных частей, узлов и деталей;
- несоблюдение предельных сроков выполнения ремонтов вагонов
- неисполнение контрагентами своих обязательств по договору;
- неоплата задолженности дебитором (нарушение условий договора дебитором);
- после заключения договора поставщик не внес обеспечение исполнения договора;
- несвоеременная поставка ТРУ, некачественная поставка ТРУ, полный срыв поставки, поставка товаров, работ, услуг несоответствующих условиям договора;
- неисполнение поставщиком условий по гарантии качества товаров, работ, услуг;
- несвоевременная оплата по договору, нарушение сроков оплаты за товары, работы, услуги.
- неправомерное расторжение договора.
- изменение конъюнктуры финансовых или сырьевых рынков
-  увеличение краткосрочной деботорской задолженности дочерних организаций АО "НК "ҚТЖ";
</v>
      </c>
      <c r="O139">
        <f>'РЕЕСТР РИСКОВ_2023'!T167</f>
        <v>0</v>
      </c>
      <c r="P139" t="e">
        <f>IF('РЕЕСТР РИСКОВ_2023'!U167="",P138,'РЕЕСТР РИСКОВ_2023'!U167)</f>
        <v>#REF!</v>
      </c>
      <c r="Q139" t="str">
        <f>IF('РЕЕСТР РИСКОВ_2023'!V167="",Q138,'РЕЕСТР РИСКОВ_2023'!V167)</f>
        <v>Угрозы</v>
      </c>
      <c r="R139" t="str">
        <f>IF('РЕЕСТР РИСКОВ_2023'!W167="",R138,'РЕЕСТР РИСКОВ_2023'!W167)</f>
        <v>На 31.12.2021 обязателсьва составили 3,9 млрд тенге</v>
      </c>
      <c r="S139">
        <f>'РЕЕСТР РИСКОВ_2023'!X167</f>
        <v>0</v>
      </c>
      <c r="T139" s="94">
        <f>IF('INHERENT MAP'!$B$5=2021,'РЕЕСТР РИСКОВ_2023'!Y167,IF('INHERENT MAP'!$B$5=2022,#REF!,IF('INHERENT MAP'!$B$5=2023,#REF!,IF('INHERENT MAP'!$B$5=2024,#REF!,#REF!))))</f>
        <v>0.4</v>
      </c>
      <c r="U139">
        <f>IF('INHERENT MAP'!$B$5=2021,'РЕЕСТР РИСКОВ_2023'!Z167,IF('INHERENT MAP'!$B$5=2022,#REF!,IF('INHERENT MAP'!$B$5=2023,#REF!,IF('INHERENT MAP'!$B$5=2024,#REF!,#REF!))))</f>
        <v>-34211.478000000003</v>
      </c>
      <c r="V139">
        <f>IF('INHERENT MAP'!$B$5=2021,'РЕЕСТР РИСКОВ_2023'!AA167,IF('INHERENT MAP'!$B$5=2022,#REF!,IF('INHERENT MAP'!$B$5=2023,#REF!,IF('INHERENT MAP'!$B$5=2024,#REF!,#REF!))))</f>
        <v>-13684.591200000003</v>
      </c>
      <c r="W139" t="str">
        <f>IF('INHERENT MAP'!$B$5=2021,'РЕЕСТР РИСКОВ_2023'!AB167,IF('INHERENT MAP'!$B$5=2022,#REF!,IF('INHERENT MAP'!$B$5=2023,#REF!,IF('INHERENT MAP'!$B$5=2024,#REF!,#REF!))))</f>
        <v>нет резерва</v>
      </c>
      <c r="X139" s="94">
        <f>IF('INHERENT MAP'!$B$5=2021,'РЕЕСТР РИСКОВ_2023'!AC167,IF('INHERENT MAP'!$B$5=2022,#REF!,IF('INHERENT MAP'!$B$5=2023,#REF!,IF('INHERENT MAP'!$B$5=2024,#REF!,#REF!))))</f>
        <v>0.4</v>
      </c>
      <c r="Y139">
        <f>IF('INHERENT MAP'!$B$5=2021,'РЕЕСТР РИСКОВ_2023'!AD167,IF('INHERENT MAP'!$B$5=2022,#REF!,IF('INHERENT MAP'!$B$5=2023,#REF!,IF('INHERENT MAP'!$B$5=2024,#REF!,#REF!))))</f>
        <v>-34211.478000000003</v>
      </c>
      <c r="Z139">
        <f>IF('INHERENT MAP'!$B$5=2021,'РЕЕСТР РИСКОВ_2023'!AE167,IF('INHERENT MAP'!$B$5=2022,#REF!,IF('INHERENT MAP'!$B$5=2023,#REF!,IF('INHERENT MAP'!$B$5=2024,#REF!,#REF!))))</f>
        <v>-13684.591200000003</v>
      </c>
      <c r="AA139">
        <f>IF('INHERENT MAP'!$B$5=2021,'РЕЕСТР РИСКОВ_2023'!AF167,IF('INHERENT MAP'!$B$5=2022,#REF!,IF('INHERENT MAP'!$B$5=2023,#REF!,IF('INHERENT MAP'!$B$5=2024,#REF!,#REF!))))</f>
        <v>0</v>
      </c>
      <c r="AB139">
        <f>IF('INHERENT MAP'!$B$5=2021,'РЕЕСТР РИСКОВ_2023'!AG167,IF('INHERENT MAP'!$B$5=2022,#REF!,IF('INHERENT MAP'!$B$5=2023,#REF!,IF('INHERENT MAP'!$B$5=2024,#REF!,#REF!))))</f>
        <v>0</v>
      </c>
      <c r="AC139">
        <f>IF('INHERENT MAP'!$B$5=2021,'РЕЕСТР РИСКОВ_2023'!AH167,IF('INHERENT MAP'!$B$5=2022,#REF!,IF('INHERENT MAP'!$B$5=2023,#REF!,IF('INHERENT MAP'!$B$5=2024,#REF!,#REF!))))</f>
        <v>0</v>
      </c>
      <c r="AD139" t="str">
        <f>IF('INHERENT MAP'!$B$5=2021,'РЕЕСТР РИСКОВ_2023'!AI167,IF('INHERENT MAP'!$B$5=2022,#REF!,IF('INHERENT MAP'!$B$5=2023,#REF!,IF('INHERENT MAP'!$B$5=2024,#REF!,#REF!))))</f>
        <v xml:space="preserve">Договор от№88 от 25.08.2017г. - 30.11.2020 г. между АО "KTZ Express" и АО "ЗИКСТО" было заключено Соглашение об урегулировании спора (конфликта) в порядке медиации №12-С. В рамках указанного Соглашения достигнута договоренность по возмещению АО "ЗИКСТО" 10,2 млрд. тенге, при этом будут выплачены вознаграждения, выплаченные за недопоставленные фитинговые платформы 2565 тыс. тенге. Наблюдается снижение риска в связи с подписанием медиативного соглашения, в соответствии с которой АО "ЗИКСТО" обязуется произвести возврат 10,2 млрд. тенге за недопоставленные фитинговые платформы с марта 2021 г. по декабрь 2022 г. Исполнение обязательств по возврату средств в рамках медиативного соглашения исполняется АО «ЗИКСТО» в срок:  АО "KTZ Express" - 289 млн. тенге (февраль); АО «ФРП» - 80 млн. тенге (март), 152 млн. тенге (апрель), 152 млн. тенге (май), 917 млн. тенге (июнь), 152 млн. тенге (июль), 152 млн. тенге (август), 977,5 млн. тенге (сентябрь) .), 152 млн.тенге (октябрь 2021г.), 152 млн.тенге (ноябрь 2021г.), 977,5 млн.тенге (декабрь 2021г.), 144 млн.тенге (январь 2022г.) , 144 млн.тенге (февраль 2022г.), 1 252,2 млн. тенге (март 2022г.), 144 млн.тенге (апрель 2022г.).
По состоянию на конец сентября банковские счета АО «ЗИКСТО» были заблокированы ввиду наличия уголовных расследований. Срок возобновления оплаты обязательств по медиативному соглашению не определен.
Договор от №285/180/1-КП от 30.11.2020г. - Риск снижается в связи с проведением корпоративных процедур, которые предусматривают согласование и обоснование увеличения цены за единицу, на вагоны в количестве 383 ед. из числа не поставленных вагонов в количестве 766 ед., в установленном порядке.
Дорожная карта по изменению параметров инвестиционного проекта «Приобретение 2000ед. фитинговых платформ» утверждена Генеральным директором АО «KTZ Express»  08.08.2022 года.
Договором предусмотрена поставка 2000 ед. вагонов.
Принято  от АО «ЗИКСТО» - 1 234 ед. вагонов.
Недопоставка по итогам 3 кв. 2022 года – 766 ед. вагонов на общую сумму 17 676 982 000 тенге без НДС.
При заключении дополнительного соглашения к договору общая стоимость вагонов увеличится на 4 824 465 628 тенге без НДС.
Итого  принято  1 234 фитинговых платформ </v>
      </c>
      <c r="AE139" t="str">
        <f>IF('INHERENT MAP'!$B$5=2021,'РЕЕСТР РИСКОВ_2023'!AK167,IF('INHERENT MAP'!$B$5=2022,#REF!,IF('INHERENT MAP'!$B$5=2023,#REF!,IF('INHERENT MAP'!$B$5=2024,#REF!,#REF!))))</f>
        <v>Департамент корпоративного развития и управления активами</v>
      </c>
      <c r="AF139">
        <f>IF('INHERENT MAP'!$B$5=2021,'РЕЕСТР РИСКОВ_2023'!AL167,IF('INHERENT MAP'!$B$5=2022,#REF!,IF('INHERENT MAP'!$B$5=2023,#REF!,IF('INHERENT MAP'!$B$5=2024,#REF!,#REF!))))</f>
        <v>2021</v>
      </c>
      <c r="AG139" t="str">
        <f>IF('INHERENT MAP'!$B$5=2021,'РЕЕСТР РИСКОВ_2023'!AM167,IF('INHERENT MAP'!$B$5=2022,#REF!,IF('INHERENT MAP'!$B$5=2023,#REF!,IF('INHERENT MAP'!$B$5=2024,#REF!,#REF!))))</f>
        <v>средняя</v>
      </c>
      <c r="AH139">
        <f>IF('INHERENT MAP'!$B$5=2021,'РЕЕСТР РИСКОВ_2023'!AN167,IF('INHERENT MAP'!$B$5=2022,#REF!,IF('INHERENT MAP'!$B$5=2023,#REF!,IF('INHERENT MAP'!$B$5=2024,#REF!,#REF!))))</f>
        <v>0.2</v>
      </c>
      <c r="AI139">
        <f>IF('INHERENT MAP'!$B$5=2021,'РЕЕСТР РИСКОВ_2023'!AO167,IF('INHERENT MAP'!$B$5=2022,#REF!,IF('INHERENT MAP'!$B$5=2023,#REF!,IF('INHERENT MAP'!$B$5=2024,#REF!,#REF!))))</f>
        <v>-17105.739000000001</v>
      </c>
      <c r="AJ139">
        <f>IF('INHERENT MAP'!$B$5=2021,'РЕЕСТР РИСКОВ_2023'!AP167,IF('INHERENT MAP'!$B$5=2022,#REF!,IF('INHERENT MAP'!$B$5=2023,#REF!,IF('INHERENT MAP'!$B$5=2024,#REF!,#REF!))))</f>
        <v>-3421.1478000000006</v>
      </c>
      <c r="AK139">
        <f>IF('РЕЕСТР РИСКОВ_2023'!AQ167="",AK138,'РЕЕСТР РИСКОВ_2023'!AQ167)</f>
        <v>-6842.2956000000013</v>
      </c>
      <c r="AL139">
        <f>IF('РЕЕСТР РИСКОВ_2023'!AR167="",AL138,'РЕЕСТР РИСКОВ_2023'!AR167)</f>
        <v>0.2</v>
      </c>
      <c r="AM139">
        <f>IF('РЕЕСТР РИСКОВ_2023'!AS167="",AM138,'РЕЕСТР РИСКОВ_2023'!AS167)</f>
        <v>-3421.1478000000006</v>
      </c>
      <c r="AN139">
        <f>IF('РЕЕСТР РИСКОВ_2023'!AT167="",AN138,'РЕЕСТР РИСКОВ_2023'!AT167)</f>
        <v>-6842.2956000000013</v>
      </c>
      <c r="AO139" t="e">
        <f>IF('РЕЕСТР РИСКОВ_2023'!AU167="",AO138,'РЕЕСТР РИСКОВ_2023'!AU167)</f>
        <v>#REF!</v>
      </c>
    </row>
    <row r="140" spans="2:41">
      <c r="B140" t="str">
        <f>IF('INHERENT MAP'!$B$5=2021,IF('РЕЕСТР РИСКОВ_2023'!F168="",B139,'РЕЕСТР РИСКОВ_2023'!F168),IF('INHERENT MAP'!$B$5=2022,IF(#REF!="",B139,#REF!),IF('INHERENT MAP'!$B$5=2023,IF(#REF!="",B139,#REF!),IF('INHERENT MAP'!$B$5=2024,IF(#REF!="",B139,#REF!),IF('РЕЕСТР РИСКОВ_2023'!F168="",B139,'РЕЕСТР РИСКОВ_2023'!F168)))))</f>
        <v>КОНТРАКТНЫЙ РИСК</v>
      </c>
      <c r="C140" t="str">
        <f>IF('INHERENT MAP'!$B$5=2021,IF('РЕЕСТР РИСКОВ_2023'!G168="",C139,'РЕЕСТР РИСКОВ_2023'!G168),IF('INHERENT MAP'!$B$5=2022,IF(#REF!="",C139,#REF!),IF('INHERENT MAP'!$B$5=2023,IF(#REF!="",C139,#REF!),IF('INHERENT MAP'!$B$5=2024,IF(#REF!="",C139,#REF!),IF('РЕЕСТР РИСКОВ_2023'!G168="",C139,'РЕЕСТР РИСКОВ_2023'!G168)))))</f>
        <v>- ХХХ млн. тенге</v>
      </c>
      <c r="D140" t="str">
        <f>IF('INHERENT MAP'!$B$5=2021,IF('РЕЕСТР РИСКОВ_2023'!H168="",D139,'РЕЕСТР РИСКОВ_2023'!H168),IF('INHERENT MAP'!$B$5=2022,IF(#REF!="",D139,#REF!),IF('INHERENT MAP'!$B$5=2023,IF(#REF!="",D139,#REF!),IF('INHERENT MAP'!$B$5=2024,IF(#REF!="",D139,#REF!),IF('РЕЕСТР РИСКОВ_2023'!H168="",D139,'РЕЕСТР РИСКОВ_2023'!H168)))))</f>
        <v>CCR-5</v>
      </c>
      <c r="E140" t="str">
        <f>IF('INHERENT MAP'!$B$5=2021,IF('РЕЕСТР РИСКОВ_2023'!I168="",E139,'РЕЕСТР РИСКОВ_2023'!I168),IF('INHERENT MAP'!$B$5=2022,IF(#REF!="",E139,#REF!),IF('INHERENT MAP'!$B$5=2023,IF(#REF!="",E139,#REF!),IF('INHERENT MAP'!$B$5=2024,IF(#REF!="",E139,#REF!),IF('РЕЕСТР РИСКОВ_2023'!I168="",E139,'РЕЕСТР РИСКОВ_2023'!I168)))))</f>
        <v>ЦЗД</v>
      </c>
      <c r="F140" t="str">
        <f>IF('INHERENT MAP'!$B$5=2021,IF('РЕЕСТР РИСКОВ_2023'!J168="",F139,'РЕЕСТР РИСКОВ_2023'!J168),IF('INHERENT MAP'!$B$5=2022,IF(#REF!="",F139,#REF!),IF('INHERENT MAP'!$B$5=2023,IF(#REF!="",F139,#REF!),IF('INHERENT MAP'!$B$5=2024,IF(#REF!="",F139,#REF!),IF('РЕЕСТР РИСКОВ_2023'!J168="",F139,'РЕЕСТР РИСКОВ_2023'!J168)))))</f>
        <v>ТОО "КТЖ-Грузовые перевозки"</v>
      </c>
      <c r="G140" t="str">
        <f>IF('INHERENT MAP'!$B$5=2021,IF('РЕЕСТР РИСКОВ_2023'!K168="",G139,'РЕЕСТР РИСКОВ_2023'!K168),IF('INHERENT MAP'!$B$5=2022,IF(#REF!="",G139,#REF!),IF('INHERENT MAP'!$B$5=2023,IF(#REF!="",G139,#REF!),IF('INHERENT MAP'!$B$5=2024,IF(#REF!="",G139,#REF!),IF('РЕЕСТР РИСКОВ_2023'!K168="",G139,'РЕЕСТР РИСКОВ_2023'!K168)))))</f>
        <v>Неисполнение договора поставки электровозов и комплектующих поставщиком ТОО "ЭКЗ", субпоставщиками "ALSTOM", ЗАО "ТМХ"</v>
      </c>
      <c r="H140">
        <f>IF('INHERENT MAP'!$B$5=2021,'РЕЕСТР РИСКОВ_2023'!L168,IF('INHERENT MAP'!$B$5=2022,#REF!,IF('INHERENT MAP'!$B$5=2023,#REF!,IF('INHERENT MAP'!$B$5=2024,#REF!,#REF!))))</f>
        <v>0</v>
      </c>
      <c r="I140">
        <f>IF('INHERENT MAP'!$B$5=2021,'РЕЕСТР РИСКОВ_2023'!M168,IF('INHERENT MAP'!$B$5=2022,#REF!,IF('INHERENT MAP'!$B$5=2023,#REF!,IF('INHERENT MAP'!$B$5=2024,#REF!,#REF!))))</f>
        <v>0</v>
      </c>
      <c r="J140">
        <f>IF('INHERENT MAP'!$B$5=2021,'РЕЕСТР РИСКОВ_2023'!N168,IF('INHERENT MAP'!$B$5=2022,#REF!,IF('INHERENT MAP'!$B$5=2023,#REF!,IF('INHERENT MAP'!$B$5=2024,#REF!,#REF!))))</f>
        <v>0</v>
      </c>
      <c r="K140">
        <f>IF('INHERENT MAP'!$B$5=2021,'РЕЕСТР РИСКОВ_2023'!O168,IF('INHERENT MAP'!$B$5=2022,#REF!,IF('INHERENT MAP'!$B$5=2023,#REF!,IF('INHERENT MAP'!$B$5=2024,#REF!,#REF!))))</f>
        <v>0</v>
      </c>
      <c r="L140">
        <f>IF('INHERENT MAP'!$B$5=2021,'РЕЕСТР РИСКОВ_2023'!P168,IF('INHERENT MAP'!$B$5=2022,#REF!,IF('INHERENT MAP'!$B$5=2023,#REF!,IF('INHERENT MAP'!$B$5=2024,#REF!,#REF!))))</f>
        <v>0</v>
      </c>
      <c r="M140" t="str">
        <f>IF('INHERENT MAP'!$B$5=2021,IF('РЕЕСТР РИСКОВ_2023'!Q168="",M139,'РЕЕСТР РИСКОВ_2023'!Q168),IF('INHERENT MAP'!$B$5=2022,IF(#REF!="",M139,#REF!),IF('INHERENT MAP'!$B$5=2023,IF(#REF!="",M139,#REF!),IF('INHERENT MAP'!$B$5=2024,IF(#REF!="",M139,#REF!),IF('РЕЕСТР РИСКОВ_2023'!Q168="",M139,'РЕЕСТР РИСКОВ_2023'!Q168)))))</f>
        <v>Ненадлежащее исполнение подрядчиком договорных обязательств.
Повышение стоимости электровозов и комплектующих.
Убыточная деятельность подрядчика, субподрядчиков.
Изменение курса евро по отношению к национальной валюте - тенге. (Девальвация тенге).
Дефицит инвестиционных возможностей.
Влияние пандемии</v>
      </c>
      <c r="N140" t="str">
        <f>IF('INHERENT MAP'!$B$5=2021,IF('РЕЕСТР РИСКОВ_2023'!R168="",N139,'РЕЕСТР РИСКОВ_2023'!R168),IF('INHERENT MAP'!$B$5=2022,IF(#REF!="",N139,#REF!),IF('INHERENT MAP'!$B$5=2023,IF(#REF!="",N139,#REF!),IF('INHERENT MAP'!$B$5=2024,IF(#REF!="",N139,#REF!),IF('РЕЕСТР РИСКОВ_2023'!R168="",N139,'РЕЕСТР РИСКОВ_2023'!R168)))))</f>
        <v>Несвоевременная сборка электровозов.
Несвоевременный заказ комплектующих.
Несвоевременная изготовление/доставка комплектующих.
Закрытие границ.</v>
      </c>
      <c r="O140" t="str">
        <f>'РЕЕСТР РИСКОВ_2023'!T168</f>
        <v>данные деп. Технической политики и деп. фин.блока, данные из годовых отчетов 2017-2019 гг</v>
      </c>
      <c r="P140" t="e">
        <f>IF('РЕЕСТР РИСКОВ_2023'!U168="",P139,'РЕЕСТР РИСКОВ_2023'!U168)</f>
        <v>#REF!</v>
      </c>
      <c r="Q140" t="str">
        <f>IF('РЕЕСТР РИСКОВ_2023'!V168="",Q139,'РЕЕСТР РИСКОВ_2023'!V168)</f>
        <v>Угрозы</v>
      </c>
      <c r="R140" t="str">
        <f>IF('РЕЕСТР РИСКОВ_2023'!W168="",R139,'РЕЕСТР РИСКОВ_2023'!W168)</f>
        <v>Процент неосвоения инвестиционных проектов к плану , %</v>
      </c>
      <c r="S140">
        <f>'РЕЕСТР РИСКОВ_2023'!X168</f>
        <v>0</v>
      </c>
      <c r="T140" s="94">
        <f>IF('INHERENT MAP'!$B$5=2021,'РЕЕСТР РИСКОВ_2023'!Y168,IF('INHERENT MAP'!$B$5=2022,#REF!,IF('INHERENT MAP'!$B$5=2023,#REF!,IF('INHERENT MAP'!$B$5=2024,#REF!,#REF!))))</f>
        <v>0.2</v>
      </c>
      <c r="U140">
        <f>IF('INHERENT MAP'!$B$5=2021,'РЕЕСТР РИСКОВ_2023'!Z168,IF('INHERENT MAP'!$B$5=2022,#REF!,IF('INHERENT MAP'!$B$5=2023,#REF!,IF('INHERENT MAP'!$B$5=2024,#REF!,#REF!))))</f>
        <v>-231750</v>
      </c>
      <c r="V140">
        <f>IF('INHERENT MAP'!$B$5=2021,'РЕЕСТР РИСКОВ_2023'!AA168,IF('INHERENT MAP'!$B$5=2022,#REF!,IF('INHERENT MAP'!$B$5=2023,#REF!,IF('INHERENT MAP'!$B$5=2024,#REF!,#REF!))))</f>
        <v>-46350</v>
      </c>
      <c r="W140">
        <f>IF('INHERENT MAP'!$B$5=2021,'РЕЕСТР РИСКОВ_2023'!AB168,IF('INHERENT MAP'!$B$5=2022,#REF!,IF('INHERENT MAP'!$B$5=2023,#REF!,IF('INHERENT MAP'!$B$5=2024,#REF!,#REF!))))</f>
        <v>0</v>
      </c>
      <c r="X140" s="94">
        <f>IF('INHERENT MAP'!$B$5=2021,'РЕЕСТР РИСКОВ_2023'!AC168,IF('INHERENT MAP'!$B$5=2022,#REF!,IF('INHERENT MAP'!$B$5=2023,#REF!,IF('INHERENT MAP'!$B$5=2024,#REF!,#REF!))))</f>
        <v>0.2</v>
      </c>
      <c r="Y140">
        <f>IF('INHERENT MAP'!$B$5=2021,'РЕЕСТР РИСКОВ_2023'!AD168,IF('INHERENT MAP'!$B$5=2022,#REF!,IF('INHERENT MAP'!$B$5=2023,#REF!,IF('INHERENT MAP'!$B$5=2024,#REF!,#REF!))))</f>
        <v>-231750</v>
      </c>
      <c r="Z140">
        <f>IF('INHERENT MAP'!$B$5=2021,'РЕЕСТР РИСКОВ_2023'!AE168,IF('INHERENT MAP'!$B$5=2022,#REF!,IF('INHERENT MAP'!$B$5=2023,#REF!,IF('INHERENT MAP'!$B$5=2024,#REF!,#REF!))))</f>
        <v>-46350</v>
      </c>
      <c r="AA140">
        <f>IF('INHERENT MAP'!$B$5=2021,'РЕЕСТР РИСКОВ_2023'!AF168,IF('INHERENT MAP'!$B$5=2022,#REF!,IF('INHERENT MAP'!$B$5=2023,#REF!,IF('INHERENT MAP'!$B$5=2024,#REF!,#REF!))))</f>
        <v>0</v>
      </c>
      <c r="AB140">
        <f>IF('INHERENT MAP'!$B$5=2021,'РЕЕСТР РИСКОВ_2023'!AG168,IF('INHERENT MAP'!$B$5=2022,#REF!,IF('INHERENT MAP'!$B$5=2023,#REF!,IF('INHERENT MAP'!$B$5=2024,#REF!,#REF!))))</f>
        <v>0</v>
      </c>
      <c r="AC140">
        <f>IF('INHERENT MAP'!$B$5=2021,'РЕЕСТР РИСКОВ_2023'!AH168,IF('INHERENT MAP'!$B$5=2022,#REF!,IF('INHERENT MAP'!$B$5=2023,#REF!,IF('INHERENT MAP'!$B$5=2024,#REF!,#REF!))))</f>
        <v>0</v>
      </c>
      <c r="AD140" t="str">
        <f>IF('INHERENT MAP'!$B$5=2021,'РЕЕСТР РИСКОВ_2023'!AI168,IF('INHERENT MAP'!$B$5=2022,#REF!,IF('INHERENT MAP'!$B$5=2023,#REF!,IF('INHERENT MAP'!$B$5=2024,#REF!,#REF!))))</f>
        <v xml:space="preserve">03 августа 2021 года подписан протокол урегулирования спорных вопросов.  
14 октября 2021 года подписано дополнительное соглашение №23 к Долгосрочному договору и 27 октября 2021 года произведена оплата авансового платежа за партию 4.
Вышеуказанным дополнительным соглашением Сторонами были достигнуты следующие договоренности:
- поставка модифицированная модель грузовых электровозов;
- снижение обязательств по off-take контракту на 140 млрд.тенге;
- снижение стоимости модифицированных электровозов по партии 6 на 10%;
- снижение стоимости сервисного обслуживания новых электровозов на 10%;
- предоставление со стороны ЭКЗ (Alstom) для КТЖ «купон» на 6 млрд. тенге для дополнительных работ, оказываемых Alstom;
- снижение размера первоначального авансового платежа с 5% до 2%;
- за нарушение сроков поставки электровозов 3 партии удержана пеня в размере 1,57 млрд тенге. ЭКЗ (Alstom) соглашается с удержанным ранее штрафом за просрочку поставки локомотивов в размере 1,57 млрд. тенге;
- снижение объема закупаемых локомотивов с 421 до 369 единиц (исключена поставка локомотивов по партии 5 в количестве 50 едини и по партии 6 - 2 единицы).
         </v>
      </c>
      <c r="AE140" t="str">
        <f>IF('INHERENT MAP'!$B$5=2021,'РЕЕСТР РИСКОВ_2023'!AK168,IF('INHERENT MAP'!$B$5=2022,#REF!,IF('INHERENT MAP'!$B$5=2023,#REF!,IF('INHERENT MAP'!$B$5=2024,#REF!,#REF!))))</f>
        <v>АО "КТЖ-Грузовые перевозки"</v>
      </c>
      <c r="AF140">
        <f>IF('INHERENT MAP'!$B$5=2021,'РЕЕСТР РИСКОВ_2023'!AL168,IF('INHERENT MAP'!$B$5=2022,#REF!,IF('INHERENT MAP'!$B$5=2023,#REF!,IF('INHERENT MAP'!$B$5=2024,#REF!,#REF!))))</f>
        <v>0</v>
      </c>
      <c r="AG140" t="str">
        <f>IF('INHERENT MAP'!$B$5=2021,'РЕЕСТР РИСКОВ_2023'!AM168,IF('INHERENT MAP'!$B$5=2022,#REF!,IF('INHERENT MAP'!$B$5=2023,#REF!,IF('INHERENT MAP'!$B$5=2024,#REF!,#REF!))))</f>
        <v>низкая</v>
      </c>
      <c r="AH140">
        <f>IF('INHERENT MAP'!$B$5=2021,'РЕЕСТР РИСКОВ_2023'!AN168,IF('INHERENT MAP'!$B$5=2022,#REF!,IF('INHERENT MAP'!$B$5=2023,#REF!,IF('INHERENT MAP'!$B$5=2024,#REF!,#REF!))))</f>
        <v>0.2</v>
      </c>
      <c r="AI140">
        <f>IF('INHERENT MAP'!$B$5=2021,'РЕЕСТР РИСКОВ_2023'!AO168,IF('INHERENT MAP'!$B$5=2022,#REF!,IF('INHERENT MAP'!$B$5=2023,#REF!,IF('INHERENT MAP'!$B$5=2024,#REF!,#REF!))))</f>
        <v>-231750</v>
      </c>
      <c r="AJ140">
        <f>IF('INHERENT MAP'!$B$5=2021,'РЕЕСТР РИСКОВ_2023'!AP168,IF('INHERENT MAP'!$B$5=2022,#REF!,IF('INHERENT MAP'!$B$5=2023,#REF!,IF('INHERENT MAP'!$B$5=2024,#REF!,#REF!))))</f>
        <v>-46350</v>
      </c>
      <c r="AK140">
        <f>IF('РЕЕСТР РИСКОВ_2023'!AQ168="",AK139,'РЕЕСТР РИСКОВ_2023'!AQ168)</f>
        <v>-46350</v>
      </c>
      <c r="AL140">
        <f>IF('РЕЕСТР РИСКОВ_2023'!AR168="",AL139,'РЕЕСТР РИСКОВ_2023'!AR168)</f>
        <v>0.2</v>
      </c>
      <c r="AM140">
        <f>IF('РЕЕСТР РИСКОВ_2023'!AS168="",AM139,'РЕЕСТР РИСКОВ_2023'!AS168)</f>
        <v>-46350</v>
      </c>
      <c r="AN140">
        <f>IF('РЕЕСТР РИСКОВ_2023'!AT168="",AN139,'РЕЕСТР РИСКОВ_2023'!AT168)</f>
        <v>-46350</v>
      </c>
      <c r="AO140" t="e">
        <f>IF('РЕЕСТР РИСКОВ_2023'!AU168="",AO139,'РЕЕСТР РИСКОВ_2023'!AU168)</f>
        <v>#REF!</v>
      </c>
    </row>
    <row r="141" spans="2:41">
      <c r="B141" t="str">
        <f>IF('INHERENT MAP'!$B$5=2021,IF('РЕЕСТР РИСКОВ_2023'!F169="",B140,'РЕЕСТР РИСКОВ_2023'!F169),IF('INHERENT MAP'!$B$5=2022,IF(#REF!="",B140,#REF!),IF('INHERENT MAP'!$B$5=2023,IF(#REF!="",B140,#REF!),IF('INHERENT MAP'!$B$5=2024,IF(#REF!="",B140,#REF!),IF('РЕЕСТР РИСКОВ_2023'!F169="",B140,'РЕЕСТР РИСКОВ_2023'!F169)))))</f>
        <v>КОНТРАКТНЫЙ РИСК</v>
      </c>
      <c r="C141" t="str">
        <f>IF('INHERENT MAP'!$B$5=2021,IF('РЕЕСТР РИСКОВ_2023'!G169="",C140,'РЕЕСТР РИСКОВ_2023'!G169),IF('INHERENT MAP'!$B$5=2022,IF(#REF!="",C140,#REF!),IF('INHERENT MAP'!$B$5=2023,IF(#REF!="",C140,#REF!),IF('INHERENT MAP'!$B$5=2024,IF(#REF!="",C140,#REF!),IF('РЕЕСТР РИСКОВ_2023'!G169="",C140,'РЕЕСТР РИСКОВ_2023'!G169)))))</f>
        <v>- ХХХ млн. тенге</v>
      </c>
      <c r="D141" t="str">
        <f>IF('INHERENT MAP'!$B$5=2021,IF('РЕЕСТР РИСКОВ_2023'!H169="",D140,'РЕЕСТР РИСКОВ_2023'!H169),IF('INHERENT MAP'!$B$5=2022,IF(#REF!="",D140,#REF!),IF('INHERENT MAP'!$B$5=2023,IF(#REF!="",D140,#REF!),IF('INHERENT MAP'!$B$5=2024,IF(#REF!="",D140,#REF!),IF('РЕЕСТР РИСКОВ_2023'!H169="",D140,'РЕЕСТР РИСКОВ_2023'!H169)))))</f>
        <v>CCR-6</v>
      </c>
      <c r="E141" t="str">
        <f>IF('INHERENT MAP'!$B$5=2021,IF('РЕЕСТР РИСКОВ_2023'!I169="",E140,'РЕЕСТР РИСКОВ_2023'!I169),IF('INHERENT MAP'!$B$5=2022,IF(#REF!="",E140,#REF!),IF('INHERENT MAP'!$B$5=2023,IF(#REF!="",E140,#REF!),IF('INHERENT MAP'!$B$5=2024,IF(#REF!="",E140,#REF!),IF('РЕЕСТР РИСКОВ_2023'!I169="",E140,'РЕЕСТР РИСКОВ_2023'!I169)))))</f>
        <v>ЦЗД</v>
      </c>
      <c r="F141" t="str">
        <f>IF('INHERENT MAP'!$B$5=2021,IF('РЕЕСТР РИСКОВ_2023'!J169="",F140,'РЕЕСТР РИСКОВ_2023'!J169),IF('INHERENT MAP'!$B$5=2022,IF(#REF!="",F140,#REF!),IF('INHERENT MAP'!$B$5=2023,IF(#REF!="",F140,#REF!),IF('INHERENT MAP'!$B$5=2024,IF(#REF!="",F140,#REF!),IF('РЕЕСТР РИСКОВ_2023'!J169="",F140,'РЕЕСТР РИСКОВ_2023'!J169)))))</f>
        <v>ТОО "КТЖ-Грузовые перевозки"</v>
      </c>
      <c r="G141" t="str">
        <f>IF('INHERENT MAP'!$B$5=2021,IF('РЕЕСТР РИСКОВ_2023'!K169="",G140,'РЕЕСТР РИСКОВ_2023'!K169),IF('INHERENT MAP'!$B$5=2022,IF(#REF!="",G140,#REF!),IF('INHERENT MAP'!$B$5=2023,IF(#REF!="",G140,#REF!),IF('INHERENT MAP'!$B$5=2024,IF(#REF!="",G140,#REF!),IF('РЕЕСТР РИСКОВ_2023'!K169="",G140,'РЕЕСТР РИСКОВ_2023'!K169)))))</f>
        <v>Ненадлежащее исполнение договорных обязательств  по поставке тепловозов ТОО "Транспортейшн Глоубэл Эл-Эл-Си"</v>
      </c>
      <c r="H141">
        <f>IF('INHERENT MAP'!$B$5=2021,'РЕЕСТР РИСКОВ_2023'!L169,IF('INHERENT MAP'!$B$5=2022,#REF!,IF('INHERENT MAP'!$B$5=2023,#REF!,IF('INHERENT MAP'!$B$5=2024,#REF!,#REF!))))</f>
        <v>0</v>
      </c>
      <c r="I141">
        <f>IF('INHERENT MAP'!$B$5=2021,'РЕЕСТР РИСКОВ_2023'!M169,IF('INHERENT MAP'!$B$5=2022,#REF!,IF('INHERENT MAP'!$B$5=2023,#REF!,IF('INHERENT MAP'!$B$5=2024,#REF!,#REF!))))</f>
        <v>0</v>
      </c>
      <c r="J141">
        <f>IF('INHERENT MAP'!$B$5=2021,'РЕЕСТР РИСКОВ_2023'!N169,IF('INHERENT MAP'!$B$5=2022,#REF!,IF('INHERENT MAP'!$B$5=2023,#REF!,IF('INHERENT MAP'!$B$5=2024,#REF!,#REF!))))</f>
        <v>0</v>
      </c>
      <c r="K141">
        <f>IF('INHERENT MAP'!$B$5=2021,'РЕЕСТР РИСКОВ_2023'!O169,IF('INHERENT MAP'!$B$5=2022,#REF!,IF('INHERENT MAP'!$B$5=2023,#REF!,IF('INHERENT MAP'!$B$5=2024,#REF!,#REF!))))</f>
        <v>0</v>
      </c>
      <c r="L141">
        <f>IF('INHERENT MAP'!$B$5=2021,'РЕЕСТР РИСКОВ_2023'!P169,IF('INHERENT MAP'!$B$5=2022,#REF!,IF('INHERENT MAP'!$B$5=2023,#REF!,IF('INHERENT MAP'!$B$5=2024,#REF!,#REF!))))</f>
        <v>0</v>
      </c>
      <c r="M141" t="str">
        <f>IF('INHERENT MAP'!$B$5=2021,IF('РЕЕСТР РИСКОВ_2023'!Q169="",M140,'РЕЕСТР РИСКОВ_2023'!Q169),IF('INHERENT MAP'!$B$5=2022,IF(#REF!="",M140,#REF!),IF('INHERENT MAP'!$B$5=2023,IF(#REF!="",M140,#REF!),IF('INHERENT MAP'!$B$5=2024,IF(#REF!="",M140,#REF!),IF('РЕЕСТР РИСКОВ_2023'!Q169="",M140,'РЕЕСТР РИСКОВ_2023'!Q169)))))</f>
        <v>Ненадлежащее исполнение подрядчиком договорных обязательств.
Повышение стоимости электровозов и комплектующих.
Убыточная деятельность подрядчика, субподрядчиков.
Изменение курса евро по отношению к национальной валюте - тенге. (Девальвация тенге).
Дефицит инвестиционных возможностей.
Влияние пандемии</v>
      </c>
      <c r="N141" t="str">
        <f>IF('INHERENT MAP'!$B$5=2021,IF('РЕЕСТР РИСКОВ_2023'!R169="",N140,'РЕЕСТР РИСКОВ_2023'!R169),IF('INHERENT MAP'!$B$5=2022,IF(#REF!="",N140,#REF!),IF('INHERENT MAP'!$B$5=2023,IF(#REF!="",N140,#REF!),IF('INHERENT MAP'!$B$5=2024,IF(#REF!="",N140,#REF!),IF('РЕЕСТР РИСКОВ_2023'!R169="",N140,'РЕЕСТР РИСКОВ_2023'!R169)))))</f>
        <v>Несвоевременная сборка электровозов.
Несвоевременный заказ комплектующих.
Несвоевременная изготовление/доставка комплектующих.
Закрытие границ.</v>
      </c>
      <c r="O141" t="str">
        <f>'РЕЕСТР РИСКОВ_2023'!T169</f>
        <v>данные деп. Технической политики и деп. фин.блока, данные из годовых отчетов 2017-2019 гг</v>
      </c>
      <c r="P141" t="e">
        <f>IF('РЕЕСТР РИСКОВ_2023'!U169="",P140,'РЕЕСТР РИСКОВ_2023'!U169)</f>
        <v>#REF!</v>
      </c>
      <c r="Q141" t="str">
        <f>IF('РЕЕСТР РИСКОВ_2023'!V169="",Q140,'РЕЕСТР РИСКОВ_2023'!V169)</f>
        <v>Угрозы</v>
      </c>
      <c r="R141" t="str">
        <f>IF('РЕЕСТР РИСКОВ_2023'!W169="",R140,'РЕЕСТР РИСКОВ_2023'!W169)</f>
        <v>Процент неосвоения инвестиционных проектов к плану , %</v>
      </c>
      <c r="S141">
        <f>'РЕЕСТР РИСКОВ_2023'!X169</f>
        <v>0</v>
      </c>
      <c r="T141" s="94">
        <f>IF('INHERENT MAP'!$B$5=2021,'РЕЕСТР РИСКОВ_2023'!Y169,IF('INHERENT MAP'!$B$5=2022,#REF!,IF('INHERENT MAP'!$B$5=2023,#REF!,IF('INHERENT MAP'!$B$5=2024,#REF!,#REF!))))</f>
        <v>0.05</v>
      </c>
      <c r="U141">
        <f>IF('INHERENT MAP'!$B$5=2021,'РЕЕСТР РИСКОВ_2023'!Z169,IF('INHERENT MAP'!$B$5=2022,#REF!,IF('INHERENT MAP'!$B$5=2023,#REF!,IF('INHERENT MAP'!$B$5=2024,#REF!,#REF!))))</f>
        <v>0</v>
      </c>
      <c r="V141">
        <f>IF('INHERENT MAP'!$B$5=2021,'РЕЕСТР РИСКОВ_2023'!AA169,IF('INHERENT MAP'!$B$5=2022,#REF!,IF('INHERENT MAP'!$B$5=2023,#REF!,IF('INHERENT MAP'!$B$5=2024,#REF!,#REF!))))</f>
        <v>0</v>
      </c>
      <c r="W141">
        <f>IF('INHERENT MAP'!$B$5=2021,'РЕЕСТР РИСКОВ_2023'!AB169,IF('INHERENT MAP'!$B$5=2022,#REF!,IF('INHERENT MAP'!$B$5=2023,#REF!,IF('INHERENT MAP'!$B$5=2024,#REF!,#REF!))))</f>
        <v>0</v>
      </c>
      <c r="X141" s="94">
        <f>IF('INHERENT MAP'!$B$5=2021,'РЕЕСТР РИСКОВ_2023'!AC169,IF('INHERENT MAP'!$B$5=2022,#REF!,IF('INHERENT MAP'!$B$5=2023,#REF!,IF('INHERENT MAP'!$B$5=2024,#REF!,#REF!))))</f>
        <v>0.05</v>
      </c>
      <c r="Y141">
        <f>IF('INHERENT MAP'!$B$5=2021,'РЕЕСТР РИСКОВ_2023'!AD169,IF('INHERENT MAP'!$B$5=2022,#REF!,IF('INHERENT MAP'!$B$5=2023,#REF!,IF('INHERENT MAP'!$B$5=2024,#REF!,#REF!))))</f>
        <v>0</v>
      </c>
      <c r="Z141">
        <f>IF('INHERENT MAP'!$B$5=2021,'РЕЕСТР РИСКОВ_2023'!AE169,IF('INHERENT MAP'!$B$5=2022,#REF!,IF('INHERENT MAP'!$B$5=2023,#REF!,IF('INHERENT MAP'!$B$5=2024,#REF!,#REF!))))</f>
        <v>0</v>
      </c>
      <c r="AA141">
        <f>IF('INHERENT MAP'!$B$5=2021,'РЕЕСТР РИСКОВ_2023'!AF169,IF('INHERENT MAP'!$B$5=2022,#REF!,IF('INHERENT MAP'!$B$5=2023,#REF!,IF('INHERENT MAP'!$B$5=2024,#REF!,#REF!))))</f>
        <v>0</v>
      </c>
      <c r="AB141">
        <f>IF('INHERENT MAP'!$B$5=2021,'РЕЕСТР РИСКОВ_2023'!AG169,IF('INHERENT MAP'!$B$5=2022,#REF!,IF('INHERENT MAP'!$B$5=2023,#REF!,IF('INHERENT MAP'!$B$5=2024,#REF!,#REF!))))</f>
        <v>0</v>
      </c>
      <c r="AC141">
        <f>IF('INHERENT MAP'!$B$5=2021,'РЕЕСТР РИСКОВ_2023'!AH169,IF('INHERENT MAP'!$B$5=2022,#REF!,IF('INHERENT MAP'!$B$5=2023,#REF!,IF('INHERENT MAP'!$B$5=2024,#REF!,#REF!))))</f>
        <v>0</v>
      </c>
      <c r="AD141" t="str">
        <f>IF('INHERENT MAP'!$B$5=2021,'РЕЕСТР РИСКОВ_2023'!AI169,IF('INHERENT MAP'!$B$5=2022,#REF!,IF('INHERENT MAP'!$B$5=2023,#REF!,IF('INHERENT MAP'!$B$5=2024,#REF!,#REF!))))</f>
        <v xml:space="preserve">Мониторинг исполнения договорных обязательств и анализ деятельности поставщиков, контроль хода сборки на территории завода; своевременное уведомление поставщика/подрядчика о невыполненных обязательствах. За несвоевременную поставку электровозов предъявление пени за каждый день просрочки; своевременная выплата авансов; </v>
      </c>
      <c r="AE141" t="str">
        <f>IF('INHERENT MAP'!$B$5=2021,'РЕЕСТР РИСКОВ_2023'!AK169,IF('INHERENT MAP'!$B$5=2022,#REF!,IF('INHERENT MAP'!$B$5=2023,#REF!,IF('INHERENT MAP'!$B$5=2024,#REF!,#REF!))))</f>
        <v>АО "КТЖ-Грузовые перевозки"</v>
      </c>
      <c r="AF141">
        <f>IF('INHERENT MAP'!$B$5=2021,'РЕЕСТР РИСКОВ_2023'!AL169,IF('INHERENT MAP'!$B$5=2022,#REF!,IF('INHERENT MAP'!$B$5=2023,#REF!,IF('INHERENT MAP'!$B$5=2024,#REF!,#REF!))))</f>
        <v>0</v>
      </c>
      <c r="AG141" t="str">
        <f>IF('INHERENT MAP'!$B$5=2021,'РЕЕСТР РИСКОВ_2023'!AM169,IF('INHERENT MAP'!$B$5=2022,#REF!,IF('INHERENT MAP'!$B$5=2023,#REF!,IF('INHERENT MAP'!$B$5=2024,#REF!,#REF!))))</f>
        <v>низкая</v>
      </c>
      <c r="AH141">
        <f>IF('INHERENT MAP'!$B$5=2021,'РЕЕСТР РИСКОВ_2023'!AN169,IF('INHERENT MAP'!$B$5=2022,#REF!,IF('INHERENT MAP'!$B$5=2023,#REF!,IF('INHERENT MAP'!$B$5=2024,#REF!,#REF!))))</f>
        <v>0.05</v>
      </c>
      <c r="AI141">
        <f>IF('INHERENT MAP'!$B$5=2021,'РЕЕСТР РИСКОВ_2023'!AO169,IF('INHERENT MAP'!$B$5=2022,#REF!,IF('INHERENT MAP'!$B$5=2023,#REF!,IF('INHERENT MAP'!$B$5=2024,#REF!,#REF!))))</f>
        <v>0</v>
      </c>
      <c r="AJ141">
        <f>IF('INHERENT MAP'!$B$5=2021,'РЕЕСТР РИСКОВ_2023'!AP169,IF('INHERENT MAP'!$B$5=2022,#REF!,IF('INHERENT MAP'!$B$5=2023,#REF!,IF('INHERENT MAP'!$B$5=2024,#REF!,#REF!))))</f>
        <v>0</v>
      </c>
      <c r="AK141">
        <f>IF('РЕЕСТР РИСКОВ_2023'!AQ169="",AK140,'РЕЕСТР РИСКОВ_2023'!AQ169)</f>
        <v>0</v>
      </c>
      <c r="AL141">
        <f>IF('РЕЕСТР РИСКОВ_2023'!AR169="",AL140,'РЕЕСТР РИСКОВ_2023'!AR169)</f>
        <v>0.05</v>
      </c>
      <c r="AM141">
        <f>IF('РЕЕСТР РИСКОВ_2023'!AS169="",AM140,'РЕЕСТР РИСКОВ_2023'!AS169)</f>
        <v>0</v>
      </c>
      <c r="AN141">
        <f>IF('РЕЕСТР РИСКОВ_2023'!AT169="",AN140,'РЕЕСТР РИСКОВ_2023'!AT169)</f>
        <v>0</v>
      </c>
      <c r="AO141" t="e">
        <f>IF('РЕЕСТР РИСКОВ_2023'!AU169="",AO140,'РЕЕСТР РИСКОВ_2023'!AU169)</f>
        <v>#REF!</v>
      </c>
    </row>
    <row r="142" spans="2:41">
      <c r="B142" t="str">
        <f>IF('INHERENT MAP'!$B$5=2021,IF('РЕЕСТР РИСКОВ_2023'!F170="",B141,'РЕЕСТР РИСКОВ_2023'!F170),IF('INHERENT MAP'!$B$5=2022,IF(#REF!="",B141,#REF!),IF('INHERENT MAP'!$B$5=2023,IF(#REF!="",B141,#REF!),IF('INHERENT MAP'!$B$5=2024,IF(#REF!="",B141,#REF!),IF('РЕЕСТР РИСКОВ_2023'!F170="",B141,'РЕЕСТР РИСКОВ_2023'!F170)))))</f>
        <v>КОНТРАКТНЫЙ РИСК</v>
      </c>
      <c r="C142" t="str">
        <f>IF('INHERENT MAP'!$B$5=2021,IF('РЕЕСТР РИСКОВ_2023'!G170="",C141,'РЕЕСТР РИСКОВ_2023'!G170),IF('INHERENT MAP'!$B$5=2022,IF(#REF!="",C141,#REF!),IF('INHERENT MAP'!$B$5=2023,IF(#REF!="",C141,#REF!),IF('INHERENT MAP'!$B$5=2024,IF(#REF!="",C141,#REF!),IF('РЕЕСТР РИСКОВ_2023'!G170="",C141,'РЕЕСТР РИСКОВ_2023'!G170)))))</f>
        <v>- ХХХ млн. тенге</v>
      </c>
      <c r="D142" t="str">
        <f>IF('INHERENT MAP'!$B$5=2021,IF('РЕЕСТР РИСКОВ_2023'!H170="",D141,'РЕЕСТР РИСКОВ_2023'!H170),IF('INHERENT MAP'!$B$5=2022,IF(#REF!="",D141,#REF!),IF('INHERENT MAP'!$B$5=2023,IF(#REF!="",D141,#REF!),IF('INHERENT MAP'!$B$5=2024,IF(#REF!="",D141,#REF!),IF('РЕЕСТР РИСКОВ_2023'!H170="",D141,'РЕЕСТР РИСКОВ_2023'!H170)))))</f>
        <v>CCR-8</v>
      </c>
      <c r="E142" t="str">
        <f>IF('INHERENT MAP'!$B$5=2021,IF('РЕЕСТР РИСКОВ_2023'!I170="",E141,'РЕЕСТР РИСКОВ_2023'!I170),IF('INHERENT MAP'!$B$5=2022,IF(#REF!="",E141,#REF!),IF('INHERENT MAP'!$B$5=2023,IF(#REF!="",E141,#REF!),IF('INHERENT MAP'!$B$5=2024,IF(#REF!="",E141,#REF!),IF('РЕЕСТР РИСКОВ_2023'!I170="",E141,'РЕЕСТР РИСКОВ_2023'!I170)))))</f>
        <v>ЦЗФ</v>
      </c>
      <c r="F142" t="str">
        <f>IF('INHERENT MAP'!$B$5=2021,IF('РЕЕСТР РИСКОВ_2023'!J170="",F141,'РЕЕСТР РИСКОВ_2023'!J170),IF('INHERENT MAP'!$B$5=2022,IF(#REF!="",F141,#REF!),IF('INHERENT MAP'!$B$5=2023,IF(#REF!="",F141,#REF!),IF('INHERENT MAP'!$B$5=2024,IF(#REF!="",F141,#REF!),IF('РЕЕСТР РИСКОВ_2023'!J170="",F141,'РЕЕСТР РИСКОВ_2023'!J170)))))</f>
        <v>Филиалы, Дочерние организации</v>
      </c>
      <c r="G142" t="str">
        <f>IF('INHERENT MAP'!$B$5=2021,IF('РЕЕСТР РИСКОВ_2023'!K170="",G141,'РЕЕСТР РИСКОВ_2023'!K170),IF('INHERENT MAP'!$B$5=2022,IF(#REF!="",G141,#REF!),IF('INHERENT MAP'!$B$5=2023,IF(#REF!="",G141,#REF!),IF('INHERENT MAP'!$B$5=2024,IF(#REF!="",G141,#REF!),IF('РЕЕСТР РИСКОВ_2023'!K170="",G141,'РЕЕСТР РИСКОВ_2023'!K170)))))</f>
        <v>Выплата необеспеченных банковской гарантией либо страховым полисом авансовых платежей потенциально недобросовестным поставщикам</v>
      </c>
      <c r="H142">
        <f>IF('INHERENT MAP'!$B$5=2021,'РЕЕСТР РИСКОВ_2023'!L170,IF('INHERENT MAP'!$B$5=2022,#REF!,IF('INHERENT MAP'!$B$5=2023,#REF!,IF('INHERENT MAP'!$B$5=2024,#REF!,#REF!))))</f>
        <v>0</v>
      </c>
      <c r="I142">
        <f>IF('INHERENT MAP'!$B$5=2021,'РЕЕСТР РИСКОВ_2023'!M170,IF('INHERENT MAP'!$B$5=2022,#REF!,IF('INHERENT MAP'!$B$5=2023,#REF!,IF('INHERENT MAP'!$B$5=2024,#REF!,#REF!))))</f>
        <v>0</v>
      </c>
      <c r="J142">
        <f>IF('INHERENT MAP'!$B$5=2021,'РЕЕСТР РИСКОВ_2023'!N170,IF('INHERENT MAP'!$B$5=2022,#REF!,IF('INHERENT MAP'!$B$5=2023,#REF!,IF('INHERENT MAP'!$B$5=2024,#REF!,#REF!))))</f>
        <v>0</v>
      </c>
      <c r="K142">
        <f>IF('INHERENT MAP'!$B$5=2021,'РЕЕСТР РИСКОВ_2023'!O170,IF('INHERENT MAP'!$B$5=2022,#REF!,IF('INHERENT MAP'!$B$5=2023,#REF!,IF('INHERENT MAP'!$B$5=2024,#REF!,#REF!))))</f>
        <v>0</v>
      </c>
      <c r="L142">
        <f>IF('INHERENT MAP'!$B$5=2021,'РЕЕСТР РИСКОВ_2023'!P170,IF('INHERENT MAP'!$B$5=2022,#REF!,IF('INHERENT MAP'!$B$5=2023,#REF!,IF('INHERENT MAP'!$B$5=2024,#REF!,#REF!))))</f>
        <v>0</v>
      </c>
      <c r="M142" t="str">
        <f>IF('INHERENT MAP'!$B$5=2021,IF('РЕЕСТР РИСКОВ_2023'!Q170="",M141,'РЕЕСТР РИСКОВ_2023'!Q170),IF('INHERENT MAP'!$B$5=2022,IF(#REF!="",M141,#REF!),IF('INHERENT MAP'!$B$5=2023,IF(#REF!="",M141,#REF!),IF('INHERENT MAP'!$B$5=2024,IF(#REF!="",M141,#REF!),IF('РЕЕСТР РИСКОВ_2023'!Q170="",M141,'РЕЕСТР РИСКОВ_2023'!Q170)))))</f>
        <v>Предоставление контрагентам/поставщикам авансовых платежей без банковской гарантии/страхового полиса</v>
      </c>
      <c r="N142" t="str">
        <f>IF('INHERENT MAP'!$B$5=2021,IF('РЕЕСТР РИСКОВ_2023'!R170="",N141,'РЕЕСТР РИСКОВ_2023'!R170),IF('INHERENT MAP'!$B$5=2022,IF(#REF!="",N141,#REF!),IF('INHERENT MAP'!$B$5=2023,IF(#REF!="",N141,#REF!),IF('INHERENT MAP'!$B$5=2024,IF(#REF!="",N141,#REF!),IF('РЕЕСТР РИСКОВ_2023'!R170="",N141,'РЕЕСТР РИСКОВ_2023'!R170)))))</f>
        <v>Несвоевременная сборка электровозов.
Несвоевременный заказ комплектующих.
Несвоевременная изготовление/доставка комплектующих.
Закрытие границ.</v>
      </c>
      <c r="O142">
        <f>'РЕЕСТР РИСКОВ_2023'!T170</f>
        <v>0</v>
      </c>
      <c r="P142" t="e">
        <f>IF('РЕЕСТР РИСКОВ_2023'!U170="",P141,'РЕЕСТР РИСКОВ_2023'!U170)</f>
        <v>#REF!</v>
      </c>
      <c r="Q142" t="str">
        <f>IF('РЕЕСТР РИСКОВ_2023'!V170="",Q141,'РЕЕСТР РИСКОВ_2023'!V170)</f>
        <v>Слабые стороны</v>
      </c>
      <c r="R142" t="str">
        <f>IF('РЕЕСТР РИСКОВ_2023'!W170="",R141,'РЕЕСТР РИСКОВ_2023'!W170)</f>
        <v>Процент неосвоения инвестиционных проектов к плану , %</v>
      </c>
      <c r="S142">
        <f>'РЕЕСТР РИСКОВ_2023'!X170</f>
        <v>0</v>
      </c>
      <c r="T142" s="94">
        <f>IF('INHERENT MAP'!$B$5=2021,'РЕЕСТР РИСКОВ_2023'!Y170,IF('INHERENT MAP'!$B$5=2022,#REF!,IF('INHERENT MAP'!$B$5=2023,#REF!,IF('INHERENT MAP'!$B$5=2024,#REF!,#REF!))))</f>
        <v>0.25</v>
      </c>
      <c r="U142">
        <f>IF('INHERENT MAP'!$B$5=2021,'РЕЕСТР РИСКОВ_2023'!Z170,IF('INHERENT MAP'!$B$5=2022,#REF!,IF('INHERENT MAP'!$B$5=2023,#REF!,IF('INHERENT MAP'!$B$5=2024,#REF!,#REF!))))</f>
        <v>-3100</v>
      </c>
      <c r="V142">
        <f>IF('INHERENT MAP'!$B$5=2021,'РЕЕСТР РИСКОВ_2023'!AA170,IF('INHERENT MAP'!$B$5=2022,#REF!,IF('INHERENT MAP'!$B$5=2023,#REF!,IF('INHERENT MAP'!$B$5=2024,#REF!,#REF!))))</f>
        <v>-775</v>
      </c>
      <c r="W142">
        <f>IF('INHERENT MAP'!$B$5=2021,'РЕЕСТР РИСКОВ_2023'!AB170,IF('INHERENT MAP'!$B$5=2022,#REF!,IF('INHERENT MAP'!$B$5=2023,#REF!,IF('INHERENT MAP'!$B$5=2024,#REF!,#REF!))))</f>
        <v>0</v>
      </c>
      <c r="X142" s="94">
        <f>IF('INHERENT MAP'!$B$5=2021,'РЕЕСТР РИСКОВ_2023'!AC170,IF('INHERENT MAP'!$B$5=2022,#REF!,IF('INHERENT MAP'!$B$5=2023,#REF!,IF('INHERENT MAP'!$B$5=2024,#REF!,#REF!))))</f>
        <v>0.25</v>
      </c>
      <c r="Y142">
        <f>IF('INHERENT MAP'!$B$5=2021,'РЕЕСТР РИСКОВ_2023'!AD170,IF('INHERENT MAP'!$B$5=2022,#REF!,IF('INHERENT MAP'!$B$5=2023,#REF!,IF('INHERENT MAP'!$B$5=2024,#REF!,#REF!))))</f>
        <v>-3100</v>
      </c>
      <c r="Z142">
        <f>IF('INHERENT MAP'!$B$5=2021,'РЕЕСТР РИСКОВ_2023'!AE170,IF('INHERENT MAP'!$B$5=2022,#REF!,IF('INHERENT MAP'!$B$5=2023,#REF!,IF('INHERENT MAP'!$B$5=2024,#REF!,#REF!))))</f>
        <v>-775</v>
      </c>
      <c r="AA142">
        <f>IF('INHERENT MAP'!$B$5=2021,'РЕЕСТР РИСКОВ_2023'!AF170,IF('INHERENT MAP'!$B$5=2022,#REF!,IF('INHERENT MAP'!$B$5=2023,#REF!,IF('INHERENT MAP'!$B$5=2024,#REF!,#REF!))))</f>
        <v>0</v>
      </c>
      <c r="AB142">
        <f>IF('INHERENT MAP'!$B$5=2021,'РЕЕСТР РИСКОВ_2023'!AG170,IF('INHERENT MAP'!$B$5=2022,#REF!,IF('INHERENT MAP'!$B$5=2023,#REF!,IF('INHERENT MAP'!$B$5=2024,#REF!,#REF!))))</f>
        <v>0</v>
      </c>
      <c r="AC142">
        <f>IF('INHERENT MAP'!$B$5=2021,'РЕЕСТР РИСКОВ_2023'!AH170,IF('INHERENT MAP'!$B$5=2022,#REF!,IF('INHERENT MAP'!$B$5=2023,#REF!,IF('INHERENT MAP'!$B$5=2024,#REF!,#REF!))))</f>
        <v>0</v>
      </c>
      <c r="AD142" t="str">
        <f>IF('INHERENT MAP'!$B$5=2021,'РЕЕСТР РИСКОВ_2023'!AI170,IF('INHERENT MAP'!$B$5=2022,#REF!,IF('INHERENT MAP'!$B$5=2023,#REF!,IF('INHERENT MAP'!$B$5=2024,#REF!,#REF!))))</f>
        <v>Обеспечение в условиях договоров предоставления контрагентом/поставщиком на счет АО «Қазтеміртранс» суммы обеспечения исполнения своих обязательств по договору, либо банковской гарантии/страхового полиса</v>
      </c>
      <c r="AE142" t="str">
        <f>IF('INHERENT MAP'!$B$5=2021,'РЕЕСТР РИСКОВ_2023'!AK170,IF('INHERENT MAP'!$B$5=2022,#REF!,IF('INHERENT MAP'!$B$5=2023,#REF!,IF('INHERENT MAP'!$B$5=2024,#REF!,#REF!))))</f>
        <v>Филиалы, Дочерние организации</v>
      </c>
      <c r="AF142">
        <f>IF('INHERENT MAP'!$B$5=2021,'РЕЕСТР РИСКОВ_2023'!AL170,IF('INHERENT MAP'!$B$5=2022,#REF!,IF('INHERENT MAP'!$B$5=2023,#REF!,IF('INHERENT MAP'!$B$5=2024,#REF!,#REF!))))</f>
        <v>0</v>
      </c>
      <c r="AG142" t="str">
        <f>IF('INHERENT MAP'!$B$5=2021,'РЕЕСТР РИСКОВ_2023'!AM170,IF('INHERENT MAP'!$B$5=2022,#REF!,IF('INHERENT MAP'!$B$5=2023,#REF!,IF('INHERENT MAP'!$B$5=2024,#REF!,#REF!))))</f>
        <v>средняя</v>
      </c>
      <c r="AH142">
        <f>IF('INHERENT MAP'!$B$5=2021,'РЕЕСТР РИСКОВ_2023'!AN170,IF('INHERENT MAP'!$B$5=2022,#REF!,IF('INHERENT MAP'!$B$5=2023,#REF!,IF('INHERENT MAP'!$B$5=2024,#REF!,#REF!))))</f>
        <v>0.125</v>
      </c>
      <c r="AI142">
        <f>IF('INHERENT MAP'!$B$5=2021,'РЕЕСТР РИСКОВ_2023'!AO170,IF('INHERENT MAP'!$B$5=2022,#REF!,IF('INHERENT MAP'!$B$5=2023,#REF!,IF('INHERENT MAP'!$B$5=2024,#REF!,#REF!))))</f>
        <v>-1550</v>
      </c>
      <c r="AJ142">
        <f>IF('INHERENT MAP'!$B$5=2021,'РЕЕСТР РИСКОВ_2023'!AP170,IF('INHERENT MAP'!$B$5=2022,#REF!,IF('INHERENT MAP'!$B$5=2023,#REF!,IF('INHERENT MAP'!$B$5=2024,#REF!,#REF!))))</f>
        <v>-193.75</v>
      </c>
      <c r="AK142">
        <f>IF('РЕЕСТР РИСКОВ_2023'!AQ170="",AK141,'РЕЕСТР РИСКОВ_2023'!AQ170)</f>
        <v>-387.5</v>
      </c>
      <c r="AL142">
        <f>IF('РЕЕСТР РИСКОВ_2023'!AR170="",AL141,'РЕЕСТР РИСКОВ_2023'!AR170)</f>
        <v>0.125</v>
      </c>
      <c r="AM142">
        <f>IF('РЕЕСТР РИСКОВ_2023'!AS170="",AM141,'РЕЕСТР РИСКОВ_2023'!AS170)</f>
        <v>-193.75</v>
      </c>
      <c r="AN142">
        <f>IF('РЕЕСТР РИСКОВ_2023'!AT170="",AN141,'РЕЕСТР РИСКОВ_2023'!AT170)</f>
        <v>-387.5</v>
      </c>
      <c r="AO142" t="e">
        <f>IF('РЕЕСТР РИСКОВ_2023'!AU170="",AO141,'РЕЕСТР РИСКОВ_2023'!AU170)</f>
        <v>#REF!</v>
      </c>
    </row>
    <row r="143" spans="2:41">
      <c r="B143" t="str">
        <f>IF('INHERENT MAP'!$B$5=2021,IF('РЕЕСТР РИСКОВ_2023'!F171="",B142,'РЕЕСТР РИСКОВ_2023'!F171),IF('INHERENT MAP'!$B$5=2022,IF(#REF!="",B142,#REF!),IF('INHERENT MAP'!$B$5=2023,IF(#REF!="",B142,#REF!),IF('INHERENT MAP'!$B$5=2024,IF(#REF!="",B142,#REF!),IF('РЕЕСТР РИСКОВ_2023'!F171="",B142,'РЕЕСТР РИСКОВ_2023'!F171)))))</f>
        <v>КОНТРАКТНЫЙ РИСК</v>
      </c>
      <c r="C143" t="str">
        <f>IF('INHERENT MAP'!$B$5=2021,IF('РЕЕСТР РИСКОВ_2023'!G171="",C142,'РЕЕСТР РИСКОВ_2023'!G171),IF('INHERENT MAP'!$B$5=2022,IF(#REF!="",C142,#REF!),IF('INHERENT MAP'!$B$5=2023,IF(#REF!="",C142,#REF!),IF('INHERENT MAP'!$B$5=2024,IF(#REF!="",C142,#REF!),IF('РЕЕСТР РИСКОВ_2023'!G171="",C142,'РЕЕСТР РИСКОВ_2023'!G171)))))</f>
        <v>- ХХХ млн. тенге</v>
      </c>
      <c r="D143" t="str">
        <f>IF('INHERENT MAP'!$B$5=2021,IF('РЕЕСТР РИСКОВ_2023'!H171="",D142,'РЕЕСТР РИСКОВ_2023'!H171),IF('INHERENT MAP'!$B$5=2022,IF(#REF!="",D142,#REF!),IF('INHERENT MAP'!$B$5=2023,IF(#REF!="",D142,#REF!),IF('INHERENT MAP'!$B$5=2024,IF(#REF!="",D142,#REF!),IF('РЕЕСТР РИСКОВ_2023'!H171="",D142,'РЕЕСТР РИСКОВ_2023'!H171)))))</f>
        <v>CCR-9</v>
      </c>
      <c r="E143" t="str">
        <f>IF('INHERENT MAP'!$B$5=2021,IF('РЕЕСТР РИСКОВ_2023'!I171="",E142,'РЕЕСТР РИСКОВ_2023'!I171),IF('INHERENT MAP'!$B$5=2022,IF(#REF!="",E142,#REF!),IF('INHERENT MAP'!$B$5=2023,IF(#REF!="",E142,#REF!),IF('INHERENT MAP'!$B$5=2024,IF(#REF!="",E142,#REF!),IF('РЕЕСТР РИСКОВ_2023'!I171="",E142,'РЕЕСТР РИСКОВ_2023'!I171)))))</f>
        <v>ЦЗ-1, ЦЗИ</v>
      </c>
      <c r="F143" t="str">
        <f>IF('INHERENT MAP'!$B$5=2021,IF('РЕЕСТР РИСКОВ_2023'!J171="",F142,'РЕЕСТР РИСКОВ_2023'!J171),IF('INHERENT MAP'!$B$5=2022,IF(#REF!="",F142,#REF!),IF('INHERENT MAP'!$B$5=2023,IF(#REF!="",F142,#REF!),IF('INHERENT MAP'!$B$5=2024,IF(#REF!="",F142,#REF!),IF('РЕЕСТР РИСКОВ_2023'!J171="",F142,'РЕЕСТР РИСКОВ_2023'!J171)))))</f>
        <v>Дирекция магистральной сети</v>
      </c>
      <c r="G143" t="str">
        <f>IF('INHERENT MAP'!$B$5=2021,IF('РЕЕСТР РИСКОВ_2023'!K171="",G142,'РЕЕСТР РИСКОВ_2023'!K171),IF('INHERENT MAP'!$B$5=2022,IF(#REF!="",G142,#REF!),IF('INHERENT MAP'!$B$5=2023,IF(#REF!="",G142,#REF!),IF('INHERENT MAP'!$B$5=2024,IF(#REF!="",G142,#REF!),IF('РЕЕСТР РИСКОВ_2023'!K171="",G142,'РЕЕСТР РИСКОВ_2023'!K171)))))</f>
        <v>Увеличение закупочной стоимости рельс поставщиком ТОО "Актюбинский рельсо-балочный завод"</v>
      </c>
      <c r="H143">
        <f>IF('INHERENT MAP'!$B$5=2021,'РЕЕСТР РИСКОВ_2023'!L171,IF('INHERENT MAP'!$B$5=2022,#REF!,IF('INHERENT MAP'!$B$5=2023,#REF!,IF('INHERENT MAP'!$B$5=2024,#REF!,#REF!))))</f>
        <v>0</v>
      </c>
      <c r="I143">
        <f>IF('INHERENT MAP'!$B$5=2021,'РЕЕСТР РИСКОВ_2023'!M171,IF('INHERENT MAP'!$B$5=2022,#REF!,IF('INHERENT MAP'!$B$5=2023,#REF!,IF('INHERENT MAP'!$B$5=2024,#REF!,#REF!))))</f>
        <v>0</v>
      </c>
      <c r="J143">
        <f>IF('INHERENT MAP'!$B$5=2021,'РЕЕСТР РИСКОВ_2023'!N171,IF('INHERENT MAP'!$B$5=2022,#REF!,IF('INHERENT MAP'!$B$5=2023,#REF!,IF('INHERENT MAP'!$B$5=2024,#REF!,#REF!))))</f>
        <v>0</v>
      </c>
      <c r="K143">
        <f>IF('INHERENT MAP'!$B$5=2021,'РЕЕСТР РИСКОВ_2023'!O171,IF('INHERENT MAP'!$B$5=2022,#REF!,IF('INHERENT MAP'!$B$5=2023,#REF!,IF('INHERENT MAP'!$B$5=2024,#REF!,#REF!))))</f>
        <v>0</v>
      </c>
      <c r="L143">
        <f>IF('INHERENT MAP'!$B$5=2021,'РЕЕСТР РИСКОВ_2023'!P171,IF('INHERENT MAP'!$B$5=2022,#REF!,IF('INHERENT MAP'!$B$5=2023,#REF!,IF('INHERENT MAP'!$B$5=2024,#REF!,#REF!))))</f>
        <v>0</v>
      </c>
      <c r="M143" t="str">
        <f>IF('INHERENT MAP'!$B$5=2021,IF('РЕЕСТР РИСКОВ_2023'!Q171="",M142,'РЕЕСТР РИСКОВ_2023'!Q171),IF('INHERENT MAP'!$B$5=2022,IF(#REF!="",M142,#REF!),IF('INHERENT MAP'!$B$5=2023,IF(#REF!="",M142,#REF!),IF('INHERENT MAP'!$B$5=2024,IF(#REF!="",M142,#REF!),IF('РЕЕСТР РИСКОВ_2023'!Q171="",M142,'РЕЕСТР РИСКОВ_2023'!Q171)))))</f>
        <v>Риск увеличения стоимости рельс
Цена 2022г. - 500тыс. тг за рельсу</v>
      </c>
      <c r="N143" t="str">
        <f>IF('INHERENT MAP'!$B$5=2021,IF('РЕЕСТР РИСКОВ_2023'!R171="",N142,'РЕЕСТР РИСКОВ_2023'!R171),IF('INHERENT MAP'!$B$5=2022,IF(#REF!="",N142,#REF!),IF('INHERENT MAP'!$B$5=2023,IF(#REF!="",N142,#REF!),IF('INHERENT MAP'!$B$5=2024,IF(#REF!="",N142,#REF!),IF('РЕЕСТР РИСКОВ_2023'!R171="",N142,'РЕЕСТР РИСКОВ_2023'!R171)))))</f>
        <v xml:space="preserve">Письмом от 13.05.2021 года в адрес АО «НК «КТЖ» и АО «ФНБ «Самрук Казына» от ТОО "Актюбинский рельсобалочный завод« направлено уведомление об увеличении цен на сырье и о возможности индексации цен с привязкой к курсу доллара США либо повышения цены с 1 июля текущего года.
Сырьем для производства рельс Р65 типа ДТ350 является непрерывнолитая заготовка, цены на которую зависят от котировок квадрата FOB Черное море, формируемых на открытом рынке. С прошлого года произошел существенный рост на квадратную заготовку с 411USD/т в сентябре 2020 года, т.е на 33,6% до 549USD/т в декабре 2020 года, 13.05.2021 года цена на квадрат поднялась до 735USD/т или на 33% с конца 2020г.
</v>
      </c>
      <c r="O143">
        <f>'РЕЕСТР РИСКОВ_2023'!T171</f>
        <v>0</v>
      </c>
      <c r="P143" t="e">
        <f>IF('РЕЕСТР РИСКОВ_2023'!U171="",P142,'РЕЕСТР РИСКОВ_2023'!U171)</f>
        <v>#REF!</v>
      </c>
      <c r="Q143" t="str">
        <f>IF('РЕЕСТР РИСКОВ_2023'!V171="",Q142,'РЕЕСТР РИСКОВ_2023'!V171)</f>
        <v>Слабые стороны</v>
      </c>
      <c r="R143" t="str">
        <f>IF('РЕЕСТР РИСКОВ_2023'!W171="",R142,'РЕЕСТР РИСКОВ_2023'!W171)</f>
        <v>Процент неосвоения инвестиционных проектов к плану , %</v>
      </c>
      <c r="S143">
        <f>'РЕЕСТР РИСКОВ_2023'!X171</f>
        <v>0</v>
      </c>
      <c r="T143" s="94">
        <f>IF('INHERENT MAP'!$B$5=2021,'РЕЕСТР РИСКОВ_2023'!Y171,IF('INHERENT MAP'!$B$5=2022,#REF!,IF('INHERENT MAP'!$B$5=2023,#REF!,IF('INHERENT MAP'!$B$5=2024,#REF!,#REF!))))</f>
        <v>0.4</v>
      </c>
      <c r="U143">
        <f>IF('INHERENT MAP'!$B$5=2021,'РЕЕСТР РИСКОВ_2023'!Z171,IF('INHERENT MAP'!$B$5=2022,#REF!,IF('INHERENT MAP'!$B$5=2023,#REF!,IF('INHERENT MAP'!$B$5=2024,#REF!,#REF!))))</f>
        <v>-5003</v>
      </c>
      <c r="V143">
        <f>IF('INHERENT MAP'!$B$5=2021,'РЕЕСТР РИСКОВ_2023'!AA171,IF('INHERENT MAP'!$B$5=2022,#REF!,IF('INHERENT MAP'!$B$5=2023,#REF!,IF('INHERENT MAP'!$B$5=2024,#REF!,#REF!))))</f>
        <v>-2001.2</v>
      </c>
      <c r="W143">
        <f>IF('INHERENT MAP'!$B$5=2021,'РЕЕСТР РИСКОВ_2023'!AB171,IF('INHERENT MAP'!$B$5=2022,#REF!,IF('INHERENT MAP'!$B$5=2023,#REF!,IF('INHERENT MAP'!$B$5=2024,#REF!,#REF!))))</f>
        <v>0</v>
      </c>
      <c r="X143" s="94">
        <f>IF('INHERENT MAP'!$B$5=2021,'РЕЕСТР РИСКОВ_2023'!AC171,IF('INHERENT MAP'!$B$5=2022,#REF!,IF('INHERENT MAP'!$B$5=2023,#REF!,IF('INHERENT MAP'!$B$5=2024,#REF!,#REF!))))</f>
        <v>0.4</v>
      </c>
      <c r="Y143">
        <f>IF('INHERENT MAP'!$B$5=2021,'РЕЕСТР РИСКОВ_2023'!AD171,IF('INHERENT MAP'!$B$5=2022,#REF!,IF('INHERENT MAP'!$B$5=2023,#REF!,IF('INHERENT MAP'!$B$5=2024,#REF!,#REF!))))</f>
        <v>-5003</v>
      </c>
      <c r="Z143">
        <f>IF('INHERENT MAP'!$B$5=2021,'РЕЕСТР РИСКОВ_2023'!AE171,IF('INHERENT MAP'!$B$5=2022,#REF!,IF('INHERENT MAP'!$B$5=2023,#REF!,IF('INHERENT MAP'!$B$5=2024,#REF!,#REF!))))</f>
        <v>-2001.2</v>
      </c>
      <c r="AA143">
        <f>IF('INHERENT MAP'!$B$5=2021,'РЕЕСТР РИСКОВ_2023'!AF171,IF('INHERENT MAP'!$B$5=2022,#REF!,IF('INHERENT MAP'!$B$5=2023,#REF!,IF('INHERENT MAP'!$B$5=2024,#REF!,#REF!))))</f>
        <v>5003.75</v>
      </c>
      <c r="AB143">
        <f>IF('INHERENT MAP'!$B$5=2021,'РЕЕСТР РИСКОВ_2023'!AG171,IF('INHERENT MAP'!$B$5=2022,#REF!,IF('INHERENT MAP'!$B$5=2023,#REF!,IF('INHERENT MAP'!$B$5=2024,#REF!,#REF!))))</f>
        <v>0</v>
      </c>
      <c r="AC143">
        <f>IF('INHERENT MAP'!$B$5=2021,'РЕЕСТР РИСКОВ_2023'!AH171,IF('INHERENT MAP'!$B$5=2022,#REF!,IF('INHERENT MAP'!$B$5=2023,#REF!,IF('INHERENT MAP'!$B$5=2024,#REF!,#REF!))))</f>
        <v>0</v>
      </c>
      <c r="AD143">
        <f>IF('INHERENT MAP'!$B$5=2021,'РЕЕСТР РИСКОВ_2023'!AI171,IF('INHERENT MAP'!$B$5=2022,#REF!,IF('INHERENT MAP'!$B$5=2023,#REF!,IF('INHERENT MAP'!$B$5=2024,#REF!,#REF!))))</f>
        <v>0</v>
      </c>
      <c r="AE143">
        <f>IF('INHERENT MAP'!$B$5=2021,'РЕЕСТР РИСКОВ_2023'!AK171,IF('INHERENT MAP'!$B$5=2022,#REF!,IF('INHERENT MAP'!$B$5=2023,#REF!,IF('INHERENT MAP'!$B$5=2024,#REF!,#REF!))))</f>
        <v>0</v>
      </c>
      <c r="AF143">
        <f>IF('INHERENT MAP'!$B$5=2021,'РЕЕСТР РИСКОВ_2023'!AL171,IF('INHERENT MAP'!$B$5=2022,#REF!,IF('INHERENT MAP'!$B$5=2023,#REF!,IF('INHERENT MAP'!$B$5=2024,#REF!,#REF!))))</f>
        <v>0</v>
      </c>
      <c r="AG143" t="str">
        <f>IF('INHERENT MAP'!$B$5=2021,'РЕЕСТР РИСКОВ_2023'!AM171,IF('INHERENT MAP'!$B$5=2022,#REF!,IF('INHERENT MAP'!$B$5=2023,#REF!,IF('INHERENT MAP'!$B$5=2024,#REF!,#REF!))))</f>
        <v>средняя</v>
      </c>
      <c r="AH143">
        <f>IF('INHERENT MAP'!$B$5=2021,'РЕЕСТР РИСКОВ_2023'!AN171,IF('INHERENT MAP'!$B$5=2022,#REF!,IF('INHERENT MAP'!$B$5=2023,#REF!,IF('INHERENT MAP'!$B$5=2024,#REF!,#REF!))))</f>
        <v>0.2</v>
      </c>
      <c r="AI143">
        <f>IF('INHERENT MAP'!$B$5=2021,'РЕЕСТР РИСКОВ_2023'!AO171,IF('INHERENT MAP'!$B$5=2022,#REF!,IF('INHERENT MAP'!$B$5=2023,#REF!,IF('INHERENT MAP'!$B$5=2024,#REF!,#REF!))))</f>
        <v>-2501.5</v>
      </c>
      <c r="AJ143">
        <f>IF('INHERENT MAP'!$B$5=2021,'РЕЕСТР РИСКОВ_2023'!AP171,IF('INHERENT MAP'!$B$5=2022,#REF!,IF('INHERENT MAP'!$B$5=2023,#REF!,IF('INHERENT MAP'!$B$5=2024,#REF!,#REF!))))</f>
        <v>-500.3</v>
      </c>
      <c r="AK143">
        <f>IF('РЕЕСТР РИСКОВ_2023'!AQ171="",AK142,'РЕЕСТР РИСКОВ_2023'!AQ171)</f>
        <v>-1000.6</v>
      </c>
      <c r="AL143">
        <f>IF('РЕЕСТР РИСКОВ_2023'!AR171="",AL142,'РЕЕСТР РИСКОВ_2023'!AR171)</f>
        <v>0.2</v>
      </c>
      <c r="AM143">
        <f>IF('РЕЕСТР РИСКОВ_2023'!AS171="",AM142,'РЕЕСТР РИСКОВ_2023'!AS171)</f>
        <v>-500.3</v>
      </c>
      <c r="AN143">
        <f>IF('РЕЕСТР РИСКОВ_2023'!AT171="",AN142,'РЕЕСТР РИСКОВ_2023'!AT171)</f>
        <v>-1000.6</v>
      </c>
      <c r="AO143" t="e">
        <f>IF('РЕЕСТР РИСКОВ_2023'!AU171="",AO142,'РЕЕСТР РИСКОВ_2023'!AU171)</f>
        <v>#REF!</v>
      </c>
    </row>
    <row r="144" spans="2:41">
      <c r="B144" t="e">
        <f>IF('INHERENT MAP'!$B$5=2021,IF('РЕЕСТР РИСКОВ_2023'!#REF!="",B143,'РЕЕСТР РИСКОВ_2023'!#REF!),IF('INHERENT MAP'!$B$5=2022,IF(#REF!="",B143,#REF!),IF('INHERENT MAP'!$B$5=2023,IF(#REF!="",B143,#REF!),IF('INHERENT MAP'!$B$5=2024,IF(#REF!="",B143,#REF!),IF('РЕЕСТР РИСКОВ_2023'!#REF!="",B143,'РЕЕСТР РИСКОВ_2023'!#REF!)))))</f>
        <v>#REF!</v>
      </c>
      <c r="C144" t="e">
        <f>IF('INHERENT MAP'!$B$5=2021,IF('РЕЕСТР РИСКОВ_2023'!#REF!="",C143,'РЕЕСТР РИСКОВ_2023'!#REF!),IF('INHERENT MAP'!$B$5=2022,IF(#REF!="",C143,#REF!),IF('INHERENT MAP'!$B$5=2023,IF(#REF!="",C143,#REF!),IF('INHERENT MAP'!$B$5=2024,IF(#REF!="",C143,#REF!),IF('РЕЕСТР РИСКОВ_2023'!#REF!="",C143,'РЕЕСТР РИСКОВ_2023'!#REF!)))))</f>
        <v>#REF!</v>
      </c>
      <c r="D144" t="e">
        <f>IF('INHERENT MAP'!$B$5=2021,IF('РЕЕСТР РИСКОВ_2023'!#REF!="",D143,'РЕЕСТР РИСКОВ_2023'!#REF!),IF('INHERENT MAP'!$B$5=2022,IF(#REF!="",D143,#REF!),IF('INHERENT MAP'!$B$5=2023,IF(#REF!="",D143,#REF!),IF('INHERENT MAP'!$B$5=2024,IF(#REF!="",D143,#REF!),IF('РЕЕСТР РИСКОВ_2023'!#REF!="",D143,'РЕЕСТР РИСКОВ_2023'!#REF!)))))</f>
        <v>#REF!</v>
      </c>
      <c r="E144" t="e">
        <f>IF('INHERENT MAP'!$B$5=2021,IF('РЕЕСТР РИСКОВ_2023'!#REF!="",E143,'РЕЕСТР РИСКОВ_2023'!#REF!),IF('INHERENT MAP'!$B$5=2022,IF(#REF!="",E143,#REF!),IF('INHERENT MAP'!$B$5=2023,IF(#REF!="",E143,#REF!),IF('INHERENT MAP'!$B$5=2024,IF(#REF!="",E143,#REF!),IF('РЕЕСТР РИСКОВ_2023'!#REF!="",E143,'РЕЕСТР РИСКОВ_2023'!#REF!)))))</f>
        <v>#REF!</v>
      </c>
      <c r="F144" t="e">
        <f>IF('INHERENT MAP'!$B$5=2021,IF('РЕЕСТР РИСКОВ_2023'!#REF!="",F143,'РЕЕСТР РИСКОВ_2023'!#REF!),IF('INHERENT MAP'!$B$5=2022,IF(#REF!="",F143,#REF!),IF('INHERENT MAP'!$B$5=2023,IF(#REF!="",F143,#REF!),IF('INHERENT MAP'!$B$5=2024,IF(#REF!="",F143,#REF!),IF('РЕЕСТР РИСКОВ_2023'!#REF!="",F143,'РЕЕСТР РИСКОВ_2023'!#REF!)))))</f>
        <v>#REF!</v>
      </c>
      <c r="G144" t="e">
        <f>IF('INHERENT MAP'!$B$5=2021,IF('РЕЕСТР РИСКОВ_2023'!#REF!="",G143,'РЕЕСТР РИСКОВ_2023'!#REF!),IF('INHERENT MAP'!$B$5=2022,IF(#REF!="",G143,#REF!),IF('INHERENT MAP'!$B$5=2023,IF(#REF!="",G143,#REF!),IF('INHERENT MAP'!$B$5=2024,IF(#REF!="",G143,#REF!),IF('РЕЕСТР РИСКОВ_2023'!#REF!="",G143,'РЕЕСТР РИСКОВ_2023'!#REF!)))))</f>
        <v>#REF!</v>
      </c>
      <c r="H144" t="e">
        <f>IF('INHERENT MAP'!$B$5=2021,'РЕЕСТР РИСКОВ_2023'!#REF!,IF('INHERENT MAP'!$B$5=2022,#REF!,IF('INHERENT MAP'!$B$5=2023,#REF!,IF('INHERENT MAP'!$B$5=2024,#REF!,#REF!))))</f>
        <v>#REF!</v>
      </c>
      <c r="I144" t="e">
        <f>IF('INHERENT MAP'!$B$5=2021,'РЕЕСТР РИСКОВ_2023'!#REF!,IF('INHERENT MAP'!$B$5=2022,#REF!,IF('INHERENT MAP'!$B$5=2023,#REF!,IF('INHERENT MAP'!$B$5=2024,#REF!,#REF!))))</f>
        <v>#REF!</v>
      </c>
      <c r="J144" t="e">
        <f>IF('INHERENT MAP'!$B$5=2021,'РЕЕСТР РИСКОВ_2023'!#REF!,IF('INHERENT MAP'!$B$5=2022,#REF!,IF('INHERENT MAP'!$B$5=2023,#REF!,IF('INHERENT MAP'!$B$5=2024,#REF!,#REF!))))</f>
        <v>#REF!</v>
      </c>
      <c r="K144" t="e">
        <f>IF('INHERENT MAP'!$B$5=2021,'РЕЕСТР РИСКОВ_2023'!#REF!,IF('INHERENT MAP'!$B$5=2022,#REF!,IF('INHERENT MAP'!$B$5=2023,#REF!,IF('INHERENT MAP'!$B$5=2024,#REF!,#REF!))))</f>
        <v>#REF!</v>
      </c>
      <c r="L144" t="e">
        <f>IF('INHERENT MAP'!$B$5=2021,'РЕЕСТР РИСКОВ_2023'!#REF!,IF('INHERENT MAP'!$B$5=2022,#REF!,IF('INHERENT MAP'!$B$5=2023,#REF!,IF('INHERENT MAP'!$B$5=2024,#REF!,#REF!))))</f>
        <v>#REF!</v>
      </c>
      <c r="M144" t="e">
        <f>IF('INHERENT MAP'!$B$5=2021,IF('РЕЕСТР РИСКОВ_2023'!#REF!="",M143,'РЕЕСТР РИСКОВ_2023'!#REF!),IF('INHERENT MAP'!$B$5=2022,IF(#REF!="",M143,#REF!),IF('INHERENT MAP'!$B$5=2023,IF(#REF!="",M143,#REF!),IF('INHERENT MAP'!$B$5=2024,IF(#REF!="",M143,#REF!),IF('РЕЕСТР РИСКОВ_2023'!#REF!="",M143,'РЕЕСТР РИСКОВ_2023'!#REF!)))))</f>
        <v>#REF!</v>
      </c>
      <c r="N144" t="e">
        <f>IF('INHERENT MAP'!$B$5=2021,IF('РЕЕСТР РИСКОВ_2023'!#REF!="",N143,'РЕЕСТР РИСКОВ_2023'!#REF!),IF('INHERENT MAP'!$B$5=2022,IF(#REF!="",N143,#REF!),IF('INHERENT MAP'!$B$5=2023,IF(#REF!="",N143,#REF!),IF('INHERENT MAP'!$B$5=2024,IF(#REF!="",N143,#REF!),IF('РЕЕСТР РИСКОВ_2023'!#REF!="",N143,'РЕЕСТР РИСКОВ_2023'!#REF!)))))</f>
        <v>#REF!</v>
      </c>
      <c r="O144" t="e">
        <f>'РЕЕСТР РИСКОВ_2023'!#REF!</f>
        <v>#REF!</v>
      </c>
      <c r="P144" t="e">
        <f>IF('РЕЕСТР РИСКОВ_2023'!#REF!="",P143,'РЕЕСТР РИСКОВ_2023'!#REF!)</f>
        <v>#REF!</v>
      </c>
      <c r="Q144" t="e">
        <f>IF('РЕЕСТР РИСКОВ_2023'!#REF!="",Q143,'РЕЕСТР РИСКОВ_2023'!#REF!)</f>
        <v>#REF!</v>
      </c>
      <c r="R144" t="e">
        <f>IF('РЕЕСТР РИСКОВ_2023'!#REF!="",R143,'РЕЕСТР РИСКОВ_2023'!#REF!)</f>
        <v>#REF!</v>
      </c>
      <c r="S144" t="e">
        <f>'РЕЕСТР РИСКОВ_2023'!#REF!</f>
        <v>#REF!</v>
      </c>
      <c r="T144" s="94" t="e">
        <f>IF('INHERENT MAP'!$B$5=2021,'РЕЕСТР РИСКОВ_2023'!#REF!,IF('INHERENT MAP'!$B$5=2022,#REF!,IF('INHERENT MAP'!$B$5=2023,#REF!,IF('INHERENT MAP'!$B$5=2024,#REF!,#REF!))))</f>
        <v>#REF!</v>
      </c>
      <c r="U144" t="e">
        <f>IF('INHERENT MAP'!$B$5=2021,'РЕЕСТР РИСКОВ_2023'!#REF!,IF('INHERENT MAP'!$B$5=2022,#REF!,IF('INHERENT MAP'!$B$5=2023,#REF!,IF('INHERENT MAP'!$B$5=2024,#REF!,#REF!))))</f>
        <v>#REF!</v>
      </c>
      <c r="V144" t="e">
        <f>IF('INHERENT MAP'!$B$5=2021,'РЕЕСТР РИСКОВ_2023'!#REF!,IF('INHERENT MAP'!$B$5=2022,#REF!,IF('INHERENT MAP'!$B$5=2023,#REF!,IF('INHERENT MAP'!$B$5=2024,#REF!,#REF!))))</f>
        <v>#REF!</v>
      </c>
      <c r="W144" t="e">
        <f>IF('INHERENT MAP'!$B$5=2021,'РЕЕСТР РИСКОВ_2023'!#REF!,IF('INHERENT MAP'!$B$5=2022,#REF!,IF('INHERENT MAP'!$B$5=2023,#REF!,IF('INHERENT MAP'!$B$5=2024,#REF!,#REF!))))</f>
        <v>#REF!</v>
      </c>
      <c r="X144" s="94" t="e">
        <f>IF('INHERENT MAP'!$B$5=2021,'РЕЕСТР РИСКОВ_2023'!#REF!,IF('INHERENT MAP'!$B$5=2022,#REF!,IF('INHERENT MAP'!$B$5=2023,#REF!,IF('INHERENT MAP'!$B$5=2024,#REF!,#REF!))))</f>
        <v>#REF!</v>
      </c>
      <c r="Y144" t="e">
        <f>IF('INHERENT MAP'!$B$5=2021,'РЕЕСТР РИСКОВ_2023'!#REF!,IF('INHERENT MAP'!$B$5=2022,#REF!,IF('INHERENT MAP'!$B$5=2023,#REF!,IF('INHERENT MAP'!$B$5=2024,#REF!,#REF!))))</f>
        <v>#REF!</v>
      </c>
      <c r="Z144" t="e">
        <f>IF('INHERENT MAP'!$B$5=2021,'РЕЕСТР РИСКОВ_2023'!#REF!,IF('INHERENT MAP'!$B$5=2022,#REF!,IF('INHERENT MAP'!$B$5=2023,#REF!,IF('INHERENT MAP'!$B$5=2024,#REF!,#REF!))))</f>
        <v>#REF!</v>
      </c>
      <c r="AA144" t="e">
        <f>IF('INHERENT MAP'!$B$5=2021,'РЕЕСТР РИСКОВ_2023'!#REF!,IF('INHERENT MAP'!$B$5=2022,#REF!,IF('INHERENT MAP'!$B$5=2023,#REF!,IF('INHERENT MAP'!$B$5=2024,#REF!,#REF!))))</f>
        <v>#REF!</v>
      </c>
      <c r="AB144" t="e">
        <f>IF('INHERENT MAP'!$B$5=2021,'РЕЕСТР РИСКОВ_2023'!#REF!,IF('INHERENT MAP'!$B$5=2022,#REF!,IF('INHERENT MAP'!$B$5=2023,#REF!,IF('INHERENT MAP'!$B$5=2024,#REF!,#REF!))))</f>
        <v>#REF!</v>
      </c>
      <c r="AC144" t="e">
        <f>IF('INHERENT MAP'!$B$5=2021,'РЕЕСТР РИСКОВ_2023'!#REF!,IF('INHERENT MAP'!$B$5=2022,#REF!,IF('INHERENT MAP'!$B$5=2023,#REF!,IF('INHERENT MAP'!$B$5=2024,#REF!,#REF!))))</f>
        <v>#REF!</v>
      </c>
      <c r="AD144" t="e">
        <f>IF('INHERENT MAP'!$B$5=2021,'РЕЕСТР РИСКОВ_2023'!#REF!,IF('INHERENT MAP'!$B$5=2022,#REF!,IF('INHERENT MAP'!$B$5=2023,#REF!,IF('INHERENT MAP'!$B$5=2024,#REF!,#REF!))))</f>
        <v>#REF!</v>
      </c>
      <c r="AE144" t="e">
        <f>IF('INHERENT MAP'!$B$5=2021,'РЕЕСТР РИСКОВ_2023'!#REF!,IF('INHERENT MAP'!$B$5=2022,#REF!,IF('INHERENT MAP'!$B$5=2023,#REF!,IF('INHERENT MAP'!$B$5=2024,#REF!,#REF!))))</f>
        <v>#REF!</v>
      </c>
      <c r="AF144" t="e">
        <f>IF('INHERENT MAP'!$B$5=2021,'РЕЕСТР РИСКОВ_2023'!#REF!,IF('INHERENT MAP'!$B$5=2022,#REF!,IF('INHERENT MAP'!$B$5=2023,#REF!,IF('INHERENT MAP'!$B$5=2024,#REF!,#REF!))))</f>
        <v>#REF!</v>
      </c>
      <c r="AG144" t="e">
        <f>IF('INHERENT MAP'!$B$5=2021,'РЕЕСТР РИСКОВ_2023'!#REF!,IF('INHERENT MAP'!$B$5=2022,#REF!,IF('INHERENT MAP'!$B$5=2023,#REF!,IF('INHERENT MAP'!$B$5=2024,#REF!,#REF!))))</f>
        <v>#REF!</v>
      </c>
      <c r="AH144" t="e">
        <f>IF('INHERENT MAP'!$B$5=2021,'РЕЕСТР РИСКОВ_2023'!#REF!,IF('INHERENT MAP'!$B$5=2022,#REF!,IF('INHERENT MAP'!$B$5=2023,#REF!,IF('INHERENT MAP'!$B$5=2024,#REF!,#REF!))))</f>
        <v>#REF!</v>
      </c>
      <c r="AI144" t="e">
        <f>IF('INHERENT MAP'!$B$5=2021,'РЕЕСТР РИСКОВ_2023'!#REF!,IF('INHERENT MAP'!$B$5=2022,#REF!,IF('INHERENT MAP'!$B$5=2023,#REF!,IF('INHERENT MAP'!$B$5=2024,#REF!,#REF!))))</f>
        <v>#REF!</v>
      </c>
      <c r="AJ144" t="e">
        <f>IF('INHERENT MAP'!$B$5=2021,'РЕЕСТР РИСКОВ_2023'!#REF!,IF('INHERENT MAP'!$B$5=2022,#REF!,IF('INHERENT MAP'!$B$5=2023,#REF!,IF('INHERENT MAP'!$B$5=2024,#REF!,#REF!))))</f>
        <v>#REF!</v>
      </c>
      <c r="AK144" t="e">
        <f>IF('РЕЕСТР РИСКОВ_2023'!#REF!="",AK143,'РЕЕСТР РИСКОВ_2023'!#REF!)</f>
        <v>#REF!</v>
      </c>
      <c r="AL144" t="e">
        <f>IF('РЕЕСТР РИСКОВ_2023'!#REF!="",AL143,'РЕЕСТР РИСКОВ_2023'!#REF!)</f>
        <v>#REF!</v>
      </c>
      <c r="AM144" t="e">
        <f>IF('РЕЕСТР РИСКОВ_2023'!#REF!="",AM143,'РЕЕСТР РИСКОВ_2023'!#REF!)</f>
        <v>#REF!</v>
      </c>
      <c r="AN144" t="e">
        <f>IF('РЕЕСТР РИСКОВ_2023'!#REF!="",AN143,'РЕЕСТР РИСКОВ_2023'!#REF!)</f>
        <v>#REF!</v>
      </c>
      <c r="AO144" t="e">
        <f>IF('РЕЕСТР РИСКОВ_2023'!#REF!="",AO143,'РЕЕСТР РИСКОВ_2023'!#REF!)</f>
        <v>#REF!</v>
      </c>
    </row>
    <row r="145" spans="2:41">
      <c r="B145" t="e">
        <f>IF('INHERENT MAP'!$B$5=2021,IF('РЕЕСТР РИСКОВ_2023'!#REF!="",B144,'РЕЕСТР РИСКОВ_2023'!#REF!),IF('INHERENT MAP'!$B$5=2022,IF(#REF!="",B144,#REF!),IF('INHERENT MAP'!$B$5=2023,IF(#REF!="",B144,#REF!),IF('INHERENT MAP'!$B$5=2024,IF(#REF!="",B144,#REF!),IF('РЕЕСТР РИСКОВ_2023'!#REF!="",B144,'РЕЕСТР РИСКОВ_2023'!#REF!)))))</f>
        <v>#REF!</v>
      </c>
      <c r="C145" t="e">
        <f>IF('INHERENT MAP'!$B$5=2021,IF('РЕЕСТР РИСКОВ_2023'!#REF!="",C144,'РЕЕСТР РИСКОВ_2023'!#REF!),IF('INHERENT MAP'!$B$5=2022,IF(#REF!="",C144,#REF!),IF('INHERENT MAP'!$B$5=2023,IF(#REF!="",C144,#REF!),IF('INHERENT MAP'!$B$5=2024,IF(#REF!="",C144,#REF!),IF('РЕЕСТР РИСКОВ_2023'!#REF!="",C144,'РЕЕСТР РИСКОВ_2023'!#REF!)))))</f>
        <v>#REF!</v>
      </c>
      <c r="D145" t="e">
        <f>IF('INHERENT MAP'!$B$5=2021,IF('РЕЕСТР РИСКОВ_2023'!#REF!="",D144,'РЕЕСТР РИСКОВ_2023'!#REF!),IF('INHERENT MAP'!$B$5=2022,IF(#REF!="",D144,#REF!),IF('INHERENT MAP'!$B$5=2023,IF(#REF!="",D144,#REF!),IF('INHERENT MAP'!$B$5=2024,IF(#REF!="",D144,#REF!),IF('РЕЕСТР РИСКОВ_2023'!#REF!="",D144,'РЕЕСТР РИСКОВ_2023'!#REF!)))))</f>
        <v>#REF!</v>
      </c>
      <c r="E145" t="e">
        <f>IF('INHERENT MAP'!$B$5=2021,IF('РЕЕСТР РИСКОВ_2023'!#REF!="",E144,'РЕЕСТР РИСКОВ_2023'!#REF!),IF('INHERENT MAP'!$B$5=2022,IF(#REF!="",E144,#REF!),IF('INHERENT MAP'!$B$5=2023,IF(#REF!="",E144,#REF!),IF('INHERENT MAP'!$B$5=2024,IF(#REF!="",E144,#REF!),IF('РЕЕСТР РИСКОВ_2023'!#REF!="",E144,'РЕЕСТР РИСКОВ_2023'!#REF!)))))</f>
        <v>#REF!</v>
      </c>
      <c r="F145" t="e">
        <f>IF('INHERENT MAP'!$B$5=2021,IF('РЕЕСТР РИСКОВ_2023'!#REF!="",F144,'РЕЕСТР РИСКОВ_2023'!#REF!),IF('INHERENT MAP'!$B$5=2022,IF(#REF!="",F144,#REF!),IF('INHERENT MAP'!$B$5=2023,IF(#REF!="",F144,#REF!),IF('INHERENT MAP'!$B$5=2024,IF(#REF!="",F144,#REF!),IF('РЕЕСТР РИСКОВ_2023'!#REF!="",F144,'РЕЕСТР РИСКОВ_2023'!#REF!)))))</f>
        <v>#REF!</v>
      </c>
      <c r="G145" t="e">
        <f>IF('INHERENT MAP'!$B$5=2021,IF('РЕЕСТР РИСКОВ_2023'!#REF!="",G144,'РЕЕСТР РИСКОВ_2023'!#REF!),IF('INHERENT MAP'!$B$5=2022,IF(#REF!="",G144,#REF!),IF('INHERENT MAP'!$B$5=2023,IF(#REF!="",G144,#REF!),IF('INHERENT MAP'!$B$5=2024,IF(#REF!="",G144,#REF!),IF('РЕЕСТР РИСКОВ_2023'!#REF!="",G144,'РЕЕСТР РИСКОВ_2023'!#REF!)))))</f>
        <v>#REF!</v>
      </c>
      <c r="H145" t="e">
        <f>IF('INHERENT MAP'!$B$5=2021,'РЕЕСТР РИСКОВ_2023'!#REF!,IF('INHERENT MAP'!$B$5=2022,#REF!,IF('INHERENT MAP'!$B$5=2023,#REF!,IF('INHERENT MAP'!$B$5=2024,#REF!,#REF!))))</f>
        <v>#REF!</v>
      </c>
      <c r="I145" t="e">
        <f>IF('INHERENT MAP'!$B$5=2021,'РЕЕСТР РИСКОВ_2023'!#REF!,IF('INHERENT MAP'!$B$5=2022,#REF!,IF('INHERENT MAP'!$B$5=2023,#REF!,IF('INHERENT MAP'!$B$5=2024,#REF!,#REF!))))</f>
        <v>#REF!</v>
      </c>
      <c r="J145" t="e">
        <f>IF('INHERENT MAP'!$B$5=2021,'РЕЕСТР РИСКОВ_2023'!#REF!,IF('INHERENT MAP'!$B$5=2022,#REF!,IF('INHERENT MAP'!$B$5=2023,#REF!,IF('INHERENT MAP'!$B$5=2024,#REF!,#REF!))))</f>
        <v>#REF!</v>
      </c>
      <c r="K145" t="e">
        <f>IF('INHERENT MAP'!$B$5=2021,'РЕЕСТР РИСКОВ_2023'!#REF!,IF('INHERENT MAP'!$B$5=2022,#REF!,IF('INHERENT MAP'!$B$5=2023,#REF!,IF('INHERENT MAP'!$B$5=2024,#REF!,#REF!))))</f>
        <v>#REF!</v>
      </c>
      <c r="L145" t="e">
        <f>IF('INHERENT MAP'!$B$5=2021,'РЕЕСТР РИСКОВ_2023'!#REF!,IF('INHERENT MAP'!$B$5=2022,#REF!,IF('INHERENT MAP'!$B$5=2023,#REF!,IF('INHERENT MAP'!$B$5=2024,#REF!,#REF!))))</f>
        <v>#REF!</v>
      </c>
      <c r="M145" t="e">
        <f>IF('INHERENT MAP'!$B$5=2021,IF('РЕЕСТР РИСКОВ_2023'!#REF!="",M144,'РЕЕСТР РИСКОВ_2023'!#REF!),IF('INHERENT MAP'!$B$5=2022,IF(#REF!="",M144,#REF!),IF('INHERENT MAP'!$B$5=2023,IF(#REF!="",M144,#REF!),IF('INHERENT MAP'!$B$5=2024,IF(#REF!="",M144,#REF!),IF('РЕЕСТР РИСКОВ_2023'!#REF!="",M144,'РЕЕСТР РИСКОВ_2023'!#REF!)))))</f>
        <v>#REF!</v>
      </c>
      <c r="N145" t="e">
        <f>IF('INHERENT MAP'!$B$5=2021,IF('РЕЕСТР РИСКОВ_2023'!#REF!="",N144,'РЕЕСТР РИСКОВ_2023'!#REF!),IF('INHERENT MAP'!$B$5=2022,IF(#REF!="",N144,#REF!),IF('INHERENT MAP'!$B$5=2023,IF(#REF!="",N144,#REF!),IF('INHERENT MAP'!$B$5=2024,IF(#REF!="",N144,#REF!),IF('РЕЕСТР РИСКОВ_2023'!#REF!="",N144,'РЕЕСТР РИСКОВ_2023'!#REF!)))))</f>
        <v>#REF!</v>
      </c>
      <c r="O145" t="e">
        <f>'РЕЕСТР РИСКОВ_2023'!#REF!</f>
        <v>#REF!</v>
      </c>
      <c r="P145" t="e">
        <f>IF('РЕЕСТР РИСКОВ_2023'!#REF!="",P144,'РЕЕСТР РИСКОВ_2023'!#REF!)</f>
        <v>#REF!</v>
      </c>
      <c r="Q145" t="e">
        <f>IF('РЕЕСТР РИСКОВ_2023'!#REF!="",Q144,'РЕЕСТР РИСКОВ_2023'!#REF!)</f>
        <v>#REF!</v>
      </c>
      <c r="R145" t="e">
        <f>IF('РЕЕСТР РИСКОВ_2023'!#REF!="",R144,'РЕЕСТР РИСКОВ_2023'!#REF!)</f>
        <v>#REF!</v>
      </c>
      <c r="S145" t="e">
        <f>'РЕЕСТР РИСКОВ_2023'!#REF!</f>
        <v>#REF!</v>
      </c>
      <c r="T145" s="94" t="e">
        <f>IF('INHERENT MAP'!$B$5=2021,'РЕЕСТР РИСКОВ_2023'!#REF!,IF('INHERENT MAP'!$B$5=2022,#REF!,IF('INHERENT MAP'!$B$5=2023,#REF!,IF('INHERENT MAP'!$B$5=2024,#REF!,#REF!))))</f>
        <v>#REF!</v>
      </c>
      <c r="U145" t="e">
        <f>IF('INHERENT MAP'!$B$5=2021,'РЕЕСТР РИСКОВ_2023'!#REF!,IF('INHERENT MAP'!$B$5=2022,#REF!,IF('INHERENT MAP'!$B$5=2023,#REF!,IF('INHERENT MAP'!$B$5=2024,#REF!,#REF!))))</f>
        <v>#REF!</v>
      </c>
      <c r="V145" t="e">
        <f>IF('INHERENT MAP'!$B$5=2021,'РЕЕСТР РИСКОВ_2023'!#REF!,IF('INHERENT MAP'!$B$5=2022,#REF!,IF('INHERENT MAP'!$B$5=2023,#REF!,IF('INHERENT MAP'!$B$5=2024,#REF!,#REF!))))</f>
        <v>#REF!</v>
      </c>
      <c r="W145" t="e">
        <f>IF('INHERENT MAP'!$B$5=2021,'РЕЕСТР РИСКОВ_2023'!#REF!,IF('INHERENT MAP'!$B$5=2022,#REF!,IF('INHERENT MAP'!$B$5=2023,#REF!,IF('INHERENT MAP'!$B$5=2024,#REF!,#REF!))))</f>
        <v>#REF!</v>
      </c>
      <c r="X145" s="94" t="e">
        <f>IF('INHERENT MAP'!$B$5=2021,'РЕЕСТР РИСКОВ_2023'!#REF!,IF('INHERENT MAP'!$B$5=2022,#REF!,IF('INHERENT MAP'!$B$5=2023,#REF!,IF('INHERENT MAP'!$B$5=2024,#REF!,#REF!))))</f>
        <v>#REF!</v>
      </c>
      <c r="Y145" t="e">
        <f>IF('INHERENT MAP'!$B$5=2021,'РЕЕСТР РИСКОВ_2023'!#REF!,IF('INHERENT MAP'!$B$5=2022,#REF!,IF('INHERENT MAP'!$B$5=2023,#REF!,IF('INHERENT MAP'!$B$5=2024,#REF!,#REF!))))</f>
        <v>#REF!</v>
      </c>
      <c r="Z145" t="e">
        <f>IF('INHERENT MAP'!$B$5=2021,'РЕЕСТР РИСКОВ_2023'!#REF!,IF('INHERENT MAP'!$B$5=2022,#REF!,IF('INHERENT MAP'!$B$5=2023,#REF!,IF('INHERENT MAP'!$B$5=2024,#REF!,#REF!))))</f>
        <v>#REF!</v>
      </c>
      <c r="AA145" t="e">
        <f>IF('INHERENT MAP'!$B$5=2021,'РЕЕСТР РИСКОВ_2023'!#REF!,IF('INHERENT MAP'!$B$5=2022,#REF!,IF('INHERENT MAP'!$B$5=2023,#REF!,IF('INHERENT MAP'!$B$5=2024,#REF!,#REF!))))</f>
        <v>#REF!</v>
      </c>
      <c r="AB145" t="e">
        <f>IF('INHERENT MAP'!$B$5=2021,'РЕЕСТР РИСКОВ_2023'!#REF!,IF('INHERENT MAP'!$B$5=2022,#REF!,IF('INHERENT MAP'!$B$5=2023,#REF!,IF('INHERENT MAP'!$B$5=2024,#REF!,#REF!))))</f>
        <v>#REF!</v>
      </c>
      <c r="AC145" t="e">
        <f>IF('INHERENT MAP'!$B$5=2021,'РЕЕСТР РИСКОВ_2023'!#REF!,IF('INHERENT MAP'!$B$5=2022,#REF!,IF('INHERENT MAP'!$B$5=2023,#REF!,IF('INHERENT MAP'!$B$5=2024,#REF!,#REF!))))</f>
        <v>#REF!</v>
      </c>
      <c r="AD145" t="e">
        <f>IF('INHERENT MAP'!$B$5=2021,'РЕЕСТР РИСКОВ_2023'!#REF!,IF('INHERENT MAP'!$B$5=2022,#REF!,IF('INHERENT MAP'!$B$5=2023,#REF!,IF('INHERENT MAP'!$B$5=2024,#REF!,#REF!))))</f>
        <v>#REF!</v>
      </c>
      <c r="AE145" t="e">
        <f>IF('INHERENT MAP'!$B$5=2021,'РЕЕСТР РИСКОВ_2023'!#REF!,IF('INHERENT MAP'!$B$5=2022,#REF!,IF('INHERENT MAP'!$B$5=2023,#REF!,IF('INHERENT MAP'!$B$5=2024,#REF!,#REF!))))</f>
        <v>#REF!</v>
      </c>
      <c r="AF145" t="e">
        <f>IF('INHERENT MAP'!$B$5=2021,'РЕЕСТР РИСКОВ_2023'!#REF!,IF('INHERENT MAP'!$B$5=2022,#REF!,IF('INHERENT MAP'!$B$5=2023,#REF!,IF('INHERENT MAP'!$B$5=2024,#REF!,#REF!))))</f>
        <v>#REF!</v>
      </c>
      <c r="AG145" t="e">
        <f>IF('INHERENT MAP'!$B$5=2021,'РЕЕСТР РИСКОВ_2023'!#REF!,IF('INHERENT MAP'!$B$5=2022,#REF!,IF('INHERENT MAP'!$B$5=2023,#REF!,IF('INHERENT MAP'!$B$5=2024,#REF!,#REF!))))</f>
        <v>#REF!</v>
      </c>
      <c r="AH145" t="e">
        <f>IF('INHERENT MAP'!$B$5=2021,'РЕЕСТР РИСКОВ_2023'!#REF!,IF('INHERENT MAP'!$B$5=2022,#REF!,IF('INHERENT MAP'!$B$5=2023,#REF!,IF('INHERENT MAP'!$B$5=2024,#REF!,#REF!))))</f>
        <v>#REF!</v>
      </c>
      <c r="AI145" t="e">
        <f>IF('INHERENT MAP'!$B$5=2021,'РЕЕСТР РИСКОВ_2023'!#REF!,IF('INHERENT MAP'!$B$5=2022,#REF!,IF('INHERENT MAP'!$B$5=2023,#REF!,IF('INHERENT MAP'!$B$5=2024,#REF!,#REF!))))</f>
        <v>#REF!</v>
      </c>
      <c r="AJ145" t="e">
        <f>IF('INHERENT MAP'!$B$5=2021,'РЕЕСТР РИСКОВ_2023'!#REF!,IF('INHERENT MAP'!$B$5=2022,#REF!,IF('INHERENT MAP'!$B$5=2023,#REF!,IF('INHERENT MAP'!$B$5=2024,#REF!,#REF!))))</f>
        <v>#REF!</v>
      </c>
      <c r="AK145" t="e">
        <f>IF('РЕЕСТР РИСКОВ_2023'!#REF!="",AK144,'РЕЕСТР РИСКОВ_2023'!#REF!)</f>
        <v>#REF!</v>
      </c>
      <c r="AL145" t="e">
        <f>IF('РЕЕСТР РИСКОВ_2023'!#REF!="",AL144,'РЕЕСТР РИСКОВ_2023'!#REF!)</f>
        <v>#REF!</v>
      </c>
      <c r="AM145" t="e">
        <f>IF('РЕЕСТР РИСКОВ_2023'!#REF!="",AM144,'РЕЕСТР РИСКОВ_2023'!#REF!)</f>
        <v>#REF!</v>
      </c>
      <c r="AN145" t="e">
        <f>IF('РЕЕСТР РИСКОВ_2023'!#REF!="",AN144,'РЕЕСТР РИСКОВ_2023'!#REF!)</f>
        <v>#REF!</v>
      </c>
      <c r="AO145" t="e">
        <f>IF('РЕЕСТР РИСКОВ_2023'!#REF!="",AO144,'РЕЕСТР РИСКОВ_2023'!#REF!)</f>
        <v>#REF!</v>
      </c>
    </row>
    <row r="146" spans="2:41">
      <c r="B146" t="e">
        <f>IF('INHERENT MAP'!$B$5=2021,IF('РЕЕСТР РИСКОВ_2023'!#REF!="",B145,'РЕЕСТР РИСКОВ_2023'!#REF!),IF('INHERENT MAP'!$B$5=2022,IF(#REF!="",B145,#REF!),IF('INHERENT MAP'!$B$5=2023,IF(#REF!="",B145,#REF!),IF('INHERENT MAP'!$B$5=2024,IF(#REF!="",B145,#REF!),IF('РЕЕСТР РИСКОВ_2023'!#REF!="",B145,'РЕЕСТР РИСКОВ_2023'!#REF!)))))</f>
        <v>#REF!</v>
      </c>
      <c r="C146" t="e">
        <f>IF('INHERENT MAP'!$B$5=2021,IF('РЕЕСТР РИСКОВ_2023'!#REF!="",C145,'РЕЕСТР РИСКОВ_2023'!#REF!),IF('INHERENT MAP'!$B$5=2022,IF(#REF!="",C145,#REF!),IF('INHERENT MAP'!$B$5=2023,IF(#REF!="",C145,#REF!),IF('INHERENT MAP'!$B$5=2024,IF(#REF!="",C145,#REF!),IF('РЕЕСТР РИСКОВ_2023'!#REF!="",C145,'РЕЕСТР РИСКОВ_2023'!#REF!)))))</f>
        <v>#REF!</v>
      </c>
      <c r="D146" t="e">
        <f>IF('INHERENT MAP'!$B$5=2021,IF('РЕЕСТР РИСКОВ_2023'!#REF!="",D145,'РЕЕСТР РИСКОВ_2023'!#REF!),IF('INHERENT MAP'!$B$5=2022,IF(#REF!="",D145,#REF!),IF('INHERENT MAP'!$B$5=2023,IF(#REF!="",D145,#REF!),IF('INHERENT MAP'!$B$5=2024,IF(#REF!="",D145,#REF!),IF('РЕЕСТР РИСКОВ_2023'!#REF!="",D145,'РЕЕСТР РИСКОВ_2023'!#REF!)))))</f>
        <v>#REF!</v>
      </c>
      <c r="E146" t="e">
        <f>IF('INHERENT MAP'!$B$5=2021,IF('РЕЕСТР РИСКОВ_2023'!#REF!="",E145,'РЕЕСТР РИСКОВ_2023'!#REF!),IF('INHERENT MAP'!$B$5=2022,IF(#REF!="",E145,#REF!),IF('INHERENT MAP'!$B$5=2023,IF(#REF!="",E145,#REF!),IF('INHERENT MAP'!$B$5=2024,IF(#REF!="",E145,#REF!),IF('РЕЕСТР РИСКОВ_2023'!#REF!="",E145,'РЕЕСТР РИСКОВ_2023'!#REF!)))))</f>
        <v>#REF!</v>
      </c>
      <c r="F146" t="e">
        <f>IF('INHERENT MAP'!$B$5=2021,IF('РЕЕСТР РИСКОВ_2023'!#REF!="",F145,'РЕЕСТР РИСКОВ_2023'!#REF!),IF('INHERENT MAP'!$B$5=2022,IF(#REF!="",F145,#REF!),IF('INHERENT MAP'!$B$5=2023,IF(#REF!="",F145,#REF!),IF('INHERENT MAP'!$B$5=2024,IF(#REF!="",F145,#REF!),IF('РЕЕСТР РИСКОВ_2023'!#REF!="",F145,'РЕЕСТР РИСКОВ_2023'!#REF!)))))</f>
        <v>#REF!</v>
      </c>
      <c r="G146" t="e">
        <f>IF('INHERENT MAP'!$B$5=2021,IF('РЕЕСТР РИСКОВ_2023'!#REF!="",G145,'РЕЕСТР РИСКОВ_2023'!#REF!),IF('INHERENT MAP'!$B$5=2022,IF(#REF!="",G145,#REF!),IF('INHERENT MAP'!$B$5=2023,IF(#REF!="",G145,#REF!),IF('INHERENT MAP'!$B$5=2024,IF(#REF!="",G145,#REF!),IF('РЕЕСТР РИСКОВ_2023'!#REF!="",G145,'РЕЕСТР РИСКОВ_2023'!#REF!)))))</f>
        <v>#REF!</v>
      </c>
      <c r="H146" t="e">
        <f>IF('INHERENT MAP'!$B$5=2021,'РЕЕСТР РИСКОВ_2023'!#REF!,IF('INHERENT MAP'!$B$5=2022,#REF!,IF('INHERENT MAP'!$B$5=2023,#REF!,IF('INHERENT MAP'!$B$5=2024,#REF!,#REF!))))</f>
        <v>#REF!</v>
      </c>
      <c r="I146" t="e">
        <f>IF('INHERENT MAP'!$B$5=2021,'РЕЕСТР РИСКОВ_2023'!#REF!,IF('INHERENT MAP'!$B$5=2022,#REF!,IF('INHERENT MAP'!$B$5=2023,#REF!,IF('INHERENT MAP'!$B$5=2024,#REF!,#REF!))))</f>
        <v>#REF!</v>
      </c>
      <c r="J146" t="e">
        <f>IF('INHERENT MAP'!$B$5=2021,'РЕЕСТР РИСКОВ_2023'!#REF!,IF('INHERENT MAP'!$B$5=2022,#REF!,IF('INHERENT MAP'!$B$5=2023,#REF!,IF('INHERENT MAP'!$B$5=2024,#REF!,#REF!))))</f>
        <v>#REF!</v>
      </c>
      <c r="K146" t="e">
        <f>IF('INHERENT MAP'!$B$5=2021,'РЕЕСТР РИСКОВ_2023'!#REF!,IF('INHERENT MAP'!$B$5=2022,#REF!,IF('INHERENT MAP'!$B$5=2023,#REF!,IF('INHERENT MAP'!$B$5=2024,#REF!,#REF!))))</f>
        <v>#REF!</v>
      </c>
      <c r="L146" t="e">
        <f>IF('INHERENT MAP'!$B$5=2021,'РЕЕСТР РИСКОВ_2023'!#REF!,IF('INHERENT MAP'!$B$5=2022,#REF!,IF('INHERENT MAP'!$B$5=2023,#REF!,IF('INHERENT MAP'!$B$5=2024,#REF!,#REF!))))</f>
        <v>#REF!</v>
      </c>
      <c r="M146" t="e">
        <f>IF('INHERENT MAP'!$B$5=2021,IF('РЕЕСТР РИСКОВ_2023'!#REF!="",M145,'РЕЕСТР РИСКОВ_2023'!#REF!),IF('INHERENT MAP'!$B$5=2022,IF(#REF!="",M145,#REF!),IF('INHERENT MAP'!$B$5=2023,IF(#REF!="",M145,#REF!),IF('INHERENT MAP'!$B$5=2024,IF(#REF!="",M145,#REF!),IF('РЕЕСТР РИСКОВ_2023'!#REF!="",M145,'РЕЕСТР РИСКОВ_2023'!#REF!)))))</f>
        <v>#REF!</v>
      </c>
      <c r="N146" t="e">
        <f>IF('INHERENT MAP'!$B$5=2021,IF('РЕЕСТР РИСКОВ_2023'!#REF!="",N145,'РЕЕСТР РИСКОВ_2023'!#REF!),IF('INHERENT MAP'!$B$5=2022,IF(#REF!="",N145,#REF!),IF('INHERENT MAP'!$B$5=2023,IF(#REF!="",N145,#REF!),IF('INHERENT MAP'!$B$5=2024,IF(#REF!="",N145,#REF!),IF('РЕЕСТР РИСКОВ_2023'!#REF!="",N145,'РЕЕСТР РИСКОВ_2023'!#REF!)))))</f>
        <v>#REF!</v>
      </c>
      <c r="O146" t="e">
        <f>'РЕЕСТР РИСКОВ_2023'!#REF!</f>
        <v>#REF!</v>
      </c>
      <c r="P146" t="e">
        <f>IF('РЕЕСТР РИСКОВ_2023'!#REF!="",P145,'РЕЕСТР РИСКОВ_2023'!#REF!)</f>
        <v>#REF!</v>
      </c>
      <c r="Q146" t="e">
        <f>IF('РЕЕСТР РИСКОВ_2023'!#REF!="",Q145,'РЕЕСТР РИСКОВ_2023'!#REF!)</f>
        <v>#REF!</v>
      </c>
      <c r="R146" t="e">
        <f>IF('РЕЕСТР РИСКОВ_2023'!#REF!="",R145,'РЕЕСТР РИСКОВ_2023'!#REF!)</f>
        <v>#REF!</v>
      </c>
      <c r="S146" t="e">
        <f>'РЕЕСТР РИСКОВ_2023'!#REF!</f>
        <v>#REF!</v>
      </c>
      <c r="T146" s="94" t="e">
        <f>IF('INHERENT MAP'!$B$5=2021,'РЕЕСТР РИСКОВ_2023'!#REF!,IF('INHERENT MAP'!$B$5=2022,#REF!,IF('INHERENT MAP'!$B$5=2023,#REF!,IF('INHERENT MAP'!$B$5=2024,#REF!,#REF!))))</f>
        <v>#REF!</v>
      </c>
      <c r="U146" t="e">
        <f>IF('INHERENT MAP'!$B$5=2021,'РЕЕСТР РИСКОВ_2023'!#REF!,IF('INHERENT MAP'!$B$5=2022,#REF!,IF('INHERENT MAP'!$B$5=2023,#REF!,IF('INHERENT MAP'!$B$5=2024,#REF!,#REF!))))</f>
        <v>#REF!</v>
      </c>
      <c r="V146" t="e">
        <f>IF('INHERENT MAP'!$B$5=2021,'РЕЕСТР РИСКОВ_2023'!#REF!,IF('INHERENT MAP'!$B$5=2022,#REF!,IF('INHERENT MAP'!$B$5=2023,#REF!,IF('INHERENT MAP'!$B$5=2024,#REF!,#REF!))))</f>
        <v>#REF!</v>
      </c>
      <c r="W146" t="e">
        <f>IF('INHERENT MAP'!$B$5=2021,'РЕЕСТР РИСКОВ_2023'!#REF!,IF('INHERENT MAP'!$B$5=2022,#REF!,IF('INHERENT MAP'!$B$5=2023,#REF!,IF('INHERENT MAP'!$B$5=2024,#REF!,#REF!))))</f>
        <v>#REF!</v>
      </c>
      <c r="X146" s="94" t="e">
        <f>IF('INHERENT MAP'!$B$5=2021,'РЕЕСТР РИСКОВ_2023'!#REF!,IF('INHERENT MAP'!$B$5=2022,#REF!,IF('INHERENT MAP'!$B$5=2023,#REF!,IF('INHERENT MAP'!$B$5=2024,#REF!,#REF!))))</f>
        <v>#REF!</v>
      </c>
      <c r="Y146" t="e">
        <f>IF('INHERENT MAP'!$B$5=2021,'РЕЕСТР РИСКОВ_2023'!#REF!,IF('INHERENT MAP'!$B$5=2022,#REF!,IF('INHERENT MAP'!$B$5=2023,#REF!,IF('INHERENT MAP'!$B$5=2024,#REF!,#REF!))))</f>
        <v>#REF!</v>
      </c>
      <c r="Z146" t="e">
        <f>IF('INHERENT MAP'!$B$5=2021,'РЕЕСТР РИСКОВ_2023'!#REF!,IF('INHERENT MAP'!$B$5=2022,#REF!,IF('INHERENT MAP'!$B$5=2023,#REF!,IF('INHERENT MAP'!$B$5=2024,#REF!,#REF!))))</f>
        <v>#REF!</v>
      </c>
      <c r="AA146" t="e">
        <f>IF('INHERENT MAP'!$B$5=2021,'РЕЕСТР РИСКОВ_2023'!#REF!,IF('INHERENT MAP'!$B$5=2022,#REF!,IF('INHERENT MAP'!$B$5=2023,#REF!,IF('INHERENT MAP'!$B$5=2024,#REF!,#REF!))))</f>
        <v>#REF!</v>
      </c>
      <c r="AB146" t="e">
        <f>IF('INHERENT MAP'!$B$5=2021,'РЕЕСТР РИСКОВ_2023'!#REF!,IF('INHERENT MAP'!$B$5=2022,#REF!,IF('INHERENT MAP'!$B$5=2023,#REF!,IF('INHERENT MAP'!$B$5=2024,#REF!,#REF!))))</f>
        <v>#REF!</v>
      </c>
      <c r="AC146" t="e">
        <f>IF('INHERENT MAP'!$B$5=2021,'РЕЕСТР РИСКОВ_2023'!#REF!,IF('INHERENT MAP'!$B$5=2022,#REF!,IF('INHERENT MAP'!$B$5=2023,#REF!,IF('INHERENT MAP'!$B$5=2024,#REF!,#REF!))))</f>
        <v>#REF!</v>
      </c>
      <c r="AD146" t="e">
        <f>IF('INHERENT MAP'!$B$5=2021,'РЕЕСТР РИСКОВ_2023'!#REF!,IF('INHERENT MAP'!$B$5=2022,#REF!,IF('INHERENT MAP'!$B$5=2023,#REF!,IF('INHERENT MAP'!$B$5=2024,#REF!,#REF!))))</f>
        <v>#REF!</v>
      </c>
      <c r="AE146" t="e">
        <f>IF('INHERENT MAP'!$B$5=2021,'РЕЕСТР РИСКОВ_2023'!#REF!,IF('INHERENT MAP'!$B$5=2022,#REF!,IF('INHERENT MAP'!$B$5=2023,#REF!,IF('INHERENT MAP'!$B$5=2024,#REF!,#REF!))))</f>
        <v>#REF!</v>
      </c>
      <c r="AF146" t="e">
        <f>IF('INHERENT MAP'!$B$5=2021,'РЕЕСТР РИСКОВ_2023'!#REF!,IF('INHERENT MAP'!$B$5=2022,#REF!,IF('INHERENT MAP'!$B$5=2023,#REF!,IF('INHERENT MAP'!$B$5=2024,#REF!,#REF!))))</f>
        <v>#REF!</v>
      </c>
      <c r="AG146" t="e">
        <f>IF('INHERENT MAP'!$B$5=2021,'РЕЕСТР РИСКОВ_2023'!#REF!,IF('INHERENT MAP'!$B$5=2022,#REF!,IF('INHERENT MAP'!$B$5=2023,#REF!,IF('INHERENT MAP'!$B$5=2024,#REF!,#REF!))))</f>
        <v>#REF!</v>
      </c>
      <c r="AH146" t="e">
        <f>IF('INHERENT MAP'!$B$5=2021,'РЕЕСТР РИСКОВ_2023'!#REF!,IF('INHERENT MAP'!$B$5=2022,#REF!,IF('INHERENT MAP'!$B$5=2023,#REF!,IF('INHERENT MAP'!$B$5=2024,#REF!,#REF!))))</f>
        <v>#REF!</v>
      </c>
      <c r="AI146" t="e">
        <f>IF('INHERENT MAP'!$B$5=2021,'РЕЕСТР РИСКОВ_2023'!#REF!,IF('INHERENT MAP'!$B$5=2022,#REF!,IF('INHERENT MAP'!$B$5=2023,#REF!,IF('INHERENT MAP'!$B$5=2024,#REF!,#REF!))))</f>
        <v>#REF!</v>
      </c>
      <c r="AJ146" t="e">
        <f>IF('INHERENT MAP'!$B$5=2021,'РЕЕСТР РИСКОВ_2023'!#REF!,IF('INHERENT MAP'!$B$5=2022,#REF!,IF('INHERENT MAP'!$B$5=2023,#REF!,IF('INHERENT MAP'!$B$5=2024,#REF!,#REF!))))</f>
        <v>#REF!</v>
      </c>
      <c r="AK146" t="e">
        <f>IF('РЕЕСТР РИСКОВ_2023'!#REF!="",AK145,'РЕЕСТР РИСКОВ_2023'!#REF!)</f>
        <v>#REF!</v>
      </c>
      <c r="AL146" t="e">
        <f>IF('РЕЕСТР РИСКОВ_2023'!#REF!="",AL145,'РЕЕСТР РИСКОВ_2023'!#REF!)</f>
        <v>#REF!</v>
      </c>
      <c r="AM146" t="e">
        <f>IF('РЕЕСТР РИСКОВ_2023'!#REF!="",AM145,'РЕЕСТР РИСКОВ_2023'!#REF!)</f>
        <v>#REF!</v>
      </c>
      <c r="AN146" t="e">
        <f>IF('РЕЕСТР РИСКОВ_2023'!#REF!="",AN145,'РЕЕСТР РИСКОВ_2023'!#REF!)</f>
        <v>#REF!</v>
      </c>
      <c r="AO146" t="e">
        <f>IF('РЕЕСТР РИСКОВ_2023'!#REF!="",AO145,'РЕЕСТР РИСКОВ_2023'!#REF!)</f>
        <v>#REF!</v>
      </c>
    </row>
    <row r="147" spans="2:41">
      <c r="B147" t="str">
        <f>IF('INHERENT MAP'!$B$5=2021,IF('РЕЕСТР РИСКОВ_2023'!F173="",B146,'РЕЕСТР РИСКОВ_2023'!F173),IF('INHERENT MAP'!$B$5=2022,IF(#REF!="",B146,#REF!),IF('INHERENT MAP'!$B$5=2023,IF(#REF!="",B146,#REF!),IF('INHERENT MAP'!$B$5=2024,IF(#REF!="",B146,#REF!),IF('РЕЕСТР РИСКОВ_2023'!F173="",B146,'РЕЕСТР РИСКОВ_2023'!F173)))))</f>
        <v>ИТ и КИБЕР РИСК</v>
      </c>
      <c r="C147" t="e">
        <f>IF('INHERENT MAP'!$B$5=2021,IF('РЕЕСТР РИСКОВ_2023'!G173="",C146,'РЕЕСТР РИСКОВ_2023'!G173),IF('INHERENT MAP'!$B$5=2022,IF(#REF!="",C146,#REF!),IF('INHERENT MAP'!$B$5=2023,IF(#REF!="",C146,#REF!),IF('INHERENT MAP'!$B$5=2024,IF(#REF!="",C146,#REF!),IF('РЕЕСТР РИСКОВ_2023'!G173="",C146,'РЕЕСТР РИСКОВ_2023'!G173)))))</f>
        <v>#REF!</v>
      </c>
      <c r="D147" t="str">
        <f>IF('INHERENT MAP'!$B$5=2021,IF('РЕЕСТР РИСКОВ_2023'!H173="",D146,'РЕЕСТР РИСКОВ_2023'!H173),IF('INHERENT MAP'!$B$5=2022,IF(#REF!="",D146,#REF!),IF('INHERENT MAP'!$B$5=2023,IF(#REF!="",D146,#REF!),IF('INHERENT MAP'!$B$5=2024,IF(#REF!="",D146,#REF!),IF('РЕЕСТР РИСКОВ_2023'!H173="",D146,'РЕЕСТР РИСКОВ_2023'!H173)))))</f>
        <v>ICR-1</v>
      </c>
      <c r="E147" t="str">
        <f>IF('INHERENT MAP'!$B$5=2021,IF('РЕЕСТР РИСКОВ_2023'!I173="",E146,'РЕЕСТР РИСКОВ_2023'!I173),IF('INHERENT MAP'!$B$5=2022,IF(#REF!="",E146,#REF!),IF('INHERENT MAP'!$B$5=2023,IF(#REF!="",E146,#REF!),IF('INHERENT MAP'!$B$5=2024,IF(#REF!="",E146,#REF!),IF('РЕЕСТР РИСКОВ_2023'!I173="",E146,'РЕЕСТР РИСКОВ_2023'!I173)))))</f>
        <v>ЦЗК</v>
      </c>
      <c r="F147" t="str">
        <f>IF('INHERENT MAP'!$B$5=2021,IF('РЕЕСТР РИСКОВ_2023'!J173="",F146,'РЕЕСТР РИСКОВ_2023'!J173),IF('INHERENT MAP'!$B$5=2022,IF(#REF!="",F146,#REF!),IF('INHERENT MAP'!$B$5=2023,IF(#REF!="",F146,#REF!),IF('INHERENT MAP'!$B$5=2024,IF(#REF!="",F146,#REF!),IF('РЕЕСТР РИСКОВ_2023'!J173="",F146,'РЕЕСТР РИСКОВ_2023'!J173)))))</f>
        <v>Дирекция автоматизации и цифровизации</v>
      </c>
      <c r="G147" t="str">
        <f>IF('INHERENT MAP'!$B$5=2021,IF('РЕЕСТР РИСКОВ_2023'!K173="",G146,'РЕЕСТР РИСКОВ_2023'!K173),IF('INHERENT MAP'!$B$5=2022,IF(#REF!="",G146,#REF!),IF('INHERENT MAP'!$B$5=2023,IF(#REF!="",G146,#REF!),IF('INHERENT MAP'!$B$5=2024,IF(#REF!="",G146,#REF!),IF('РЕЕСТР РИСКОВ_2023'!K173="",G146,'РЕЕСТР РИСКОВ_2023'!K173)))))</f>
        <v>Отказ/сбой систем жизнеобеспечения</v>
      </c>
      <c r="H147">
        <f>IF('INHERENT MAP'!$B$5=2021,'РЕЕСТР РИСКОВ_2023'!L173,IF('INHERENT MAP'!$B$5=2022,#REF!,IF('INHERENT MAP'!$B$5=2023,#REF!,IF('INHERENT MAP'!$B$5=2024,#REF!,#REF!))))</f>
        <v>99.7</v>
      </c>
      <c r="I147" t="str">
        <f>IF('INHERENT MAP'!$B$5=2021,'РЕЕСТР РИСКОВ_2023'!M173,IF('INHERENT MAP'!$B$5=2022,#REF!,IF('INHERENT MAP'!$B$5=2023,#REF!,IF('INHERENT MAP'!$B$5=2024,#REF!,#REF!))))</f>
        <v>99,7 (обеспечение бесперебойного функционирования ИС)</v>
      </c>
      <c r="J147">
        <f>IF('INHERENT MAP'!$B$5=2021,'РЕЕСТР РИСКОВ_2023'!N173,IF('INHERENT MAP'!$B$5=2022,#REF!,IF('INHERENT MAP'!$B$5=2023,#REF!,IF('INHERENT MAP'!$B$5=2024,#REF!,#REF!))))</f>
        <v>0</v>
      </c>
      <c r="K147">
        <f>IF('INHERENT MAP'!$B$5=2021,'РЕЕСТР РИСКОВ_2023'!O173,IF('INHERENT MAP'!$B$5=2022,#REF!,IF('INHERENT MAP'!$B$5=2023,#REF!,IF('INHERENT MAP'!$B$5=2024,#REF!,#REF!))))</f>
        <v>0</v>
      </c>
      <c r="L147">
        <f>IF('INHERENT MAP'!$B$5=2021,'РЕЕСТР РИСКОВ_2023'!P173,IF('INHERENT MAP'!$B$5=2022,#REF!,IF('INHERENT MAP'!$B$5=2023,#REF!,IF('INHERENT MAP'!$B$5=2024,#REF!,#REF!))))</f>
        <v>0</v>
      </c>
      <c r="M147" t="str">
        <f>IF('INHERENT MAP'!$B$5=2021,IF('РЕЕСТР РИСКОВ_2023'!Q173="",M146,'РЕЕСТР РИСКОВ_2023'!Q173),IF('INHERENT MAP'!$B$5=2022,IF(#REF!="",M146,#REF!),IF('INHERENT MAP'!$B$5=2023,IF(#REF!="",M146,#REF!),IF('INHERENT MAP'!$B$5=2024,IF(#REF!="",M146,#REF!),IF('РЕЕСТР РИСКОВ_2023'!Q173="",M146,'РЕЕСТР РИСКОВ_2023'!Q173)))))</f>
        <v>1.Прекращение/перебои подачи  электроэнергии. 
2. Нарушение температурного режима в системе кондиционирования. 
3. Угроза возгорания (Пожар). 
4. Порыв воды в гермозоне  
5.  Истечение нормативного срока службы
6. Риск выхода из строя оборудования, обеспечивающего бесперебойное электроснабжение IT- систем</v>
      </c>
      <c r="N147" t="str">
        <f>IF('INHERENT MAP'!$B$5=2021,IF('РЕЕСТР РИСКОВ_2023'!R173="",N146,'РЕЕСТР РИСКОВ_2023'!R173),IF('INHERENT MAP'!$B$5=2022,IF(#REF!="",N146,#REF!),IF('INHERENT MAP'!$B$5=2023,IF(#REF!="",N146,#REF!),IF('INHERENT MAP'!$B$5=2024,IF(#REF!="",N146,#REF!),IF('РЕЕСТР РИСКОВ_2023'!R173="",N146,'РЕЕСТР РИСКОВ_2023'!R173)))))</f>
        <v>Неисполнение плана по расходу ТЭР
риск снижения энергорезультативности согласно Руководству по системе энергоменеджмента
риск снижения оснащенности энергоэффекитвными техническими средствами</v>
      </c>
      <c r="O147">
        <f>'РЕЕСТР РИСКОВ_2023'!T173</f>
        <v>0</v>
      </c>
      <c r="P147" t="e">
        <f>IF('РЕЕСТР РИСКОВ_2023'!U173="",P146,'РЕЕСТР РИСКОВ_2023'!U173)</f>
        <v>#REF!</v>
      </c>
      <c r="Q147" t="str">
        <f>IF('РЕЕСТР РИСКОВ_2023'!V173="",Q146,'РЕЕСТР РИСКОВ_2023'!V173)</f>
        <v>Угрозы</v>
      </c>
      <c r="R147" t="str">
        <f>IF('РЕЕСТР РИСКОВ_2023'!W173="",R146,'РЕЕСТР РИСКОВ_2023'!W173)</f>
        <v>Количество инцидентов</v>
      </c>
      <c r="S147">
        <f>'РЕЕСТР РИСКОВ_2023'!X173</f>
        <v>0</v>
      </c>
      <c r="T147" s="94">
        <f>IF('INHERENT MAP'!$B$5=2021,'РЕЕСТР РИСКОВ_2023'!Y173,IF('INHERENT MAP'!$B$5=2022,#REF!,IF('INHERENT MAP'!$B$5=2023,#REF!,IF('INHERENT MAP'!$B$5=2024,#REF!,#REF!))))</f>
        <v>0.02</v>
      </c>
      <c r="U147">
        <f>IF('INHERENT MAP'!$B$5=2021,'РЕЕСТР РИСКОВ_2023'!Z173,IF('INHERENT MAP'!$B$5=2022,#REF!,IF('INHERENT MAP'!$B$5=2023,#REF!,IF('INHERENT MAP'!$B$5=2024,#REF!,#REF!))))</f>
        <v>0</v>
      </c>
      <c r="V147">
        <f>IF('INHERENT MAP'!$B$5=2021,'РЕЕСТР РИСКОВ_2023'!AA173,IF('INHERENT MAP'!$B$5=2022,#REF!,IF('INHERENT MAP'!$B$5=2023,#REF!,IF('INHERENT MAP'!$B$5=2024,#REF!,#REF!))))</f>
        <v>0</v>
      </c>
      <c r="W147">
        <f>IF('INHERENT MAP'!$B$5=2021,'РЕЕСТР РИСКОВ_2023'!AB173,IF('INHERENT MAP'!$B$5=2022,#REF!,IF('INHERENT MAP'!$B$5=2023,#REF!,IF('INHERENT MAP'!$B$5=2024,#REF!,#REF!))))</f>
        <v>0</v>
      </c>
      <c r="X147" s="94">
        <f>IF('INHERENT MAP'!$B$5=2021,'РЕЕСТР РИСКОВ_2023'!AC173,IF('INHERENT MAP'!$B$5=2022,#REF!,IF('INHERENT MAP'!$B$5=2023,#REF!,IF('INHERENT MAP'!$B$5=2024,#REF!,#REF!))))</f>
        <v>0.02</v>
      </c>
      <c r="Y147">
        <f>IF('INHERENT MAP'!$B$5=2021,'РЕЕСТР РИСКОВ_2023'!AD173,IF('INHERENT MAP'!$B$5=2022,#REF!,IF('INHERENT MAP'!$B$5=2023,#REF!,IF('INHERENT MAP'!$B$5=2024,#REF!,#REF!))))</f>
        <v>0</v>
      </c>
      <c r="Z147">
        <f>IF('INHERENT MAP'!$B$5=2021,'РЕЕСТР РИСКОВ_2023'!AE173,IF('INHERENT MAP'!$B$5=2022,#REF!,IF('INHERENT MAP'!$B$5=2023,#REF!,IF('INHERENT MAP'!$B$5=2024,#REF!,#REF!))))</f>
        <v>0</v>
      </c>
      <c r="AA147">
        <f>IF('INHERENT MAP'!$B$5=2021,'РЕЕСТР РИСКОВ_2023'!AF173,IF('INHERENT MAP'!$B$5=2022,#REF!,IF('INHERENT MAP'!$B$5=2023,#REF!,IF('INHERENT MAP'!$B$5=2024,#REF!,#REF!))))</f>
        <v>0</v>
      </c>
      <c r="AB147">
        <f>IF('INHERENT MAP'!$B$5=2021,'РЕЕСТР РИСКОВ_2023'!AG173,IF('INHERENT MAP'!$B$5=2022,#REF!,IF('INHERENT MAP'!$B$5=2023,#REF!,IF('INHERENT MAP'!$B$5=2024,#REF!,#REF!))))</f>
        <v>0</v>
      </c>
      <c r="AC147">
        <f>IF('INHERENT MAP'!$B$5=2021,'РЕЕСТР РИСКОВ_2023'!AH173,IF('INHERENT MAP'!$B$5=2022,#REF!,IF('INHERENT MAP'!$B$5=2023,#REF!,IF('INHERENT MAP'!$B$5=2024,#REF!,#REF!))))</f>
        <v>0</v>
      </c>
      <c r="AD147" t="str">
        <f>IF('INHERENT MAP'!$B$5=2021,'РЕЕСТР РИСКОВ_2023'!AI173,IF('INHERENT MAP'!$B$5=2022,#REF!,IF('INHERENT MAP'!$B$5=2023,#REF!,IF('INHERENT MAP'!$B$5=2024,#REF!,#REF!))))</f>
        <v>1.Обеспечить бесперебойное гарантированное электропитание. 
2. Закуп/замена системы бесперебойного питания  
3. Периодическое проведение профилактических работ систем бесперебойного питания и кондиционирования  
4. Ежемесячное тестирование и мониторинг оборудования в круглосуточном режиме работы сменным персоналом   
5. Своевременный контроль за первичными средствами пожаротушения (огнетушители)
6. Соблюдение правила санкционированного контроля доступа                                                                                                                                                                                                                                                                               
Своевременное заключение договоров на закуп/тех.поддержку/тех.обслуживание кондиционирования, АУГПТ и пожаро-охраной сигнализации.    
Переход на современные и эффективные источники бесперебойного питания, учитывающие технологический цикл IT оборудования в целом, -  полная замена физически изношенной и морально устаревшей системы гарантированного электроснабжения ИБП EATON, так как на эту систему отсутствует запасные части, что приводит к сложностям и значительным расходам на сопровождение системы и удержания её в рабочем состоянии.
предлагается приобретение и установка следующего оборудования:
∙ Источники бесперебойного питания в количестве 2-х единиц, мощностью 200 кВА каждый работающие в параллель по схеме (N +1) в комплекте с периферийными устройствами и аккумуляторами с резервом по времени 30 минут, взамен существующих ИБП EATON;
∙ Замена отработавших свой эксплуатационный ресурс аккумуляторных батарей в кол-ве 288 ед. на ИБП АРС Galaxy.</v>
      </c>
      <c r="AE147" t="str">
        <f>IF('INHERENT MAP'!$B$5=2021,'РЕЕСТР РИСКОВ_2023'!AK173,IF('INHERENT MAP'!$B$5=2022,#REF!,IF('INHERENT MAP'!$B$5=2023,#REF!,IF('INHERENT MAP'!$B$5=2024,#REF!,#REF!))))</f>
        <v>Дирекция автоматизации и цифровизации</v>
      </c>
      <c r="AF147">
        <f>IF('INHERENT MAP'!$B$5=2021,'РЕЕСТР РИСКОВ_2023'!AL173,IF('INHERENT MAP'!$B$5=2022,#REF!,IF('INHERENT MAP'!$B$5=2023,#REF!,IF('INHERENT MAP'!$B$5=2024,#REF!,#REF!))))</f>
        <v>0</v>
      </c>
      <c r="AG147" t="str">
        <f>IF('INHERENT MAP'!$B$5=2021,'РЕЕСТР РИСКОВ_2023'!AM173,IF('INHERENT MAP'!$B$5=2022,#REF!,IF('INHERENT MAP'!$B$5=2023,#REF!,IF('INHERENT MAP'!$B$5=2024,#REF!,#REF!))))</f>
        <v>средняя</v>
      </c>
      <c r="AH147">
        <f>IF('INHERENT MAP'!$B$5=2021,'РЕЕСТР РИСКОВ_2023'!AN173,IF('INHERENT MAP'!$B$5=2022,#REF!,IF('INHERENT MAP'!$B$5=2023,#REF!,IF('INHERENT MAP'!$B$5=2024,#REF!,#REF!))))</f>
        <v>0.01</v>
      </c>
      <c r="AI147">
        <f>IF('INHERENT MAP'!$B$5=2021,'РЕЕСТР РИСКОВ_2023'!AO173,IF('INHERENT MAP'!$B$5=2022,#REF!,IF('INHERENT MAP'!$B$5=2023,#REF!,IF('INHERENT MAP'!$B$5=2024,#REF!,#REF!))))</f>
        <v>0</v>
      </c>
      <c r="AJ147">
        <f>IF('INHERENT MAP'!$B$5=2021,'РЕЕСТР РИСКОВ_2023'!AP173,IF('INHERENT MAP'!$B$5=2022,#REF!,IF('INHERENT MAP'!$B$5=2023,#REF!,IF('INHERENT MAP'!$B$5=2024,#REF!,#REF!))))</f>
        <v>0</v>
      </c>
      <c r="AK147">
        <f>IF('РЕЕСТР РИСКОВ_2023'!AQ173="",AK146,'РЕЕСТР РИСКОВ_2023'!AQ173)</f>
        <v>0</v>
      </c>
      <c r="AL147">
        <f>IF('РЕЕСТР РИСКОВ_2023'!AR173="",AL146,'РЕЕСТР РИСКОВ_2023'!AR173)</f>
        <v>0.8</v>
      </c>
      <c r="AM147" t="e">
        <f>IF('РЕЕСТР РИСКОВ_2023'!AS173="",AM146,'РЕЕСТР РИСКОВ_2023'!AS173)</f>
        <v>#REF!</v>
      </c>
      <c r="AN147">
        <f>IF('РЕЕСТР РИСКОВ_2023'!AT173="",AN146,'РЕЕСТР РИСКОВ_2023'!AT173)</f>
        <v>0</v>
      </c>
      <c r="AO147" t="e">
        <f>IF('РЕЕСТР РИСКОВ_2023'!AU173="",AO146,'РЕЕСТР РИСКОВ_2023'!AU173)</f>
        <v>#REF!</v>
      </c>
    </row>
    <row r="148" spans="2:41">
      <c r="B148" t="str">
        <f>IF('INHERENT MAP'!$B$5=2021,IF('РЕЕСТР РИСКОВ_2023'!F174="",B147,'РЕЕСТР РИСКОВ_2023'!F174),IF('INHERENT MAP'!$B$5=2022,IF(#REF!="",B147,#REF!),IF('INHERENT MAP'!$B$5=2023,IF(#REF!="",B147,#REF!),IF('INHERENT MAP'!$B$5=2024,IF(#REF!="",B147,#REF!),IF('РЕЕСТР РИСКОВ_2023'!F174="",B147,'РЕЕСТР РИСКОВ_2023'!F174)))))</f>
        <v>ИТ и КИБЕР РИСК</v>
      </c>
      <c r="C148" t="e">
        <f>IF('INHERENT MAP'!$B$5=2021,IF('РЕЕСТР РИСКОВ_2023'!G174="",C147,'РЕЕСТР РИСКОВ_2023'!G174),IF('INHERENT MAP'!$B$5=2022,IF(#REF!="",C147,#REF!),IF('INHERENT MAP'!$B$5=2023,IF(#REF!="",C147,#REF!),IF('INHERENT MAP'!$B$5=2024,IF(#REF!="",C147,#REF!),IF('РЕЕСТР РИСКОВ_2023'!G174="",C147,'РЕЕСТР РИСКОВ_2023'!G174)))))</f>
        <v>#REF!</v>
      </c>
      <c r="D148" t="str">
        <f>IF('INHERENT MAP'!$B$5=2021,IF('РЕЕСТР РИСКОВ_2023'!H174="",D147,'РЕЕСТР РИСКОВ_2023'!H174),IF('INHERENT MAP'!$B$5=2022,IF(#REF!="",D147,#REF!),IF('INHERENT MAP'!$B$5=2023,IF(#REF!="",D147,#REF!),IF('INHERENT MAP'!$B$5=2024,IF(#REF!="",D147,#REF!),IF('РЕЕСТР РИСКОВ_2023'!H174="",D147,'РЕЕСТР РИСКОВ_2023'!H174)))))</f>
        <v>ICR-2</v>
      </c>
      <c r="E148" t="str">
        <f>IF('INHERENT MAP'!$B$5=2021,IF('РЕЕСТР РИСКОВ_2023'!I174="",E147,'РЕЕСТР РИСКОВ_2023'!I174),IF('INHERENT MAP'!$B$5=2022,IF(#REF!="",E147,#REF!),IF('INHERENT MAP'!$B$5=2023,IF(#REF!="",E147,#REF!),IF('INHERENT MAP'!$B$5=2024,IF(#REF!="",E147,#REF!),IF('РЕЕСТР РИСКОВ_2023'!I174="",E147,'РЕЕСТР РИСКОВ_2023'!I174)))))</f>
        <v>ЦЗК</v>
      </c>
      <c r="F148" t="str">
        <f>IF('INHERENT MAP'!$B$5=2021,IF('РЕЕСТР РИСКОВ_2023'!J174="",F147,'РЕЕСТР РИСКОВ_2023'!J174),IF('INHERENT MAP'!$B$5=2022,IF(#REF!="",F147,#REF!),IF('INHERENT MAP'!$B$5=2023,IF(#REF!="",F147,#REF!),IF('INHERENT MAP'!$B$5=2024,IF(#REF!="",F147,#REF!),IF('РЕЕСТР РИСКОВ_2023'!J174="",F147,'РЕЕСТР РИСКОВ_2023'!J174)))))</f>
        <v>Дирекция автоматизации и цифровизации</v>
      </c>
      <c r="G148" t="str">
        <f>IF('INHERENT MAP'!$B$5=2021,IF('РЕЕСТР РИСКОВ_2023'!K174="",G147,'РЕЕСТР РИСКОВ_2023'!K174),IF('INHERENT MAP'!$B$5=2022,IF(#REF!="",G147,#REF!),IF('INHERENT MAP'!$B$5=2023,IF(#REF!="",G147,#REF!),IF('INHERENT MAP'!$B$5=2024,IF(#REF!="",G147,#REF!),IF('РЕЕСТР РИСКОВ_2023'!K174="",G147,'РЕЕСТР РИСКОВ_2023'!K174)))))</f>
        <v>Сбой/останов серверной инфраструктуры</v>
      </c>
      <c r="H148">
        <f>IF('INHERENT MAP'!$B$5=2021,'РЕЕСТР РИСКОВ_2023'!L174,IF('INHERENT MAP'!$B$5=2022,#REF!,IF('INHERENT MAP'!$B$5=2023,#REF!,IF('INHERENT MAP'!$B$5=2024,#REF!,#REF!))))</f>
        <v>0</v>
      </c>
      <c r="I148">
        <f>IF('INHERENT MAP'!$B$5=2021,'РЕЕСТР РИСКОВ_2023'!M174,IF('INHERENT MAP'!$B$5=2022,#REF!,IF('INHERENT MAP'!$B$5=2023,#REF!,IF('INHERENT MAP'!$B$5=2024,#REF!,#REF!))))</f>
        <v>0</v>
      </c>
      <c r="J148">
        <f>IF('INHERENT MAP'!$B$5=2021,'РЕЕСТР РИСКОВ_2023'!N174,IF('INHERENT MAP'!$B$5=2022,#REF!,IF('INHERENT MAP'!$B$5=2023,#REF!,IF('INHERENT MAP'!$B$5=2024,#REF!,#REF!))))</f>
        <v>0</v>
      </c>
      <c r="K148">
        <f>IF('INHERENT MAP'!$B$5=2021,'РЕЕСТР РИСКОВ_2023'!O174,IF('INHERENT MAP'!$B$5=2022,#REF!,IF('INHERENT MAP'!$B$5=2023,#REF!,IF('INHERENT MAP'!$B$5=2024,#REF!,#REF!))))</f>
        <v>0</v>
      </c>
      <c r="L148">
        <f>IF('INHERENT MAP'!$B$5=2021,'РЕЕСТР РИСКОВ_2023'!P174,IF('INHERENT MAP'!$B$5=2022,#REF!,IF('INHERENT MAP'!$B$5=2023,#REF!,IF('INHERENT MAP'!$B$5=2024,#REF!,#REF!))))</f>
        <v>0</v>
      </c>
      <c r="M148" t="str">
        <f>IF('INHERENT MAP'!$B$5=2021,IF('РЕЕСТР РИСКОВ_2023'!Q174="",M147,'РЕЕСТР РИСКОВ_2023'!Q174),IF('INHERENT MAP'!$B$5=2022,IF(#REF!="",M147,#REF!),IF('INHERENT MAP'!$B$5=2023,IF(#REF!="",M147,#REF!),IF('INHERENT MAP'!$B$5=2024,IF(#REF!="",M147,#REF!),IF('РЕЕСТР РИСКОВ_2023'!Q174="",M147,'РЕЕСТР РИСКОВ_2023'!Q174)))))</f>
        <v>1. Несвоевременное заключение договоров на тех.поддержку серверного оборудования и ЛПО.  
2. Останов и сбой операционных систем, выход из строя сервера/дисковой подсистемы/ленточных библиотек.       
3. Недостаточные мощности серверных платформ.  
4. Отсутствие среды разработки и тестирования для ИС
5.  Расходы на ремонт и техническое обслуживание
6.  Истечение нормативного срока службы оборудования
7.  Выход из строя диского массива HP 3PAR 7200 на сервере ФКС "Мобиус"</v>
      </c>
      <c r="N148" t="str">
        <f>IF('INHERENT MAP'!$B$5=2021,IF('РЕЕСТР РИСКОВ_2023'!R174="",N147,'РЕЕСТР РИСКОВ_2023'!R174),IF('INHERENT MAP'!$B$5=2022,IF(#REF!="",N147,#REF!),IF('INHERENT MAP'!$B$5=2023,IF(#REF!="",N147,#REF!),IF('INHERENT MAP'!$B$5=2024,IF(#REF!="",N147,#REF!),IF('РЕЕСТР РИСКОВ_2023'!R174="",N147,'РЕЕСТР РИСКОВ_2023'!R174)))))</f>
        <v xml:space="preserve">1. Некорректные действия администратора   или обслуживающего персонала. 
2. Неверная оценка критичности и актуальности данных 
3. Эксплуатация обрудования и устройства с истекщим сроком службы
3. Ежегодная эскалация цены (стоимость запасных частей; колебание курсов валют; индекс потребительских цен)  </v>
      </c>
      <c r="O148">
        <f>'РЕЕСТР РИСКОВ_2023'!T174</f>
        <v>0</v>
      </c>
      <c r="P148" t="e">
        <f>IF('РЕЕСТР РИСКОВ_2023'!U174="",P147,'РЕЕСТР РИСКОВ_2023'!U174)</f>
        <v>#REF!</v>
      </c>
      <c r="Q148" t="str">
        <f>IF('РЕЕСТР РИСКОВ_2023'!V174="",Q147,'РЕЕСТР РИСКОВ_2023'!V174)</f>
        <v>Угрозы</v>
      </c>
      <c r="R148" t="str">
        <f>IF('РЕЕСТР РИСКОВ_2023'!W174="",R147,'РЕЕСТР РИСКОВ_2023'!W174)</f>
        <v>Аудит</v>
      </c>
      <c r="S148">
        <f>'РЕЕСТР РИСКОВ_2023'!X174</f>
        <v>0</v>
      </c>
      <c r="T148" s="94">
        <f>IF('INHERENT MAP'!$B$5=2021,'РЕЕСТР РИСКОВ_2023'!Y174,IF('INHERENT MAP'!$B$5=2022,#REF!,IF('INHERENT MAP'!$B$5=2023,#REF!,IF('INHERENT MAP'!$B$5=2024,#REF!,#REF!))))</f>
        <v>0.45</v>
      </c>
      <c r="U148">
        <f>IF('INHERENT MAP'!$B$5=2021,'РЕЕСТР РИСКОВ_2023'!Z174,IF('INHERENT MAP'!$B$5=2022,#REF!,IF('INHERENT MAP'!$B$5=2023,#REF!,IF('INHERENT MAP'!$B$5=2024,#REF!,#REF!))))</f>
        <v>0</v>
      </c>
      <c r="V148">
        <f>IF('INHERENT MAP'!$B$5=2021,'РЕЕСТР РИСКОВ_2023'!AA174,IF('INHERENT MAP'!$B$5=2022,#REF!,IF('INHERENT MAP'!$B$5=2023,#REF!,IF('INHERENT MAP'!$B$5=2024,#REF!,#REF!))))</f>
        <v>0</v>
      </c>
      <c r="W148">
        <f>IF('INHERENT MAP'!$B$5=2021,'РЕЕСТР РИСКОВ_2023'!AB174,IF('INHERENT MAP'!$B$5=2022,#REF!,IF('INHERENT MAP'!$B$5=2023,#REF!,IF('INHERENT MAP'!$B$5=2024,#REF!,#REF!))))</f>
        <v>0</v>
      </c>
      <c r="X148" s="94">
        <f>IF('INHERENT MAP'!$B$5=2021,'РЕЕСТР РИСКОВ_2023'!AC174,IF('INHERENT MAP'!$B$5=2022,#REF!,IF('INHERENT MAP'!$B$5=2023,#REF!,IF('INHERENT MAP'!$B$5=2024,#REF!,#REF!))))</f>
        <v>0.45</v>
      </c>
      <c r="Y148">
        <f>IF('INHERENT MAP'!$B$5=2021,'РЕЕСТР РИСКОВ_2023'!AD174,IF('INHERENT MAP'!$B$5=2022,#REF!,IF('INHERENT MAP'!$B$5=2023,#REF!,IF('INHERENT MAP'!$B$5=2024,#REF!,#REF!))))</f>
        <v>0</v>
      </c>
      <c r="Z148">
        <f>IF('INHERENT MAP'!$B$5=2021,'РЕЕСТР РИСКОВ_2023'!AE174,IF('INHERENT MAP'!$B$5=2022,#REF!,IF('INHERENT MAP'!$B$5=2023,#REF!,IF('INHERENT MAP'!$B$5=2024,#REF!,#REF!))))</f>
        <v>0</v>
      </c>
      <c r="AA148">
        <f>IF('INHERENT MAP'!$B$5=2021,'РЕЕСТР РИСКОВ_2023'!AF174,IF('INHERENT MAP'!$B$5=2022,#REF!,IF('INHERENT MAP'!$B$5=2023,#REF!,IF('INHERENT MAP'!$B$5=2024,#REF!,#REF!))))</f>
        <v>0</v>
      </c>
      <c r="AB148">
        <f>IF('INHERENT MAP'!$B$5=2021,'РЕЕСТР РИСКОВ_2023'!AG174,IF('INHERENT MAP'!$B$5=2022,#REF!,IF('INHERENT MAP'!$B$5=2023,#REF!,IF('INHERENT MAP'!$B$5=2024,#REF!,#REF!))))</f>
        <v>0</v>
      </c>
      <c r="AC148">
        <f>IF('INHERENT MAP'!$B$5=2021,'РЕЕСТР РИСКОВ_2023'!AH174,IF('INHERENT MAP'!$B$5=2022,#REF!,IF('INHERENT MAP'!$B$5=2023,#REF!,IF('INHERENT MAP'!$B$5=2024,#REF!,#REF!))))</f>
        <v>0</v>
      </c>
      <c r="AD148" t="str">
        <f>IF('INHERENT MAP'!$B$5=2021,'РЕЕСТР РИСКОВ_2023'!AI174,IF('INHERENT MAP'!$B$5=2022,#REF!,IF('INHERENT MAP'!$B$5=2023,#REF!,IF('INHERENT MAP'!$B$5=2024,#REF!,#REF!))))</f>
        <v xml:space="preserve">Своевременное заключение договоров; на поддержку/тех.обслуживание серверного оборудования/на сопровождение ОС платформы System z
Обновление микрокодов серверного оборудования. Резервирование сопровождаемого ПО 
Поддержка в актуальном состоянии  нормативно-технической  документации, описывающей технологические переходы в аварийных ситуациях  (регламенты взаимодействия, инструкции и т.д.). 
Перевод задач ИС на арендованные облачные платформы с более высокими характеристиками
Курсы повышения квалификации, технические занятия и обучение специалистов
Проведение профилактических работ
Миграция серверов ФКС "Мобиус" на инфрастрктуру АО "Транстелеком", в ходе миграции обновляются версии ОС и SQL.               </v>
      </c>
      <c r="AE148" t="str">
        <f>IF('INHERENT MAP'!$B$5=2021,'РЕЕСТР РИСКОВ_2023'!AK174,IF('INHERENT MAP'!$B$5=2022,#REF!,IF('INHERENT MAP'!$B$5=2023,#REF!,IF('INHERENT MAP'!$B$5=2024,#REF!,#REF!))))</f>
        <v>Дирекция автоматизации и цифровизации</v>
      </c>
      <c r="AF148">
        <f>IF('INHERENT MAP'!$B$5=2021,'РЕЕСТР РИСКОВ_2023'!AL174,IF('INHERENT MAP'!$B$5=2022,#REF!,IF('INHERENT MAP'!$B$5=2023,#REF!,IF('INHERENT MAP'!$B$5=2024,#REF!,#REF!))))</f>
        <v>2021</v>
      </c>
      <c r="AG148" t="str">
        <f>IF('INHERENT MAP'!$B$5=2021,'РЕЕСТР РИСКОВ_2023'!AM174,IF('INHERENT MAP'!$B$5=2022,#REF!,IF('INHERENT MAP'!$B$5=2023,#REF!,IF('INHERENT MAP'!$B$5=2024,#REF!,#REF!))))</f>
        <v>средняя</v>
      </c>
      <c r="AH148">
        <f>IF('INHERENT MAP'!$B$5=2021,'РЕЕСТР РИСКОВ_2023'!AN174,IF('INHERENT MAP'!$B$5=2022,#REF!,IF('INHERENT MAP'!$B$5=2023,#REF!,IF('INHERENT MAP'!$B$5=2024,#REF!,#REF!))))</f>
        <v>0.22500000000000001</v>
      </c>
      <c r="AI148">
        <f>IF('INHERENT MAP'!$B$5=2021,'РЕЕСТР РИСКОВ_2023'!AO174,IF('INHERENT MAP'!$B$5=2022,#REF!,IF('INHERENT MAP'!$B$5=2023,#REF!,IF('INHERENT MAP'!$B$5=2024,#REF!,#REF!))))</f>
        <v>0</v>
      </c>
      <c r="AJ148">
        <f>IF('INHERENT MAP'!$B$5=2021,'РЕЕСТР РИСКОВ_2023'!AP174,IF('INHERENT MAP'!$B$5=2022,#REF!,IF('INHERENT MAP'!$B$5=2023,#REF!,IF('INHERENT MAP'!$B$5=2024,#REF!,#REF!))))</f>
        <v>0</v>
      </c>
      <c r="AK148">
        <f>IF('РЕЕСТР РИСКОВ_2023'!AQ174="",AK147,'РЕЕСТР РИСКОВ_2023'!AQ174)</f>
        <v>0</v>
      </c>
      <c r="AL148">
        <f>IF('РЕЕСТР РИСКОВ_2023'!AR174="",AL147,'РЕЕСТР РИСКОВ_2023'!AR174)</f>
        <v>0.22500000000000001</v>
      </c>
      <c r="AM148">
        <f>IF('РЕЕСТР РИСКОВ_2023'!AS174="",AM147,'РЕЕСТР РИСКОВ_2023'!AS174)</f>
        <v>0</v>
      </c>
      <c r="AN148">
        <f>IF('РЕЕСТР РИСКОВ_2023'!AT174="",AN147,'РЕЕСТР РИСКОВ_2023'!AT174)</f>
        <v>0</v>
      </c>
      <c r="AO148" t="e">
        <f>IF('РЕЕСТР РИСКОВ_2023'!AU174="",AO147,'РЕЕСТР РИСКОВ_2023'!AU174)</f>
        <v>#REF!</v>
      </c>
    </row>
    <row r="149" spans="2:41">
      <c r="B149" t="str">
        <f>IF('INHERENT MAP'!$B$5=2021,IF('РЕЕСТР РИСКОВ_2023'!F175="",B148,'РЕЕСТР РИСКОВ_2023'!F175),IF('INHERENT MAP'!$B$5=2022,IF(#REF!="",B148,#REF!),IF('INHERENT MAP'!$B$5=2023,IF(#REF!="",B148,#REF!),IF('INHERENT MAP'!$B$5=2024,IF(#REF!="",B148,#REF!),IF('РЕЕСТР РИСКОВ_2023'!F175="",B148,'РЕЕСТР РИСКОВ_2023'!F175)))))</f>
        <v>ИТ и КИБЕР РИСК</v>
      </c>
      <c r="C149" t="e">
        <f>IF('INHERENT MAP'!$B$5=2021,IF('РЕЕСТР РИСКОВ_2023'!G175="",C148,'РЕЕСТР РИСКОВ_2023'!G175),IF('INHERENT MAP'!$B$5=2022,IF(#REF!="",C148,#REF!),IF('INHERENT MAP'!$B$5=2023,IF(#REF!="",C148,#REF!),IF('INHERENT MAP'!$B$5=2024,IF(#REF!="",C148,#REF!),IF('РЕЕСТР РИСКОВ_2023'!G175="",C148,'РЕЕСТР РИСКОВ_2023'!G175)))))</f>
        <v>#REF!</v>
      </c>
      <c r="D149" t="str">
        <f>IF('INHERENT MAP'!$B$5=2021,IF('РЕЕСТР РИСКОВ_2023'!H175="",D148,'РЕЕСТР РИСКОВ_2023'!H175),IF('INHERENT MAP'!$B$5=2022,IF(#REF!="",D148,#REF!),IF('INHERENT MAP'!$B$5=2023,IF(#REF!="",D148,#REF!),IF('INHERENT MAP'!$B$5=2024,IF(#REF!="",D148,#REF!),IF('РЕЕСТР РИСКОВ_2023'!H175="",D148,'РЕЕСТР РИСКОВ_2023'!H175)))))</f>
        <v>ICR-3</v>
      </c>
      <c r="E149" t="str">
        <f>IF('INHERENT MAP'!$B$5=2021,IF('РЕЕСТР РИСКОВ_2023'!I175="",E148,'РЕЕСТР РИСКОВ_2023'!I175),IF('INHERENT MAP'!$B$5=2022,IF(#REF!="",E148,#REF!),IF('INHERENT MAP'!$B$5=2023,IF(#REF!="",E148,#REF!),IF('INHERENT MAP'!$B$5=2024,IF(#REF!="",E148,#REF!),IF('РЕЕСТР РИСКОВ_2023'!I175="",E148,'РЕЕСТР РИСКОВ_2023'!I175)))))</f>
        <v>Ц</v>
      </c>
      <c r="F149" t="str">
        <f>IF('INHERENT MAP'!$B$5=2021,IF('РЕЕСТР РИСКОВ_2023'!J175="",F148,'РЕЕСТР РИСКОВ_2023'!J175),IF('INHERENT MAP'!$B$5=2022,IF(#REF!="",F148,#REF!),IF('INHERENT MAP'!$B$5=2023,IF(#REF!="",F148,#REF!),IF('INHERENT MAP'!$B$5=2024,IF(#REF!="",F148,#REF!),IF('РЕЕСТР РИСКОВ_2023'!J175="",F148,'РЕЕСТР РИСКОВ_2023'!J175)))))</f>
        <v>Служба корпоративной безопасности, Структурные подразделения, Дочерние организации</v>
      </c>
      <c r="G149" t="str">
        <f>IF('INHERENT MAP'!$B$5=2021,IF('РЕЕСТР РИСКОВ_2023'!K175="",G148,'РЕЕСТР РИСКОВ_2023'!K175),IF('INHERENT MAP'!$B$5=2022,IF(#REF!="",G148,#REF!),IF('INHERENT MAP'!$B$5=2023,IF(#REF!="",G148,#REF!),IF('INHERENT MAP'!$B$5=2024,IF(#REF!="",G148,#REF!),IF('РЕЕСТР РИСКОВ_2023'!K175="",G148,'РЕЕСТР РИСКОВ_2023'!K175)))))</f>
        <v>Сбой/останов сетевой инфраструктуры</v>
      </c>
      <c r="H149">
        <f>IF('INHERENT MAP'!$B$5=2021,'РЕЕСТР РИСКОВ_2023'!L175,IF('INHERENT MAP'!$B$5=2022,#REF!,IF('INHERENT MAP'!$B$5=2023,#REF!,IF('INHERENT MAP'!$B$5=2024,#REF!,#REF!))))</f>
        <v>0</v>
      </c>
      <c r="I149">
        <f>IF('INHERENT MAP'!$B$5=2021,'РЕЕСТР РИСКОВ_2023'!M175,IF('INHERENT MAP'!$B$5=2022,#REF!,IF('INHERENT MAP'!$B$5=2023,#REF!,IF('INHERENT MAP'!$B$5=2024,#REF!,#REF!))))</f>
        <v>0</v>
      </c>
      <c r="J149">
        <f>IF('INHERENT MAP'!$B$5=2021,'РЕЕСТР РИСКОВ_2023'!N175,IF('INHERENT MAP'!$B$5=2022,#REF!,IF('INHERENT MAP'!$B$5=2023,#REF!,IF('INHERENT MAP'!$B$5=2024,#REF!,#REF!))))</f>
        <v>0</v>
      </c>
      <c r="K149">
        <f>IF('INHERENT MAP'!$B$5=2021,'РЕЕСТР РИСКОВ_2023'!O175,IF('INHERENT MAP'!$B$5=2022,#REF!,IF('INHERENT MAP'!$B$5=2023,#REF!,IF('INHERENT MAP'!$B$5=2024,#REF!,#REF!))))</f>
        <v>0</v>
      </c>
      <c r="L149">
        <f>IF('INHERENT MAP'!$B$5=2021,'РЕЕСТР РИСКОВ_2023'!P175,IF('INHERENT MAP'!$B$5=2022,#REF!,IF('INHERENT MAP'!$B$5=2023,#REF!,IF('INHERENT MAP'!$B$5=2024,#REF!,#REF!))))</f>
        <v>0</v>
      </c>
      <c r="M149" t="str">
        <f>IF('INHERENT MAP'!$B$5=2021,IF('РЕЕСТР РИСКОВ_2023'!Q175="",M148,'РЕЕСТР РИСКОВ_2023'!Q175),IF('INHERENT MAP'!$B$5=2022,IF(#REF!="",M148,#REF!),IF('INHERENT MAP'!$B$5=2023,IF(#REF!="",M148,#REF!),IF('INHERENT MAP'!$B$5=2024,IF(#REF!="",M148,#REF!),IF('РЕЕСТР РИСКОВ_2023'!Q175="",M148,'РЕЕСТР РИСКОВ_2023'!Q175)))))</f>
        <v xml:space="preserve">1. Выход из строя оборудования или одного из компонентов оборудования (устаревшее оборудование, отсутствие полноценного резерва, нарушения в процессе эксплуатации оборудования СПД);     
2. Несвоевременная пролонгация договоров по сопровождения и аренде оборудования. 
3. Несанкционированный доступ к оборудованию как со стороны внутренних, так и внешних злоумышленников (Оборудование установлено в помещениях не предназначенных для серверного и коммуникационного оборудования. Помещения принадлежат другим структурным подразделениям КТЖ и АО ГП)                                         </v>
      </c>
      <c r="N149" t="str">
        <f>IF('INHERENT MAP'!$B$5=2021,IF('РЕЕСТР РИСКОВ_2023'!R175="",N148,'РЕЕСТР РИСКОВ_2023'!R175),IF('INHERENT MAP'!$B$5=2022,IF(#REF!="",N148,#REF!),IF('INHERENT MAP'!$B$5=2023,IF(#REF!="",N148,#REF!),IF('INHERENT MAP'!$B$5=2024,IF(#REF!="",N148,#REF!),IF('РЕЕСТР РИСКОВ_2023'!R175="",N148,'РЕЕСТР РИСКОВ_2023'!R175)))))</f>
        <v xml:space="preserve">1. Ошибка системы.  
2.Неверная оценка критичности и актуальности данных </v>
      </c>
      <c r="O149">
        <f>'РЕЕСТР РИСКОВ_2023'!T175</f>
        <v>0</v>
      </c>
      <c r="P149" t="e">
        <f>IF('РЕЕСТР РИСКОВ_2023'!U175="",P148,'РЕЕСТР РИСКОВ_2023'!U175)</f>
        <v>#REF!</v>
      </c>
      <c r="Q149" t="str">
        <f>IF('РЕЕСТР РИСКОВ_2023'!V175="",Q148,'РЕЕСТР РИСКОВ_2023'!V175)</f>
        <v>Угрозы</v>
      </c>
      <c r="R149" t="str">
        <f>IF('РЕЕСТР РИСКОВ_2023'!W175="",R148,'РЕЕСТР РИСКОВ_2023'!W175)</f>
        <v>Аудит</v>
      </c>
      <c r="S149">
        <f>'РЕЕСТР РИСКОВ_2023'!X175</f>
        <v>0</v>
      </c>
      <c r="T149" s="94">
        <f>IF('INHERENT MAP'!$B$5=2021,'РЕЕСТР РИСКОВ_2023'!Y175,IF('INHERENT MAP'!$B$5=2022,#REF!,IF('INHERENT MAP'!$B$5=2023,#REF!,IF('INHERENT MAP'!$B$5=2024,#REF!,#REF!))))</f>
        <v>0.5</v>
      </c>
      <c r="U149">
        <f>IF('INHERENT MAP'!$B$5=2021,'РЕЕСТР РИСКОВ_2023'!Z175,IF('INHERENT MAP'!$B$5=2022,#REF!,IF('INHERENT MAP'!$B$5=2023,#REF!,IF('INHERENT MAP'!$B$5=2024,#REF!,#REF!))))</f>
        <v>0</v>
      </c>
      <c r="V149">
        <f>IF('INHERENT MAP'!$B$5=2021,'РЕЕСТР РИСКОВ_2023'!AA175,IF('INHERENT MAP'!$B$5=2022,#REF!,IF('INHERENT MAP'!$B$5=2023,#REF!,IF('INHERENT MAP'!$B$5=2024,#REF!,#REF!))))</f>
        <v>0</v>
      </c>
      <c r="W149">
        <f>IF('INHERENT MAP'!$B$5=2021,'РЕЕСТР РИСКОВ_2023'!AB175,IF('INHERENT MAP'!$B$5=2022,#REF!,IF('INHERENT MAP'!$B$5=2023,#REF!,IF('INHERENT MAP'!$B$5=2024,#REF!,#REF!))))</f>
        <v>0</v>
      </c>
      <c r="X149" s="94">
        <f>IF('INHERENT MAP'!$B$5=2021,'РЕЕСТР РИСКОВ_2023'!AC175,IF('INHERENT MAP'!$B$5=2022,#REF!,IF('INHERENT MAP'!$B$5=2023,#REF!,IF('INHERENT MAP'!$B$5=2024,#REF!,#REF!))))</f>
        <v>0.5</v>
      </c>
      <c r="Y149">
        <f>IF('INHERENT MAP'!$B$5=2021,'РЕЕСТР РИСКОВ_2023'!AD175,IF('INHERENT MAP'!$B$5=2022,#REF!,IF('INHERENT MAP'!$B$5=2023,#REF!,IF('INHERENT MAP'!$B$5=2024,#REF!,#REF!))))</f>
        <v>0</v>
      </c>
      <c r="Z149">
        <f>IF('INHERENT MAP'!$B$5=2021,'РЕЕСТР РИСКОВ_2023'!AE175,IF('INHERENT MAP'!$B$5=2022,#REF!,IF('INHERENT MAP'!$B$5=2023,#REF!,IF('INHERENT MAP'!$B$5=2024,#REF!,#REF!))))</f>
        <v>0</v>
      </c>
      <c r="AA149">
        <f>IF('INHERENT MAP'!$B$5=2021,'РЕЕСТР РИСКОВ_2023'!AF175,IF('INHERENT MAP'!$B$5=2022,#REF!,IF('INHERENT MAP'!$B$5=2023,#REF!,IF('INHERENT MAP'!$B$5=2024,#REF!,#REF!))))</f>
        <v>0</v>
      </c>
      <c r="AB149">
        <f>IF('INHERENT MAP'!$B$5=2021,'РЕЕСТР РИСКОВ_2023'!AG175,IF('INHERENT MAP'!$B$5=2022,#REF!,IF('INHERENT MAP'!$B$5=2023,#REF!,IF('INHERENT MAP'!$B$5=2024,#REF!,#REF!))))</f>
        <v>0</v>
      </c>
      <c r="AC149">
        <f>IF('INHERENT MAP'!$B$5=2021,'РЕЕСТР РИСКОВ_2023'!AH175,IF('INHERENT MAP'!$B$5=2022,#REF!,IF('INHERENT MAP'!$B$5=2023,#REF!,IF('INHERENT MAP'!$B$5=2024,#REF!,#REF!))))</f>
        <v>0</v>
      </c>
      <c r="AD149" t="str">
        <f>IF('INHERENT MAP'!$B$5=2021,'РЕЕСТР РИСКОВ_2023'!AI175,IF('INHERENT MAP'!$B$5=2022,#REF!,IF('INHERENT MAP'!$B$5=2023,#REF!,IF('INHERENT MAP'!$B$5=2024,#REF!,#REF!))))</f>
        <v>Своевременная пролонгация договоров по сопровождению и аренде оборудования (вынесение данных закупок на первоочередные)/заключение договоров на закуп/тех.поддержку/аренду оборудования.
Своевременный контроль по срокам гарантийного обслуживания оборудования
Настройка систем мониторинга доступности сети Интернет/канала связи, проведение оперативных работ с Провайдером  (SLA) 
Поддержка в актуальном состоянии нормативно-технической  документации, описывающей технологические переходы в аварийных ситуациях  (схемы, регламенты взаимодействия, инструкции и т.д.)   
Проведение технической учебы, обучение специалистов на сертифицированных курсах.</v>
      </c>
      <c r="AE149" t="str">
        <f>IF('INHERENT MAP'!$B$5=2021,'РЕЕСТР РИСКОВ_2023'!AK175,IF('INHERENT MAP'!$B$5=2022,#REF!,IF('INHERENT MAP'!$B$5=2023,#REF!,IF('INHERENT MAP'!$B$5=2024,#REF!,#REF!))))</f>
        <v>Дирекция автоматизации и цифровизации</v>
      </c>
      <c r="AF149">
        <f>IF('INHERENT MAP'!$B$5=2021,'РЕЕСТР РИСКОВ_2023'!AL175,IF('INHERENT MAP'!$B$5=2022,#REF!,IF('INHERENT MAP'!$B$5=2023,#REF!,IF('INHERENT MAP'!$B$5=2024,#REF!,#REF!))))</f>
        <v>0</v>
      </c>
      <c r="AG149" t="str">
        <f>IF('INHERENT MAP'!$B$5=2021,'РЕЕСТР РИСКОВ_2023'!AM175,IF('INHERENT MAP'!$B$5=2022,#REF!,IF('INHERENT MAP'!$B$5=2023,#REF!,IF('INHERENT MAP'!$B$5=2024,#REF!,#REF!))))</f>
        <v>средняя</v>
      </c>
      <c r="AH149">
        <f>IF('INHERENT MAP'!$B$5=2021,'РЕЕСТР РИСКОВ_2023'!AN175,IF('INHERENT MAP'!$B$5=2022,#REF!,IF('INHERENT MAP'!$B$5=2023,#REF!,IF('INHERENT MAP'!$B$5=2024,#REF!,#REF!))))</f>
        <v>0.25</v>
      </c>
      <c r="AI149">
        <f>IF('INHERENT MAP'!$B$5=2021,'РЕЕСТР РИСКОВ_2023'!AO175,IF('INHERENT MAP'!$B$5=2022,#REF!,IF('INHERENT MAP'!$B$5=2023,#REF!,IF('INHERENT MAP'!$B$5=2024,#REF!,#REF!))))</f>
        <v>0</v>
      </c>
      <c r="AJ149">
        <f>IF('INHERENT MAP'!$B$5=2021,'РЕЕСТР РИСКОВ_2023'!AP175,IF('INHERENT MAP'!$B$5=2022,#REF!,IF('INHERENT MAP'!$B$5=2023,#REF!,IF('INHERENT MAP'!$B$5=2024,#REF!,#REF!))))</f>
        <v>0</v>
      </c>
      <c r="AK149">
        <f>IF('РЕЕСТР РИСКОВ_2023'!AQ175="",AK148,'РЕЕСТР РИСКОВ_2023'!AQ175)</f>
        <v>0</v>
      </c>
      <c r="AL149">
        <f>IF('РЕЕСТР РИСКОВ_2023'!AR175="",AL148,'РЕЕСТР РИСКОВ_2023'!AR175)</f>
        <v>0.25</v>
      </c>
      <c r="AM149">
        <f>IF('РЕЕСТР РИСКОВ_2023'!AS175="",AM148,'РЕЕСТР РИСКОВ_2023'!AS175)</f>
        <v>0</v>
      </c>
      <c r="AN149">
        <f>IF('РЕЕСТР РИСКОВ_2023'!AT175="",AN148,'РЕЕСТР РИСКОВ_2023'!AT175)</f>
        <v>0</v>
      </c>
      <c r="AO149" t="e">
        <f>IF('РЕЕСТР РИСКОВ_2023'!AU175="",AO148,'РЕЕСТР РИСКОВ_2023'!AU175)</f>
        <v>#REF!</v>
      </c>
    </row>
    <row r="150" spans="2:41">
      <c r="B150" t="str">
        <f>IF('INHERENT MAP'!$B$5=2021,IF('РЕЕСТР РИСКОВ_2023'!F176="",B149,'РЕЕСТР РИСКОВ_2023'!F176),IF('INHERENT MAP'!$B$5=2022,IF(#REF!="",B149,#REF!),IF('INHERENT MAP'!$B$5=2023,IF(#REF!="",B149,#REF!),IF('INHERENT MAP'!$B$5=2024,IF(#REF!="",B149,#REF!),IF('РЕЕСТР РИСКОВ_2023'!F176="",B149,'РЕЕСТР РИСКОВ_2023'!F176)))))</f>
        <v>ИТ и КИБЕР РИСК</v>
      </c>
      <c r="C150" t="e">
        <f>IF('INHERENT MAP'!$B$5=2021,IF('РЕЕСТР РИСКОВ_2023'!G176="",C149,'РЕЕСТР РИСКОВ_2023'!G176),IF('INHERENT MAP'!$B$5=2022,IF(#REF!="",C149,#REF!),IF('INHERENT MAP'!$B$5=2023,IF(#REF!="",C149,#REF!),IF('INHERENT MAP'!$B$5=2024,IF(#REF!="",C149,#REF!),IF('РЕЕСТР РИСКОВ_2023'!G176="",C149,'РЕЕСТР РИСКОВ_2023'!G176)))))</f>
        <v>#REF!</v>
      </c>
      <c r="D150" t="str">
        <f>IF('INHERENT MAP'!$B$5=2021,IF('РЕЕСТР РИСКОВ_2023'!H176="",D149,'РЕЕСТР РИСКОВ_2023'!H176),IF('INHERENT MAP'!$B$5=2022,IF(#REF!="",D149,#REF!),IF('INHERENT MAP'!$B$5=2023,IF(#REF!="",D149,#REF!),IF('INHERENT MAP'!$B$5=2024,IF(#REF!="",D149,#REF!),IF('РЕЕСТР РИСКОВ_2023'!H176="",D149,'РЕЕСТР РИСКОВ_2023'!H176)))))</f>
        <v>ICR-4</v>
      </c>
      <c r="E150" t="str">
        <f>IF('INHERENT MAP'!$B$5=2021,IF('РЕЕСТР РИСКОВ_2023'!I176="",E149,'РЕЕСТР РИСКОВ_2023'!I176),IF('INHERENT MAP'!$B$5=2022,IF(#REF!="",E149,#REF!),IF('INHERENT MAP'!$B$5=2023,IF(#REF!="",E149,#REF!),IF('INHERENT MAP'!$B$5=2024,IF(#REF!="",E149,#REF!),IF('РЕЕСТР РИСКОВ_2023'!I176="",E149,'РЕЕСТР РИСКОВ_2023'!I176)))))</f>
        <v>Ц</v>
      </c>
      <c r="F150" t="str">
        <f>IF('INHERENT MAP'!$B$5=2021,IF('РЕЕСТР РИСКОВ_2023'!J176="",F149,'РЕЕСТР РИСКОВ_2023'!J176),IF('INHERENT MAP'!$B$5=2022,IF(#REF!="",F149,#REF!),IF('INHERENT MAP'!$B$5=2023,IF(#REF!="",F149,#REF!),IF('INHERENT MAP'!$B$5=2024,IF(#REF!="",F149,#REF!),IF('РЕЕСТР РИСКОВ_2023'!J176="",F149,'РЕЕСТР РИСКОВ_2023'!J176)))))</f>
        <v>Служба корпоративной безопасности, Структурные подразделения, Дочерние организации</v>
      </c>
      <c r="G150" t="str">
        <f>IF('INHERENT MAP'!$B$5=2021,IF('РЕЕСТР РИСКОВ_2023'!K176="",G149,'РЕЕСТР РИСКОВ_2023'!K176),IF('INHERENT MAP'!$B$5=2022,IF(#REF!="",G149,#REF!),IF('INHERENT MAP'!$B$5=2023,IF(#REF!="",G149,#REF!),IF('INHERENT MAP'!$B$5=2024,IF(#REF!="",G149,#REF!),IF('РЕЕСТР РИСКОВ_2023'!K176="",G149,'РЕЕСТР РИСКОВ_2023'!K176)))))</f>
        <v>Отказ/Сбой корпоративных систем</v>
      </c>
      <c r="H150">
        <f>IF('INHERENT MAP'!$B$5=2021,'РЕЕСТР РИСКОВ_2023'!L176,IF('INHERENT MAP'!$B$5=2022,#REF!,IF('INHERENT MAP'!$B$5=2023,#REF!,IF('INHERENT MAP'!$B$5=2024,#REF!,#REF!))))</f>
        <v>0</v>
      </c>
      <c r="I150">
        <f>IF('INHERENT MAP'!$B$5=2021,'РЕЕСТР РИСКОВ_2023'!M176,IF('INHERENT MAP'!$B$5=2022,#REF!,IF('INHERENT MAP'!$B$5=2023,#REF!,IF('INHERENT MAP'!$B$5=2024,#REF!,#REF!))))</f>
        <v>0</v>
      </c>
      <c r="J150">
        <f>IF('INHERENT MAP'!$B$5=2021,'РЕЕСТР РИСКОВ_2023'!N176,IF('INHERENT MAP'!$B$5=2022,#REF!,IF('INHERENT MAP'!$B$5=2023,#REF!,IF('INHERENT MAP'!$B$5=2024,#REF!,#REF!))))</f>
        <v>0</v>
      </c>
      <c r="K150">
        <f>IF('INHERENT MAP'!$B$5=2021,'РЕЕСТР РИСКОВ_2023'!O176,IF('INHERENT MAP'!$B$5=2022,#REF!,IF('INHERENT MAP'!$B$5=2023,#REF!,IF('INHERENT MAP'!$B$5=2024,#REF!,#REF!))))</f>
        <v>0</v>
      </c>
      <c r="L150">
        <f>IF('INHERENT MAP'!$B$5=2021,'РЕЕСТР РИСКОВ_2023'!P176,IF('INHERENT MAP'!$B$5=2022,#REF!,IF('INHERENT MAP'!$B$5=2023,#REF!,IF('INHERENT MAP'!$B$5=2024,#REF!,#REF!))))</f>
        <v>0</v>
      </c>
      <c r="M150" t="str">
        <f>IF('INHERENT MAP'!$B$5=2021,IF('РЕЕСТР РИСКОВ_2023'!Q176="",M149,'РЕЕСТР РИСКОВ_2023'!Q176),IF('INHERENT MAP'!$B$5=2022,IF(#REF!="",M149,#REF!),IF('INHERENT MAP'!$B$5=2023,IF(#REF!="",M149,#REF!),IF('INHERENT MAP'!$B$5=2024,IF(#REF!="",M149,#REF!),IF('РЕЕСТР РИСКОВ_2023'!Q176="",M149,'РЕЕСТР РИСКОВ_2023'!Q176)))))</f>
        <v xml:space="preserve">1. Сбой программного обеспечения корпоративных ИС. 
2. Несвоевременное заключение договоров на закуп/тех.поддержку/развитие ИС и ЛПО
3. Некорректные действия администратора ИС. </v>
      </c>
      <c r="N150" t="str">
        <f>IF('INHERENT MAP'!$B$5=2021,IF('РЕЕСТР РИСКОВ_2023'!R176="",N149,'РЕЕСТР РИСКОВ_2023'!R176),IF('INHERENT MAP'!$B$5=2022,IF(#REF!="",N149,#REF!),IF('INHERENT MAP'!$B$5=2023,IF(#REF!="",N149,#REF!),IF('INHERENT MAP'!$B$5=2024,IF(#REF!="",N149,#REF!),IF('РЕЕСТР РИСКОВ_2023'!R176="",N149,'РЕЕСТР РИСКОВ_2023'!R176)))))</f>
        <v xml:space="preserve">1. Вирусные атаки;   
2. Неверная оценка критичности и актуальности данных 
3. Ошибка системы. </v>
      </c>
      <c r="O150">
        <f>'РЕЕСТР РИСКОВ_2023'!T176</f>
        <v>0</v>
      </c>
      <c r="P150" t="e">
        <f>IF('РЕЕСТР РИСКОВ_2023'!U176="",P149,'РЕЕСТР РИСКОВ_2023'!U176)</f>
        <v>#REF!</v>
      </c>
      <c r="Q150" t="str">
        <f>IF('РЕЕСТР РИСКОВ_2023'!V176="",Q149,'РЕЕСТР РИСКОВ_2023'!V176)</f>
        <v>Угрозы</v>
      </c>
      <c r="R150" t="str">
        <f>IF('РЕЕСТР РИСКОВ_2023'!W176="",R149,'РЕЕСТР РИСКОВ_2023'!W176)</f>
        <v>Аудит</v>
      </c>
      <c r="S150">
        <f>'РЕЕСТР РИСКОВ_2023'!X176</f>
        <v>0</v>
      </c>
      <c r="T150" s="94">
        <f>IF('INHERENT MAP'!$B$5=2021,'РЕЕСТР РИСКОВ_2023'!Y176,IF('INHERENT MAP'!$B$5=2022,#REF!,IF('INHERENT MAP'!$B$5=2023,#REF!,IF('INHERENT MAP'!$B$5=2024,#REF!,#REF!))))</f>
        <v>0.5</v>
      </c>
      <c r="U150">
        <f>IF('INHERENT MAP'!$B$5=2021,'РЕЕСТР РИСКОВ_2023'!Z176,IF('INHERENT MAP'!$B$5=2022,#REF!,IF('INHERENT MAP'!$B$5=2023,#REF!,IF('INHERENT MAP'!$B$5=2024,#REF!,#REF!))))</f>
        <v>0</v>
      </c>
      <c r="V150">
        <f>IF('INHERENT MAP'!$B$5=2021,'РЕЕСТР РИСКОВ_2023'!AA176,IF('INHERENT MAP'!$B$5=2022,#REF!,IF('INHERENT MAP'!$B$5=2023,#REF!,IF('INHERENT MAP'!$B$5=2024,#REF!,#REF!))))</f>
        <v>0</v>
      </c>
      <c r="W150">
        <f>IF('INHERENT MAP'!$B$5=2021,'РЕЕСТР РИСКОВ_2023'!AB176,IF('INHERENT MAP'!$B$5=2022,#REF!,IF('INHERENT MAP'!$B$5=2023,#REF!,IF('INHERENT MAP'!$B$5=2024,#REF!,#REF!))))</f>
        <v>0</v>
      </c>
      <c r="X150" s="94">
        <f>IF('INHERENT MAP'!$B$5=2021,'РЕЕСТР РИСКОВ_2023'!AC176,IF('INHERENT MAP'!$B$5=2022,#REF!,IF('INHERENT MAP'!$B$5=2023,#REF!,IF('INHERENT MAP'!$B$5=2024,#REF!,#REF!))))</f>
        <v>0.5</v>
      </c>
      <c r="Y150">
        <f>IF('INHERENT MAP'!$B$5=2021,'РЕЕСТР РИСКОВ_2023'!AD176,IF('INHERENT MAP'!$B$5=2022,#REF!,IF('INHERENT MAP'!$B$5=2023,#REF!,IF('INHERENT MAP'!$B$5=2024,#REF!,#REF!))))</f>
        <v>0</v>
      </c>
      <c r="Z150">
        <f>IF('INHERENT MAP'!$B$5=2021,'РЕЕСТР РИСКОВ_2023'!AE176,IF('INHERENT MAP'!$B$5=2022,#REF!,IF('INHERENT MAP'!$B$5=2023,#REF!,IF('INHERENT MAP'!$B$5=2024,#REF!,#REF!))))</f>
        <v>0</v>
      </c>
      <c r="AA150">
        <f>IF('INHERENT MAP'!$B$5=2021,'РЕЕСТР РИСКОВ_2023'!AF176,IF('INHERENT MAP'!$B$5=2022,#REF!,IF('INHERENT MAP'!$B$5=2023,#REF!,IF('INHERENT MAP'!$B$5=2024,#REF!,#REF!))))</f>
        <v>0</v>
      </c>
      <c r="AB150">
        <f>IF('INHERENT MAP'!$B$5=2021,'РЕЕСТР РИСКОВ_2023'!AG176,IF('INHERENT MAP'!$B$5=2022,#REF!,IF('INHERENT MAP'!$B$5=2023,#REF!,IF('INHERENT MAP'!$B$5=2024,#REF!,#REF!))))</f>
        <v>0</v>
      </c>
      <c r="AC150">
        <f>IF('INHERENT MAP'!$B$5=2021,'РЕЕСТР РИСКОВ_2023'!AH176,IF('INHERENT MAP'!$B$5=2022,#REF!,IF('INHERENT MAP'!$B$5=2023,#REF!,IF('INHERENT MAP'!$B$5=2024,#REF!,#REF!))))</f>
        <v>0</v>
      </c>
      <c r="AD150" t="str">
        <f>IF('INHERENT MAP'!$B$5=2021,'РЕЕСТР РИСКОВ_2023'!AI176,IF('INHERENT MAP'!$B$5=2022,#REF!,IF('INHERENT MAP'!$B$5=2023,#REF!,IF('INHERENT MAP'!$B$5=2024,#REF!,#REF!))))</f>
        <v>Предварительная проверка изменений и корректировок ПО, получаемых от разработчика, в тестовой системе.
После тщательной проверки, производить подключения изменений и корректировок ПО в промышленную систему.      
Обеспечение оперативного восстановления работоспособности ИС. 
Резервирование, мониторинг выполнения резервных копий, принятие оперативных мер при аварийных завершениях при копировании базы данных.   
Ежегодные мероприятия по повышению квалификации IТ-персонала: специализированные курсы IТ; курсы от разработчиков ИС.</v>
      </c>
      <c r="AE150" t="str">
        <f>IF('INHERENT MAP'!$B$5=2021,'РЕЕСТР РИСКОВ_2023'!AK176,IF('INHERENT MAP'!$B$5=2022,#REF!,IF('INHERENT MAP'!$B$5=2023,#REF!,IF('INHERENT MAP'!$B$5=2024,#REF!,#REF!))))</f>
        <v>Дирекция автоматизации и цифровизации</v>
      </c>
      <c r="AF150">
        <f>IF('INHERENT MAP'!$B$5=2021,'РЕЕСТР РИСКОВ_2023'!AL176,IF('INHERENT MAP'!$B$5=2022,#REF!,IF('INHERENT MAP'!$B$5=2023,#REF!,IF('INHERENT MAP'!$B$5=2024,#REF!,#REF!))))</f>
        <v>0</v>
      </c>
      <c r="AG150" t="str">
        <f>IF('INHERENT MAP'!$B$5=2021,'РЕЕСТР РИСКОВ_2023'!AM176,IF('INHERENT MAP'!$B$5=2022,#REF!,IF('INHERENT MAP'!$B$5=2023,#REF!,IF('INHERENT MAP'!$B$5=2024,#REF!,#REF!))))</f>
        <v>средняя</v>
      </c>
      <c r="AH150">
        <f>IF('INHERENT MAP'!$B$5=2021,'РЕЕСТР РИСКОВ_2023'!AN176,IF('INHERENT MAP'!$B$5=2022,#REF!,IF('INHERENT MAP'!$B$5=2023,#REF!,IF('INHERENT MAP'!$B$5=2024,#REF!,#REF!))))</f>
        <v>0</v>
      </c>
      <c r="AI150">
        <f>IF('INHERENT MAP'!$B$5=2021,'РЕЕСТР РИСКОВ_2023'!AO176,IF('INHERENT MAP'!$B$5=2022,#REF!,IF('INHERENT MAP'!$B$5=2023,#REF!,IF('INHERENT MAP'!$B$5=2024,#REF!,#REF!))))</f>
        <v>0</v>
      </c>
      <c r="AJ150">
        <f>IF('INHERENT MAP'!$B$5=2021,'РЕЕСТР РИСКОВ_2023'!AP176,IF('INHERENT MAP'!$B$5=2022,#REF!,IF('INHERENT MAP'!$B$5=2023,#REF!,IF('INHERENT MAP'!$B$5=2024,#REF!,#REF!))))</f>
        <v>0</v>
      </c>
      <c r="AK150">
        <f>IF('РЕЕСТР РИСКОВ_2023'!AQ176="",AK149,'РЕЕСТР РИСКОВ_2023'!AQ176)</f>
        <v>0</v>
      </c>
      <c r="AL150">
        <f>IF('РЕЕСТР РИСКОВ_2023'!AR176="",AL149,'РЕЕСТР РИСКОВ_2023'!AR176)</f>
        <v>0.25</v>
      </c>
      <c r="AM150">
        <f>IF('РЕЕСТР РИСКОВ_2023'!AS176="",AM149,'РЕЕСТР РИСКОВ_2023'!AS176)</f>
        <v>0</v>
      </c>
      <c r="AN150">
        <f>IF('РЕЕСТР РИСКОВ_2023'!AT176="",AN149,'РЕЕСТР РИСКОВ_2023'!AT176)</f>
        <v>0</v>
      </c>
      <c r="AO150" t="e">
        <f>IF('РЕЕСТР РИСКОВ_2023'!AU176="",AO149,'РЕЕСТР РИСКОВ_2023'!AU176)</f>
        <v>#REF!</v>
      </c>
    </row>
    <row r="151" spans="2:41">
      <c r="B151" t="str">
        <f>IF('INHERENT MAP'!$B$5=2021,IF('РЕЕСТР РИСКОВ_2023'!F177="",B150,'РЕЕСТР РИСКОВ_2023'!F177),IF('INHERENT MAP'!$B$5=2022,IF(#REF!="",B150,#REF!),IF('INHERENT MAP'!$B$5=2023,IF(#REF!="",B150,#REF!),IF('INHERENT MAP'!$B$5=2024,IF(#REF!="",B150,#REF!),IF('РЕЕСТР РИСКОВ_2023'!F177="",B150,'РЕЕСТР РИСКОВ_2023'!F177)))))</f>
        <v>ИТ и КИБЕР РИСК</v>
      </c>
      <c r="C151" t="e">
        <f>IF('INHERENT MAP'!$B$5=2021,IF('РЕЕСТР РИСКОВ_2023'!G177="",C150,'РЕЕСТР РИСКОВ_2023'!G177),IF('INHERENT MAP'!$B$5=2022,IF(#REF!="",C150,#REF!),IF('INHERENT MAP'!$B$5=2023,IF(#REF!="",C150,#REF!),IF('INHERENT MAP'!$B$5=2024,IF(#REF!="",C150,#REF!),IF('РЕЕСТР РИСКОВ_2023'!G177="",C150,'РЕЕСТР РИСКОВ_2023'!G177)))))</f>
        <v>#REF!</v>
      </c>
      <c r="D151" t="str">
        <f>IF('INHERENT MAP'!$B$5=2021,IF('РЕЕСТР РИСКОВ_2023'!H177="",D150,'РЕЕСТР РИСКОВ_2023'!H177),IF('INHERENT MAP'!$B$5=2022,IF(#REF!="",D150,#REF!),IF('INHERENT MAP'!$B$5=2023,IF(#REF!="",D150,#REF!),IF('INHERENT MAP'!$B$5=2024,IF(#REF!="",D150,#REF!),IF('РЕЕСТР РИСКОВ_2023'!H177="",D150,'РЕЕСТР РИСКОВ_2023'!H177)))))</f>
        <v>ICR-5</v>
      </c>
      <c r="E151" t="str">
        <f>IF('INHERENT MAP'!$B$5=2021,IF('РЕЕСТР РИСКОВ_2023'!I177="",E150,'РЕЕСТР РИСКОВ_2023'!I177),IF('INHERENT MAP'!$B$5=2022,IF(#REF!="",E150,#REF!),IF('INHERENT MAP'!$B$5=2023,IF(#REF!="",E150,#REF!),IF('INHERENT MAP'!$B$5=2024,IF(#REF!="",E150,#REF!),IF('РЕЕСТР РИСКОВ_2023'!I177="",E150,'РЕЕСТР РИСКОВ_2023'!I177)))))</f>
        <v>Ц</v>
      </c>
      <c r="F151" t="str">
        <f>IF('INHERENT MAP'!$B$5=2021,IF('РЕЕСТР РИСКОВ_2023'!J177="",F150,'РЕЕСТР РИСКОВ_2023'!J177),IF('INHERENT MAP'!$B$5=2022,IF(#REF!="",F150,#REF!),IF('INHERENT MAP'!$B$5=2023,IF(#REF!="",F150,#REF!),IF('INHERENT MAP'!$B$5=2024,IF(#REF!="",F150,#REF!),IF('РЕЕСТР РИСКОВ_2023'!J177="",F150,'РЕЕСТР РИСКОВ_2023'!J177)))))</f>
        <v>Служба корпоративной безопасности, Структурные подразделения, Дочерние организации</v>
      </c>
      <c r="G151" t="str">
        <f>IF('INHERENT MAP'!$B$5=2021,IF('РЕЕСТР РИСКОВ_2023'!K177="",G150,'РЕЕСТР РИСКОВ_2023'!K177),IF('INHERENT MAP'!$B$5=2022,IF(#REF!="",G150,#REF!),IF('INHERENT MAP'!$B$5=2023,IF(#REF!="",G150,#REF!),IF('INHERENT MAP'!$B$5=2024,IF(#REF!="",G150,#REF!),IF('РЕЕСТР РИСКОВ_2023'!K177="",G150,'РЕЕСТР РИСКОВ_2023'!K177)))))</f>
        <v>Кибер-хищения денежных средств группы компаний АО «НК «КТЖ», при организации удаленной формы работы для работников, имеющих право подписи по платежам (в системе Банк-клиент)</v>
      </c>
      <c r="H151">
        <f>IF('INHERENT MAP'!$B$5=2021,'РЕЕСТР РИСКОВ_2023'!L177,IF('INHERENT MAP'!$B$5=2022,#REF!,IF('INHERENT MAP'!$B$5=2023,#REF!,IF('INHERENT MAP'!$B$5=2024,#REF!,#REF!))))</f>
        <v>0</v>
      </c>
      <c r="I151">
        <f>IF('INHERENT MAP'!$B$5=2021,'РЕЕСТР РИСКОВ_2023'!M177,IF('INHERENT MAP'!$B$5=2022,#REF!,IF('INHERENT MAP'!$B$5=2023,#REF!,IF('INHERENT MAP'!$B$5=2024,#REF!,#REF!))))</f>
        <v>0</v>
      </c>
      <c r="J151">
        <f>IF('INHERENT MAP'!$B$5=2021,'РЕЕСТР РИСКОВ_2023'!N177,IF('INHERENT MAP'!$B$5=2022,#REF!,IF('INHERENT MAP'!$B$5=2023,#REF!,IF('INHERENT MAP'!$B$5=2024,#REF!,#REF!))))</f>
        <v>0</v>
      </c>
      <c r="K151">
        <f>IF('INHERENT MAP'!$B$5=2021,'РЕЕСТР РИСКОВ_2023'!O177,IF('INHERENT MAP'!$B$5=2022,#REF!,IF('INHERENT MAP'!$B$5=2023,#REF!,IF('INHERENT MAP'!$B$5=2024,#REF!,#REF!))))</f>
        <v>0</v>
      </c>
      <c r="L151">
        <f>IF('INHERENT MAP'!$B$5=2021,'РЕЕСТР РИСКОВ_2023'!P177,IF('INHERENT MAP'!$B$5=2022,#REF!,IF('INHERENT MAP'!$B$5=2023,#REF!,IF('INHERENT MAP'!$B$5=2024,#REF!,#REF!))))</f>
        <v>0</v>
      </c>
      <c r="M151" t="str">
        <f>IF('INHERENT MAP'!$B$5=2021,IF('РЕЕСТР РИСКОВ_2023'!Q177="",M150,'РЕЕСТР РИСКОВ_2023'!Q177),IF('INHERENT MAP'!$B$5=2022,IF(#REF!="",M150,#REF!),IF('INHERENT MAP'!$B$5=2023,IF(#REF!="",M150,#REF!),IF('INHERENT MAP'!$B$5=2024,IF(#REF!="",M150,#REF!),IF('РЕЕСТР РИСКОВ_2023'!Q177="",M150,'РЕЕСТР РИСКОВ_2023'!Q177)))))</f>
        <v>Физический вынос ПК с системой Банк-клиент и токенов персоналом, имеющим право подтверждения финансовых переводов, из административного здания на период удаленной формы работы; Несанкционированный доступ к информационным системам; 
Отсутствие контроля работниками исполнения ВНД по работе с системой Банк-клиент непосредственным руководителем;
Контроль систем видеокамер;
Наличие доступа к ресурсам Интернет;</v>
      </c>
      <c r="N151" t="str">
        <f>IF('INHERENT MAP'!$B$5=2021,IF('РЕЕСТР РИСКОВ_2023'!R177="",N150,'РЕЕСТР РИСКОВ_2023'!R177),IF('INHERENT MAP'!$B$5=2022,IF(#REF!="",N150,#REF!),IF('INHERENT MAP'!$B$5=2023,IF(#REF!="",N150,#REF!),IF('INHERENT MAP'!$B$5=2024,IF(#REF!="",N150,#REF!),IF('РЕЕСТР РИСКОВ_2023'!R177="",N150,'РЕЕСТР РИСКОВ_2023'!R177)))))</f>
        <v xml:space="preserve">1. Вирусные атаки;   
2. Неверная оценка критичности и актуальности данных 
3. Ошибка системы. </v>
      </c>
      <c r="O151">
        <f>'РЕЕСТР РИСКОВ_2023'!T177</f>
        <v>0</v>
      </c>
      <c r="P151" t="e">
        <f>IF('РЕЕСТР РИСКОВ_2023'!U177="",P150,'РЕЕСТР РИСКОВ_2023'!U177)</f>
        <v>#REF!</v>
      </c>
      <c r="Q151" t="str">
        <f>IF('РЕЕСТР РИСКОВ_2023'!V177="",Q150,'РЕЕСТР РИСКОВ_2023'!V177)</f>
        <v>Угрозы</v>
      </c>
      <c r="R151" t="str">
        <f>IF('РЕЕСТР РИСКОВ_2023'!W177="",R150,'РЕЕСТР РИСКОВ_2023'!W177)</f>
        <v>Аудит</v>
      </c>
      <c r="S151">
        <f>'РЕЕСТР РИСКОВ_2023'!X177</f>
        <v>0</v>
      </c>
      <c r="T151" s="94">
        <f>IF('INHERENT MAP'!$B$5=2021,'РЕЕСТР РИСКОВ_2023'!Y177,IF('INHERENT MAP'!$B$5=2022,#REF!,IF('INHERENT MAP'!$B$5=2023,#REF!,IF('INHERENT MAP'!$B$5=2024,#REF!,#REF!))))</f>
        <v>0.4</v>
      </c>
      <c r="U151">
        <f>IF('INHERENT MAP'!$B$5=2021,'РЕЕСТР РИСКОВ_2023'!Z177,IF('INHERENT MAP'!$B$5=2022,#REF!,IF('INHERENT MAP'!$B$5=2023,#REF!,IF('INHERENT MAP'!$B$5=2024,#REF!,#REF!))))</f>
        <v>0</v>
      </c>
      <c r="V151">
        <f>IF('INHERENT MAP'!$B$5=2021,'РЕЕСТР РИСКОВ_2023'!AA177,IF('INHERENT MAP'!$B$5=2022,#REF!,IF('INHERENT MAP'!$B$5=2023,#REF!,IF('INHERENT MAP'!$B$5=2024,#REF!,#REF!))))</f>
        <v>0</v>
      </c>
      <c r="W151">
        <f>IF('INHERENT MAP'!$B$5=2021,'РЕЕСТР РИСКОВ_2023'!AB177,IF('INHERENT MAP'!$B$5=2022,#REF!,IF('INHERENT MAP'!$B$5=2023,#REF!,IF('INHERENT MAP'!$B$5=2024,#REF!,#REF!))))</f>
        <v>0</v>
      </c>
      <c r="X151" s="94">
        <f>IF('INHERENT MAP'!$B$5=2021,'РЕЕСТР РИСКОВ_2023'!AC177,IF('INHERENT MAP'!$B$5=2022,#REF!,IF('INHERENT MAP'!$B$5=2023,#REF!,IF('INHERENT MAP'!$B$5=2024,#REF!,#REF!))))</f>
        <v>0.4</v>
      </c>
      <c r="Y151">
        <f>IF('INHERENT MAP'!$B$5=2021,'РЕЕСТР РИСКОВ_2023'!AD177,IF('INHERENT MAP'!$B$5=2022,#REF!,IF('INHERENT MAP'!$B$5=2023,#REF!,IF('INHERENT MAP'!$B$5=2024,#REF!,#REF!))))</f>
        <v>0</v>
      </c>
      <c r="Z151">
        <f>IF('INHERENT MAP'!$B$5=2021,'РЕЕСТР РИСКОВ_2023'!AE177,IF('INHERENT MAP'!$B$5=2022,#REF!,IF('INHERENT MAP'!$B$5=2023,#REF!,IF('INHERENT MAP'!$B$5=2024,#REF!,#REF!))))</f>
        <v>0</v>
      </c>
      <c r="AA151">
        <f>IF('INHERENT MAP'!$B$5=2021,'РЕЕСТР РИСКОВ_2023'!AF177,IF('INHERENT MAP'!$B$5=2022,#REF!,IF('INHERENT MAP'!$B$5=2023,#REF!,IF('INHERENT MAP'!$B$5=2024,#REF!,#REF!))))</f>
        <v>0</v>
      </c>
      <c r="AB151">
        <f>IF('INHERENT MAP'!$B$5=2021,'РЕЕСТР РИСКОВ_2023'!AG177,IF('INHERENT MAP'!$B$5=2022,#REF!,IF('INHERENT MAP'!$B$5=2023,#REF!,IF('INHERENT MAP'!$B$5=2024,#REF!,#REF!))))</f>
        <v>0</v>
      </c>
      <c r="AC151">
        <f>IF('INHERENT MAP'!$B$5=2021,'РЕЕСТР РИСКОВ_2023'!AH177,IF('INHERENT MAP'!$B$5=2022,#REF!,IF('INHERENT MAP'!$B$5=2023,#REF!,IF('INHERENT MAP'!$B$5=2024,#REF!,#REF!))))</f>
        <v>0</v>
      </c>
      <c r="AD151" t="str">
        <f>IF('INHERENT MAP'!$B$5=2021,'РЕЕСТР РИСКОВ_2023'!AI177,IF('INHERENT MAP'!$B$5=2022,#REF!,IF('INHERENT MAP'!$B$5=2023,#REF!,IF('INHERENT MAP'!$B$5=2024,#REF!,#REF!))))</f>
        <v xml:space="preserve">1 Завершение перехода в АСОУП-2, либо привлечение отечественных разработчиков или найм ИТ специалистов в ҚТЖ для разработки аналогичных производственных ИС с уловием передачи право владения ҚТЖ (в случае привлечения внешнего поставщика услуг).
2.Проведение обучение со специалистами отделов согласно плану техническмх занятий.
3.Уведомление разработчиков ИС об ошибке. Получение корректировок и их установка в ИС.
4.Рассмотрение создания новых аналогичных систем в составе инициаруемых ЦДАЦ проектов.
5.Работа по списку уязвимостей ИС, представленные ЦКБ. .
6. Предоставление на еженедельной основе отчета по доступности ИС в Фонд.
</v>
      </c>
      <c r="AE151" t="str">
        <f>IF('INHERENT MAP'!$B$5=2021,'РЕЕСТР РИСКОВ_2023'!AK177,IF('INHERENT MAP'!$B$5=2022,#REF!,IF('INHERENT MAP'!$B$5=2023,#REF!,IF('INHERENT MAP'!$B$5=2024,#REF!,#REF!))))</f>
        <v>1,2,3,6 пункты мероприятий ответственные начальник отдела АСОУП-Корошкевич Е.Н.</v>
      </c>
      <c r="AF151">
        <f>IF('INHERENT MAP'!$B$5=2021,'РЕЕСТР РИСКОВ_2023'!AL177,IF('INHERENT MAP'!$B$5=2022,#REF!,IF('INHERENT MAP'!$B$5=2023,#REF!,IF('INHERENT MAP'!$B$5=2024,#REF!,#REF!))))</f>
        <v>0</v>
      </c>
      <c r="AG151" t="str">
        <f>IF('INHERENT MAP'!$B$5=2021,'РЕЕСТР РИСКОВ_2023'!AM177,IF('INHERENT MAP'!$B$5=2022,#REF!,IF('INHERENT MAP'!$B$5=2023,#REF!,IF('INHERENT MAP'!$B$5=2024,#REF!,#REF!))))</f>
        <v>средняя</v>
      </c>
      <c r="AH151">
        <f>IF('INHERENT MAP'!$B$5=2021,'РЕЕСТР РИСКОВ_2023'!AN177,IF('INHERENT MAP'!$B$5=2022,#REF!,IF('INHERENT MAP'!$B$5=2023,#REF!,IF('INHERENT MAP'!$B$5=2024,#REF!,#REF!))))</f>
        <v>0.2</v>
      </c>
      <c r="AI151">
        <f>IF('INHERENT MAP'!$B$5=2021,'РЕЕСТР РИСКОВ_2023'!AO177,IF('INHERENT MAP'!$B$5=2022,#REF!,IF('INHERENT MAP'!$B$5=2023,#REF!,IF('INHERENT MAP'!$B$5=2024,#REF!,#REF!))))</f>
        <v>0</v>
      </c>
      <c r="AJ151">
        <f>IF('INHERENT MAP'!$B$5=2021,'РЕЕСТР РИСКОВ_2023'!AP177,IF('INHERENT MAP'!$B$5=2022,#REF!,IF('INHERENT MAP'!$B$5=2023,#REF!,IF('INHERENT MAP'!$B$5=2024,#REF!,#REF!))))</f>
        <v>0</v>
      </c>
      <c r="AK151">
        <f>IF('РЕЕСТР РИСКОВ_2023'!AQ177="",AK150,'РЕЕСТР РИСКОВ_2023'!AQ177)</f>
        <v>0</v>
      </c>
      <c r="AL151">
        <f>IF('РЕЕСТР РИСКОВ_2023'!AR177="",AL150,'РЕЕСТР РИСКОВ_2023'!AR177)</f>
        <v>0.2</v>
      </c>
      <c r="AM151">
        <f>IF('РЕЕСТР РИСКОВ_2023'!AS177="",AM150,'РЕЕСТР РИСКОВ_2023'!AS177)</f>
        <v>0</v>
      </c>
      <c r="AN151">
        <f>IF('РЕЕСТР РИСКОВ_2023'!AT177="",AN150,'РЕЕСТР РИСКОВ_2023'!AT177)</f>
        <v>0</v>
      </c>
      <c r="AO151" t="e">
        <f>IF('РЕЕСТР РИСКОВ_2023'!AU177="",AO150,'РЕЕСТР РИСКОВ_2023'!AU177)</f>
        <v>#REF!</v>
      </c>
    </row>
    <row r="152" spans="2:41">
      <c r="B152" t="str">
        <f>IF('INHERENT MAP'!$B$5=2021,IF('РЕЕСТР РИСКОВ_2023'!F191="",B151,'РЕЕСТР РИСКОВ_2023'!F191),IF('INHERENT MAP'!$B$5=2022,IF(#REF!="",B151,#REF!),IF('INHERENT MAP'!$B$5=2023,IF(#REF!="",B151,#REF!),IF('INHERENT MAP'!$B$5=2024,IF(#REF!="",B151,#REF!),IF('РЕЕСТР РИСКОВ_2023'!F191="",B151,'РЕЕСТР РИСКОВ_2023'!F191)))))</f>
        <v>РИСК ЛИКВИДНОСТИ</v>
      </c>
      <c r="C152" t="e">
        <f>IF('INHERENT MAP'!$B$5=2021,IF('РЕЕСТР РИСКОВ_2023'!G191="",C151,'РЕЕСТР РИСКОВ_2023'!G191),IF('INHERENT MAP'!$B$5=2022,IF(#REF!="",C151,#REF!),IF('INHERENT MAP'!$B$5=2023,IF(#REF!="",C151,#REF!),IF('INHERENT MAP'!$B$5=2024,IF(#REF!="",C151,#REF!),IF('РЕЕСТР РИСКОВ_2023'!G191="",C151,'РЕЕСТР РИСКОВ_2023'!G191)))))</f>
        <v>#REF!</v>
      </c>
      <c r="D152" t="str">
        <f>IF('INHERENT MAP'!$B$5=2021,IF('РЕЕСТР РИСКОВ_2023'!H191="",D151,'РЕЕСТР РИСКОВ_2023'!H191),IF('INHERENT MAP'!$B$5=2022,IF(#REF!="",D151,#REF!),IF('INHERENT MAP'!$B$5=2023,IF(#REF!="",D151,#REF!),IF('INHERENT MAP'!$B$5=2024,IF(#REF!="",D151,#REF!),IF('РЕЕСТР РИСКОВ_2023'!H191="",D151,'РЕЕСТР РИСКОВ_2023'!H191)))))</f>
        <v>LR-1</v>
      </c>
      <c r="E152" t="str">
        <f>IF('INHERENT MAP'!$B$5=2021,IF('РЕЕСТР РИСКОВ_2023'!I191="",E151,'РЕЕСТР РИСКОВ_2023'!I191),IF('INHERENT MAP'!$B$5=2022,IF(#REF!="",E151,#REF!),IF('INHERENT MAP'!$B$5=2023,IF(#REF!="",E151,#REF!),IF('INHERENT MAP'!$B$5=2024,IF(#REF!="",E151,#REF!),IF('РЕЕСТР РИСКОВ_2023'!I191="",E151,'РЕЕСТР РИСКОВ_2023'!I191)))))</f>
        <v>ЦЗФ</v>
      </c>
      <c r="F152" t="str">
        <f>IF('INHERENT MAP'!$B$5=2021,IF('РЕЕСТР РИСКОВ_2023'!J191="",F151,'РЕЕСТР РИСКОВ_2023'!J191),IF('INHERENT MAP'!$B$5=2022,IF(#REF!="",F151,#REF!),IF('INHERENT MAP'!$B$5=2023,IF(#REF!="",F151,#REF!),IF('INHERENT MAP'!$B$5=2024,IF(#REF!="",F151,#REF!),IF('РЕЕСТР РИСКОВ_2023'!J191="",F151,'РЕЕСТР РИСКОВ_2023'!J191)))))</f>
        <v xml:space="preserve"> Департамент заимствований и по работе с инвесторами </v>
      </c>
      <c r="G152" t="str">
        <f>IF('INHERENT MAP'!$B$5=2021,IF('РЕЕСТР РИСКОВ_2023'!K191="",G151,'РЕЕСТР РИСКОВ_2023'!K191),IF('INHERENT MAP'!$B$5=2022,IF(#REF!="",G151,#REF!),IF('INHERENT MAP'!$B$5=2023,IF(#REF!="",G151,#REF!),IF('INHERENT MAP'!$B$5=2024,IF(#REF!="",G151,#REF!),IF('РЕЕСТР РИСКОВ_2023'!K191="",G151,'РЕЕСТР РИСКОВ_2023'!K191)))))</f>
        <v>Риск разрыва ликвидности</v>
      </c>
      <c r="H152">
        <f>IF('INHERENT MAP'!$B$5=2021,'РЕЕСТР РИСКОВ_2023'!L191,IF('INHERENT MAP'!$B$5=2022,#REF!,IF('INHERENT MAP'!$B$5=2023,#REF!,IF('INHERENT MAP'!$B$5=2024,#REF!,#REF!))))</f>
        <v>0</v>
      </c>
      <c r="I152">
        <f>IF('INHERENT MAP'!$B$5=2021,'РЕЕСТР РИСКОВ_2023'!M191,IF('INHERENT MAP'!$B$5=2022,#REF!,IF('INHERENT MAP'!$B$5=2023,#REF!,IF('INHERENT MAP'!$B$5=2024,#REF!,#REF!))))</f>
        <v>0</v>
      </c>
      <c r="J152">
        <f>IF('INHERENT MAP'!$B$5=2021,'РЕЕСТР РИСКОВ_2023'!N191,IF('INHERENT MAP'!$B$5=2022,#REF!,IF('INHERENT MAP'!$B$5=2023,#REF!,IF('INHERENT MAP'!$B$5=2024,#REF!,#REF!))))</f>
        <v>0</v>
      </c>
      <c r="K152">
        <f>IF('INHERENT MAP'!$B$5=2021,'РЕЕСТР РИСКОВ_2023'!O191,IF('INHERENT MAP'!$B$5=2022,#REF!,IF('INHERENT MAP'!$B$5=2023,#REF!,IF('INHERENT MAP'!$B$5=2024,#REF!,#REF!))))</f>
        <v>0</v>
      </c>
      <c r="L152">
        <f>IF('INHERENT MAP'!$B$5=2021,'РЕЕСТР РИСКОВ_2023'!P191,IF('INHERENT MAP'!$B$5=2022,#REF!,IF('INHERENT MAP'!$B$5=2023,#REF!,IF('INHERENT MAP'!$B$5=2024,#REF!,#REF!))))</f>
        <v>0</v>
      </c>
      <c r="M152" t="str">
        <f>IF('INHERENT MAP'!$B$5=2021,IF('РЕЕСТР РИСКОВ_2023'!Q191="",M151,'РЕЕСТР РИСКОВ_2023'!Q191),IF('INHERENT MAP'!$B$5=2022,IF(#REF!="",M151,#REF!),IF('INHERENT MAP'!$B$5=2023,IF(#REF!="",M151,#REF!),IF('INHERENT MAP'!$B$5=2024,IF(#REF!="",M151,#REF!),IF('РЕЕСТР РИСКОВ_2023'!Q191="",M151,'РЕЕСТР РИСКОВ_2023'!Q191)))))</f>
        <v>Девальвация тенге
Выплата денежных средств в результате реализации обязательств по выпущенным гарантиям Увеличение стоимости крупных инвестиционных проектов</v>
      </c>
      <c r="N152" t="str">
        <f>IF('INHERENT MAP'!$B$5=2021,IF('РЕЕСТР РИСКОВ_2023'!R191="",N151,'РЕЕСТР РИСКОВ_2023'!R191),IF('INHERENT MAP'!$B$5=2022,IF(#REF!="",N151,#REF!),IF('INHERENT MAP'!$B$5=2023,IF(#REF!="",N151,#REF!),IF('INHERENT MAP'!$B$5=2024,IF(#REF!="",N151,#REF!),IF('РЕЕСТР РИСКОВ_2023'!R191="",N151,'РЕЕСТР РИСКОВ_2023'!R191)))))</f>
        <v xml:space="preserve">1. Вирусные атаки;   
2. Неверная оценка критичности и актуальности данных 
3. Ошибка системы. </v>
      </c>
      <c r="O152">
        <f>'РЕЕСТР РИСКОВ_2023'!T191</f>
        <v>0</v>
      </c>
      <c r="P152" t="e">
        <f>IF('РЕЕСТР РИСКОВ_2023'!U191="",P151,'РЕЕСТР РИСКОВ_2023'!U191)</f>
        <v>#REF!</v>
      </c>
      <c r="Q152" t="str">
        <f>IF('РЕЕСТР РИСКОВ_2023'!V191="",Q151,'РЕЕСТР РИСКОВ_2023'!V191)</f>
        <v>Угрозы</v>
      </c>
      <c r="R152" t="str">
        <f>IF('РЕЕСТР РИСКОВ_2023'!W191="",R151,'РЕЕСТР РИСКОВ_2023'!W191)</f>
        <v xml:space="preserve">Коэффициент текущей ликвидности 2021 оценка
по курсу 450 (с учетом факта 1 кв.) 2,45
</v>
      </c>
      <c r="S152">
        <f>'РЕЕСТР РИСКОВ_2023'!X191</f>
        <v>0</v>
      </c>
      <c r="T152" s="94">
        <f>IF('INHERENT MAP'!$B$5=2021,'РЕЕСТР РИСКОВ_2023'!Y191,IF('INHERENT MAP'!$B$5=2022,#REF!,IF('INHERENT MAP'!$B$5=2023,#REF!,IF('INHERENT MAP'!$B$5=2024,#REF!,#REF!))))</f>
        <v>0.25</v>
      </c>
      <c r="U152">
        <f>IF('INHERENT MAP'!$B$5=2021,'РЕЕСТР РИСКОВ_2023'!Z191,IF('INHERENT MAP'!$B$5=2022,#REF!,IF('INHERENT MAP'!$B$5=2023,#REF!,IF('INHERENT MAP'!$B$5=2024,#REF!,#REF!))))</f>
        <v>-269.72699999999998</v>
      </c>
      <c r="V152">
        <f>IF('INHERENT MAP'!$B$5=2021,'РЕЕСТР РИСКОВ_2023'!AA191,IF('INHERENT MAP'!$B$5=2022,#REF!,IF('INHERENT MAP'!$B$5=2023,#REF!,IF('INHERENT MAP'!$B$5=2024,#REF!,#REF!))))</f>
        <v>-67.431749999999994</v>
      </c>
      <c r="W152" t="str">
        <f>IF('INHERENT MAP'!$B$5=2021,'РЕЕСТР РИСКОВ_2023'!AB191,IF('INHERENT MAP'!$B$5=2022,#REF!,IF('INHERENT MAP'!$B$5=2023,#REF!,IF('INHERENT MAP'!$B$5=2024,#REF!,#REF!))))</f>
        <v>Среднее значение за 2019-2020</v>
      </c>
      <c r="X152" s="94">
        <f>IF('INHERENT MAP'!$B$5=2021,'РЕЕСТР РИСКОВ_2023'!AC191,IF('INHERENT MAP'!$B$5=2022,#REF!,IF('INHERENT MAP'!$B$5=2023,#REF!,IF('INHERENT MAP'!$B$5=2024,#REF!,#REF!))))</f>
        <v>0.25</v>
      </c>
      <c r="Y152">
        <f>IF('INHERENT MAP'!$B$5=2021,'РЕЕСТР РИСКОВ_2023'!AD191,IF('INHERENT MAP'!$B$5=2022,#REF!,IF('INHERENT MAP'!$B$5=2023,#REF!,IF('INHERENT MAP'!$B$5=2024,#REF!,#REF!))))</f>
        <v>-269.72699999999998</v>
      </c>
      <c r="Z152">
        <f>IF('INHERENT MAP'!$B$5=2021,'РЕЕСТР РИСКОВ_2023'!AE191,IF('INHERENT MAP'!$B$5=2022,#REF!,IF('INHERENT MAP'!$B$5=2023,#REF!,IF('INHERENT MAP'!$B$5=2024,#REF!,#REF!))))</f>
        <v>-67.431749999999994</v>
      </c>
      <c r="AA152">
        <f>IF('INHERENT MAP'!$B$5=2021,'РЕЕСТР РИСКОВ_2023'!AF191,IF('INHERENT MAP'!$B$5=2022,#REF!,IF('INHERENT MAP'!$B$5=2023,#REF!,IF('INHERENT MAP'!$B$5=2024,#REF!,#REF!))))</f>
        <v>0</v>
      </c>
      <c r="AB152">
        <f>IF('INHERENT MAP'!$B$5=2021,'РЕЕСТР РИСКОВ_2023'!AG191,IF('INHERENT MAP'!$B$5=2022,#REF!,IF('INHERENT MAP'!$B$5=2023,#REF!,IF('INHERENT MAP'!$B$5=2024,#REF!,#REF!))))</f>
        <v>0</v>
      </c>
      <c r="AC152">
        <f>IF('INHERENT MAP'!$B$5=2021,'РЕЕСТР РИСКОВ_2023'!AH191,IF('INHERENT MAP'!$B$5=2022,#REF!,IF('INHERENT MAP'!$B$5=2023,#REF!,IF('INHERENT MAP'!$B$5=2024,#REF!,#REF!))))</f>
        <v>0</v>
      </c>
      <c r="AD152">
        <f>IF('INHERENT MAP'!$B$5=2021,'РЕЕСТР РИСКОВ_2023'!AI191,IF('INHERENT MAP'!$B$5=2022,#REF!,IF('INHERENT MAP'!$B$5=2023,#REF!,IF('INHERENT MAP'!$B$5=2024,#REF!,#REF!))))</f>
        <v>0</v>
      </c>
      <c r="AE152" t="str">
        <f>IF('INHERENT MAP'!$B$5=2021,'РЕЕСТР РИСКОВ_2023'!AK191,IF('INHERENT MAP'!$B$5=2022,#REF!,IF('INHERENT MAP'!$B$5=2023,#REF!,IF('INHERENT MAP'!$B$5=2024,#REF!,#REF!))))</f>
        <v xml:space="preserve"> Департамент заимствований и по работе с инвесторами </v>
      </c>
      <c r="AF152">
        <f>IF('INHERENT MAP'!$B$5=2021,'РЕЕСТР РИСКОВ_2023'!AL191,IF('INHERENT MAP'!$B$5=2022,#REF!,IF('INHERENT MAP'!$B$5=2023,#REF!,IF('INHERENT MAP'!$B$5=2024,#REF!,#REF!))))</f>
        <v>0</v>
      </c>
      <c r="AG152" t="str">
        <f>IF('INHERENT MAP'!$B$5=2021,'РЕЕСТР РИСКОВ_2023'!AM191,IF('INHERENT MAP'!$B$5=2022,#REF!,IF('INHERENT MAP'!$B$5=2023,#REF!,IF('INHERENT MAP'!$B$5=2024,#REF!,#REF!))))</f>
        <v>средняя</v>
      </c>
      <c r="AH152">
        <f>IF('INHERENT MAP'!$B$5=2021,'РЕЕСТР РИСКОВ_2023'!AN191,IF('INHERENT MAP'!$B$5=2022,#REF!,IF('INHERENT MAP'!$B$5=2023,#REF!,IF('INHERENT MAP'!$B$5=2024,#REF!,#REF!))))</f>
        <v>0.125</v>
      </c>
      <c r="AI152">
        <f>IF('INHERENT MAP'!$B$5=2021,'РЕЕСТР РИСКОВ_2023'!AO191,IF('INHERENT MAP'!$B$5=2022,#REF!,IF('INHERENT MAP'!$B$5=2023,#REF!,IF('INHERENT MAP'!$B$5=2024,#REF!,#REF!))))</f>
        <v>-134.86349999999999</v>
      </c>
      <c r="AJ152">
        <f>IF('INHERENT MAP'!$B$5=2021,'РЕЕСТР РИСКОВ_2023'!AP191,IF('INHERENT MAP'!$B$5=2022,#REF!,IF('INHERENT MAP'!$B$5=2023,#REF!,IF('INHERENT MAP'!$B$5=2024,#REF!,#REF!))))</f>
        <v>-16.857937499999998</v>
      </c>
      <c r="AK152">
        <f>IF('РЕЕСТР РИСКОВ_2023'!AQ191="",AK151,'РЕЕСТР РИСКОВ_2023'!AQ191)</f>
        <v>-33.715874999999997</v>
      </c>
      <c r="AL152">
        <f>IF('РЕЕСТР РИСКОВ_2023'!AR191="",AL151,'РЕЕСТР РИСКОВ_2023'!AR191)</f>
        <v>0.125</v>
      </c>
      <c r="AM152">
        <f>IF('РЕЕСТР РИСКОВ_2023'!AS191="",AM151,'РЕЕСТР РИСКОВ_2023'!AS191)</f>
        <v>-16.857937499999998</v>
      </c>
      <c r="AN152">
        <f>IF('РЕЕСТР РИСКОВ_2023'!AT191="",AN151,'РЕЕСТР РИСКОВ_2023'!AT191)</f>
        <v>-33.715874999999997</v>
      </c>
      <c r="AO152" t="e">
        <f>IF('РЕЕСТР РИСКОВ_2023'!AU191="",AO151,'РЕЕСТР РИСКОВ_2023'!AU191)</f>
        <v>#REF!</v>
      </c>
    </row>
    <row r="153" spans="2:41">
      <c r="B153" t="str">
        <f>IF('INHERENT MAP'!$B$5=2021,IF('РЕЕСТР РИСКОВ_2023'!F192="",B152,'РЕЕСТР РИСКОВ_2023'!F192),IF('INHERENT MAP'!$B$5=2022,IF(#REF!="",B152,#REF!),IF('INHERENT MAP'!$B$5=2023,IF(#REF!="",B152,#REF!),IF('INHERENT MAP'!$B$5=2024,IF(#REF!="",B152,#REF!),IF('РЕЕСТР РИСКОВ_2023'!F192="",B152,'РЕЕСТР РИСКОВ_2023'!F192)))))</f>
        <v>КРЕДИТНЫЙ РИСК</v>
      </c>
      <c r="C153" t="e">
        <f>IF('INHERENT MAP'!$B$5=2021,IF('РЕЕСТР РИСКОВ_2023'!G192="",C152,'РЕЕСТР РИСКОВ_2023'!G192),IF('INHERENT MAP'!$B$5=2022,IF(#REF!="",C152,#REF!),IF('INHERENT MAP'!$B$5=2023,IF(#REF!="",C152,#REF!),IF('INHERENT MAP'!$B$5=2024,IF(#REF!="",C152,#REF!),IF('РЕЕСТР РИСКОВ_2023'!G192="",C152,'РЕЕСТР РИСКОВ_2023'!G192)))))</f>
        <v>#REF!</v>
      </c>
      <c r="D153" t="str">
        <f>IF('INHERENT MAP'!$B$5=2021,IF('РЕЕСТР РИСКОВ_2023'!H192="",D152,'РЕЕСТР РИСКОВ_2023'!H192),IF('INHERENT MAP'!$B$5=2022,IF(#REF!="",D152,#REF!),IF('INHERENT MAP'!$B$5=2023,IF(#REF!="",D152,#REF!),IF('INHERENT MAP'!$B$5=2024,IF(#REF!="",D152,#REF!),IF('РЕЕСТР РИСКОВ_2023'!H192="",D152,'РЕЕСТР РИСКОВ_2023'!H192)))))</f>
        <v>CR-1</v>
      </c>
      <c r="E153" t="str">
        <f>IF('INHERENT MAP'!$B$5=2021,IF('РЕЕСТР РИСКОВ_2023'!I192="",E152,'РЕЕСТР РИСКОВ_2023'!I192),IF('INHERENT MAP'!$B$5=2022,IF(#REF!="",E152,#REF!),IF('INHERENT MAP'!$B$5=2023,IF(#REF!="",E152,#REF!),IF('INHERENT MAP'!$B$5=2024,IF(#REF!="",E152,#REF!),IF('РЕЕСТР РИСКОВ_2023'!I192="",E152,'РЕЕСТР РИСКОВ_2023'!I192)))))</f>
        <v>ЦЗФ</v>
      </c>
      <c r="F153" t="str">
        <f>IF('INHERENT MAP'!$B$5=2021,IF('РЕЕСТР РИСКОВ_2023'!J192="",F152,'РЕЕСТР РИСКОВ_2023'!J192),IF('INHERENT MAP'!$B$5=2022,IF(#REF!="",F152,#REF!),IF('INHERENT MAP'!$B$5=2023,IF(#REF!="",F152,#REF!),IF('INHERENT MAP'!$B$5=2024,IF(#REF!="",F152,#REF!),IF('РЕЕСТР РИСКОВ_2023'!J192="",F152,'РЕЕСТР РИСКОВ_2023'!J192)))))</f>
        <v>Департамент казначейства,
Дочерние организации</v>
      </c>
      <c r="G153" t="str">
        <f>IF('INHERENT MAP'!$B$5=2021,IF('РЕЕСТР РИСКОВ_2023'!K192="",G152,'РЕЕСТР РИСКОВ_2023'!K192),IF('INHERENT MAP'!$B$5=2022,IF(#REF!="",G152,#REF!),IF('INHERENT MAP'!$B$5=2023,IF(#REF!="",G152,#REF!),IF('INHERENT MAP'!$B$5=2024,IF(#REF!="",G152,#REF!),IF('РЕЕСТР РИСКОВ_2023'!K192="",G152,'РЕЕСТР РИСКОВ_2023'!K192)))))</f>
        <v>Потеря  временно-свободных денежных средств при размещении (в долгосрочные финансовые инструменты) в банки второго уровня</v>
      </c>
      <c r="H153">
        <f>IF('INHERENT MAP'!$B$5=2021,'РЕЕСТР РИСКОВ_2023'!L192,IF('INHERENT MAP'!$B$5=2022,#REF!,IF('INHERENT MAP'!$B$5=2023,#REF!,IF('INHERENT MAP'!$B$5=2024,#REF!,#REF!))))</f>
        <v>0</v>
      </c>
      <c r="I153">
        <f>IF('INHERENT MAP'!$B$5=2021,'РЕЕСТР РИСКОВ_2023'!M192,IF('INHERENT MAP'!$B$5=2022,#REF!,IF('INHERENT MAP'!$B$5=2023,#REF!,IF('INHERENT MAP'!$B$5=2024,#REF!,#REF!))))</f>
        <v>0</v>
      </c>
      <c r="J153">
        <f>IF('INHERENT MAP'!$B$5=2021,'РЕЕСТР РИСКОВ_2023'!N192,IF('INHERENT MAP'!$B$5=2022,#REF!,IF('INHERENT MAP'!$B$5=2023,#REF!,IF('INHERENT MAP'!$B$5=2024,#REF!,#REF!))))</f>
        <v>0</v>
      </c>
      <c r="K153">
        <f>IF('INHERENT MAP'!$B$5=2021,'РЕЕСТР РИСКОВ_2023'!O192,IF('INHERENT MAP'!$B$5=2022,#REF!,IF('INHERENT MAP'!$B$5=2023,#REF!,IF('INHERENT MAP'!$B$5=2024,#REF!,#REF!))))</f>
        <v>0</v>
      </c>
      <c r="L153">
        <f>IF('INHERENT MAP'!$B$5=2021,'РЕЕСТР РИСКОВ_2023'!P192,IF('INHERENT MAP'!$B$5=2022,#REF!,IF('INHERENT MAP'!$B$5=2023,#REF!,IF('INHERENT MAP'!$B$5=2024,#REF!,#REF!))))</f>
        <v>0</v>
      </c>
      <c r="M153" t="str">
        <f>IF('INHERENT MAP'!$B$5=2021,IF('РЕЕСТР РИСКОВ_2023'!Q192="",M152,'РЕЕСТР РИСКОВ_2023'!Q192),IF('INHERENT MAP'!$B$5=2022,IF(#REF!="",M152,#REF!),IF('INHERENT MAP'!$B$5=2023,IF(#REF!="",M152,#REF!),IF('INHERENT MAP'!$B$5=2024,IF(#REF!="",M152,#REF!),IF('РЕЕСТР РИСКОВ_2023'!Q192="",M152,'РЕЕСТР РИСКОВ_2023'!Q192)))))</f>
        <v xml:space="preserve">В случае отсутствия или не полного сравнительного анализа предлагаемых  условий БВУ. В случае нарушения ДЗО процедур предварительного согласования с Компанией, членами Уполномоченных органов решений о размещении ВСДС;
Дефолт контрагентов либо дефолт банка-контрагента. 
Изменение конъюнктуры финансовых рынков.  </v>
      </c>
      <c r="N153" t="str">
        <f>IF('INHERENT MAP'!$B$5=2021,IF('РЕЕСТР РИСКОВ_2023'!R192="",N152,'РЕЕСТР РИСКОВ_2023'!R192),IF('INHERENT MAP'!$B$5=2022,IF(#REF!="",N152,#REF!),IF('INHERENT MAP'!$B$5=2023,IF(#REF!="",N152,#REF!),IF('INHERENT MAP'!$B$5=2024,IF(#REF!="",N152,#REF!),IF('РЕЕСТР РИСКОВ_2023'!R192="",N152,'РЕЕСТР РИСКОВ_2023'!R192)))))</f>
        <v xml:space="preserve">1. Вирусные атаки;   
2. Неверная оценка критичности и актуальности данных 
3. Ошибка системы. </v>
      </c>
      <c r="O153">
        <f>'РЕЕСТР РИСКОВ_2023'!T192</f>
        <v>0</v>
      </c>
      <c r="P153" t="e">
        <f>IF('РЕЕСТР РИСКОВ_2023'!U192="",P152,'РЕЕСТР РИСКОВ_2023'!U192)</f>
        <v>#REF!</v>
      </c>
      <c r="Q153" t="str">
        <f>IF('РЕЕСТР РИСКОВ_2023'!V192="",Q152,'РЕЕСТР РИСКОВ_2023'!V192)</f>
        <v>Угрозы</v>
      </c>
      <c r="R153" t="str">
        <f>IF('РЕЕСТР РИСКОВ_2023'!W192="",R152,'РЕЕСТР РИСКОВ_2023'!W192)</f>
        <v xml:space="preserve">Коэффициент текущей ликвидности 2021 оценка
по курсу 450 (с учетом факта 1 кв.) 2,45
</v>
      </c>
      <c r="S153">
        <f>'РЕЕСТР РИСКОВ_2023'!X192</f>
        <v>0</v>
      </c>
      <c r="T153" s="94">
        <f>IF('INHERENT MAP'!$B$5=2021,'РЕЕСТР РИСКОВ_2023'!Y192,IF('INHERENT MAP'!$B$5=2022,#REF!,IF('INHERENT MAP'!$B$5=2023,#REF!,IF('INHERENT MAP'!$B$5=2024,#REF!,#REF!))))</f>
        <v>0.05</v>
      </c>
      <c r="U153">
        <f>IF('INHERENT MAP'!$B$5=2021,'РЕЕСТР РИСКОВ_2023'!Z192,IF('INHERENT MAP'!$B$5=2022,#REF!,IF('INHERENT MAP'!$B$5=2023,#REF!,IF('INHERENT MAP'!$B$5=2024,#REF!,#REF!))))</f>
        <v>-4332.5230000000001</v>
      </c>
      <c r="V153">
        <f>IF('INHERENT MAP'!$B$5=2021,'РЕЕСТР РИСКОВ_2023'!AA192,IF('INHERENT MAP'!$B$5=2022,#REF!,IF('INHERENT MAP'!$B$5=2023,#REF!,IF('INHERENT MAP'!$B$5=2024,#REF!,#REF!))))</f>
        <v>-216.62615000000002</v>
      </c>
      <c r="W153">
        <f>IF('INHERENT MAP'!$B$5=2021,'РЕЕСТР РИСКОВ_2023'!AB192,IF('INHERENT MAP'!$B$5=2022,#REF!,IF('INHERENT MAP'!$B$5=2023,#REF!,IF('INHERENT MAP'!$B$5=2024,#REF!,#REF!))))</f>
        <v>0</v>
      </c>
      <c r="X153" s="94">
        <f>IF('INHERENT MAP'!$B$5=2021,'РЕЕСТР РИСКОВ_2023'!AC192,IF('INHERENT MAP'!$B$5=2022,#REF!,IF('INHERENT MAP'!$B$5=2023,#REF!,IF('INHERENT MAP'!$B$5=2024,#REF!,#REF!))))</f>
        <v>0.45179023155256937</v>
      </c>
      <c r="Y153">
        <f>IF('INHERENT MAP'!$B$5=2021,'РЕЕСТР РИСКОВ_2023'!AD192,IF('INHERENT MAP'!$B$5=2022,#REF!,IF('INHERENT MAP'!$B$5=2023,#REF!,IF('INHERENT MAP'!$B$5=2024,#REF!,#REF!))))</f>
        <v>-29603.176149999999</v>
      </c>
      <c r="Z153">
        <f>IF('INHERENT MAP'!$B$5=2021,'РЕЕСТР РИСКОВ_2023'!AE192,IF('INHERENT MAP'!$B$5=2022,#REF!,IF('INHERENT MAP'!$B$5=2023,#REF!,IF('INHERENT MAP'!$B$5=2024,#REF!,#REF!))))</f>
        <v>-13374.425807499998</v>
      </c>
      <c r="AA153">
        <f>IF('INHERENT MAP'!$B$5=2021,'РЕЕСТР РИСКОВ_2023'!AF192,IF('INHERENT MAP'!$B$5=2022,#REF!,IF('INHERENT MAP'!$B$5=2023,#REF!,IF('INHERENT MAP'!$B$5=2024,#REF!,#REF!))))</f>
        <v>0</v>
      </c>
      <c r="AB153">
        <f>IF('INHERENT MAP'!$B$5=2021,'РЕЕСТР РИСКОВ_2023'!AG192,IF('INHERENT MAP'!$B$5=2022,#REF!,IF('INHERENT MAP'!$B$5=2023,#REF!,IF('INHERENT MAP'!$B$5=2024,#REF!,#REF!))))</f>
        <v>0</v>
      </c>
      <c r="AC153">
        <f>IF('INHERENT MAP'!$B$5=2021,'РЕЕСТР РИСКОВ_2023'!AH192,IF('INHERENT MAP'!$B$5=2022,#REF!,IF('INHERENT MAP'!$B$5=2023,#REF!,IF('INHERENT MAP'!$B$5=2024,#REF!,#REF!))))</f>
        <v>0</v>
      </c>
      <c r="AD153" t="str">
        <f>IF('INHERENT MAP'!$B$5=2021,'РЕЕСТР РИСКОВ_2023'!AI192,IF('INHERENT MAP'!$B$5=2022,#REF!,IF('INHERENT MAP'!$B$5=2023,#REF!,IF('INHERENT MAP'!$B$5=2024,#REF!,#REF!))))</f>
        <v>Мониторинг и анализ финансовых показателей БВУ</v>
      </c>
      <c r="AE153" t="str">
        <f>IF('INHERENT MAP'!$B$5=2021,'РЕЕСТР РИСКОВ_2023'!AK192,IF('INHERENT MAP'!$B$5=2022,#REF!,IF('INHERENT MAP'!$B$5=2023,#REF!,IF('INHERENT MAP'!$B$5=2024,#REF!,#REF!))))</f>
        <v>Департамент казначейства,
Дочерние организации</v>
      </c>
      <c r="AF153">
        <f>IF('INHERENT MAP'!$B$5=2021,'РЕЕСТР РИСКОВ_2023'!AL192,IF('INHERENT MAP'!$B$5=2022,#REF!,IF('INHERENT MAP'!$B$5=2023,#REF!,IF('INHERENT MAP'!$B$5=2024,#REF!,#REF!))))</f>
        <v>0</v>
      </c>
      <c r="AG153" t="str">
        <f>IF('INHERENT MAP'!$B$5=2021,'РЕЕСТР РИСКОВ_2023'!AM192,IF('INHERENT MAP'!$B$5=2022,#REF!,IF('INHERENT MAP'!$B$5=2023,#REF!,IF('INHERENT MAP'!$B$5=2024,#REF!,#REF!))))</f>
        <v>средняя</v>
      </c>
      <c r="AH153">
        <f>IF('INHERENT MAP'!$B$5=2021,'РЕЕСТР РИСКОВ_2023'!AN192,IF('INHERENT MAP'!$B$5=2022,#REF!,IF('INHERENT MAP'!$B$5=2023,#REF!,IF('INHERENT MAP'!$B$5=2024,#REF!,#REF!))))</f>
        <v>0.05</v>
      </c>
      <c r="AI153">
        <f>IF('INHERENT MAP'!$B$5=2021,'РЕЕСТР РИСКОВ_2023'!AO192,IF('INHERENT MAP'!$B$5=2022,#REF!,IF('INHERENT MAP'!$B$5=2023,#REF!,IF('INHERENT MAP'!$B$5=2024,#REF!,#REF!))))</f>
        <v>-2166.2615000000001</v>
      </c>
      <c r="AJ153">
        <f>IF('INHERENT MAP'!$B$5=2021,'РЕЕСТР РИСКОВ_2023'!AP192,IF('INHERENT MAP'!$B$5=2022,#REF!,IF('INHERENT MAP'!$B$5=2023,#REF!,IF('INHERENT MAP'!$B$5=2024,#REF!,#REF!))))</f>
        <v>-108.31307500000001</v>
      </c>
      <c r="AK153">
        <f>IF('РЕЕСТР РИСКОВ_2023'!AQ192="",AK152,'РЕЕСТР РИСКОВ_2023'!AQ192)</f>
        <v>-108.31307500000001</v>
      </c>
      <c r="AL153" t="e">
        <f>IF('РЕЕСТР РИСКОВ_2023'!AR192="",AL152,'РЕЕСТР РИСКОВ_2023'!AR192)</f>
        <v>#REF!</v>
      </c>
      <c r="AM153">
        <f>IF('РЕЕСТР РИСКОВ_2023'!AS192="",AM152,'РЕЕСТР РИСКОВ_2023'!AS192)</f>
        <v>-6509.5130750000008</v>
      </c>
      <c r="AN153">
        <f>IF('РЕЕСТР РИСКОВ_2023'!AT192="",AN152,'РЕЕСТР РИСКОВ_2023'!AT192)</f>
        <v>-14390</v>
      </c>
      <c r="AO153" t="e">
        <f>IF('РЕЕСТР РИСКОВ_2023'!AU192="",AO152,'РЕЕСТР РИСКОВ_2023'!AU192)</f>
        <v>#REF!</v>
      </c>
    </row>
    <row r="154" spans="2:41">
      <c r="B154" t="str">
        <f>IF('INHERENT MAP'!$B$5=2021,IF('РЕЕСТР РИСКОВ_2023'!F193="",B153,'РЕЕСТР РИСКОВ_2023'!F193),IF('INHERENT MAP'!$B$5=2022,IF(#REF!="",B153,#REF!),IF('INHERENT MAP'!$B$5=2023,IF(#REF!="",B153,#REF!),IF('INHERENT MAP'!$B$5=2024,IF(#REF!="",B153,#REF!),IF('РЕЕСТР РИСКОВ_2023'!F193="",B153,'РЕЕСТР РИСКОВ_2023'!F193)))))</f>
        <v>КРЕДИТНЫЙ РИСК</v>
      </c>
      <c r="C154" t="e">
        <f>IF('INHERENT MAP'!$B$5=2021,IF('РЕЕСТР РИСКОВ_2023'!G193="",C153,'РЕЕСТР РИСКОВ_2023'!G193),IF('INHERENT MAP'!$B$5=2022,IF(#REF!="",C153,#REF!),IF('INHERENT MAP'!$B$5=2023,IF(#REF!="",C153,#REF!),IF('INHERENT MAP'!$B$5=2024,IF(#REF!="",C153,#REF!),IF('РЕЕСТР РИСКОВ_2023'!G193="",C153,'РЕЕСТР РИСКОВ_2023'!G193)))))</f>
        <v>#REF!</v>
      </c>
      <c r="D154" t="str">
        <f>IF('INHERENT MAP'!$B$5=2021,IF('РЕЕСТР РИСКОВ_2023'!H193="",D153,'РЕЕСТР РИСКОВ_2023'!H193),IF('INHERENT MAP'!$B$5=2022,IF(#REF!="",D153,#REF!),IF('INHERENT MAP'!$B$5=2023,IF(#REF!="",D153,#REF!),IF('INHERENT MAP'!$B$5=2024,IF(#REF!="",D153,#REF!),IF('РЕЕСТР РИСКОВ_2023'!H193="",D153,'РЕЕСТР РИСКОВ_2023'!H193)))))</f>
        <v>CR-2</v>
      </c>
      <c r="E154" t="str">
        <f>IF('INHERENT MAP'!$B$5=2021,IF('РЕЕСТР РИСКОВ_2023'!I193="",E153,'РЕЕСТР РИСКОВ_2023'!I193),IF('INHERENT MAP'!$B$5=2022,IF(#REF!="",E153,#REF!),IF('INHERENT MAP'!$B$5=2023,IF(#REF!="",E153,#REF!),IF('INHERENT MAP'!$B$5=2024,IF(#REF!="",E153,#REF!),IF('РЕЕСТР РИСКОВ_2023'!I193="",E153,'РЕЕСТР РИСКОВ_2023'!I193)))))</f>
        <v>ЦЗФ</v>
      </c>
      <c r="F154" t="str">
        <f>IF('INHERENT MAP'!$B$5=2021,IF('РЕЕСТР РИСКОВ_2023'!J193="",F153,'РЕЕСТР РИСКОВ_2023'!J193),IF('INHERENT MAP'!$B$5=2022,IF(#REF!="",F153,#REF!),IF('INHERENT MAP'!$B$5=2023,IF(#REF!="",F153,#REF!),IF('INHERENT MAP'!$B$5=2024,IF(#REF!="",F153,#REF!),IF('РЕЕСТР РИСКОВ_2023'!J193="",F153,'РЕЕСТР РИСКОВ_2023'!J193)))))</f>
        <v>Департамент казначейства, структурные подразделения, Дочерние организации</v>
      </c>
      <c r="G154" t="str">
        <f>IF('INHERENT MAP'!$B$5=2021,IF('РЕЕСТР РИСКОВ_2023'!K193="",G153,'РЕЕСТР РИСКОВ_2023'!K193),IF('INHERENT MAP'!$B$5=2022,IF(#REF!="",G153,#REF!),IF('INHERENT MAP'!$B$5=2023,IF(#REF!="",G153,#REF!),IF('INHERENT MAP'!$B$5=2024,IF(#REF!="",G153,#REF!),IF('РЕЕСТР РИСКОВ_2023'!K193="",G153,'РЕЕСТР РИСКОВ_2023'!K193)))))</f>
        <v>Невозврат дебиторской задолженности (Образование проблемной дебиторской задолженности)</v>
      </c>
      <c r="H154">
        <f>IF('INHERENT MAP'!$B$5=2021,'РЕЕСТР РИСКОВ_2023'!L193,IF('INHERENT MAP'!$B$5=2022,#REF!,IF('INHERENT MAP'!$B$5=2023,#REF!,IF('INHERENT MAP'!$B$5=2024,#REF!,#REF!))))</f>
        <v>0</v>
      </c>
      <c r="I154">
        <f>IF('INHERENT MAP'!$B$5=2021,'РЕЕСТР РИСКОВ_2023'!M193,IF('INHERENT MAP'!$B$5=2022,#REF!,IF('INHERENT MAP'!$B$5=2023,#REF!,IF('INHERENT MAP'!$B$5=2024,#REF!,#REF!))))</f>
        <v>0</v>
      </c>
      <c r="J154">
        <f>IF('INHERENT MAP'!$B$5=2021,'РЕЕСТР РИСКОВ_2023'!N193,IF('INHERENT MAP'!$B$5=2022,#REF!,IF('INHERENT MAP'!$B$5=2023,#REF!,IF('INHERENT MAP'!$B$5=2024,#REF!,#REF!))))</f>
        <v>0</v>
      </c>
      <c r="K154">
        <f>IF('INHERENT MAP'!$B$5=2021,'РЕЕСТР РИСКОВ_2023'!O193,IF('INHERENT MAP'!$B$5=2022,#REF!,IF('INHERENT MAP'!$B$5=2023,#REF!,IF('INHERENT MAP'!$B$5=2024,#REF!,#REF!))))</f>
        <v>0</v>
      </c>
      <c r="L154">
        <f>IF('INHERENT MAP'!$B$5=2021,'РЕЕСТР РИСКОВ_2023'!P193,IF('INHERENT MAP'!$B$5=2022,#REF!,IF('INHERENT MAP'!$B$5=2023,#REF!,IF('INHERENT MAP'!$B$5=2024,#REF!,#REF!))))</f>
        <v>0</v>
      </c>
      <c r="M154" t="str">
        <f>IF('INHERENT MAP'!$B$5=2021,IF('РЕЕСТР РИСКОВ_2023'!Q193="",M153,'РЕЕСТР РИСКОВ_2023'!Q193),IF('INHERENT MAP'!$B$5=2022,IF(#REF!="",M153,#REF!),IF('INHERENT MAP'!$B$5=2023,IF(#REF!="",M153,#REF!),IF('INHERENT MAP'!$B$5=2024,IF(#REF!="",M153,#REF!),IF('РЕЕСТР РИСКОВ_2023'!Q193="",M153,'РЕЕСТР РИСКОВ_2023'!Q193)))))</f>
        <v xml:space="preserve">Дефолт контрагента, 
Неисполнение контрагентами договорных обязательств. Ненадлежащий контроль за исполнением контрагентами договорных обязательств.  
Оказание услуг в кредит без получения 100% предоплаты. 
Отклонение от условий типовых договоров о закупках. </v>
      </c>
      <c r="N154" t="str">
        <f>IF('INHERENT MAP'!$B$5=2021,IF('РЕЕСТР РИСКОВ_2023'!R193="",N153,'РЕЕСТР РИСКОВ_2023'!R193),IF('INHERENT MAP'!$B$5=2022,IF(#REF!="",N153,#REF!),IF('INHERENT MAP'!$B$5=2023,IF(#REF!="",N153,#REF!),IF('INHERENT MAP'!$B$5=2024,IF(#REF!="",N153,#REF!),IF('РЕЕСТР РИСКОВ_2023'!R193="",N153,'РЕЕСТР РИСКОВ_2023'!R193)))))</f>
        <v xml:space="preserve">1. Вирусные атаки;   
2. Неверная оценка критичности и актуальности данных 
3. Ошибка системы. </v>
      </c>
      <c r="O154">
        <f>'РЕЕСТР РИСКОВ_2023'!T193</f>
        <v>0</v>
      </c>
      <c r="P154" t="e">
        <f>IF('РЕЕСТР РИСКОВ_2023'!U193="",P153,'РЕЕСТР РИСКОВ_2023'!U193)</f>
        <v>#REF!</v>
      </c>
      <c r="Q154" t="str">
        <f>IF('РЕЕСТР РИСКОВ_2023'!V193="",Q153,'РЕЕСТР РИСКОВ_2023'!V193)</f>
        <v>Угрозы</v>
      </c>
      <c r="R154" t="str">
        <f>IF('РЕЕСТР РИСКОВ_2023'!W193="",R153,'РЕЕСТР РИСКОВ_2023'!W193)</f>
        <v xml:space="preserve">Коэффициент текущей ликвидности 2021 оценка
по курсу 450 (с учетом факта 1 кв.) 2,45
</v>
      </c>
      <c r="S154">
        <f>'РЕЕСТР РИСКОВ_2023'!X193</f>
        <v>0</v>
      </c>
      <c r="T154" s="94">
        <f>IF('INHERENT MAP'!$B$5=2021,'РЕЕСТР РИСКОВ_2023'!Y193,IF('INHERENT MAP'!$B$5=2022,#REF!,IF('INHERENT MAP'!$B$5=2023,#REF!,IF('INHERENT MAP'!$B$5=2024,#REF!,#REF!))))</f>
        <v>0.4</v>
      </c>
      <c r="U154">
        <f>IF('INHERENT MAP'!$B$5=2021,'РЕЕСТР РИСКОВ_2023'!Z193,IF('INHERENT MAP'!$B$5=2022,#REF!,IF('INHERENT MAP'!$B$5=2023,#REF!,IF('INHERENT MAP'!$B$5=2024,#REF!,#REF!))))</f>
        <v>-16003</v>
      </c>
      <c r="V154">
        <f>IF('INHERENT MAP'!$B$5=2021,'РЕЕСТР РИСКОВ_2023'!AA193,IF('INHERENT MAP'!$B$5=2022,#REF!,IF('INHERENT MAP'!$B$5=2023,#REF!,IF('INHERENT MAP'!$B$5=2024,#REF!,#REF!))))</f>
        <v>-6401.2000000000007</v>
      </c>
      <c r="W154">
        <f>IF('INHERENT MAP'!$B$5=2021,'РЕЕСТР РИСКОВ_2023'!AB193,IF('INHERENT MAP'!$B$5=2022,#REF!,IF('INHERENT MAP'!$B$5=2023,#REF!,IF('INHERENT MAP'!$B$5=2024,#REF!,#REF!))))</f>
        <v>0</v>
      </c>
      <c r="X154" s="94">
        <f>IF('INHERENT MAP'!$B$5=2021,'РЕЕСТР РИСКОВ_2023'!AC193,IF('INHERENT MAP'!$B$5=2022,#REF!,IF('INHERENT MAP'!$B$5=2023,#REF!,IF('INHERENT MAP'!$B$5=2024,#REF!,#REF!))))</f>
        <v>0</v>
      </c>
      <c r="Y154">
        <f>IF('INHERENT MAP'!$B$5=2021,'РЕЕСТР РИСКОВ_2023'!AD193,IF('INHERENT MAP'!$B$5=2022,#REF!,IF('INHERENT MAP'!$B$5=2023,#REF!,IF('INHERENT MAP'!$B$5=2024,#REF!,#REF!))))</f>
        <v>0</v>
      </c>
      <c r="Z154">
        <f>IF('INHERENT MAP'!$B$5=2021,'РЕЕСТР РИСКОВ_2023'!AE193,IF('INHERENT MAP'!$B$5=2022,#REF!,IF('INHERENT MAP'!$B$5=2023,#REF!,IF('INHERENT MAP'!$B$5=2024,#REF!,#REF!))))</f>
        <v>0</v>
      </c>
      <c r="AA154">
        <f>IF('INHERENT MAP'!$B$5=2021,'РЕЕСТР РИСКОВ_2023'!AF193,IF('INHERENT MAP'!$B$5=2022,#REF!,IF('INHERENT MAP'!$B$5=2023,#REF!,IF('INHERENT MAP'!$B$5=2024,#REF!,#REF!))))</f>
        <v>0</v>
      </c>
      <c r="AB154">
        <f>IF('INHERENT MAP'!$B$5=2021,'РЕЕСТР РИСКОВ_2023'!AG193,IF('INHERENT MAP'!$B$5=2022,#REF!,IF('INHERENT MAP'!$B$5=2023,#REF!,IF('INHERENT MAP'!$B$5=2024,#REF!,#REF!))))</f>
        <v>0</v>
      </c>
      <c r="AC154">
        <f>IF('INHERENT MAP'!$B$5=2021,'РЕЕСТР РИСКОВ_2023'!AH193,IF('INHERENT MAP'!$B$5=2022,#REF!,IF('INHERENT MAP'!$B$5=2023,#REF!,IF('INHERENT MAP'!$B$5=2024,#REF!,#REF!))))</f>
        <v>0</v>
      </c>
      <c r="AD154" t="str">
        <f>IF('INHERENT MAP'!$B$5=2021,'РЕЕСТР РИСКОВ_2023'!AI193,IF('INHERENT MAP'!$B$5=2022,#REF!,IF('INHERENT MAP'!$B$5=2023,#REF!,IF('INHERENT MAP'!$B$5=2024,#REF!,#REF!))))</f>
        <v>Проведение мониторинга всей дебиторской задолженности с целью выявления проблемной задолженности и проведения своевременной работы по ее погашению. Заслушивание информации по проблемной дебиторской задолженности у руководства Компании.
Среднее значение на 01.10.2021</v>
      </c>
      <c r="AE154" t="str">
        <f>IF('INHERENT MAP'!$B$5=2021,'РЕЕСТР РИСКОВ_2023'!AK193,IF('INHERENT MAP'!$B$5=2022,#REF!,IF('INHERENT MAP'!$B$5=2023,#REF!,IF('INHERENT MAP'!$B$5=2024,#REF!,#REF!))))</f>
        <v>Департамент казначейства, структурные подразделения, Дочерние организации</v>
      </c>
      <c r="AF154">
        <f>IF('INHERENT MAP'!$B$5=2021,'РЕЕСТР РИСКОВ_2023'!AL193,IF('INHERENT MAP'!$B$5=2022,#REF!,IF('INHERENT MAP'!$B$5=2023,#REF!,IF('INHERENT MAP'!$B$5=2024,#REF!,#REF!))))</f>
        <v>0</v>
      </c>
      <c r="AG154" t="str">
        <f>IF('INHERENT MAP'!$B$5=2021,'РЕЕСТР РИСКОВ_2023'!AM193,IF('INHERENT MAP'!$B$5=2022,#REF!,IF('INHERENT MAP'!$B$5=2023,#REF!,IF('INHERENT MAP'!$B$5=2024,#REF!,#REF!))))</f>
        <v>низкая</v>
      </c>
      <c r="AH154">
        <f>IF('INHERENT MAP'!$B$5=2021,'РЕЕСТР РИСКОВ_2023'!AN193,IF('INHERENT MAP'!$B$5=2022,#REF!,IF('INHERENT MAP'!$B$5=2023,#REF!,IF('INHERENT MAP'!$B$5=2024,#REF!,#REF!))))</f>
        <v>0.4</v>
      </c>
      <c r="AI154">
        <f>IF('INHERENT MAP'!$B$5=2021,'РЕЕСТР РИСКОВ_2023'!AO193,IF('INHERENT MAP'!$B$5=2022,#REF!,IF('INHERENT MAP'!$B$5=2023,#REF!,IF('INHERENT MAP'!$B$5=2024,#REF!,#REF!))))</f>
        <v>-16003</v>
      </c>
      <c r="AJ154">
        <f>IF('INHERENT MAP'!$B$5=2021,'РЕЕСТР РИСКОВ_2023'!AP193,IF('INHERENT MAP'!$B$5=2022,#REF!,IF('INHERENT MAP'!$B$5=2023,#REF!,IF('INHERENT MAP'!$B$5=2024,#REF!,#REF!))))</f>
        <v>-6401.2000000000007</v>
      </c>
      <c r="AK154">
        <f>IF('РЕЕСТР РИСКОВ_2023'!AQ193="",AK153,'РЕЕСТР РИСКОВ_2023'!AQ193)</f>
        <v>-6401.2000000000007</v>
      </c>
      <c r="AL154" t="e">
        <f>IF('РЕЕСТР РИСКОВ_2023'!AR193="",AL153,'РЕЕСТР РИСКОВ_2023'!AR193)</f>
        <v>#REF!</v>
      </c>
      <c r="AM154">
        <f>IF('РЕЕСТР РИСКОВ_2023'!AS193="",AM153,'РЕЕСТР РИСКОВ_2023'!AS193)</f>
        <v>-6509.5130750000008</v>
      </c>
      <c r="AN154">
        <f>IF('РЕЕСТР РИСКОВ_2023'!AT193="",AN153,'РЕЕСТР РИСКОВ_2023'!AT193)</f>
        <v>-14390</v>
      </c>
      <c r="AO154" t="e">
        <f>IF('РЕЕСТР РИСКОВ_2023'!AU193="",AO153,'РЕЕСТР РИСКОВ_2023'!AU193)</f>
        <v>#REF!</v>
      </c>
    </row>
    <row r="155" spans="2:41">
      <c r="B155" t="str">
        <f>IF('INHERENT MAP'!$B$5=2021,IF('РЕЕСТР РИСКОВ_2023'!F194="",B154,'РЕЕСТР РИСКОВ_2023'!F194),IF('INHERENT MAP'!$B$5=2022,IF(#REF!="",B154,#REF!),IF('INHERENT MAP'!$B$5=2023,IF(#REF!="",B154,#REF!),IF('INHERENT MAP'!$B$5=2024,IF(#REF!="",B154,#REF!),IF('РЕЕСТР РИСКОВ_2023'!F194="",B154,'РЕЕСТР РИСКОВ_2023'!F194)))))</f>
        <v>КРЕДИТНЫЙ РИСК</v>
      </c>
      <c r="C155" t="e">
        <f>IF('INHERENT MAP'!$B$5=2021,IF('РЕЕСТР РИСКОВ_2023'!G194="",C154,'РЕЕСТР РИСКОВ_2023'!G194),IF('INHERENT MAP'!$B$5=2022,IF(#REF!="",C154,#REF!),IF('INHERENT MAP'!$B$5=2023,IF(#REF!="",C154,#REF!),IF('INHERENT MAP'!$B$5=2024,IF(#REF!="",C154,#REF!),IF('РЕЕСТР РИСКОВ_2023'!G194="",C154,'РЕЕСТР РИСКОВ_2023'!G194)))))</f>
        <v>#REF!</v>
      </c>
      <c r="D155" t="str">
        <f>IF('INHERENT MAP'!$B$5=2021,IF('РЕЕСТР РИСКОВ_2023'!H194="",D154,'РЕЕСТР РИСКОВ_2023'!H194),IF('INHERENT MAP'!$B$5=2022,IF(#REF!="",D154,#REF!),IF('INHERENT MAP'!$B$5=2023,IF(#REF!="",D154,#REF!),IF('INHERENT MAP'!$B$5=2024,IF(#REF!="",D154,#REF!),IF('РЕЕСТР РИСКОВ_2023'!H194="",D154,'РЕЕСТР РИСКОВ_2023'!H194)))))</f>
        <v>CR-3</v>
      </c>
      <c r="E155" t="str">
        <f>IF('INHERENT MAP'!$B$5=2021,IF('РЕЕСТР РИСКОВ_2023'!I194="",E154,'РЕЕСТР РИСКОВ_2023'!I194),IF('INHERENT MAP'!$B$5=2022,IF(#REF!="",E154,#REF!),IF('INHERENT MAP'!$B$5=2023,IF(#REF!="",E154,#REF!),IF('INHERENT MAP'!$B$5=2024,IF(#REF!="",E154,#REF!),IF('РЕЕСТР РИСКОВ_2023'!I194="",E154,'РЕЕСТР РИСКОВ_2023'!I194)))))</f>
        <v>ЦЗФ</v>
      </c>
      <c r="F155" t="str">
        <f>IF('INHERENT MAP'!$B$5=2021,IF('РЕЕСТР РИСКОВ_2023'!J194="",F154,'РЕЕСТР РИСКОВ_2023'!J194),IF('INHERENT MAP'!$B$5=2022,IF(#REF!="",F154,#REF!),IF('INHERENT MAP'!$B$5=2023,IF(#REF!="",F154,#REF!),IF('INHERENT MAP'!$B$5=2024,IF(#REF!="",F154,#REF!),IF('РЕЕСТР РИСКОВ_2023'!J194="",F154,'РЕЕСТР РИСКОВ_2023'!J194)))))</f>
        <v xml:space="preserve">Департамент заимствований и по работе с инвесторами </v>
      </c>
      <c r="G155" t="str">
        <f>IF('INHERENT MAP'!$B$5=2021,IF('РЕЕСТР РИСКОВ_2023'!K194="",G154,'РЕЕСТР РИСКОВ_2023'!K194),IF('INHERENT MAP'!$B$5=2022,IF(#REF!="",G154,#REF!),IF('INHERENT MAP'!$B$5=2023,IF(#REF!="",G154,#REF!),IF('INHERENT MAP'!$B$5=2024,IF(#REF!="",G154,#REF!),IF('РЕЕСТР РИСКОВ_2023'!K194="",G154,'РЕЕСТР РИСКОВ_2023'!K194)))))</f>
        <v>Неисполнение обязательств по возврату банковских займов.</v>
      </c>
      <c r="H155">
        <f>IF('INHERENT MAP'!$B$5=2021,'РЕЕСТР РИСКОВ_2023'!L194,IF('INHERENT MAP'!$B$5=2022,#REF!,IF('INHERENT MAP'!$B$5=2023,#REF!,IF('INHERENT MAP'!$B$5=2024,#REF!,#REF!))))</f>
        <v>0</v>
      </c>
      <c r="I155">
        <f>IF('INHERENT MAP'!$B$5=2021,'РЕЕСТР РИСКОВ_2023'!M194,IF('INHERENT MAP'!$B$5=2022,#REF!,IF('INHERENT MAP'!$B$5=2023,#REF!,IF('INHERENT MAP'!$B$5=2024,#REF!,#REF!))))</f>
        <v>0</v>
      </c>
      <c r="J155">
        <f>IF('INHERENT MAP'!$B$5=2021,'РЕЕСТР РИСКОВ_2023'!N194,IF('INHERENT MAP'!$B$5=2022,#REF!,IF('INHERENT MAP'!$B$5=2023,#REF!,IF('INHERENT MAP'!$B$5=2024,#REF!,#REF!))))</f>
        <v>0</v>
      </c>
      <c r="K155">
        <f>IF('INHERENT MAP'!$B$5=2021,'РЕЕСТР РИСКОВ_2023'!O194,IF('INHERENT MAP'!$B$5=2022,#REF!,IF('INHERENT MAP'!$B$5=2023,#REF!,IF('INHERENT MAP'!$B$5=2024,#REF!,#REF!))))</f>
        <v>0</v>
      </c>
      <c r="L155">
        <f>IF('INHERENT MAP'!$B$5=2021,'РЕЕСТР РИСКОВ_2023'!P194,IF('INHERENT MAP'!$B$5=2022,#REF!,IF('INHERENT MAP'!$B$5=2023,#REF!,IF('INHERENT MAP'!$B$5=2024,#REF!,#REF!))))</f>
        <v>0</v>
      </c>
      <c r="M155" t="str">
        <f>IF('INHERENT MAP'!$B$5=2021,IF('РЕЕСТР РИСКОВ_2023'!Q194="",M154,'РЕЕСТР РИСКОВ_2023'!Q194),IF('INHERENT MAP'!$B$5=2022,IF(#REF!="",M154,#REF!),IF('INHERENT MAP'!$B$5=2023,IF(#REF!="",M154,#REF!),IF('INHERENT MAP'!$B$5=2024,IF(#REF!="",M154,#REF!),IF('РЕЕСТР РИСКОВ_2023'!Q194="",M154,'РЕЕСТР РИСКОВ_2023'!Q194)))))</f>
        <v>Реализация гарантий АО "НК "КТЖ",  предоставленным в обеспечение по банковским займам ТОО "Актюбинский рельсобалочный завод" и АО "Международный аэропорт Н.Назарбаев", АО "Транстелеком"</v>
      </c>
      <c r="N155" t="str">
        <f>IF('INHERENT MAP'!$B$5=2021,IF('РЕЕСТР РИСКОВ_2023'!R194="",N154,'РЕЕСТР РИСКОВ_2023'!R194),IF('INHERENT MAP'!$B$5=2022,IF(#REF!="",N154,#REF!),IF('INHERENT MAP'!$B$5=2023,IF(#REF!="",N154,#REF!),IF('INHERENT MAP'!$B$5=2024,IF(#REF!="",N154,#REF!),IF('РЕЕСТР РИСКОВ_2023'!R194="",N154,'РЕЕСТР РИСКОВ_2023'!R194)))))</f>
        <v xml:space="preserve">1. Вирусные атаки;   
2. Неверная оценка критичности и актуальности данных 
3. Ошибка системы. </v>
      </c>
      <c r="O155">
        <f>'РЕЕСТР РИСКОВ_2023'!T194</f>
        <v>0</v>
      </c>
      <c r="P155" t="e">
        <f>IF('РЕЕСТР РИСКОВ_2023'!U194="",P154,'РЕЕСТР РИСКОВ_2023'!U194)</f>
        <v>#REF!</v>
      </c>
      <c r="Q155" t="str">
        <f>IF('РЕЕСТР РИСКОВ_2023'!V194="",Q154,'РЕЕСТР РИСКОВ_2023'!V194)</f>
        <v>Угрозы</v>
      </c>
      <c r="R155" t="str">
        <f>IF('РЕЕСТР РИСКОВ_2023'!W194="",R154,'РЕЕСТР РИСКОВ_2023'!W194)</f>
        <v xml:space="preserve">Коэффициент текущей ликвидности 2021 оценка
по курсу 450 (с учетом факта 1 кв.) 2,45
</v>
      </c>
      <c r="S155">
        <f>'РЕЕСТР РИСКОВ_2023'!X194</f>
        <v>0</v>
      </c>
      <c r="T155" s="94">
        <f>IF('INHERENT MAP'!$B$5=2021,'РЕЕСТР РИСКОВ_2023'!Y194,IF('INHERENT MAP'!$B$5=2022,#REF!,IF('INHERENT MAP'!$B$5=2023,#REF!,IF('INHERENT MAP'!$B$5=2024,#REF!,#REF!))))</f>
        <v>0.47</v>
      </c>
      <c r="U155">
        <f>IF('INHERENT MAP'!$B$5=2021,'РЕЕСТР РИСКОВ_2023'!Z194,IF('INHERENT MAP'!$B$5=2022,#REF!,IF('INHERENT MAP'!$B$5=2023,#REF!,IF('INHERENT MAP'!$B$5=2024,#REF!,#REF!))))</f>
        <v>-48905</v>
      </c>
      <c r="V155">
        <f>IF('INHERENT MAP'!$B$5=2021,'РЕЕСТР РИСКОВ_2023'!AA194,IF('INHERENT MAP'!$B$5=2022,#REF!,IF('INHERENT MAP'!$B$5=2023,#REF!,IF('INHERENT MAP'!$B$5=2024,#REF!,#REF!))))</f>
        <v>-22985.35</v>
      </c>
      <c r="W155" t="str">
        <f>IF('INHERENT MAP'!$B$5=2021,'РЕЕСТР РИСКОВ_2023'!AB194,IF('INHERENT MAP'!$B$5=2022,#REF!,IF('INHERENT MAP'!$B$5=2023,#REF!,IF('INHERENT MAP'!$B$5=2024,#REF!,#REF!))))</f>
        <v>Согласно кредитному портфелю на 01.09.22г.</v>
      </c>
      <c r="X155" s="94">
        <f>IF('INHERENT MAP'!$B$5=2021,'РЕЕСТР РИСКОВ_2023'!AC194,IF('INHERENT MAP'!$B$5=2022,#REF!,IF('INHERENT MAP'!$B$5=2023,#REF!,IF('INHERENT MAP'!$B$5=2024,#REF!,#REF!))))</f>
        <v>0</v>
      </c>
      <c r="Y155">
        <f>IF('INHERENT MAP'!$B$5=2021,'РЕЕСТР РИСКОВ_2023'!AD194,IF('INHERENT MAP'!$B$5=2022,#REF!,IF('INHERENT MAP'!$B$5=2023,#REF!,IF('INHERENT MAP'!$B$5=2024,#REF!,#REF!))))</f>
        <v>0</v>
      </c>
      <c r="Z155">
        <f>IF('INHERENT MAP'!$B$5=2021,'РЕЕСТР РИСКОВ_2023'!AE194,IF('INHERENT MAP'!$B$5=2022,#REF!,IF('INHERENT MAP'!$B$5=2023,#REF!,IF('INHERENT MAP'!$B$5=2024,#REF!,#REF!))))</f>
        <v>0</v>
      </c>
      <c r="AA155">
        <f>IF('INHERENT MAP'!$B$5=2021,'РЕЕСТР РИСКОВ_2023'!AF194,IF('INHERENT MAP'!$B$5=2022,#REF!,IF('INHERENT MAP'!$B$5=2023,#REF!,IF('INHERENT MAP'!$B$5=2024,#REF!,#REF!))))</f>
        <v>0</v>
      </c>
      <c r="AB155">
        <f>IF('INHERENT MAP'!$B$5=2021,'РЕЕСТР РИСКОВ_2023'!AG194,IF('INHERENT MAP'!$B$5=2022,#REF!,IF('INHERENT MAP'!$B$5=2023,#REF!,IF('INHERENT MAP'!$B$5=2024,#REF!,#REF!))))</f>
        <v>0</v>
      </c>
      <c r="AC155">
        <f>IF('INHERENT MAP'!$B$5=2021,'РЕЕСТР РИСКОВ_2023'!AH194,IF('INHERENT MAP'!$B$5=2022,#REF!,IF('INHERENT MAP'!$B$5=2023,#REF!,IF('INHERENT MAP'!$B$5=2024,#REF!,#REF!))))</f>
        <v>0</v>
      </c>
      <c r="AD155" t="str">
        <f>IF('INHERENT MAP'!$B$5=2021,'РЕЕСТР РИСКОВ_2023'!AI194,IF('INHERENT MAP'!$B$5=2022,#REF!,IF('INHERENT MAP'!$B$5=2023,#REF!,IF('INHERENT MAP'!$B$5=2024,#REF!,#REF!))))</f>
        <v>Прорабатываются различные варианты высвобождения обязательств по данным гарантиям.</v>
      </c>
      <c r="AE155" t="str">
        <f>IF('INHERENT MAP'!$B$5=2021,'РЕЕСТР РИСКОВ_2023'!AK194,IF('INHERENT MAP'!$B$5=2022,#REF!,IF('INHERENT MAP'!$B$5=2023,#REF!,IF('INHERENT MAP'!$B$5=2024,#REF!,#REF!))))</f>
        <v xml:space="preserve">Департамент заимствований и по работе с инвесторами </v>
      </c>
      <c r="AF155">
        <f>IF('INHERENT MAP'!$B$5=2021,'РЕЕСТР РИСКОВ_2023'!AL194,IF('INHERENT MAP'!$B$5=2022,#REF!,IF('INHERENT MAP'!$B$5=2023,#REF!,IF('INHERENT MAP'!$B$5=2024,#REF!,#REF!))))</f>
        <v>0</v>
      </c>
      <c r="AG155" t="str">
        <f>IF('INHERENT MAP'!$B$5=2021,'РЕЕСТР РИСКОВ_2023'!AM194,IF('INHERENT MAP'!$B$5=2022,#REF!,IF('INHERENT MAP'!$B$5=2023,#REF!,IF('INHERENT MAP'!$B$5=2024,#REF!,#REF!))))</f>
        <v>средняя</v>
      </c>
      <c r="AH155">
        <f>IF('INHERENT MAP'!$B$5=2021,'РЕЕСТР РИСКОВ_2023'!AN194,IF('INHERENT MAP'!$B$5=2022,#REF!,IF('INHERENT MAP'!$B$5=2023,#REF!,IF('INHERENT MAP'!$B$5=2024,#REF!,#REF!))))</f>
        <v>0.47</v>
      </c>
      <c r="AI155">
        <f>IF('INHERENT MAP'!$B$5=2021,'РЕЕСТР РИСКОВ_2023'!AO194,IF('INHERENT MAP'!$B$5=2022,#REF!,IF('INHERENT MAP'!$B$5=2023,#REF!,IF('INHERENT MAP'!$B$5=2024,#REF!,#REF!))))</f>
        <v>-24452.5</v>
      </c>
      <c r="AJ155">
        <f>IF('INHERENT MAP'!$B$5=2021,'РЕЕСТР РИСКОВ_2023'!AP194,IF('INHERENT MAP'!$B$5=2022,#REF!,IF('INHERENT MAP'!$B$5=2023,#REF!,IF('INHERENT MAP'!$B$5=2024,#REF!,#REF!))))</f>
        <v>-11492.674999999999</v>
      </c>
      <c r="AK155">
        <f>IF('РЕЕСТР РИСКОВ_2023'!AQ194="",AK154,'РЕЕСТР РИСКОВ_2023'!AQ194)</f>
        <v>-11492.674999999999</v>
      </c>
      <c r="AL155" t="e">
        <f>IF('РЕЕСТР РИСКОВ_2023'!AR194="",AL154,'РЕЕСТР РИСКОВ_2023'!AR194)</f>
        <v>#REF!</v>
      </c>
      <c r="AM155">
        <f>IF('РЕЕСТР РИСКОВ_2023'!AS194="",AM154,'РЕЕСТР РИСКОВ_2023'!AS194)</f>
        <v>-6509.5130750000008</v>
      </c>
      <c r="AN155">
        <f>IF('РЕЕСТР РИСКОВ_2023'!AT194="",AN154,'РЕЕСТР РИСКОВ_2023'!AT194)</f>
        <v>-14390</v>
      </c>
      <c r="AO155" t="e">
        <f>IF('РЕЕСТР РИСКОВ_2023'!AU194="",AO154,'РЕЕСТР РИСКОВ_2023'!AU194)</f>
        <v>#REF!</v>
      </c>
    </row>
    <row r="156" spans="2:41">
      <c r="B156" t="str">
        <f>IF('INHERENT MAP'!$B$5=2021,IF('РЕЕСТР РИСКОВ_2023'!F195="",B155,'РЕЕСТР РИСКОВ_2023'!F195),IF('INHERENT MAP'!$B$5=2022,IF(#REF!="",B155,#REF!),IF('INHERENT MAP'!$B$5=2023,IF(#REF!="",B155,#REF!),IF('INHERENT MAP'!$B$5=2024,IF(#REF!="",B155,#REF!),IF('РЕЕСТР РИСКОВ_2023'!F195="",B155,'РЕЕСТР РИСКОВ_2023'!F195)))))</f>
        <v>РИСК БЕЗОПАСНОСТИ ДВИЖЕНИЯ И ОХРАНЫ ТРУДА</v>
      </c>
      <c r="C156" t="e">
        <f>IF('INHERENT MAP'!$B$5=2021,IF('РЕЕСТР РИСКОВ_2023'!G195="",C155,'РЕЕСТР РИСКОВ_2023'!G195),IF('INHERENT MAP'!$B$5=2022,IF(#REF!="",C155,#REF!),IF('INHERENT MAP'!$B$5=2023,IF(#REF!="",C155,#REF!),IF('INHERENT MAP'!$B$5=2024,IF(#REF!="",C155,#REF!),IF('РЕЕСТР РИСКОВ_2023'!G195="",C155,'РЕЕСТР РИСКОВ_2023'!G195)))))</f>
        <v>#REF!</v>
      </c>
      <c r="D156" t="str">
        <f>IF('INHERENT MAP'!$B$5=2021,IF('РЕЕСТР РИСКОВ_2023'!H195="",D155,'РЕЕСТР РИСКОВ_2023'!H195),IF('INHERENT MAP'!$B$5=2022,IF(#REF!="",D155,#REF!),IF('INHERENT MAP'!$B$5=2023,IF(#REF!="",D155,#REF!),IF('INHERENT MAP'!$B$5=2024,IF(#REF!="",D155,#REF!),IF('РЕЕСТР РИСКОВ_2023'!H195="",D155,'РЕЕСТР РИСКОВ_2023'!H195)))))</f>
        <v>HTR-1</v>
      </c>
      <c r="E156" t="str">
        <f>IF('INHERENT MAP'!$B$5=2021,IF('РЕЕСТР РИСКОВ_2023'!I195="",E155,'РЕЕСТР РИСКОВ_2023'!I195),IF('INHERENT MAP'!$B$5=2022,IF(#REF!="",E155,#REF!),IF('INHERENT MAP'!$B$5=2023,IF(#REF!="",E155,#REF!),IF('INHERENT MAP'!$B$5=2024,IF(#REF!="",E155,#REF!),IF('РЕЕСТР РИСКОВ_2023'!I195="",E155,'РЕЕСТР РИСКОВ_2023'!I195)))))</f>
        <v>ЦЗ 1</v>
      </c>
      <c r="F156" t="str">
        <f>IF('INHERENT MAP'!$B$5=2021,IF('РЕЕСТР РИСКОВ_2023'!J195="",F155,'РЕЕСТР РИСКОВ_2023'!J195),IF('INHERENT MAP'!$B$5=2022,IF(#REF!="",F155,#REF!),IF('INHERENT MAP'!$B$5=2023,IF(#REF!="",F155,#REF!),IF('INHERENT MAP'!$B$5=2024,IF(#REF!="",F155,#REF!),IF('РЕЕСТР РИСКОВ_2023'!J195="",F155,'РЕЕСТР РИСКОВ_2023'!J195)))))</f>
        <v>Департамент безопасности движения ,структурные подразделения, дочерние организации</v>
      </c>
      <c r="G156" t="str">
        <f>IF('INHERENT MAP'!$B$5=2021,IF('РЕЕСТР РИСКОВ_2023'!K195="",G155,'РЕЕСТР РИСКОВ_2023'!K195),IF('INHERENT MAP'!$B$5=2022,IF(#REF!="",G155,#REF!),IF('INHERENT MAP'!$B$5=2023,IF(#REF!="",G155,#REF!),IF('INHERENT MAP'!$B$5=2024,IF(#REF!="",G155,#REF!),IF('РЕЕСТР РИСКОВ_2023'!K195="",G155,'РЕЕСТР РИСКОВ_2023'!K195)))))</f>
        <v>Нарушения безопасности движения
Сход / столкновение  подвижного состава в поезде и при маневровой работе</v>
      </c>
      <c r="H156">
        <f>IF('INHERENT MAP'!$B$5=2021,'РЕЕСТР РИСКОВ_2023'!L195,IF('INHERENT MAP'!$B$5=2022,#REF!,IF('INHERENT MAP'!$B$5=2023,#REF!,IF('INHERENT MAP'!$B$5=2024,#REF!,#REF!))))</f>
        <v>0</v>
      </c>
      <c r="I156">
        <f>IF('INHERENT MAP'!$B$5=2021,'РЕЕСТР РИСКОВ_2023'!M195,IF('INHERENT MAP'!$B$5=2022,#REF!,IF('INHERENT MAP'!$B$5=2023,#REF!,IF('INHERENT MAP'!$B$5=2024,#REF!,#REF!))))</f>
        <v>0</v>
      </c>
      <c r="J156">
        <f>IF('INHERENT MAP'!$B$5=2021,'РЕЕСТР РИСКОВ_2023'!N195,IF('INHERENT MAP'!$B$5=2022,#REF!,IF('INHERENT MAP'!$B$5=2023,#REF!,IF('INHERENT MAP'!$B$5=2024,#REF!,#REF!))))</f>
        <v>0</v>
      </c>
      <c r="K156">
        <f>IF('INHERENT MAP'!$B$5=2021,'РЕЕСТР РИСКОВ_2023'!O195,IF('INHERENT MAP'!$B$5=2022,#REF!,IF('INHERENT MAP'!$B$5=2023,#REF!,IF('INHERENT MAP'!$B$5=2024,#REF!,#REF!))))</f>
        <v>0</v>
      </c>
      <c r="L156">
        <f>IF('INHERENT MAP'!$B$5=2021,'РЕЕСТР РИСКОВ_2023'!P195,IF('INHERENT MAP'!$B$5=2022,#REF!,IF('INHERENT MAP'!$B$5=2023,#REF!,IF('INHERENT MAP'!$B$5=2024,#REF!,#REF!))))</f>
        <v>0</v>
      </c>
      <c r="M156" t="str">
        <f>IF('INHERENT MAP'!$B$5=2021,IF('РЕЕСТР РИСКОВ_2023'!Q195="",M155,'РЕЕСТР РИСКОВ_2023'!Q195),IF('INHERENT MAP'!$B$5=2022,IF(#REF!="",M155,#REF!),IF('INHERENT MAP'!$B$5=2023,IF(#REF!="",M155,#REF!),IF('INHERENT MAP'!$B$5=2024,IF(#REF!="",M155,#REF!),IF('РЕЕСТР РИСКОВ_2023'!Q195="",M155,'РЕЕСТР РИСКОВ_2023'!Q195)))))</f>
        <v>Отсутствие, неактуальность нормативной и технической документации и неправильное её ведение.
Несоответствие персонала квалификационным требованиям, неэффективность проведения техучебы. 
Не укомплектованность работников на объем выполняемой работы.
Нарушение и несоблюдение технологических процессов и их неактуальность.
Нарушения требований в части содержания и обслуживания подвижного состава и объектов инфраструктуры.
Нарушение требований содержания и эксплуатации технических средств.
Не своевременная обеспеченность ресурсами и их качество.  </v>
      </c>
      <c r="N156" t="str">
        <f>IF('INHERENT MAP'!$B$5=2021,IF('РЕЕСТР РИСКОВ_2023'!R195="",N155,'РЕЕСТР РИСКОВ_2023'!R195),IF('INHERENT MAP'!$B$5=2022,IF(#REF!="",N155,#REF!),IF('INHERENT MAP'!$B$5=2023,IF(#REF!="",N155,#REF!),IF('INHERENT MAP'!$B$5=2024,IF(#REF!="",N155,#REF!),IF('РЕЕСТР РИСКОВ_2023'!R195="",N155,'РЕЕСТР РИСКОВ_2023'!R195)))))</f>
        <v xml:space="preserve">1. Вирусные атаки;   
2. Неверная оценка критичности и актуальности данных 
3. Ошибка системы. </v>
      </c>
      <c r="O156">
        <f>'РЕЕСТР РИСКОВ_2023'!T195</f>
        <v>0</v>
      </c>
      <c r="P156" t="e">
        <f>IF('РЕЕСТР РИСКОВ_2023'!U195="",P155,'РЕЕСТР РИСКОВ_2023'!U195)</f>
        <v>#REF!</v>
      </c>
      <c r="Q156" t="str">
        <f>IF('РЕЕСТР РИСКОВ_2023'!V195="",Q155,'РЕЕСТР РИСКОВ_2023'!V195)</f>
        <v>Угрозы</v>
      </c>
      <c r="R156" t="str">
        <f>IF('РЕЕСТР РИСКОВ_2023'!W195="",R155,'РЕЕСТР РИСКОВ_2023'!W195)</f>
        <v xml:space="preserve">Коэффициент текущей ликвидности 2021 оценка
по курсу 450 (с учетом факта 1 кв.) 2,45
</v>
      </c>
      <c r="S156">
        <f>'РЕЕСТР РИСКОВ_2023'!X195</f>
        <v>0</v>
      </c>
      <c r="T156" s="94">
        <f>IF('INHERENT MAP'!$B$5=2021,'РЕЕСТР РИСКОВ_2023'!Y195,IF('INHERENT MAP'!$B$5=2022,#REF!,IF('INHERENT MAP'!$B$5=2023,#REF!,IF('INHERENT MAP'!$B$5=2024,#REF!,#REF!))))</f>
        <v>0.4</v>
      </c>
      <c r="U156">
        <f>IF('INHERENT MAP'!$B$5=2021,'РЕЕСТР РИСКОВ_2023'!Z195,IF('INHERENT MAP'!$B$5=2022,#REF!,IF('INHERENT MAP'!$B$5=2023,#REF!,IF('INHERENT MAP'!$B$5=2024,#REF!,#REF!))))</f>
        <v>-401.4</v>
      </c>
      <c r="V156">
        <f>IF('INHERENT MAP'!$B$5=2021,'РЕЕСТР РИСКОВ_2023'!AA195,IF('INHERENT MAP'!$B$5=2022,#REF!,IF('INHERENT MAP'!$B$5=2023,#REF!,IF('INHERENT MAP'!$B$5=2024,#REF!,#REF!))))</f>
        <v>-160.56</v>
      </c>
      <c r="W156" t="str">
        <f>IF('INHERENT MAP'!$B$5=2021,'РЕЕСТР РИСКОВ_2023'!AB195,IF('INHERENT MAP'!$B$5=2022,#REF!,IF('INHERENT MAP'!$B$5=2023,#REF!,IF('INHERENT MAP'!$B$5=2024,#REF!,#REF!))))</f>
        <v>По результатам расследования нарушений безопасности движения проведены совещания с рассмотрением обстоятельств и причин нарушений с участием причастных участников перевозочного процесса. На основании выявленных коренных причин возникновения нарушений разрабатываются корректирующие мероприятия по недопущению нарушений безопасности движения.</v>
      </c>
      <c r="X156" s="94">
        <f>IF('INHERENT MAP'!$B$5=2021,'РЕЕСТР РИСКОВ_2023'!AC195,IF('INHERENT MAP'!$B$5=2022,#REF!,IF('INHERENT MAP'!$B$5=2023,#REF!,IF('INHERENT MAP'!$B$5=2024,#REF!,#REF!))))</f>
        <v>0.4</v>
      </c>
      <c r="Y156">
        <f>IF('INHERENT MAP'!$B$5=2021,'РЕЕСТР РИСКОВ_2023'!AD195,IF('INHERENT MAP'!$B$5=2022,#REF!,IF('INHERENT MAP'!$B$5=2023,#REF!,IF('INHERENT MAP'!$B$5=2024,#REF!,#REF!))))</f>
        <v>-401.4</v>
      </c>
      <c r="Z156">
        <f>IF('INHERENT MAP'!$B$5=2021,'РЕЕСТР РИСКОВ_2023'!AE195,IF('INHERENT MAP'!$B$5=2022,#REF!,IF('INHERENT MAP'!$B$5=2023,#REF!,IF('INHERENT MAP'!$B$5=2024,#REF!,#REF!))))</f>
        <v>-160.56</v>
      </c>
      <c r="AA156">
        <f>IF('INHERENT MAP'!$B$5=2021,'РЕЕСТР РИСКОВ_2023'!AF195,IF('INHERENT MAP'!$B$5=2022,#REF!,IF('INHERENT MAP'!$B$5=2023,#REF!,IF('INHERENT MAP'!$B$5=2024,#REF!,#REF!))))</f>
        <v>0</v>
      </c>
      <c r="AB156">
        <f>IF('INHERENT MAP'!$B$5=2021,'РЕЕСТР РИСКОВ_2023'!AG195,IF('INHERENT MAP'!$B$5=2022,#REF!,IF('INHERENT MAP'!$B$5=2023,#REF!,IF('INHERENT MAP'!$B$5=2024,#REF!,#REF!))))</f>
        <v>0</v>
      </c>
      <c r="AC156">
        <f>IF('INHERENT MAP'!$B$5=2021,'РЕЕСТР РИСКОВ_2023'!AH195,IF('INHERENT MAP'!$B$5=2022,#REF!,IF('INHERENT MAP'!$B$5=2023,#REF!,IF('INHERENT MAP'!$B$5=2024,#REF!,#REF!))))</f>
        <v>0</v>
      </c>
      <c r="AD156" t="str">
        <f>IF('INHERENT MAP'!$B$5=2021,'РЕЕСТР РИСКОВ_2023'!AI195,IF('INHERENT MAP'!$B$5=2022,#REF!,IF('INHERENT MAP'!$B$5=2023,#REF!,IF('INHERENT MAP'!$B$5=2024,#REF!,#REF!))))</f>
        <v xml:space="preserve">1. Повышение уровня культуры безопасности движения (2022-2023 годы объявлены "Год развития Культуры безопасности движения") .                                                                                                                                                 
1.1. обучение и повышение квалификации персонала                                                                                                                                                               1.2. профессиональный отбор кадров                                
1.3. контроль за соблюдением персоналом требований технологических процессов                                             
1.4. контроль за своевременным устранением выявленных несоответствий                                                             
1.5. мотивация работников предотвративших нарушения безопасности движения                                                        
1.6. совершенствование нормативно технической документации                                                                                                                                          1.7. контроль исполнения намеченных мероприятий по безопасности движения и их эффективности                                                                        2. Повышение уровня надежности подвижного состава и технических средств.                                                     
2.1. контроль за сроками и видами проведения ремонта, технического обслуживания                                                      
2.2. контроль за выполнением графика технологических процессов  </v>
      </c>
      <c r="AE156" t="str">
        <f>IF('INHERENT MAP'!$B$5=2021,'РЕЕСТР РИСКОВ_2023'!AK195,IF('INHERENT MAP'!$B$5=2022,#REF!,IF('INHERENT MAP'!$B$5=2023,#REF!,IF('INHERENT MAP'!$B$5=2024,#REF!,#REF!))))</f>
        <v>Структурные подразделения, дочерние организации</v>
      </c>
      <c r="AF156">
        <f>IF('INHERENT MAP'!$B$5=2021,'РЕЕСТР РИСКОВ_2023'!AL195,IF('INHERENT MAP'!$B$5=2022,#REF!,IF('INHERENT MAP'!$B$5=2023,#REF!,IF('INHERENT MAP'!$B$5=2024,#REF!,#REF!))))</f>
        <v>0</v>
      </c>
      <c r="AG156" t="str">
        <f>IF('INHERENT MAP'!$B$5=2021,'РЕЕСТР РИСКОВ_2023'!AM195,IF('INHERENT MAP'!$B$5=2022,#REF!,IF('INHERENT MAP'!$B$5=2023,#REF!,IF('INHERENT MAP'!$B$5=2024,#REF!,#REF!))))</f>
        <v>средняя</v>
      </c>
      <c r="AH156">
        <f>IF('INHERENT MAP'!$B$5=2021,'РЕЕСТР РИСКОВ_2023'!AN195,IF('INHERENT MAP'!$B$5=2022,#REF!,IF('INHERENT MAP'!$B$5=2023,#REF!,IF('INHERENT MAP'!$B$5=2024,#REF!,#REF!))))</f>
        <v>0.2</v>
      </c>
      <c r="AI156">
        <f>IF('INHERENT MAP'!$B$5=2021,'РЕЕСТР РИСКОВ_2023'!AO195,IF('INHERENT MAP'!$B$5=2022,#REF!,IF('INHERENT MAP'!$B$5=2023,#REF!,IF('INHERENT MAP'!$B$5=2024,#REF!,#REF!))))</f>
        <v>-200.7</v>
      </c>
      <c r="AJ156">
        <f>IF('INHERENT MAP'!$B$5=2021,'РЕЕСТР РИСКОВ_2023'!AP195,IF('INHERENT MAP'!$B$5=2022,#REF!,IF('INHERENT MAP'!$B$5=2023,#REF!,IF('INHERENT MAP'!$B$5=2024,#REF!,#REF!))))</f>
        <v>-40.14</v>
      </c>
      <c r="AK156">
        <f>IF('РЕЕСТР РИСКОВ_2023'!AQ195="",AK155,'РЕЕСТР РИСКОВ_2023'!AQ195)</f>
        <v>-80.28</v>
      </c>
      <c r="AL156">
        <f>IF('РЕЕСТР РИСКОВ_2023'!AR195="",AL155,'РЕЕСТР РИСКОВ_2023'!AR195)</f>
        <v>0.2</v>
      </c>
      <c r="AM156">
        <f>IF('РЕЕСТР РИСКОВ_2023'!AS195="",AM155,'РЕЕСТР РИСКОВ_2023'!AS195)</f>
        <v>-40.14</v>
      </c>
      <c r="AN156">
        <f>IF('РЕЕСТР РИСКОВ_2023'!AT195="",AN155,'РЕЕСТР РИСКОВ_2023'!AT195)</f>
        <v>-80.28</v>
      </c>
      <c r="AO156" t="e">
        <f>IF('РЕЕСТР РИСКОВ_2023'!AU195="",AO155,'РЕЕСТР РИСКОВ_2023'!AU195)</f>
        <v>#REF!</v>
      </c>
    </row>
    <row r="157" spans="2:41">
      <c r="B157" t="str">
        <f>IF('INHERENT MAP'!$B$5=2021,IF('РЕЕСТР РИСКОВ_2023'!F196="",B156,'РЕЕСТР РИСКОВ_2023'!F196),IF('INHERENT MAP'!$B$5=2022,IF(#REF!="",B156,#REF!),IF('INHERENT MAP'!$B$5=2023,IF(#REF!="",B156,#REF!),IF('INHERENT MAP'!$B$5=2024,IF(#REF!="",B156,#REF!),IF('РЕЕСТР РИСКОВ_2023'!F196="",B156,'РЕЕСТР РИСКОВ_2023'!F196)))))</f>
        <v>РИСК БЕЗОПАСНОСТИ ДВИЖЕНИЯ И ОХРАНЫ ТРУДА</v>
      </c>
      <c r="C157" t="e">
        <f>IF('INHERENT MAP'!$B$5=2021,IF('РЕЕСТР РИСКОВ_2023'!G196="",C156,'РЕЕСТР РИСКОВ_2023'!G196),IF('INHERENT MAP'!$B$5=2022,IF(#REF!="",C156,#REF!),IF('INHERENT MAP'!$B$5=2023,IF(#REF!="",C156,#REF!),IF('INHERENT MAP'!$B$5=2024,IF(#REF!="",C156,#REF!),IF('РЕЕСТР РИСКОВ_2023'!G196="",C156,'РЕЕСТР РИСКОВ_2023'!G196)))))</f>
        <v>#REF!</v>
      </c>
      <c r="D157" t="str">
        <f>IF('INHERENT MAP'!$B$5=2021,IF('РЕЕСТР РИСКОВ_2023'!H196="",D156,'РЕЕСТР РИСКОВ_2023'!H196),IF('INHERENT MAP'!$B$5=2022,IF(#REF!="",D156,#REF!),IF('INHERENT MAP'!$B$5=2023,IF(#REF!="",D156,#REF!),IF('INHERENT MAP'!$B$5=2024,IF(#REF!="",D156,#REF!),IF('РЕЕСТР РИСКОВ_2023'!H196="",D156,'РЕЕСТР РИСКОВ_2023'!H196)))))</f>
        <v>HTR-2</v>
      </c>
      <c r="E157" t="str">
        <f>IF('INHERENT MAP'!$B$5=2021,IF('РЕЕСТР РИСКОВ_2023'!I196="",E156,'РЕЕСТР РИСКОВ_2023'!I196),IF('INHERENT MAP'!$B$5=2022,IF(#REF!="",E156,#REF!),IF('INHERENT MAP'!$B$5=2023,IF(#REF!="",E156,#REF!),IF('INHERENT MAP'!$B$5=2024,IF(#REF!="",E156,#REF!),IF('РЕЕСТР РИСКОВ_2023'!I196="",E156,'РЕЕСТР РИСКОВ_2023'!I196)))))</f>
        <v>ЦЗ 1</v>
      </c>
      <c r="F157" t="str">
        <f>IF('INHERENT MAP'!$B$5=2021,IF('РЕЕСТР РИСКОВ_2023'!J196="",F156,'РЕЕСТР РИСКОВ_2023'!J196),IF('INHERENT MAP'!$B$5=2022,IF(#REF!="",F156,#REF!),IF('INHERENT MAP'!$B$5=2023,IF(#REF!="",F156,#REF!),IF('INHERENT MAP'!$B$5=2024,IF(#REF!="",F156,#REF!),IF('РЕЕСТР РИСКОВ_2023'!J196="",F156,'РЕЕСТР РИСКОВ_2023'!J196)))))</f>
        <v>Департамент безопасности движения ,структурные подразделения, дочерние организации</v>
      </c>
      <c r="G157" t="str">
        <f>IF('INHERENT MAP'!$B$5=2021,IF('РЕЕСТР РИСКОВ_2023'!K196="",G156,'РЕЕСТР РИСКОВ_2023'!K196),IF('INHERENT MAP'!$B$5=2022,IF(#REF!="",G156,#REF!),IF('INHERENT MAP'!$B$5=2023,IF(#REF!="",G156,#REF!),IF('INHERENT MAP'!$B$5=2024,IF(#REF!="",G156,#REF!),IF('РЕЕСТР РИСКОВ_2023'!K196="",G156,'РЕЕСТР РИСКОВ_2023'!K196)))))</f>
        <v xml:space="preserve">Предпосылки к нарушениям безопасности движения 
</v>
      </c>
      <c r="H157">
        <f>IF('INHERENT MAP'!$B$5=2021,'РЕЕСТР РИСКОВ_2023'!L196,IF('INHERENT MAP'!$B$5=2022,#REF!,IF('INHERENT MAP'!$B$5=2023,#REF!,IF('INHERENT MAP'!$B$5=2024,#REF!,#REF!))))</f>
        <v>0</v>
      </c>
      <c r="I157">
        <f>IF('INHERENT MAP'!$B$5=2021,'РЕЕСТР РИСКОВ_2023'!M196,IF('INHERENT MAP'!$B$5=2022,#REF!,IF('INHERENT MAP'!$B$5=2023,#REF!,IF('INHERENT MAP'!$B$5=2024,#REF!,#REF!))))</f>
        <v>0</v>
      </c>
      <c r="J157">
        <f>IF('INHERENT MAP'!$B$5=2021,'РЕЕСТР РИСКОВ_2023'!N196,IF('INHERENT MAP'!$B$5=2022,#REF!,IF('INHERENT MAP'!$B$5=2023,#REF!,IF('INHERENT MAP'!$B$5=2024,#REF!,#REF!))))</f>
        <v>0</v>
      </c>
      <c r="K157">
        <f>IF('INHERENT MAP'!$B$5=2021,'РЕЕСТР РИСКОВ_2023'!O196,IF('INHERENT MAP'!$B$5=2022,#REF!,IF('INHERENT MAP'!$B$5=2023,#REF!,IF('INHERENT MAP'!$B$5=2024,#REF!,#REF!))))</f>
        <v>0</v>
      </c>
      <c r="L157">
        <f>IF('INHERENT MAP'!$B$5=2021,'РЕЕСТР РИСКОВ_2023'!P196,IF('INHERENT MAP'!$B$5=2022,#REF!,IF('INHERENT MAP'!$B$5=2023,#REF!,IF('INHERENT MAP'!$B$5=2024,#REF!,#REF!))))</f>
        <v>0</v>
      </c>
      <c r="M157" t="str">
        <f>IF('INHERENT MAP'!$B$5=2021,IF('РЕЕСТР РИСКОВ_2023'!Q196="",M156,'РЕЕСТР РИСКОВ_2023'!Q196),IF('INHERENT MAP'!$B$5=2022,IF(#REF!="",M156,#REF!),IF('INHERENT MAP'!$B$5=2023,IF(#REF!="",M156,#REF!),IF('INHERENT MAP'!$B$5=2024,IF(#REF!="",M156,#REF!),IF('РЕЕСТР РИСКОВ_2023'!Q196="",M156,'РЕЕСТР РИСКОВ_2023'!Q196)))))</f>
        <v>Отсутствие, неактуальность нормативной и технической документации и неправильное её ведение.
Несоответствие персонала квалификационным требованиям, неэффективность проведения техучебы. 
Не укомплектованность работников на объем выполняемой работы.
Нарушение и несоблюдение технологических процессов и их неактуальность.
Нарушения требований в части содержания и обслуживания подвижного состава и объектов инфраструктуры.
Нарушение требований содержания и эксплуатации технических средств.
Не своевременная обеспеченность ресурсами и их качество.  </v>
      </c>
      <c r="N157" t="str">
        <f>IF('INHERENT MAP'!$B$5=2021,IF('РЕЕСТР РИСКОВ_2023'!R196="",N156,'РЕЕСТР РИСКОВ_2023'!R196),IF('INHERENT MAP'!$B$5=2022,IF(#REF!="",N156,#REF!),IF('INHERENT MAP'!$B$5=2023,IF(#REF!="",N156,#REF!),IF('INHERENT MAP'!$B$5=2024,IF(#REF!="",N156,#REF!),IF('РЕЕСТР РИСКОВ_2023'!R196="",N156,'РЕЕСТР РИСКОВ_2023'!R196)))))</f>
        <v xml:space="preserve">1. Вирусные атаки;   
2. Неверная оценка критичности и актуальности данных 
3. Ошибка системы. </v>
      </c>
      <c r="O157">
        <f>'РЕЕСТР РИСКОВ_2023'!T196</f>
        <v>0</v>
      </c>
      <c r="P157" t="e">
        <f>IF('РЕЕСТР РИСКОВ_2023'!U196="",P156,'РЕЕСТР РИСКОВ_2023'!U196)</f>
        <v>#REF!</v>
      </c>
      <c r="Q157" t="str">
        <f>IF('РЕЕСТР РИСКОВ_2023'!V196="",Q156,'РЕЕСТР РИСКОВ_2023'!V196)</f>
        <v>Слабые стороны</v>
      </c>
      <c r="R157" t="str">
        <f>IF('РЕЕСТР РИСКОВ_2023'!W196="",R156,'РЕЕСТР РИСКОВ_2023'!W196)</f>
        <v xml:space="preserve">Коэффициент текущей ликвидности 2021 оценка
по курсу 450 (с учетом факта 1 кв.) 2,45
</v>
      </c>
      <c r="S157">
        <f>'РЕЕСТР РИСКОВ_2023'!X196</f>
        <v>0</v>
      </c>
      <c r="T157" s="94">
        <f>IF('INHERENT MAP'!$B$5=2021,'РЕЕСТР РИСКОВ_2023'!Y196,IF('INHERENT MAP'!$B$5=2022,#REF!,IF('INHERENT MAP'!$B$5=2023,#REF!,IF('INHERENT MAP'!$B$5=2024,#REF!,#REF!))))</f>
        <v>0.45</v>
      </c>
      <c r="U157">
        <f>IF('INHERENT MAP'!$B$5=2021,'РЕЕСТР РИСКОВ_2023'!Z196,IF('INHERENT MAP'!$B$5=2022,#REF!,IF('INHERENT MAP'!$B$5=2023,#REF!,IF('INHERENT MAP'!$B$5=2024,#REF!,#REF!))))</f>
        <v>-15</v>
      </c>
      <c r="V157">
        <f>IF('INHERENT MAP'!$B$5=2021,'РЕЕСТР РИСКОВ_2023'!AA196,IF('INHERENT MAP'!$B$5=2022,#REF!,IF('INHERENT MAP'!$B$5=2023,#REF!,IF('INHERENT MAP'!$B$5=2024,#REF!,#REF!))))</f>
        <v>-6.75</v>
      </c>
      <c r="W157">
        <f>IF('INHERENT MAP'!$B$5=2021,'РЕЕСТР РИСКОВ_2023'!AB196,IF('INHERENT MAP'!$B$5=2022,#REF!,IF('INHERENT MAP'!$B$5=2023,#REF!,IF('INHERENT MAP'!$B$5=2024,#REF!,#REF!))))</f>
        <v>0</v>
      </c>
      <c r="X157" s="94">
        <f>IF('INHERENT MAP'!$B$5=2021,'РЕЕСТР РИСКОВ_2023'!AC196,IF('INHERENT MAP'!$B$5=2022,#REF!,IF('INHERENT MAP'!$B$5=2023,#REF!,IF('INHERENT MAP'!$B$5=2024,#REF!,#REF!))))</f>
        <v>0.45</v>
      </c>
      <c r="Y157">
        <f>IF('INHERENT MAP'!$B$5=2021,'РЕЕСТР РИСКОВ_2023'!AD196,IF('INHERENT MAP'!$B$5=2022,#REF!,IF('INHERENT MAP'!$B$5=2023,#REF!,IF('INHERENT MAP'!$B$5=2024,#REF!,#REF!))))</f>
        <v>-15</v>
      </c>
      <c r="Z157">
        <f>IF('INHERENT MAP'!$B$5=2021,'РЕЕСТР РИСКОВ_2023'!AE196,IF('INHERENT MAP'!$B$5=2022,#REF!,IF('INHERENT MAP'!$B$5=2023,#REF!,IF('INHERENT MAP'!$B$5=2024,#REF!,#REF!))))</f>
        <v>-6.75</v>
      </c>
      <c r="AA157">
        <f>IF('INHERENT MAP'!$B$5=2021,'РЕЕСТР РИСКОВ_2023'!AF196,IF('INHERENT MAP'!$B$5=2022,#REF!,IF('INHERENT MAP'!$B$5=2023,#REF!,IF('INHERENT MAP'!$B$5=2024,#REF!,#REF!))))</f>
        <v>0</v>
      </c>
      <c r="AB157">
        <f>IF('INHERENT MAP'!$B$5=2021,'РЕЕСТР РИСКОВ_2023'!AG196,IF('INHERENT MAP'!$B$5=2022,#REF!,IF('INHERENT MAP'!$B$5=2023,#REF!,IF('INHERENT MAP'!$B$5=2024,#REF!,#REF!))))</f>
        <v>0</v>
      </c>
      <c r="AC157">
        <f>IF('INHERENT MAP'!$B$5=2021,'РЕЕСТР РИСКОВ_2023'!AH196,IF('INHERENT MAP'!$B$5=2022,#REF!,IF('INHERENT MAP'!$B$5=2023,#REF!,IF('INHERENT MAP'!$B$5=2024,#REF!,#REF!))))</f>
        <v>0</v>
      </c>
      <c r="AD157">
        <f>IF('INHERENT MAP'!$B$5=2021,'РЕЕСТР РИСКОВ_2023'!AI196,IF('INHERENT MAP'!$B$5=2022,#REF!,IF('INHERENT MAP'!$B$5=2023,#REF!,IF('INHERENT MAP'!$B$5=2024,#REF!,#REF!))))</f>
        <v>0</v>
      </c>
      <c r="AE157">
        <f>IF('INHERENT MAP'!$B$5=2021,'РЕЕСТР РИСКОВ_2023'!AK196,IF('INHERENT MAP'!$B$5=2022,#REF!,IF('INHERENT MAP'!$B$5=2023,#REF!,IF('INHERENT MAP'!$B$5=2024,#REF!,#REF!))))</f>
        <v>0</v>
      </c>
      <c r="AF157">
        <f>IF('INHERENT MAP'!$B$5=2021,'РЕЕСТР РИСКОВ_2023'!AL196,IF('INHERENT MAP'!$B$5=2022,#REF!,IF('INHERENT MAP'!$B$5=2023,#REF!,IF('INHERENT MAP'!$B$5=2024,#REF!,#REF!))))</f>
        <v>0</v>
      </c>
      <c r="AG157" t="str">
        <f>IF('INHERENT MAP'!$B$5=2021,'РЕЕСТР РИСКОВ_2023'!AM196,IF('INHERENT MAP'!$B$5=2022,#REF!,IF('INHERENT MAP'!$B$5=2023,#REF!,IF('INHERENT MAP'!$B$5=2024,#REF!,#REF!))))</f>
        <v>средняя</v>
      </c>
      <c r="AH157">
        <f>IF('INHERENT MAP'!$B$5=2021,'РЕЕСТР РИСКОВ_2023'!AN196,IF('INHERENT MAP'!$B$5=2022,#REF!,IF('INHERENT MAP'!$B$5=2023,#REF!,IF('INHERENT MAP'!$B$5=2024,#REF!,#REF!))))</f>
        <v>0.22500000000000001</v>
      </c>
      <c r="AI157">
        <f>IF('INHERENT MAP'!$B$5=2021,'РЕЕСТР РИСКОВ_2023'!AO196,IF('INHERENT MAP'!$B$5=2022,#REF!,IF('INHERENT MAP'!$B$5=2023,#REF!,IF('INHERENT MAP'!$B$5=2024,#REF!,#REF!))))</f>
        <v>-7.5</v>
      </c>
      <c r="AJ157">
        <f>IF('INHERENT MAP'!$B$5=2021,'РЕЕСТР РИСКОВ_2023'!AP196,IF('INHERENT MAP'!$B$5=2022,#REF!,IF('INHERENT MAP'!$B$5=2023,#REF!,IF('INHERENT MAP'!$B$5=2024,#REF!,#REF!))))</f>
        <v>-1.6875</v>
      </c>
      <c r="AK157">
        <f>IF('РЕЕСТР РИСКОВ_2023'!AQ196="",AK156,'РЕЕСТР РИСКОВ_2023'!AQ196)</f>
        <v>-3.375</v>
      </c>
      <c r="AL157">
        <f>IF('РЕЕСТР РИСКОВ_2023'!AR196="",AL156,'РЕЕСТР РИСКОВ_2023'!AR196)</f>
        <v>0.22500000000000001</v>
      </c>
      <c r="AM157">
        <f>IF('РЕЕСТР РИСКОВ_2023'!AS196="",AM156,'РЕЕСТР РИСКОВ_2023'!AS196)</f>
        <v>-1.6875</v>
      </c>
      <c r="AN157">
        <f>IF('РЕЕСТР РИСКОВ_2023'!AT196="",AN156,'РЕЕСТР РИСКОВ_2023'!AT196)</f>
        <v>-0.37968750000000001</v>
      </c>
      <c r="AO157" t="e">
        <f>IF('РЕЕСТР РИСКОВ_2023'!AU196="",AO156,'РЕЕСТР РИСКОВ_2023'!AU196)</f>
        <v>#REF!</v>
      </c>
    </row>
    <row r="158" spans="2:41">
      <c r="B158" t="str">
        <f>IF('INHERENT MAP'!$B$5=2021,IF('РЕЕСТР РИСКОВ_2023'!F197="",B157,'РЕЕСТР РИСКОВ_2023'!F197),IF('INHERENT MAP'!$B$5=2022,IF(#REF!="",B157,#REF!),IF('INHERENT MAP'!$B$5=2023,IF(#REF!="",B157,#REF!),IF('INHERENT MAP'!$B$5=2024,IF(#REF!="",B157,#REF!),IF('РЕЕСТР РИСКОВ_2023'!F197="",B157,'РЕЕСТР РИСКОВ_2023'!F197)))))</f>
        <v>РИСК БЕЗОПАСНОСТИ ДВИЖЕНИЯ И ОХРАНЫ ТРУДА</v>
      </c>
      <c r="C158" t="e">
        <f>IF('INHERENT MAP'!$B$5=2021,IF('РЕЕСТР РИСКОВ_2023'!G197="",C157,'РЕЕСТР РИСКОВ_2023'!G197),IF('INHERENT MAP'!$B$5=2022,IF(#REF!="",C157,#REF!),IF('INHERENT MAP'!$B$5=2023,IF(#REF!="",C157,#REF!),IF('INHERENT MAP'!$B$5=2024,IF(#REF!="",C157,#REF!),IF('РЕЕСТР РИСКОВ_2023'!G197="",C157,'РЕЕСТР РИСКОВ_2023'!G197)))))</f>
        <v>#REF!</v>
      </c>
      <c r="D158" t="str">
        <f>IF('INHERENT MAP'!$B$5=2021,IF('РЕЕСТР РИСКОВ_2023'!H197="",D157,'РЕЕСТР РИСКОВ_2023'!H197),IF('INHERENT MAP'!$B$5=2022,IF(#REF!="",D157,#REF!),IF('INHERENT MAP'!$B$5=2023,IF(#REF!="",D157,#REF!),IF('INHERENT MAP'!$B$5=2024,IF(#REF!="",D157,#REF!),IF('РЕЕСТР РИСКОВ_2023'!H197="",D157,'РЕЕСТР РИСКОВ_2023'!H197)))))</f>
        <v>HTR-3</v>
      </c>
      <c r="E158" t="str">
        <f>IF('INHERENT MAP'!$B$5=2021,IF('РЕЕСТР РИСКОВ_2023'!I197="",E157,'РЕЕСТР РИСКОВ_2023'!I197),IF('INHERENT MAP'!$B$5=2022,IF(#REF!="",E157,#REF!),IF('INHERENT MAP'!$B$5=2023,IF(#REF!="",E157,#REF!),IF('INHERENT MAP'!$B$5=2024,IF(#REF!="",E157,#REF!),IF('РЕЕСТР РИСКОВ_2023'!I197="",E157,'РЕЕСТР РИСКОВ_2023'!I197)))))</f>
        <v>ЦЗ 1</v>
      </c>
      <c r="F158" t="str">
        <f>IF('INHERENT MAP'!$B$5=2021,IF('РЕЕСТР РИСКОВ_2023'!J197="",F157,'РЕЕСТР РИСКОВ_2023'!J197),IF('INHERENT MAP'!$B$5=2022,IF(#REF!="",F157,#REF!),IF('INHERENT MAP'!$B$5=2023,IF(#REF!="",F157,#REF!),IF('INHERENT MAP'!$B$5=2024,IF(#REF!="",F157,#REF!),IF('РЕЕСТР РИСКОВ_2023'!J197="",F157,'РЕЕСТР РИСКОВ_2023'!J197)))))</f>
        <v>Департаменте технической политики</v>
      </c>
      <c r="G158" t="str">
        <f>IF('INHERENT MAP'!$B$5=2021,IF('РЕЕСТР РИСКОВ_2023'!K197="",G157,'РЕЕСТР РИСКОВ_2023'!K197),IF('INHERENT MAP'!$B$5=2022,IF(#REF!="",G157,#REF!),IF('INHERENT MAP'!$B$5=2023,IF(#REF!="",G157,#REF!),IF('INHERENT MAP'!$B$5=2024,IF(#REF!="",G157,#REF!),IF('РЕЕСТР РИСКОВ_2023'!K197="",G157,'РЕЕСТР РИСКОВ_2023'!K197)))))</f>
        <v>Угроза жизни и здоровья сотрудников Компании</v>
      </c>
      <c r="H158">
        <f>IF('INHERENT MAP'!$B$5=2021,'РЕЕСТР РИСКОВ_2023'!L197,IF('INHERENT MAP'!$B$5=2022,#REF!,IF('INHERENT MAP'!$B$5=2023,#REF!,IF('INHERENT MAP'!$B$5=2024,#REF!,#REF!))))</f>
        <v>0.22</v>
      </c>
      <c r="I158">
        <f>IF('INHERENT MAP'!$B$5=2021,'РЕЕСТР РИСКОВ_2023'!M197,IF('INHERENT MAP'!$B$5=2022,#REF!,IF('INHERENT MAP'!$B$5=2023,#REF!,IF('INHERENT MAP'!$B$5=2024,#REF!,#REF!))))</f>
        <v>0.23</v>
      </c>
      <c r="J158" t="str">
        <f>IF('INHERENT MAP'!$B$5=2021,'РЕЕСТР РИСКОВ_2023'!N197,IF('INHERENT MAP'!$B$5=2022,#REF!,IF('INHERENT MAP'!$B$5=2023,#REF!,IF('INHERENT MAP'!$B$5=2024,#REF!,#REF!))))</f>
        <v>0,24 (2019)</v>
      </c>
      <c r="K158" t="str">
        <f>IF('INHERENT MAP'!$B$5=2021,'РЕЕСТР РИСКОВ_2023'!O197,IF('INHERENT MAP'!$B$5=2022,#REF!,IF('INHERENT MAP'!$B$5=2023,#REF!,IF('INHERENT MAP'!$B$5=2024,#REF!,#REF!))))</f>
        <v>400 млн.тг.</v>
      </c>
      <c r="L158" t="str">
        <f>IF('INHERENT MAP'!$B$5=2021,'РЕЕСТР РИСКОВ_2023'!P197,IF('INHERENT MAP'!$B$5=2022,#REF!,IF('INHERENT MAP'!$B$5=2023,#REF!,IF('INHERENT MAP'!$B$5=2024,#REF!,#REF!))))</f>
        <v>Достижение условий нулевого травматизма</v>
      </c>
      <c r="M158" t="str">
        <f>IF('INHERENT MAP'!$B$5=2021,IF('РЕЕСТР РИСКОВ_2023'!Q197="",M157,'РЕЕСТР РИСКОВ_2023'!Q197),IF('INHERENT MAP'!$B$5=2022,IF(#REF!="",M157,#REF!),IF('INHERENT MAP'!$B$5=2023,IF(#REF!="",M157,#REF!),IF('INHERENT MAP'!$B$5=2024,IF(#REF!="",M157,#REF!),IF('РЕЕСТР РИСКОВ_2023'!Q197="",M157,'РЕЕСТР РИСКОВ_2023'!Q197)))))</f>
        <v xml:space="preserve">Неудовлетворительная организация производства работ.
Эксплуатация неисправных машин, механизмов и оборудования.
Несоблюдение технологических процессов при производстве работ.
Нарушение правил железнодорожного и автомобильного движения.
Нарушение трудовой и производственной дисциплины.
Грубая неосторожность самого пострадавшего.
Неиспользование СИЗ и средств коллективной защиты.
</v>
      </c>
      <c r="N158" t="str">
        <f>IF('INHERENT MAP'!$B$5=2021,IF('РЕЕСТР РИСКОВ_2023'!R197="",N157,'РЕЕСТР РИСКОВ_2023'!R197),IF('INHERENT MAP'!$B$5=2022,IF(#REF!="",N157,#REF!),IF('INHERENT MAP'!$B$5=2023,IF(#REF!="",N157,#REF!),IF('INHERENT MAP'!$B$5=2024,IF(#REF!="",N157,#REF!),IF('РЕЕСТР РИСКОВ_2023'!R197="",N157,'РЕЕСТР РИСКОВ_2023'!R197)))))</f>
        <v xml:space="preserve">1. Вирусные атаки;   
2. Неверная оценка критичности и актуальности данных 
3. Ошибка системы. </v>
      </c>
      <c r="O158">
        <f>'РЕЕСТР РИСКОВ_2023'!T197</f>
        <v>0</v>
      </c>
      <c r="P158" t="e">
        <f>IF('РЕЕСТР РИСКОВ_2023'!U197="",P157,'РЕЕСТР РИСКОВ_2023'!U197)</f>
        <v>#REF!</v>
      </c>
      <c r="Q158" t="str">
        <f>IF('РЕЕСТР РИСКОВ_2023'!V197="",Q157,'РЕЕСТР РИСКОВ_2023'!V197)</f>
        <v>Угрозы</v>
      </c>
      <c r="R158" t="str">
        <f>IF('РЕЕСТР РИСКОВ_2023'!W197="",R157,'РЕЕСТР РИСКОВ_2023'!W197)</f>
        <v xml:space="preserve">Коэффициент текущей ликвидности 2021 оценка
по курсу 450 (с учетом факта 1 кв.) 2,45
</v>
      </c>
      <c r="S158">
        <f>'РЕЕСТР РИСКОВ_2023'!X197</f>
        <v>0</v>
      </c>
      <c r="T158" s="94">
        <f>IF('INHERENT MAP'!$B$5=2021,'РЕЕСТР РИСКОВ_2023'!Y197,IF('INHERENT MAP'!$B$5=2022,#REF!,IF('INHERENT MAP'!$B$5=2023,#REF!,IF('INHERENT MAP'!$B$5=2024,#REF!,#REF!))))</f>
        <v>0.75</v>
      </c>
      <c r="U158">
        <f>IF('INHERENT MAP'!$B$5=2021,'РЕЕСТР РИСКОВ_2023'!Z197,IF('INHERENT MAP'!$B$5=2022,#REF!,IF('INHERENT MAP'!$B$5=2023,#REF!,IF('INHERENT MAP'!$B$5=2024,#REF!,#REF!))))</f>
        <v>-399</v>
      </c>
      <c r="V158">
        <f>IF('INHERENT MAP'!$B$5=2021,'РЕЕСТР РИСКОВ_2023'!AA197,IF('INHERENT MAP'!$B$5=2022,#REF!,IF('INHERENT MAP'!$B$5=2023,#REF!,IF('INHERENT MAP'!$B$5=2024,#REF!,#REF!))))</f>
        <v>-299.25</v>
      </c>
      <c r="W158">
        <f>IF('INHERENT MAP'!$B$5=2021,'РЕЕСТР РИСКОВ_2023'!AB197,IF('INHERENT MAP'!$B$5=2022,#REF!,IF('INHERENT MAP'!$B$5=2023,#REF!,IF('INHERENT MAP'!$B$5=2024,#REF!,#REF!))))</f>
        <v>0</v>
      </c>
      <c r="X158" s="94">
        <f>IF('INHERENT MAP'!$B$5=2021,'РЕЕСТР РИСКОВ_2023'!AC197,IF('INHERENT MAP'!$B$5=2022,#REF!,IF('INHERENT MAP'!$B$5=2023,#REF!,IF('INHERENT MAP'!$B$5=2024,#REF!,#REF!))))</f>
        <v>0.75</v>
      </c>
      <c r="Y158">
        <f>IF('INHERENT MAP'!$B$5=2021,'РЕЕСТР РИСКОВ_2023'!AD197,IF('INHERENT MAP'!$B$5=2022,#REF!,IF('INHERENT MAP'!$B$5=2023,#REF!,IF('INHERENT MAP'!$B$5=2024,#REF!,#REF!))))</f>
        <v>-399</v>
      </c>
      <c r="Z158">
        <f>IF('INHERENT MAP'!$B$5=2021,'РЕЕСТР РИСКОВ_2023'!AE197,IF('INHERENT MAP'!$B$5=2022,#REF!,IF('INHERENT MAP'!$B$5=2023,#REF!,IF('INHERENT MAP'!$B$5=2024,#REF!,#REF!))))</f>
        <v>-299.25</v>
      </c>
      <c r="AA158">
        <f>IF('INHERENT MAP'!$B$5=2021,'РЕЕСТР РИСКОВ_2023'!AF197,IF('INHERENT MAP'!$B$5=2022,#REF!,IF('INHERENT MAP'!$B$5=2023,#REF!,IF('INHERENT MAP'!$B$5=2024,#REF!,#REF!))))</f>
        <v>0</v>
      </c>
      <c r="AB158">
        <f>IF('INHERENT MAP'!$B$5=2021,'РЕЕСТР РИСКОВ_2023'!AG197,IF('INHERENT MAP'!$B$5=2022,#REF!,IF('INHERENT MAP'!$B$5=2023,#REF!,IF('INHERENT MAP'!$B$5=2024,#REF!,#REF!))))</f>
        <v>0</v>
      </c>
      <c r="AC158">
        <f>IF('INHERENT MAP'!$B$5=2021,'РЕЕСТР РИСКОВ_2023'!AH197,IF('INHERENT MAP'!$B$5=2022,#REF!,IF('INHERENT MAP'!$B$5=2023,#REF!,IF('INHERENT MAP'!$B$5=2024,#REF!,#REF!))))</f>
        <v>0</v>
      </c>
      <c r="AD158" t="str">
        <f>IF('INHERENT MAP'!$B$5=2021,'РЕЕСТР РИСКОВ_2023'!AI197,IF('INHERENT MAP'!$B$5=2022,#REF!,IF('INHERENT MAP'!$B$5=2023,#REF!,IF('INHERENT MAP'!$B$5=2024,#REF!,#REF!))))</f>
        <v xml:space="preserve"> Контроль обеспечения безопасности со стороны руководителя работ.Обучение поведенческому диалогу безопасности. Обучение безопасным приемам работ.Внедрение автоматизированной системы процессов  производственной безопасности (модули: Обучение, ПДБ, Минутка безопасности). Плановая проверка средств индивидуальной защиты и/или неисправного инструмента.Своевременная организация повышения квалификации работников, тиражирование постеров, буклетов по безопасным приемам работ Качественное выполнение трехступенчатого контроля .Запрет на эксплуатацию неисправных машин и механизмов. Своевременный ремонт, обслуживание, осмотр машин и механизмов. Внедрение инструментов "Поведенческий диалог безопасности", "Останов работ" направленные на выявление, предупреждение и предотвращение опасных условий и опасных действий работника, а также их причин; ; Своевременное оповещение, обеспечение спецодежды по сезону, проведение целевого инструктажа, запрет работы на высоте. Разработка единых требований по БиОТ к подрядным организациям, обучение внутренних аудиторов. Закрепление ответственных за работой подрядных организаций. Разработка единых требований по укомплектованию транспортных средств оборудованием для защиты работников (ремни безопасности, подушки, медицинские аптечки).  
Материальное поощрение работников, применивших проактивные инструменты при проведении ПДБ</v>
      </c>
      <c r="AE158" t="str">
        <f>IF('INHERENT MAP'!$B$5=2021,'РЕЕСТР РИСКОВ_2023'!AK197,IF('INHERENT MAP'!$B$5=2022,#REF!,IF('INHERENT MAP'!$B$5=2023,#REF!,IF('INHERENT MAP'!$B$5=2024,#REF!,#REF!))))</f>
        <v>Департамент технической политики</v>
      </c>
      <c r="AF158">
        <f>IF('INHERENT MAP'!$B$5=2021,'РЕЕСТР РИСКОВ_2023'!AL197,IF('INHERENT MAP'!$B$5=2022,#REF!,IF('INHERENT MAP'!$B$5=2023,#REF!,IF('INHERENT MAP'!$B$5=2024,#REF!,#REF!))))</f>
        <v>0</v>
      </c>
      <c r="AG158" t="str">
        <f>IF('INHERENT MAP'!$B$5=2021,'РЕЕСТР РИСКОВ_2023'!AM197,IF('INHERENT MAP'!$B$5=2022,#REF!,IF('INHERENT MAP'!$B$5=2023,#REF!,IF('INHERENT MAP'!$B$5=2024,#REF!,#REF!))))</f>
        <v>низкая</v>
      </c>
      <c r="AH158">
        <f>IF('INHERENT MAP'!$B$5=2021,'РЕЕСТР РИСКОВ_2023'!AN197,IF('INHERENT MAP'!$B$5=2022,#REF!,IF('INHERENT MAP'!$B$5=2023,#REF!,IF('INHERENT MAP'!$B$5=2024,#REF!,#REF!))))</f>
        <v>0.75</v>
      </c>
      <c r="AI158">
        <f>IF('INHERENT MAP'!$B$5=2021,'РЕЕСТР РИСКОВ_2023'!AO197,IF('INHERENT MAP'!$B$5=2022,#REF!,IF('INHERENT MAP'!$B$5=2023,#REF!,IF('INHERENT MAP'!$B$5=2024,#REF!,#REF!))))</f>
        <v>-399</v>
      </c>
      <c r="AJ158">
        <f>IF('INHERENT MAP'!$B$5=2021,'РЕЕСТР РИСКОВ_2023'!AP197,IF('INHERENT MAP'!$B$5=2022,#REF!,IF('INHERENT MAP'!$B$5=2023,#REF!,IF('INHERENT MAP'!$B$5=2024,#REF!,#REF!))))</f>
        <v>-299.25</v>
      </c>
      <c r="AK158">
        <f>IF('РЕЕСТР РИСКОВ_2023'!AQ197="",AK157,'РЕЕСТР РИСКОВ_2023'!AQ197)</f>
        <v>-299.25</v>
      </c>
      <c r="AL158">
        <f>IF('РЕЕСТР РИСКОВ_2023'!AR197="",AL157,'РЕЕСТР РИСКОВ_2023'!AR197)</f>
        <v>0.75</v>
      </c>
      <c r="AM158">
        <f>IF('РЕЕСТР РИСКОВ_2023'!AS197="",AM157,'РЕЕСТР РИСКОВ_2023'!AS197)</f>
        <v>-299.25</v>
      </c>
      <c r="AN158">
        <f>IF('РЕЕСТР РИСКОВ_2023'!AT197="",AN157,'РЕЕСТР РИСКОВ_2023'!AT197)</f>
        <v>-224.4375</v>
      </c>
      <c r="AO158" t="e">
        <f>IF('РЕЕСТР РИСКОВ_2023'!AU197="",AO157,'РЕЕСТР РИСКОВ_2023'!AU197)</f>
        <v>#REF!</v>
      </c>
    </row>
    <row r="159" spans="2:41">
      <c r="B159" t="str">
        <f>IF('INHERENT MAP'!$B$5=2021,IF('РЕЕСТР РИСКОВ_2023'!F198="",B158,'РЕЕСТР РИСКОВ_2023'!F198),IF('INHERENT MAP'!$B$5=2022,IF(#REF!="",B158,#REF!),IF('INHERENT MAP'!$B$5=2023,IF(#REF!="",B158,#REF!),IF('INHERENT MAP'!$B$5=2024,IF(#REF!="",B158,#REF!),IF('РЕЕСТР РИСКОВ_2023'!F198="",B158,'РЕЕСТР РИСКОВ_2023'!F198)))))</f>
        <v>HR РИСКИ (ESG)</v>
      </c>
      <c r="C159" t="e">
        <f>IF('INHERENT MAP'!$B$5=2021,IF('РЕЕСТР РИСКОВ_2023'!G198="",C158,'РЕЕСТР РИСКОВ_2023'!G198),IF('INHERENT MAP'!$B$5=2022,IF(#REF!="",C158,#REF!),IF('INHERENT MAP'!$B$5=2023,IF(#REF!="",C158,#REF!),IF('INHERENT MAP'!$B$5=2024,IF(#REF!="",C158,#REF!),IF('РЕЕСТР РИСКОВ_2023'!G198="",C158,'РЕЕСТР РИСКОВ_2023'!G198)))))</f>
        <v>#REF!</v>
      </c>
      <c r="D159" t="str">
        <f>IF('INHERENT MAP'!$B$5=2021,IF('РЕЕСТР РИСКОВ_2023'!H198="",D158,'РЕЕСТР РИСКОВ_2023'!H198),IF('INHERENT MAP'!$B$5=2022,IF(#REF!="",D158,#REF!),IF('INHERENT MAP'!$B$5=2023,IF(#REF!="",D158,#REF!),IF('INHERENT MAP'!$B$5=2024,IF(#REF!="",D158,#REF!),IF('РЕЕСТР РИСКОВ_2023'!H198="",D158,'РЕЕСТР РИСКОВ_2023'!H198)))))</f>
        <v>HR-1</v>
      </c>
      <c r="E159" t="str">
        <f>IF('INHERENT MAP'!$B$5=2021,IF('РЕЕСТР РИСКОВ_2023'!I198="",E158,'РЕЕСТР РИСКОВ_2023'!I198),IF('INHERENT MAP'!$B$5=2022,IF(#REF!="",E158,#REF!),IF('INHERENT MAP'!$B$5=2023,IF(#REF!="",E158,#REF!),IF('INHERENT MAP'!$B$5=2024,IF(#REF!="",E158,#REF!),IF('РЕЕСТР РИСКОВ_2023'!I198="",E158,'РЕЕСТР РИСКОВ_2023'!I198)))))</f>
        <v>ЦЗК</v>
      </c>
      <c r="F159" t="str">
        <f>IF('INHERENT MAP'!$B$5=2021,IF('РЕЕСТР РИСКОВ_2023'!J198="",F158,'РЕЕСТР РИСКОВ_2023'!J198),IF('INHERENT MAP'!$B$5=2022,IF(#REF!="",F158,#REF!),IF('INHERENT MAP'!$B$5=2023,IF(#REF!="",F158,#REF!),IF('INHERENT MAP'!$B$5=2024,IF(#REF!="",F158,#REF!),IF('РЕЕСТР РИСКОВ_2023'!J198="",F158,'РЕЕСТР РИСКОВ_2023'!J198)))))</f>
        <v xml:space="preserve"> Департамент управления человеческими ресурсами   </v>
      </c>
      <c r="G159" t="str">
        <f>IF('INHERENT MAP'!$B$5=2021,IF('РЕЕСТР РИСКОВ_2023'!K198="",G158,'РЕЕСТР РИСКОВ_2023'!K198),IF('INHERENT MAP'!$B$5=2022,IF(#REF!="",G158,#REF!),IF('INHERENT MAP'!$B$5=2023,IF(#REF!="",G158,#REF!),IF('INHERENT MAP'!$B$5=2024,IF(#REF!="",G158,#REF!),IF('РЕЕСТР РИСКОВ_2023'!K198="",G158,'РЕЕСТР РИСКОВ_2023'!K198)))))</f>
        <v>Нарушения Трудового кодекса Республики Казахстан</v>
      </c>
      <c r="H159">
        <f>IF('INHERENT MAP'!$B$5=2021,'РЕЕСТР РИСКОВ_2023'!L198,IF('INHERENT MAP'!$B$5=2022,#REF!,IF('INHERENT MAP'!$B$5=2023,#REF!,IF('INHERENT MAP'!$B$5=2024,#REF!,#REF!))))</f>
        <v>0</v>
      </c>
      <c r="I159">
        <f>IF('INHERENT MAP'!$B$5=2021,'РЕЕСТР РИСКОВ_2023'!M198,IF('INHERENT MAP'!$B$5=2022,#REF!,IF('INHERENT MAP'!$B$5=2023,#REF!,IF('INHERENT MAP'!$B$5=2024,#REF!,#REF!))))</f>
        <v>0</v>
      </c>
      <c r="J159">
        <f>IF('INHERENT MAP'!$B$5=2021,'РЕЕСТР РИСКОВ_2023'!N198,IF('INHERENT MAP'!$B$5=2022,#REF!,IF('INHERENT MAP'!$B$5=2023,#REF!,IF('INHERENT MAP'!$B$5=2024,#REF!,#REF!))))</f>
        <v>0</v>
      </c>
      <c r="K159">
        <f>IF('INHERENT MAP'!$B$5=2021,'РЕЕСТР РИСКОВ_2023'!O198,IF('INHERENT MAP'!$B$5=2022,#REF!,IF('INHERENT MAP'!$B$5=2023,#REF!,IF('INHERENT MAP'!$B$5=2024,#REF!,#REF!))))</f>
        <v>0</v>
      </c>
      <c r="L159">
        <f>IF('INHERENT MAP'!$B$5=2021,'РЕЕСТР РИСКОВ_2023'!P198,IF('INHERENT MAP'!$B$5=2022,#REF!,IF('INHERENT MAP'!$B$5=2023,#REF!,IF('INHERENT MAP'!$B$5=2024,#REF!,#REF!))))</f>
        <v>0</v>
      </c>
      <c r="M159" t="str">
        <f>IF('INHERENT MAP'!$B$5=2021,IF('РЕЕСТР РИСКОВ_2023'!Q198="",M158,'РЕЕСТР РИСКОВ_2023'!Q198),IF('INHERENT MAP'!$B$5=2022,IF(#REF!="",M158,#REF!),IF('INHERENT MAP'!$B$5=2023,IF(#REF!="",M158,#REF!),IF('INHERENT MAP'!$B$5=2024,IF(#REF!="",M158,#REF!),IF('РЕЕСТР РИСКОВ_2023'!Q198="",M158,'РЕЕСТР РИСКОВ_2023'!Q198)))))</f>
        <v>Некорректное оформление приказов личного состава, наложения дисциплинарного взыскания (предоставление отпуска, прием, перевод, расторжение трудового договора и т.д.)</v>
      </c>
      <c r="N159" t="str">
        <f>IF('INHERENT MAP'!$B$5=2021,IF('РЕЕСТР РИСКОВ_2023'!R198="",N158,'РЕЕСТР РИСКОВ_2023'!R198),IF('INHERENT MAP'!$B$5=2022,IF(#REF!="",N158,#REF!),IF('INHERENT MAP'!$B$5=2023,IF(#REF!="",N158,#REF!),IF('INHERENT MAP'!$B$5=2024,IF(#REF!="",N158,#REF!),IF('РЕЕСТР РИСКОВ_2023'!R198="",N158,'РЕЕСТР РИСКОВ_2023'!R198)))))</f>
        <v xml:space="preserve">1. Вирусные атаки;   
2. Неверная оценка критичности и актуальности данных 
3. Ошибка системы. </v>
      </c>
      <c r="O159">
        <f>'РЕЕСТР РИСКОВ_2023'!T198</f>
        <v>0</v>
      </c>
      <c r="P159" t="e">
        <f>IF('РЕЕСТР РИСКОВ_2023'!U198="",P158,'РЕЕСТР РИСКОВ_2023'!U198)</f>
        <v>#REF!</v>
      </c>
      <c r="Q159" t="str">
        <f>IF('РЕЕСТР РИСКОВ_2023'!V198="",Q158,'РЕЕСТР РИСКОВ_2023'!V198)</f>
        <v>Слабые стороны</v>
      </c>
      <c r="R159" t="str">
        <f>IF('РЕЕСТР РИСКОВ_2023'!W198="",R158,'РЕЕСТР РИСКОВ_2023'!W198)</f>
        <v>Не укомплектованность штата,  работников связанных с движением поездов и инспекторов по охране труда,</v>
      </c>
      <c r="S159">
        <f>'РЕЕСТР РИСКОВ_2023'!X198</f>
        <v>0</v>
      </c>
      <c r="T159" s="94">
        <f>IF('INHERENT MAP'!$B$5=2021,'РЕЕСТР РИСКОВ_2023'!Y198,IF('INHERENT MAP'!$B$5=2022,#REF!,IF('INHERENT MAP'!$B$5=2023,#REF!,IF('INHERENT MAP'!$B$5=2024,#REF!,#REF!))))</f>
        <v>0.8</v>
      </c>
      <c r="U159">
        <f>IF('INHERENT MAP'!$B$5=2021,'РЕЕСТР РИСКОВ_2023'!Z198,IF('INHERENT MAP'!$B$5=2022,#REF!,IF('INHERENT MAP'!$B$5=2023,#REF!,IF('INHERENT MAP'!$B$5=2024,#REF!,#REF!))))</f>
        <v>-75</v>
      </c>
      <c r="V159">
        <f>IF('INHERENT MAP'!$B$5=2021,'РЕЕСТР РИСКОВ_2023'!AA198,IF('INHERENT MAP'!$B$5=2022,#REF!,IF('INHERENT MAP'!$B$5=2023,#REF!,IF('INHERENT MAP'!$B$5=2024,#REF!,#REF!))))</f>
        <v>-60</v>
      </c>
      <c r="W159">
        <f>IF('INHERENT MAP'!$B$5=2021,'РЕЕСТР РИСКОВ_2023'!AB198,IF('INHERENT MAP'!$B$5=2022,#REF!,IF('INHERENT MAP'!$B$5=2023,#REF!,IF('INHERENT MAP'!$B$5=2024,#REF!,#REF!))))</f>
        <v>0</v>
      </c>
      <c r="X159" s="94">
        <f>IF('INHERENT MAP'!$B$5=2021,'РЕЕСТР РИСКОВ_2023'!AC198,IF('INHERENT MAP'!$B$5=2022,#REF!,IF('INHERENT MAP'!$B$5=2023,#REF!,IF('INHERENT MAP'!$B$5=2024,#REF!,#REF!))))</f>
        <v>0.8</v>
      </c>
      <c r="Y159">
        <f>IF('INHERENT MAP'!$B$5=2021,'РЕЕСТР РИСКОВ_2023'!AD198,IF('INHERENT MAP'!$B$5=2022,#REF!,IF('INHERENT MAP'!$B$5=2023,#REF!,IF('INHERENT MAP'!$B$5=2024,#REF!,#REF!))))</f>
        <v>-75</v>
      </c>
      <c r="Z159">
        <f>IF('INHERENT MAP'!$B$5=2021,'РЕЕСТР РИСКОВ_2023'!AE198,IF('INHERENT MAP'!$B$5=2022,#REF!,IF('INHERENT MAP'!$B$5=2023,#REF!,IF('INHERENT MAP'!$B$5=2024,#REF!,#REF!))))</f>
        <v>-60</v>
      </c>
      <c r="AA159">
        <f>IF('INHERENT MAP'!$B$5=2021,'РЕЕСТР РИСКОВ_2023'!AF198,IF('INHERENT MAP'!$B$5=2022,#REF!,IF('INHERENT MAP'!$B$5=2023,#REF!,IF('INHERENT MAP'!$B$5=2024,#REF!,#REF!))))</f>
        <v>0</v>
      </c>
      <c r="AB159">
        <f>IF('INHERENT MAP'!$B$5=2021,'РЕЕСТР РИСКОВ_2023'!AG198,IF('INHERENT MAP'!$B$5=2022,#REF!,IF('INHERENT MAP'!$B$5=2023,#REF!,IF('INHERENT MAP'!$B$5=2024,#REF!,#REF!))))</f>
        <v>0</v>
      </c>
      <c r="AC159">
        <f>IF('INHERENT MAP'!$B$5=2021,'РЕЕСТР РИСКОВ_2023'!AH198,IF('INHERENT MAP'!$B$5=2022,#REF!,IF('INHERENT MAP'!$B$5=2023,#REF!,IF('INHERENT MAP'!$B$5=2024,#REF!,#REF!))))</f>
        <v>0</v>
      </c>
      <c r="AD159" t="str">
        <f>IF('INHERENT MAP'!$B$5=2021,'РЕЕСТР РИСКОВ_2023'!AI198,IF('INHERENT MAP'!$B$5=2022,#REF!,IF('INHERENT MAP'!$B$5=2023,#REF!,IF('INHERENT MAP'!$B$5=2024,#REF!,#REF!))))</f>
        <v>Реализация программ обучения для работников HR служб
Централизация кадрового делопроизводства на базе филиала ЦФО</v>
      </c>
      <c r="AE159" t="str">
        <f>IF('INHERENT MAP'!$B$5=2021,'РЕЕСТР РИСКОВ_2023'!AK198,IF('INHERENT MAP'!$B$5=2022,#REF!,IF('INHERENT MAP'!$B$5=2023,#REF!,IF('INHERENT MAP'!$B$5=2024,#REF!,#REF!))))</f>
        <v xml:space="preserve"> Департамент управления человеческими ресурсами   </v>
      </c>
      <c r="AF159">
        <f>IF('INHERENT MAP'!$B$5=2021,'РЕЕСТР РИСКОВ_2023'!AL198,IF('INHERENT MAP'!$B$5=2022,#REF!,IF('INHERENT MAP'!$B$5=2023,#REF!,IF('INHERENT MAP'!$B$5=2024,#REF!,#REF!))))</f>
        <v>0</v>
      </c>
      <c r="AG159" t="str">
        <f>IF('INHERENT MAP'!$B$5=2021,'РЕЕСТР РИСКОВ_2023'!AM198,IF('INHERENT MAP'!$B$5=2022,#REF!,IF('INHERENT MAP'!$B$5=2023,#REF!,IF('INHERENT MAP'!$B$5=2024,#REF!,#REF!))))</f>
        <v>низкая</v>
      </c>
      <c r="AH159">
        <f>IF('INHERENT MAP'!$B$5=2021,'РЕЕСТР РИСКОВ_2023'!AN198,IF('INHERENT MAP'!$B$5=2022,#REF!,IF('INHERENT MAP'!$B$5=2023,#REF!,IF('INHERENT MAP'!$B$5=2024,#REF!,#REF!))))</f>
        <v>0.8</v>
      </c>
      <c r="AI159">
        <f>IF('INHERENT MAP'!$B$5=2021,'РЕЕСТР РИСКОВ_2023'!AO198,IF('INHERENT MAP'!$B$5=2022,#REF!,IF('INHERENT MAP'!$B$5=2023,#REF!,IF('INHERENT MAP'!$B$5=2024,#REF!,#REF!))))</f>
        <v>-75</v>
      </c>
      <c r="AJ159">
        <f>IF('INHERENT MAP'!$B$5=2021,'РЕЕСТР РИСКОВ_2023'!AP198,IF('INHERENT MAP'!$B$5=2022,#REF!,IF('INHERENT MAP'!$B$5=2023,#REF!,IF('INHERENT MAP'!$B$5=2024,#REF!,#REF!))))</f>
        <v>-60</v>
      </c>
      <c r="AK159">
        <f>IF('РЕЕСТР РИСКОВ_2023'!AQ198="",AK158,'РЕЕСТР РИСКОВ_2023'!AQ198)</f>
        <v>-60</v>
      </c>
      <c r="AL159">
        <f>IF('РЕЕСТР РИСКОВ_2023'!AR198="",AL158,'РЕЕСТР РИСКОВ_2023'!AR198)</f>
        <v>0.8</v>
      </c>
      <c r="AM159">
        <f>IF('РЕЕСТР РИСКОВ_2023'!AS198="",AM158,'РЕЕСТР РИСКОВ_2023'!AS198)</f>
        <v>-60</v>
      </c>
      <c r="AN159">
        <f>IF('РЕЕСТР РИСКОВ_2023'!AT198="",AN158,'РЕЕСТР РИСКОВ_2023'!AT198)</f>
        <v>-48</v>
      </c>
      <c r="AO159" t="e">
        <f>IF('РЕЕСТР РИСКОВ_2023'!AU198="",AO158,'РЕЕСТР РИСКОВ_2023'!AU198)</f>
        <v>#REF!</v>
      </c>
    </row>
    <row r="160" spans="2:41">
      <c r="B160" t="str">
        <f>IF('INHERENT MAP'!$B$5=2021,IF('РЕЕСТР РИСКОВ_2023'!F199="",B159,'РЕЕСТР РИСКОВ_2023'!F199),IF('INHERENT MAP'!$B$5=2022,IF(#REF!="",B159,#REF!),IF('INHERENT MAP'!$B$5=2023,IF(#REF!="",B159,#REF!),IF('INHERENT MAP'!$B$5=2024,IF(#REF!="",B159,#REF!),IF('РЕЕСТР РИСКОВ_2023'!F199="",B159,'РЕЕСТР РИСКОВ_2023'!F199)))))</f>
        <v>HR РИСКИ (ESG)</v>
      </c>
      <c r="C160" t="e">
        <f>IF('INHERENT MAP'!$B$5=2021,IF('РЕЕСТР РИСКОВ_2023'!G199="",C159,'РЕЕСТР РИСКОВ_2023'!G199),IF('INHERENT MAP'!$B$5=2022,IF(#REF!="",C159,#REF!),IF('INHERENT MAP'!$B$5=2023,IF(#REF!="",C159,#REF!),IF('INHERENT MAP'!$B$5=2024,IF(#REF!="",C159,#REF!),IF('РЕЕСТР РИСКОВ_2023'!G199="",C159,'РЕЕСТР РИСКОВ_2023'!G199)))))</f>
        <v>#REF!</v>
      </c>
      <c r="D160" t="str">
        <f>IF('INHERENT MAP'!$B$5=2021,IF('РЕЕСТР РИСКОВ_2023'!H199="",D159,'РЕЕСТР РИСКОВ_2023'!H199),IF('INHERENT MAP'!$B$5=2022,IF(#REF!="",D159,#REF!),IF('INHERENT MAP'!$B$5=2023,IF(#REF!="",D159,#REF!),IF('INHERENT MAP'!$B$5=2024,IF(#REF!="",D159,#REF!),IF('РЕЕСТР РИСКОВ_2023'!H199="",D159,'РЕЕСТР РИСКОВ_2023'!H199)))))</f>
        <v>HR-2</v>
      </c>
      <c r="E160" t="str">
        <f>IF('INHERENT MAP'!$B$5=2021,IF('РЕЕСТР РИСКОВ_2023'!I199="",E159,'РЕЕСТР РИСКОВ_2023'!I199),IF('INHERENT MAP'!$B$5=2022,IF(#REF!="",E159,#REF!),IF('INHERENT MAP'!$B$5=2023,IF(#REF!="",E159,#REF!),IF('INHERENT MAP'!$B$5=2024,IF(#REF!="",E159,#REF!),IF('РЕЕСТР РИСКОВ_2023'!I199="",E159,'РЕЕСТР РИСКОВ_2023'!I199)))))</f>
        <v>ЦЗК</v>
      </c>
      <c r="F160" t="str">
        <f>IF('INHERENT MAP'!$B$5=2021,IF('РЕЕСТР РИСКОВ_2023'!J199="",F159,'РЕЕСТР РИСКОВ_2023'!J199),IF('INHERENT MAP'!$B$5=2022,IF(#REF!="",F159,#REF!),IF('INHERENT MAP'!$B$5=2023,IF(#REF!="",F159,#REF!),IF('INHERENT MAP'!$B$5=2024,IF(#REF!="",F159,#REF!),IF('РЕЕСТР РИСКОВ_2023'!J199="",F159,'РЕЕСТР РИСКОВ_2023'!J199)))))</f>
        <v xml:space="preserve"> Департамент управления человеческими ресурсами   </v>
      </c>
      <c r="G160" t="str">
        <f>IF('INHERENT MAP'!$B$5=2021,IF('РЕЕСТР РИСКОВ_2023'!K199="",G159,'РЕЕСТР РИСКОВ_2023'!K199),IF('INHERENT MAP'!$B$5=2022,IF(#REF!="",G159,#REF!),IF('INHERENT MAP'!$B$5=2023,IF(#REF!="",G159,#REF!),IF('INHERENT MAP'!$B$5=2024,IF(#REF!="",G159,#REF!),IF('РЕЕСТР РИСКОВ_2023'!K199="",G159,'РЕЕСТР РИСКОВ_2023'!K199)))))</f>
        <v>Коррупция при приеме на работу</v>
      </c>
      <c r="H160">
        <f>IF('INHERENT MAP'!$B$5=2021,'РЕЕСТР РИСКОВ_2023'!L199,IF('INHERENT MAP'!$B$5=2022,#REF!,IF('INHERENT MAP'!$B$5=2023,#REF!,IF('INHERENT MAP'!$B$5=2024,#REF!,#REF!))))</f>
        <v>0</v>
      </c>
      <c r="I160">
        <f>IF('INHERENT MAP'!$B$5=2021,'РЕЕСТР РИСКОВ_2023'!M199,IF('INHERENT MAP'!$B$5=2022,#REF!,IF('INHERENT MAP'!$B$5=2023,#REF!,IF('INHERENT MAP'!$B$5=2024,#REF!,#REF!))))</f>
        <v>0</v>
      </c>
      <c r="J160">
        <f>IF('INHERENT MAP'!$B$5=2021,'РЕЕСТР РИСКОВ_2023'!N199,IF('INHERENT MAP'!$B$5=2022,#REF!,IF('INHERENT MAP'!$B$5=2023,#REF!,IF('INHERENT MAP'!$B$5=2024,#REF!,#REF!))))</f>
        <v>0</v>
      </c>
      <c r="K160">
        <f>IF('INHERENT MAP'!$B$5=2021,'РЕЕСТР РИСКОВ_2023'!O199,IF('INHERENT MAP'!$B$5=2022,#REF!,IF('INHERENT MAP'!$B$5=2023,#REF!,IF('INHERENT MAP'!$B$5=2024,#REF!,#REF!))))</f>
        <v>0</v>
      </c>
      <c r="L160">
        <f>IF('INHERENT MAP'!$B$5=2021,'РЕЕСТР РИСКОВ_2023'!P199,IF('INHERENT MAP'!$B$5=2022,#REF!,IF('INHERENT MAP'!$B$5=2023,#REF!,IF('INHERENT MAP'!$B$5=2024,#REF!,#REF!))))</f>
        <v>0</v>
      </c>
      <c r="M160" t="str">
        <f>IF('INHERENT MAP'!$B$5=2021,IF('РЕЕСТР РИСКОВ_2023'!Q199="",M159,'РЕЕСТР РИСКОВ_2023'!Q199),IF('INHERENT MAP'!$B$5=2022,IF(#REF!="",M159,#REF!),IF('INHERENT MAP'!$B$5=2023,IF(#REF!="",M159,#REF!),IF('INHERENT MAP'!$B$5=2024,IF(#REF!="",M159,#REF!),IF('РЕЕСТР РИСКОВ_2023'!Q199="",M159,'РЕЕСТР РИСКОВ_2023'!Q199)))))</f>
        <v xml:space="preserve">1. Бытовая коррупция и мошенничество при приеме на работу
2.Предоставление кандидатами недостоверных данных по образованию  </v>
      </c>
      <c r="N160" t="str">
        <f>IF('INHERENT MAP'!$B$5=2021,IF('РЕЕСТР РИСКОВ_2023'!R199="",N159,'РЕЕСТР РИСКОВ_2023'!R199),IF('INHERENT MAP'!$B$5=2022,IF(#REF!="",N159,#REF!),IF('INHERENT MAP'!$B$5=2023,IF(#REF!="",N159,#REF!),IF('INHERENT MAP'!$B$5=2024,IF(#REF!="",N159,#REF!),IF('РЕЕСТР РИСКОВ_2023'!R199="",N159,'РЕЕСТР РИСКОВ_2023'!R199)))))</f>
        <v xml:space="preserve">1. Вирусные атаки;   
2. Неверная оценка критичности и актуальности данных 
3. Ошибка системы. </v>
      </c>
      <c r="O160">
        <f>'РЕЕСТР РИСКОВ_2023'!T199</f>
        <v>0</v>
      </c>
      <c r="P160" t="e">
        <f>IF('РЕЕСТР РИСКОВ_2023'!U199="",P159,'РЕЕСТР РИСКОВ_2023'!U199)</f>
        <v>#REF!</v>
      </c>
      <c r="Q160" t="str">
        <f>IF('РЕЕСТР РИСКОВ_2023'!V199="",Q159,'РЕЕСТР РИСКОВ_2023'!V199)</f>
        <v>Угрозы</v>
      </c>
      <c r="R160" t="str">
        <f>IF('РЕЕСТР РИСКОВ_2023'!W199="",R159,'РЕЕСТР РИСКОВ_2023'!W199)</f>
        <v>Не укомплектованность штата,  работников связанных с движением поездов и инспекторов по охране труда,</v>
      </c>
      <c r="S160">
        <f>'РЕЕСТР РИСКОВ_2023'!X199</f>
        <v>0</v>
      </c>
      <c r="T160" s="94">
        <f>IF('INHERENT MAP'!$B$5=2021,'РЕЕСТР РИСКОВ_2023'!Y199,IF('INHERENT MAP'!$B$5=2022,#REF!,IF('INHERENT MAP'!$B$5=2023,#REF!,IF('INHERENT MAP'!$B$5=2024,#REF!,#REF!))))</f>
        <v>0.8</v>
      </c>
      <c r="U160">
        <f>IF('INHERENT MAP'!$B$5=2021,'РЕЕСТР РИСКОВ_2023'!Z199,IF('INHERENT MAP'!$B$5=2022,#REF!,IF('INHERENT MAP'!$B$5=2023,#REF!,IF('INHERENT MAP'!$B$5=2024,#REF!,#REF!))))</f>
        <v>0</v>
      </c>
      <c r="V160">
        <f>IF('INHERENT MAP'!$B$5=2021,'РЕЕСТР РИСКОВ_2023'!AA199,IF('INHERENT MAP'!$B$5=2022,#REF!,IF('INHERENT MAP'!$B$5=2023,#REF!,IF('INHERENT MAP'!$B$5=2024,#REF!,#REF!))))</f>
        <v>0</v>
      </c>
      <c r="W160">
        <f>IF('INHERENT MAP'!$B$5=2021,'РЕЕСТР РИСКОВ_2023'!AB199,IF('INHERENT MAP'!$B$5=2022,#REF!,IF('INHERENT MAP'!$B$5=2023,#REF!,IF('INHERENT MAP'!$B$5=2024,#REF!,#REF!))))</f>
        <v>0</v>
      </c>
      <c r="X160" s="94">
        <f>IF('INHERENT MAP'!$B$5=2021,'РЕЕСТР РИСКОВ_2023'!AC199,IF('INHERENT MAP'!$B$5=2022,#REF!,IF('INHERENT MAP'!$B$5=2023,#REF!,IF('INHERENT MAP'!$B$5=2024,#REF!,#REF!))))</f>
        <v>0.8</v>
      </c>
      <c r="Y160">
        <f>IF('INHERENT MAP'!$B$5=2021,'РЕЕСТР РИСКОВ_2023'!AD199,IF('INHERENT MAP'!$B$5=2022,#REF!,IF('INHERENT MAP'!$B$5=2023,#REF!,IF('INHERENT MAP'!$B$5=2024,#REF!,#REF!))))</f>
        <v>0</v>
      </c>
      <c r="Z160">
        <f>IF('INHERENT MAP'!$B$5=2021,'РЕЕСТР РИСКОВ_2023'!AE199,IF('INHERENT MAP'!$B$5=2022,#REF!,IF('INHERENT MAP'!$B$5=2023,#REF!,IF('INHERENT MAP'!$B$5=2024,#REF!,#REF!))))</f>
        <v>0</v>
      </c>
      <c r="AA160">
        <f>IF('INHERENT MAP'!$B$5=2021,'РЕЕСТР РИСКОВ_2023'!AF199,IF('INHERENT MAP'!$B$5=2022,#REF!,IF('INHERENT MAP'!$B$5=2023,#REF!,IF('INHERENT MAP'!$B$5=2024,#REF!,#REF!))))</f>
        <v>0</v>
      </c>
      <c r="AB160">
        <f>IF('INHERENT MAP'!$B$5=2021,'РЕЕСТР РИСКОВ_2023'!AG199,IF('INHERENT MAP'!$B$5=2022,#REF!,IF('INHERENT MAP'!$B$5=2023,#REF!,IF('INHERENT MAP'!$B$5=2024,#REF!,#REF!))))</f>
        <v>0</v>
      </c>
      <c r="AC160">
        <f>IF('INHERENT MAP'!$B$5=2021,'РЕЕСТР РИСКОВ_2023'!AH199,IF('INHERENT MAP'!$B$5=2022,#REF!,IF('INHERENT MAP'!$B$5=2023,#REF!,IF('INHERENT MAP'!$B$5=2024,#REF!,#REF!))))</f>
        <v>0</v>
      </c>
      <c r="AD160" t="str">
        <f>IF('INHERENT MAP'!$B$5=2021,'РЕЕСТР РИСКОВ_2023'!AI199,IF('INHERENT MAP'!$B$5=2022,#REF!,IF('INHERENT MAP'!$B$5=2023,#REF!,IF('INHERENT MAP'!$B$5=2024,#REF!,#REF!))))</f>
        <v>1.	Мониторинг соблюдения требований к поиску и подбору персонала на вакантные должности, поиск и подбор, на которые осуществляется HR-службами филиалов АО «НК «ҚТЖ» и ДО
Проведение анкетирования кандидатов на занятие вакантных должностей с фокусом на прозрачность проведения конкурсных процедур, в т.ч. на наличие коррупционной составляющей;
2. Направление на ежеквартальной основе по вновь принятым работникам Компании запросы в образовательные учреждения для подтверждения подлинности документов об образовании, предоставленных вновь принятыми работниками при трудоустройстве в Компанию;
Проведение на постоянной основе семинаров и иных мероприятий по противодействию коррупции среди ответственных работников, занятых в процессе подбора и найма персонала.</v>
      </c>
      <c r="AE160">
        <f>IF('INHERENT MAP'!$B$5=2021,'РЕЕСТР РИСКОВ_2023'!AK199,IF('INHERENT MAP'!$B$5=2022,#REF!,IF('INHERENT MAP'!$B$5=2023,#REF!,IF('INHERENT MAP'!$B$5=2024,#REF!,#REF!))))</f>
        <v>0</v>
      </c>
      <c r="AF160">
        <f>IF('INHERENT MAP'!$B$5=2021,'РЕЕСТР РИСКОВ_2023'!AL199,IF('INHERENT MAP'!$B$5=2022,#REF!,IF('INHERENT MAP'!$B$5=2023,#REF!,IF('INHERENT MAP'!$B$5=2024,#REF!,#REF!))))</f>
        <v>0</v>
      </c>
      <c r="AG160" t="str">
        <f>IF('INHERENT MAP'!$B$5=2021,'РЕЕСТР РИСКОВ_2023'!AM199,IF('INHERENT MAP'!$B$5=2022,#REF!,IF('INHERENT MAP'!$B$5=2023,#REF!,IF('INHERENT MAP'!$B$5=2024,#REF!,#REF!))))</f>
        <v>низкая</v>
      </c>
      <c r="AH160">
        <f>IF('INHERENT MAP'!$B$5=2021,'РЕЕСТР РИСКОВ_2023'!AN199,IF('INHERENT MAP'!$B$5=2022,#REF!,IF('INHERENT MAP'!$B$5=2023,#REF!,IF('INHERENT MAP'!$B$5=2024,#REF!,#REF!))))</f>
        <v>0.8</v>
      </c>
      <c r="AI160">
        <f>IF('INHERENT MAP'!$B$5=2021,'РЕЕСТР РИСКОВ_2023'!AO199,IF('INHERENT MAP'!$B$5=2022,#REF!,IF('INHERENT MAP'!$B$5=2023,#REF!,IF('INHERENT MAP'!$B$5=2024,#REF!,#REF!))))</f>
        <v>0</v>
      </c>
      <c r="AJ160">
        <f>IF('INHERENT MAP'!$B$5=2021,'РЕЕСТР РИСКОВ_2023'!AP199,IF('INHERENT MAP'!$B$5=2022,#REF!,IF('INHERENT MAP'!$B$5=2023,#REF!,IF('INHERENT MAP'!$B$5=2024,#REF!,#REF!))))</f>
        <v>0</v>
      </c>
      <c r="AK160">
        <f>IF('РЕЕСТР РИСКОВ_2023'!AQ199="",AK159,'РЕЕСТР РИСКОВ_2023'!AQ199)</f>
        <v>0</v>
      </c>
      <c r="AL160">
        <f>IF('РЕЕСТР РИСКОВ_2023'!AR199="",AL159,'РЕЕСТР РИСКОВ_2023'!AR199)</f>
        <v>0.8</v>
      </c>
      <c r="AM160">
        <f>IF('РЕЕСТР РИСКОВ_2023'!AS199="",AM159,'РЕЕСТР РИСКОВ_2023'!AS199)</f>
        <v>0</v>
      </c>
      <c r="AN160">
        <f>IF('РЕЕСТР РИСКОВ_2023'!AT199="",AN159,'РЕЕСТР РИСКОВ_2023'!AT199)</f>
        <v>0</v>
      </c>
      <c r="AO160" t="e">
        <f>IF('РЕЕСТР РИСКОВ_2023'!AU199="",AO159,'РЕЕСТР РИСКОВ_2023'!AU199)</f>
        <v>#REF!</v>
      </c>
    </row>
    <row r="161" spans="2:41">
      <c r="B161" t="str">
        <f>IF('INHERENT MAP'!$B$5=2021,IF('РЕЕСТР РИСКОВ_2023'!F200="",B160,'РЕЕСТР РИСКОВ_2023'!F200),IF('INHERENT MAP'!$B$5=2022,IF(#REF!="",B160,#REF!),IF('INHERENT MAP'!$B$5=2023,IF(#REF!="",B160,#REF!),IF('INHERENT MAP'!$B$5=2024,IF(#REF!="",B160,#REF!),IF('РЕЕСТР РИСКОВ_2023'!F200="",B160,'РЕЕСТР РИСКОВ_2023'!F200)))))</f>
        <v>HR РИСКИ (ESG)</v>
      </c>
      <c r="C161" t="e">
        <f>IF('INHERENT MAP'!$B$5=2021,IF('РЕЕСТР РИСКОВ_2023'!G200="",C160,'РЕЕСТР РИСКОВ_2023'!G200),IF('INHERENT MAP'!$B$5=2022,IF(#REF!="",C160,#REF!),IF('INHERENT MAP'!$B$5=2023,IF(#REF!="",C160,#REF!),IF('INHERENT MAP'!$B$5=2024,IF(#REF!="",C160,#REF!),IF('РЕЕСТР РИСКОВ_2023'!G200="",C160,'РЕЕСТР РИСКОВ_2023'!G200)))))</f>
        <v>#REF!</v>
      </c>
      <c r="D161" t="str">
        <f>IF('INHERENT MAP'!$B$5=2021,IF('РЕЕСТР РИСКОВ_2023'!H200="",D160,'РЕЕСТР РИСКОВ_2023'!H200),IF('INHERENT MAP'!$B$5=2022,IF(#REF!="",D160,#REF!),IF('INHERENT MAP'!$B$5=2023,IF(#REF!="",D160,#REF!),IF('INHERENT MAP'!$B$5=2024,IF(#REF!="",D160,#REF!),IF('РЕЕСТР РИСКОВ_2023'!H200="",D160,'РЕЕСТР РИСКОВ_2023'!H200)))))</f>
        <v>HR-3</v>
      </c>
      <c r="E161" t="str">
        <f>IF('INHERENT MAP'!$B$5=2021,IF('РЕЕСТР РИСКОВ_2023'!I200="",E160,'РЕЕСТР РИСКОВ_2023'!I200),IF('INHERENT MAP'!$B$5=2022,IF(#REF!="",E160,#REF!),IF('INHERENT MAP'!$B$5=2023,IF(#REF!="",E160,#REF!),IF('INHERENT MAP'!$B$5=2024,IF(#REF!="",E160,#REF!),IF('РЕЕСТР РИСКОВ_2023'!I200="",E160,'РЕЕСТР РИСКОВ_2023'!I200)))))</f>
        <v>ЦЗК</v>
      </c>
      <c r="F161" t="str">
        <f>IF('INHERENT MAP'!$B$5=2021,IF('РЕЕСТР РИСКОВ_2023'!J200="",F160,'РЕЕСТР РИСКОВ_2023'!J200),IF('INHERENT MAP'!$B$5=2022,IF(#REF!="",F160,#REF!),IF('INHERENT MAP'!$B$5=2023,IF(#REF!="",F160,#REF!),IF('INHERENT MAP'!$B$5=2024,IF(#REF!="",F160,#REF!),IF('РЕЕСТР РИСКОВ_2023'!J200="",F160,'РЕЕСТР РИСКОВ_2023'!J200)))))</f>
        <v xml:space="preserve"> Департамент управления человеческими ресурсами   </v>
      </c>
      <c r="G161" t="str">
        <f>IF('INHERENT MAP'!$B$5=2021,IF('РЕЕСТР РИСКОВ_2023'!K200="",G160,'РЕЕСТР РИСКОВ_2023'!K200),IF('INHERENT MAP'!$B$5=2022,IF(#REF!="",G160,#REF!),IF('INHERENT MAP'!$B$5=2023,IF(#REF!="",G160,#REF!),IF('INHERENT MAP'!$B$5=2024,IF(#REF!="",G160,#REF!),IF('РЕЕСТР РИСКОВ_2023'!K200="",G160,'РЕЕСТР РИСКОВ_2023'!K200)))))</f>
        <v>Социальное недовольство со стороны работников</v>
      </c>
      <c r="H161">
        <f>IF('INHERENT MAP'!$B$5=2021,'РЕЕСТР РИСКОВ_2023'!L200,IF('INHERENT MAP'!$B$5=2022,#REF!,IF('INHERENT MAP'!$B$5=2023,#REF!,IF('INHERENT MAP'!$B$5=2024,#REF!,#REF!))))</f>
        <v>0</v>
      </c>
      <c r="I161">
        <f>IF('INHERENT MAP'!$B$5=2021,'РЕЕСТР РИСКОВ_2023'!M200,IF('INHERENT MAP'!$B$5=2022,#REF!,IF('INHERENT MAP'!$B$5=2023,#REF!,IF('INHERENT MAP'!$B$5=2024,#REF!,#REF!))))</f>
        <v>0</v>
      </c>
      <c r="J161">
        <f>IF('INHERENT MAP'!$B$5=2021,'РЕЕСТР РИСКОВ_2023'!N200,IF('INHERENT MAP'!$B$5=2022,#REF!,IF('INHERENT MAP'!$B$5=2023,#REF!,IF('INHERENT MAP'!$B$5=2024,#REF!,#REF!))))</f>
        <v>0</v>
      </c>
      <c r="K161">
        <f>IF('INHERENT MAP'!$B$5=2021,'РЕЕСТР РИСКОВ_2023'!O200,IF('INHERENT MAP'!$B$5=2022,#REF!,IF('INHERENT MAP'!$B$5=2023,#REF!,IF('INHERENT MAP'!$B$5=2024,#REF!,#REF!))))</f>
        <v>0</v>
      </c>
      <c r="L161">
        <f>IF('INHERENT MAP'!$B$5=2021,'РЕЕСТР РИСКОВ_2023'!P200,IF('INHERENT MAP'!$B$5=2022,#REF!,IF('INHERENT MAP'!$B$5=2023,#REF!,IF('INHERENT MAP'!$B$5=2024,#REF!,#REF!))))</f>
        <v>0</v>
      </c>
      <c r="M161" t="str">
        <f>IF('INHERENT MAP'!$B$5=2021,IF('РЕЕСТР РИСКОВ_2023'!Q200="",M160,'РЕЕСТР РИСКОВ_2023'!Q200),IF('INHERENT MAP'!$B$5=2022,IF(#REF!="",M160,#REF!),IF('INHERENT MAP'!$B$5=2023,IF(#REF!="",M160,#REF!),IF('INHERENT MAP'!$B$5=2024,IF(#REF!="",M160,#REF!),IF('РЕЕСТР РИСКОВ_2023'!Q200="",M160,'РЕЕСТР РИСКОВ_2023'!Q200)))))</f>
        <v>1. Непланомерные действия по высвобождению персонала в связи с оптимизация численности
2. Требования по повышению заработной платы в связи с ростом размера минимальной заработной платы, цен на продукты и услуги первой необходимости</v>
      </c>
      <c r="N161" t="str">
        <f>IF('INHERENT MAP'!$B$5=2021,IF('РЕЕСТР РИСКОВ_2023'!R200="",N160,'РЕЕСТР РИСКОВ_2023'!R200),IF('INHERENT MAP'!$B$5=2022,IF(#REF!="",N160,#REF!),IF('INHERENT MAP'!$B$5=2023,IF(#REF!="",N160,#REF!),IF('INHERENT MAP'!$B$5=2024,IF(#REF!="",N160,#REF!),IF('РЕЕСТР РИСКОВ_2023'!R200="",N160,'РЕЕСТР РИСКОВ_2023'!R200)))))</f>
        <v xml:space="preserve">1. Вирусные атаки;   
2. Неверная оценка критичности и актуальности данных 
3. Ошибка системы. </v>
      </c>
      <c r="O161">
        <f>'РЕЕСТР РИСКОВ_2023'!T200</f>
        <v>0</v>
      </c>
      <c r="P161" t="e">
        <f>IF('РЕЕСТР РИСКОВ_2023'!U200="",P160,'РЕЕСТР РИСКОВ_2023'!U200)</f>
        <v>#REF!</v>
      </c>
      <c r="Q161" t="str">
        <f>IF('РЕЕСТР РИСКОВ_2023'!V200="",Q160,'РЕЕСТР РИСКОВ_2023'!V200)</f>
        <v>Угрозы</v>
      </c>
      <c r="R161" t="str">
        <f>IF('РЕЕСТР РИСКОВ_2023'!W200="",R160,'РЕЕСТР РИСКОВ_2023'!W200)</f>
        <v>1. Индикатор МЗП
2019-2021 - 42 500тнг
2022 - 60 000тнг (+41%)
2023 - 70 000тнг (+17%)
2. Негативные публикации в СМИ</v>
      </c>
      <c r="S161">
        <f>'РЕЕСТР РИСКОВ_2023'!X200</f>
        <v>0</v>
      </c>
      <c r="T161" s="94">
        <f>IF('INHERENT MAP'!$B$5=2021,'РЕЕСТР РИСКОВ_2023'!Y200,IF('INHERENT MAP'!$B$5=2022,#REF!,IF('INHERENT MAP'!$B$5=2023,#REF!,IF('INHERENT MAP'!$B$5=2024,#REF!,#REF!))))</f>
        <v>0.4</v>
      </c>
      <c r="U161">
        <f>IF('INHERENT MAP'!$B$5=2021,'РЕЕСТР РИСКОВ_2023'!Z200,IF('INHERENT MAP'!$B$5=2022,#REF!,IF('INHERENT MAP'!$B$5=2023,#REF!,IF('INHERENT MAP'!$B$5=2024,#REF!,#REF!))))</f>
        <v>-69886.5</v>
      </c>
      <c r="V161">
        <f>IF('INHERENT MAP'!$B$5=2021,'РЕЕСТР РИСКОВ_2023'!AA200,IF('INHERENT MAP'!$B$5=2022,#REF!,IF('INHERENT MAP'!$B$5=2023,#REF!,IF('INHERENT MAP'!$B$5=2024,#REF!,#REF!))))</f>
        <v>-27954.600000000002</v>
      </c>
      <c r="W161" t="str">
        <f>IF('INHERENT MAP'!$B$5=2021,'РЕЕСТР РИСКОВ_2023'!AB200,IF('INHERENT MAP'!$B$5=2022,#REF!,IF('INHERENT MAP'!$B$5=2023,#REF!,IF('INHERENT MAP'!$B$5=2024,#REF!,#REF!))))</f>
        <v>Риск незапланированного увеличения ФОТ+15% с 465 910 млн.тенге</v>
      </c>
      <c r="X161" s="94">
        <f>IF('INHERENT MAP'!$B$5=2021,'РЕЕСТР РИСКОВ_2023'!AC200,IF('INHERENT MAP'!$B$5=2022,#REF!,IF('INHERENT MAP'!$B$5=2023,#REF!,IF('INHERENT MAP'!$B$5=2024,#REF!,#REF!))))</f>
        <v>0.4</v>
      </c>
      <c r="Y161">
        <f>IF('INHERENT MAP'!$B$5=2021,'РЕЕСТР РИСКОВ_2023'!AD200,IF('INHERENT MAP'!$B$5=2022,#REF!,IF('INHERENT MAP'!$B$5=2023,#REF!,IF('INHERENT MAP'!$B$5=2024,#REF!,#REF!))))</f>
        <v>-69886.5</v>
      </c>
      <c r="Z161">
        <f>IF('INHERENT MAP'!$B$5=2021,'РЕЕСТР РИСКОВ_2023'!AE200,IF('INHERENT MAP'!$B$5=2022,#REF!,IF('INHERENT MAP'!$B$5=2023,#REF!,IF('INHERENT MAP'!$B$5=2024,#REF!,#REF!))))</f>
        <v>-27954.600000000002</v>
      </c>
      <c r="AA161">
        <f>IF('INHERENT MAP'!$B$5=2021,'РЕЕСТР РИСКОВ_2023'!AF200,IF('INHERENT MAP'!$B$5=2022,#REF!,IF('INHERENT MAP'!$B$5=2023,#REF!,IF('INHERENT MAP'!$B$5=2024,#REF!,#REF!))))</f>
        <v>0</v>
      </c>
      <c r="AB161">
        <f>IF('INHERENT MAP'!$B$5=2021,'РЕЕСТР РИСКОВ_2023'!AG200,IF('INHERENT MAP'!$B$5=2022,#REF!,IF('INHERENT MAP'!$B$5=2023,#REF!,IF('INHERENT MAP'!$B$5=2024,#REF!,#REF!))))</f>
        <v>0</v>
      </c>
      <c r="AC161">
        <f>IF('INHERENT MAP'!$B$5=2021,'РЕЕСТР РИСКОВ_2023'!AH200,IF('INHERENT MAP'!$B$5=2022,#REF!,IF('INHERENT MAP'!$B$5=2023,#REF!,IF('INHERENT MAP'!$B$5=2024,#REF!,#REF!))))</f>
        <v>0</v>
      </c>
      <c r="AD161" t="str">
        <f>IF('INHERENT MAP'!$B$5=2021,'РЕЕСТР РИСКОВ_2023'!AI200,IF('INHERENT MAP'!$B$5=2022,#REF!,IF('INHERENT MAP'!$B$5=2023,#REF!,IF('INHERENT MAP'!$B$5=2024,#REF!,#REF!))))</f>
        <v xml:space="preserve">1. Реализация мероприятий по Программе социально-ответственного высвобождения персонала
2. Индексация заработной платы работников основного производственного персонала в зависимости от финансовых возможностей Компании,  охват 70% основного производственного персонала премированием за выполнение показателей эффективности с применением КТУ. 
</v>
      </c>
      <c r="AE161">
        <f>IF('INHERENT MAP'!$B$5=2021,'РЕЕСТР РИСКОВ_2023'!AK200,IF('INHERENT MAP'!$B$5=2022,#REF!,IF('INHERENT MAP'!$B$5=2023,#REF!,IF('INHERENT MAP'!$B$5=2024,#REF!,#REF!))))</f>
        <v>0</v>
      </c>
      <c r="AF161">
        <f>IF('INHERENT MAP'!$B$5=2021,'РЕЕСТР РИСКОВ_2023'!AL200,IF('INHERENT MAP'!$B$5=2022,#REF!,IF('INHERENT MAP'!$B$5=2023,#REF!,IF('INHERENT MAP'!$B$5=2024,#REF!,#REF!))))</f>
        <v>0</v>
      </c>
      <c r="AG161" t="str">
        <f>IF('INHERENT MAP'!$B$5=2021,'РЕЕСТР РИСКОВ_2023'!AM200,IF('INHERENT MAP'!$B$5=2022,#REF!,IF('INHERENT MAP'!$B$5=2023,#REF!,IF('INHERENT MAP'!$B$5=2024,#REF!,#REF!))))</f>
        <v>средняя</v>
      </c>
      <c r="AH161">
        <f>IF('INHERENT MAP'!$B$5=2021,'РЕЕСТР РИСКОВ_2023'!AN200,IF('INHERENT MAP'!$B$5=2022,#REF!,IF('INHERENT MAP'!$B$5=2023,#REF!,IF('INHERENT MAP'!$B$5=2024,#REF!,#REF!))))</f>
        <v>0.2</v>
      </c>
      <c r="AI161">
        <f>IF('INHERENT MAP'!$B$5=2021,'РЕЕСТР РИСКОВ_2023'!AO200,IF('INHERENT MAP'!$B$5=2022,#REF!,IF('INHERENT MAP'!$B$5=2023,#REF!,IF('INHERENT MAP'!$B$5=2024,#REF!,#REF!))))</f>
        <v>-34943.25</v>
      </c>
      <c r="AJ161">
        <f>IF('INHERENT MAP'!$B$5=2021,'РЕЕСТР РИСКОВ_2023'!AP200,IF('INHERENT MAP'!$B$5=2022,#REF!,IF('INHERENT MAP'!$B$5=2023,#REF!,IF('INHERENT MAP'!$B$5=2024,#REF!,#REF!))))</f>
        <v>-6988.6500000000005</v>
      </c>
      <c r="AK161">
        <f>IF('РЕЕСТР РИСКОВ_2023'!AQ200="",AK160,'РЕЕСТР РИСКОВ_2023'!AQ200)</f>
        <v>-13977.300000000001</v>
      </c>
      <c r="AL161">
        <f>IF('РЕЕСТР РИСКОВ_2023'!AR200="",AL160,'РЕЕСТР РИСКОВ_2023'!AR200)</f>
        <v>0.2</v>
      </c>
      <c r="AM161">
        <f>IF('РЕЕСТР РИСКОВ_2023'!AS200="",AM160,'РЕЕСТР РИСКОВ_2023'!AS200)</f>
        <v>-6988.6500000000005</v>
      </c>
      <c r="AN161">
        <f>IF('РЕЕСТР РИСКОВ_2023'!AT200="",AN160,'РЕЕСТР РИСКОВ_2023'!AT200)</f>
        <v>-13977.300000000001</v>
      </c>
      <c r="AO161" t="e">
        <f>IF('РЕЕСТР РИСКОВ_2023'!AU200="",AO160,'РЕЕСТР РИСКОВ_2023'!AU200)</f>
        <v>#REF!</v>
      </c>
    </row>
    <row r="162" spans="2:41">
      <c r="B162" t="str">
        <f>IF('INHERENT MAP'!$B$5=2021,IF('РЕЕСТР РИСКОВ_2023'!F201="",B161,'РЕЕСТР РИСКОВ_2023'!F201),IF('INHERENT MAP'!$B$5=2022,IF(#REF!="",B161,#REF!),IF('INHERENT MAP'!$B$5=2023,IF(#REF!="",B161,#REF!),IF('INHERENT MAP'!$B$5=2024,IF(#REF!="",B161,#REF!),IF('РЕЕСТР РИСКОВ_2023'!F201="",B161,'РЕЕСТР РИСКОВ_2023'!F201)))))</f>
        <v>КОМПЛАЕНС РИСК</v>
      </c>
      <c r="C162" t="e">
        <f>IF('INHERENT MAP'!$B$5=2021,IF('РЕЕСТР РИСКОВ_2023'!G201="",C161,'РЕЕСТР РИСКОВ_2023'!G201),IF('INHERENT MAP'!$B$5=2022,IF(#REF!="",C161,#REF!),IF('INHERENT MAP'!$B$5=2023,IF(#REF!="",C161,#REF!),IF('INHERENT MAP'!$B$5=2024,IF(#REF!="",C161,#REF!),IF('РЕЕСТР РИСКОВ_2023'!G201="",C161,'РЕЕСТР РИСКОВ_2023'!G201)))))</f>
        <v>#REF!</v>
      </c>
      <c r="D162" t="str">
        <f>IF('INHERENT MAP'!$B$5=2021,IF('РЕЕСТР РИСКОВ_2023'!H201="",D161,'РЕЕСТР РИСКОВ_2023'!H201),IF('INHERENT MAP'!$B$5=2022,IF(#REF!="",D161,#REF!),IF('INHERENT MAP'!$B$5=2023,IF(#REF!="",D161,#REF!),IF('INHERENT MAP'!$B$5=2024,IF(#REF!="",D161,#REF!),IF('РЕЕСТР РИСКОВ_2023'!H201="",D161,'РЕЕСТР РИСКОВ_2023'!H201)))))</f>
        <v>CRR-1</v>
      </c>
      <c r="E162" t="str">
        <f>IF('INHERENT MAP'!$B$5=2021,IF('РЕЕСТР РИСКОВ_2023'!I201="",E161,'РЕЕСТР РИСКОВ_2023'!I201),IF('INHERENT MAP'!$B$5=2022,IF(#REF!="",E161,#REF!),IF('INHERENT MAP'!$B$5=2023,IF(#REF!="",E161,#REF!),IF('INHERENT MAP'!$B$5=2024,IF(#REF!="",E161,#REF!),IF('РЕЕСТР РИСКОВ_2023'!I201="",E161,'РЕЕСТР РИСКОВ_2023'!I201)))))</f>
        <v>Ц</v>
      </c>
      <c r="F162" t="str">
        <f>IF('INHERENT MAP'!$B$5=2021,IF('РЕЕСТР РИСКОВ_2023'!J201="",F161,'РЕЕСТР РИСКОВ_2023'!J201),IF('INHERENT MAP'!$B$5=2022,IF(#REF!="",F161,#REF!),IF('INHERENT MAP'!$B$5=2023,IF(#REF!="",F161,#REF!),IF('INHERENT MAP'!$B$5=2024,IF(#REF!="",F161,#REF!),IF('РЕЕСТР РИСКОВ_2023'!J201="",F161,'РЕЕСТР РИСКОВ_2023'!J201)))))</f>
        <v>ЦКС, ЦКБ</v>
      </c>
      <c r="G162" t="str">
        <f>IF('INHERENT MAP'!$B$5=2021,IF('РЕЕСТР РИСКОВ_2023'!K201="",G161,'РЕЕСТР РИСКОВ_2023'!K201),IF('INHERENT MAP'!$B$5=2022,IF(#REF!="",G161,#REF!),IF('INHERENT MAP'!$B$5=2023,IF(#REF!="",G161,#REF!),IF('INHERENT MAP'!$B$5=2024,IF(#REF!="",G161,#REF!),IF('РЕЕСТР РИСКОВ_2023'!K201="",G161,'РЕЕСТР РИСКОВ_2023'!K201)))))</f>
        <v>Риск коррупции со стороны должностных лиц КТЖ</v>
      </c>
      <c r="H162">
        <f>IF('INHERENT MAP'!$B$5=2021,'РЕЕСТР РИСКОВ_2023'!L201,IF('INHERENT MAP'!$B$5=2022,#REF!,IF('INHERENT MAP'!$B$5=2023,#REF!,IF('INHERENT MAP'!$B$5=2024,#REF!,#REF!))))</f>
        <v>0</v>
      </c>
      <c r="I162">
        <f>IF('INHERENT MAP'!$B$5=2021,'РЕЕСТР РИСКОВ_2023'!M201,IF('INHERENT MAP'!$B$5=2022,#REF!,IF('INHERENT MAP'!$B$5=2023,#REF!,IF('INHERENT MAP'!$B$5=2024,#REF!,#REF!))))</f>
        <v>0</v>
      </c>
      <c r="J162">
        <f>IF('INHERENT MAP'!$B$5=2021,'РЕЕСТР РИСКОВ_2023'!N201,IF('INHERENT MAP'!$B$5=2022,#REF!,IF('INHERENT MAP'!$B$5=2023,#REF!,IF('INHERENT MAP'!$B$5=2024,#REF!,#REF!))))</f>
        <v>0</v>
      </c>
      <c r="K162">
        <f>IF('INHERENT MAP'!$B$5=2021,'РЕЕСТР РИСКОВ_2023'!O201,IF('INHERENT MAP'!$B$5=2022,#REF!,IF('INHERENT MAP'!$B$5=2023,#REF!,IF('INHERENT MAP'!$B$5=2024,#REF!,#REF!))))</f>
        <v>0</v>
      </c>
      <c r="L162">
        <f>IF('INHERENT MAP'!$B$5=2021,'РЕЕСТР РИСКОВ_2023'!P201,IF('INHERENT MAP'!$B$5=2022,#REF!,IF('INHERENT MAP'!$B$5=2023,#REF!,IF('INHERENT MAP'!$B$5=2024,#REF!,#REF!))))</f>
        <v>0</v>
      </c>
      <c r="M162" t="str">
        <f>IF('INHERENT MAP'!$B$5=2021,IF('РЕЕСТР РИСКОВ_2023'!Q201="",M161,'РЕЕСТР РИСКОВ_2023'!Q201),IF('INHERENT MAP'!$B$5=2022,IF(#REF!="",M161,#REF!),IF('INHERENT MAP'!$B$5=2023,IF(#REF!="",M161,#REF!),IF('INHERENT MAP'!$B$5=2024,IF(#REF!="",M161,#REF!),IF('РЕЕСТР РИСКОВ_2023'!Q201="",M161,'РЕЕСТР РИСКОВ_2023'!Q201)))))</f>
        <v>I. Объективные риск-факторы, влияющие на процессы/деловые операции, подверженные влиянию коррупционных рисков:
1) отсутствие внутреннего контроля; 
2) отсутствие или недостаточная регламентация;
3) отсутствие автоматизации; 
4) несвоевременная разработка/актуализация необходимых внутренних документов;
5) наличие во внутренних документах дискреционных норм и полномочий.
II. Субъективные риск-факторы, влияющие на процессы/деловые операции, подверженные влиянию коррупционных рисков
1) корыстная финансовая мотивация работника/должностного лица;
2) отсутствие мотивации на долгосрочное пребывание в КТЖ;
3) лоббирование (продвижение личных интересов);
4) отсутствие четко выраженного негативного отношения к коррупции;
5) пренебрежение принципа неотвратимости наказания.</v>
      </c>
      <c r="N162" t="str">
        <f>IF('INHERENT MAP'!$B$5=2021,IF('РЕЕСТР РИСКОВ_2023'!R201="",N161,'РЕЕСТР РИСКОВ_2023'!R201),IF('INHERENT MAP'!$B$5=2022,IF(#REF!="",N161,#REF!),IF('INHERENT MAP'!$B$5=2023,IF(#REF!="",N161,#REF!),IF('INHERENT MAP'!$B$5=2024,IF(#REF!="",N161,#REF!),IF('РЕЕСТР РИСКОВ_2023'!R201="",N161,'РЕЕСТР РИСКОВ_2023'!R201)))))</f>
        <v xml:space="preserve">1. Вирусные атаки;   
2. Неверная оценка критичности и актуальности данных 
3. Ошибка системы. </v>
      </c>
      <c r="O162">
        <f>'РЕЕСТР РИСКОВ_2023'!T201</f>
        <v>0</v>
      </c>
      <c r="P162" t="e">
        <f>IF('РЕЕСТР РИСКОВ_2023'!U201="",P161,'РЕЕСТР РИСКОВ_2023'!U201)</f>
        <v>#REF!</v>
      </c>
      <c r="Q162" t="str">
        <f>IF('РЕЕСТР РИСКОВ_2023'!V201="",Q161,'РЕЕСТР РИСКОВ_2023'!V201)</f>
        <v>Угрозы</v>
      </c>
      <c r="R162" t="str">
        <f>IF('РЕЕСТР РИСКОВ_2023'!W201="",R161,'РЕЕСТР РИСКОВ_2023'!W201)</f>
        <v>1) наличие жалоб, поступающих в КТЖ,по каналам конфиденциального информирования. в том числе по "горячей линии";
2) негативная информация в СМИ, социальных сетях;
3) наличие вступившего в законну силу решения суда о привлечении к уголовной/административной ответственности;
4) результаты проверок со стороны государственных органов;
5) результаты аудита системы внутреннего контроля</v>
      </c>
      <c r="S162">
        <f>'РЕЕСТР РИСКОВ_2023'!X201</f>
        <v>0</v>
      </c>
      <c r="T162" s="94">
        <f>IF('INHERENT MAP'!$B$5=2021,'РЕЕСТР РИСКОВ_2023'!Y201,IF('INHERENT MAP'!$B$5=2022,#REF!,IF('INHERENT MAP'!$B$5=2023,#REF!,IF('INHERENT MAP'!$B$5=2024,#REF!,#REF!))))</f>
        <v>1</v>
      </c>
      <c r="U162">
        <f>IF('INHERENT MAP'!$B$5=2021,'РЕЕСТР РИСКОВ_2023'!Z201,IF('INHERENT MAP'!$B$5=2022,#REF!,IF('INHERENT MAP'!$B$5=2023,#REF!,IF('INHERENT MAP'!$B$5=2024,#REF!,#REF!))))</f>
        <v>0</v>
      </c>
      <c r="V162">
        <f>IF('INHERENT MAP'!$B$5=2021,'РЕЕСТР РИСКОВ_2023'!AA201,IF('INHERENT MAP'!$B$5=2022,#REF!,IF('INHERENT MAP'!$B$5=2023,#REF!,IF('INHERENT MAP'!$B$5=2024,#REF!,#REF!))))</f>
        <v>0</v>
      </c>
      <c r="W162">
        <f>IF('INHERENT MAP'!$B$5=2021,'РЕЕСТР РИСКОВ_2023'!AB201,IF('INHERENT MAP'!$B$5=2022,#REF!,IF('INHERENT MAP'!$B$5=2023,#REF!,IF('INHERENT MAP'!$B$5=2024,#REF!,#REF!))))</f>
        <v>0</v>
      </c>
      <c r="X162" s="94">
        <f>IF('INHERENT MAP'!$B$5=2021,'РЕЕСТР РИСКОВ_2023'!AC201,IF('INHERENT MAP'!$B$5=2022,#REF!,IF('INHERENT MAP'!$B$5=2023,#REF!,IF('INHERENT MAP'!$B$5=2024,#REF!,#REF!))))</f>
        <v>1</v>
      </c>
      <c r="Y162">
        <f>IF('INHERENT MAP'!$B$5=2021,'РЕЕСТР РИСКОВ_2023'!AD201,IF('INHERENT MAP'!$B$5=2022,#REF!,IF('INHERENT MAP'!$B$5=2023,#REF!,IF('INHERENT MAP'!$B$5=2024,#REF!,#REF!))))</f>
        <v>0</v>
      </c>
      <c r="Z162">
        <f>IF('INHERENT MAP'!$B$5=2021,'РЕЕСТР РИСКОВ_2023'!AE201,IF('INHERENT MAP'!$B$5=2022,#REF!,IF('INHERENT MAP'!$B$5=2023,#REF!,IF('INHERENT MAP'!$B$5=2024,#REF!,#REF!))))</f>
        <v>0</v>
      </c>
      <c r="AA162">
        <f>IF('INHERENT MAP'!$B$5=2021,'РЕЕСТР РИСКОВ_2023'!AF201,IF('INHERENT MAP'!$B$5=2022,#REF!,IF('INHERENT MAP'!$B$5=2023,#REF!,IF('INHERENT MAP'!$B$5=2024,#REF!,#REF!))))</f>
        <v>0</v>
      </c>
      <c r="AB162">
        <f>IF('INHERENT MAP'!$B$5=2021,'РЕЕСТР РИСКОВ_2023'!AG201,IF('INHERENT MAP'!$B$5=2022,#REF!,IF('INHERENT MAP'!$B$5=2023,#REF!,IF('INHERENT MAP'!$B$5=2024,#REF!,#REF!))))</f>
        <v>0</v>
      </c>
      <c r="AC162">
        <f>IF('INHERENT MAP'!$B$5=2021,'РЕЕСТР РИСКОВ_2023'!AH201,IF('INHERENT MAP'!$B$5=2022,#REF!,IF('INHERENT MAP'!$B$5=2023,#REF!,IF('INHERENT MAP'!$B$5=2024,#REF!,#REF!))))</f>
        <v>0</v>
      </c>
      <c r="AD162" t="str">
        <f>IF('INHERENT MAP'!$B$5=2021,'РЕЕСТР РИСКОВ_2023'!AI201,IF('INHERENT MAP'!$B$5=2022,#REF!,IF('INHERENT MAP'!$B$5=2023,#REF!,IF('INHERENT MAP'!$B$5=2024,#REF!,#REF!))))</f>
        <v>1) определение регуляторных требований и оценка комплаенс-рисков;
2) формирование антикоррупционной культуры, путем проведения обучающих мероприятий и тренингов для работников КТЖ и его дочерних организаций по вопросам антикоррупционного законодательства Республики Казахстан, этики и поведения;
3) обеспечение надлежащего функционирования каналов конфиденциального информирования, включая «горячую линию»; 
4) объективное и справедливое рассмотрение структурными подразделениями сообщений, поступающих по каналам конфиденциального информирования, включая «горячую линию»; 
5) проведение служебных расследований, а также разработка и обеспечение принятия корректирующих мер;
6) внедрение автоматизации операций/бизнес-процессов, подверженных коррупционных рискам
7) исполнение Плана по минимизации коррупционных рисков</v>
      </c>
      <c r="AE162" t="str">
        <f>IF('INHERENT MAP'!$B$5=2021,'РЕЕСТР РИСКОВ_2023'!AK201,IF('INHERENT MAP'!$B$5=2022,#REF!,IF('INHERENT MAP'!$B$5=2023,#REF!,IF('INHERENT MAP'!$B$5=2024,#REF!,#REF!))))</f>
        <v>Должностные лица КТЖ</v>
      </c>
      <c r="AF162">
        <f>IF('INHERENT MAP'!$B$5=2021,'РЕЕСТР РИСКОВ_2023'!AL201,IF('INHERENT MAP'!$B$5=2022,#REF!,IF('INHERENT MAP'!$B$5=2023,#REF!,IF('INHERENT MAP'!$B$5=2024,#REF!,#REF!))))</f>
        <v>0</v>
      </c>
      <c r="AG162" t="str">
        <f>IF('INHERENT MAP'!$B$5=2021,'РЕЕСТР РИСКОВ_2023'!AM201,IF('INHERENT MAP'!$B$5=2022,#REF!,IF('INHERENT MAP'!$B$5=2023,#REF!,IF('INHERENT MAP'!$B$5=2024,#REF!,#REF!))))</f>
        <v>низкая</v>
      </c>
      <c r="AH162">
        <f>IF('INHERENT MAP'!$B$5=2021,'РЕЕСТР РИСКОВ_2023'!AN201,IF('INHERENT MAP'!$B$5=2022,#REF!,IF('INHERENT MAP'!$B$5=2023,#REF!,IF('INHERENT MAP'!$B$5=2024,#REF!,#REF!))))</f>
        <v>1</v>
      </c>
      <c r="AI162">
        <f>IF('INHERENT MAP'!$B$5=2021,'РЕЕСТР РИСКОВ_2023'!AO201,IF('INHERENT MAP'!$B$5=2022,#REF!,IF('INHERENT MAP'!$B$5=2023,#REF!,IF('INHERENT MAP'!$B$5=2024,#REF!,#REF!))))</f>
        <v>0</v>
      </c>
      <c r="AJ162">
        <f>IF('INHERENT MAP'!$B$5=2021,'РЕЕСТР РИСКОВ_2023'!AP201,IF('INHERENT MAP'!$B$5=2022,#REF!,IF('INHERENT MAP'!$B$5=2023,#REF!,IF('INHERENT MAP'!$B$5=2024,#REF!,#REF!))))</f>
        <v>0</v>
      </c>
      <c r="AK162">
        <f>IF('РЕЕСТР РИСКОВ_2023'!AQ201="",AK161,'РЕЕСТР РИСКОВ_2023'!AQ201)</f>
        <v>0</v>
      </c>
      <c r="AL162">
        <f>IF('РЕЕСТР РИСКОВ_2023'!AR201="",AL161,'РЕЕСТР РИСКОВ_2023'!AR201)</f>
        <v>1</v>
      </c>
      <c r="AM162">
        <f>IF('РЕЕСТР РИСКОВ_2023'!AS201="",AM161,'РЕЕСТР РИСКОВ_2023'!AS201)</f>
        <v>0</v>
      </c>
      <c r="AN162">
        <f>IF('РЕЕСТР РИСКОВ_2023'!AT201="",AN161,'РЕЕСТР РИСКОВ_2023'!AT201)</f>
        <v>0</v>
      </c>
      <c r="AO162" t="e">
        <f>IF('РЕЕСТР РИСКОВ_2023'!AU201="",AO161,'РЕЕСТР РИСКОВ_2023'!AU201)</f>
        <v>#REF!</v>
      </c>
    </row>
    <row r="163" spans="2:41">
      <c r="B163" t="str">
        <f>IF('INHERENT MAP'!$B$5=2021,IF('РЕЕСТР РИСКОВ_2023'!F202="",B162,'РЕЕСТР РИСКОВ_2023'!F202),IF('INHERENT MAP'!$B$5=2022,IF(#REF!="",B162,#REF!),IF('INHERENT MAP'!$B$5=2023,IF(#REF!="",B162,#REF!),IF('INHERENT MAP'!$B$5=2024,IF(#REF!="",B162,#REF!),IF('РЕЕСТР РИСКОВ_2023'!F202="",B162,'РЕЕСТР РИСКОВ_2023'!F202)))))</f>
        <v>КОМПЛАЕНС РИСК</v>
      </c>
      <c r="C163" t="e">
        <f>IF('INHERENT MAP'!$B$5=2021,IF('РЕЕСТР РИСКОВ_2023'!G202="",C162,'РЕЕСТР РИСКОВ_2023'!G202),IF('INHERENT MAP'!$B$5=2022,IF(#REF!="",C162,#REF!),IF('INHERENT MAP'!$B$5=2023,IF(#REF!="",C162,#REF!),IF('INHERENT MAP'!$B$5=2024,IF(#REF!="",C162,#REF!),IF('РЕЕСТР РИСКОВ_2023'!G202="",C162,'РЕЕСТР РИСКОВ_2023'!G202)))))</f>
        <v>#REF!</v>
      </c>
      <c r="D163" t="str">
        <f>IF('INHERENT MAP'!$B$5=2021,IF('РЕЕСТР РИСКОВ_2023'!H202="",D162,'РЕЕСТР РИСКОВ_2023'!H202),IF('INHERENT MAP'!$B$5=2022,IF(#REF!="",D162,#REF!),IF('INHERENT MAP'!$B$5=2023,IF(#REF!="",D162,#REF!),IF('INHERENT MAP'!$B$5=2024,IF(#REF!="",D162,#REF!),IF('РЕЕСТР РИСКОВ_2023'!H202="",D162,'РЕЕСТР РИСКОВ_2023'!H202)))))</f>
        <v>CRR-2</v>
      </c>
      <c r="E163" t="str">
        <f>IF('INHERENT MAP'!$B$5=2021,IF('РЕЕСТР РИСКОВ_2023'!I202="",E162,'РЕЕСТР РИСКОВ_2023'!I202),IF('INHERENT MAP'!$B$5=2022,IF(#REF!="",E162,#REF!),IF('INHERENT MAP'!$B$5=2023,IF(#REF!="",E162,#REF!),IF('INHERENT MAP'!$B$5=2024,IF(#REF!="",E162,#REF!),IF('РЕЕСТР РИСКОВ_2023'!I202="",E162,'РЕЕСТР РИСКОВ_2023'!I202)))))</f>
        <v>Ц</v>
      </c>
      <c r="F163" t="str">
        <f>IF('INHERENT MAP'!$B$5=2021,IF('РЕЕСТР РИСКОВ_2023'!J202="",F162,'РЕЕСТР РИСКОВ_2023'!J202),IF('INHERENT MAP'!$B$5=2022,IF(#REF!="",F162,#REF!),IF('INHERENT MAP'!$B$5=2023,IF(#REF!="",F162,#REF!),IF('INHERENT MAP'!$B$5=2024,IF(#REF!="",F162,#REF!),IF('РЕЕСТР РИСКОВ_2023'!J202="",F162,'РЕЕСТР РИСКОВ_2023'!J202)))))</f>
        <v>ЦКС, ЦКБ</v>
      </c>
      <c r="G163" t="str">
        <f>IF('INHERENT MAP'!$B$5=2021,IF('РЕЕСТР РИСКОВ_2023'!K202="",G162,'РЕЕСТР РИСКОВ_2023'!K202),IF('INHERENT MAP'!$B$5=2022,IF(#REF!="",G162,#REF!),IF('INHERENT MAP'!$B$5=2023,IF(#REF!="",G162,#REF!),IF('INHERENT MAP'!$B$5=2024,IF(#REF!="",G162,#REF!),IF('РЕЕСТР РИСКОВ_2023'!K202="",G162,'РЕЕСТР РИСКОВ_2023'!K202)))))</f>
        <v>Коррупционные риски в сфере закупок</v>
      </c>
      <c r="H163">
        <f>IF('INHERENT MAP'!$B$5=2021,'РЕЕСТР РИСКОВ_2023'!L202,IF('INHERENT MAP'!$B$5=2022,#REF!,IF('INHERENT MAP'!$B$5=2023,#REF!,IF('INHERENT MAP'!$B$5=2024,#REF!,#REF!))))</f>
        <v>0</v>
      </c>
      <c r="I163">
        <f>IF('INHERENT MAP'!$B$5=2021,'РЕЕСТР РИСКОВ_2023'!M202,IF('INHERENT MAP'!$B$5=2022,#REF!,IF('INHERENT MAP'!$B$5=2023,#REF!,IF('INHERENT MAP'!$B$5=2024,#REF!,#REF!))))</f>
        <v>0</v>
      </c>
      <c r="J163">
        <f>IF('INHERENT MAP'!$B$5=2021,'РЕЕСТР РИСКОВ_2023'!N202,IF('INHERENT MAP'!$B$5=2022,#REF!,IF('INHERENT MAP'!$B$5=2023,#REF!,IF('INHERENT MAP'!$B$5=2024,#REF!,#REF!))))</f>
        <v>0</v>
      </c>
      <c r="K163">
        <f>IF('INHERENT MAP'!$B$5=2021,'РЕЕСТР РИСКОВ_2023'!O202,IF('INHERENT MAP'!$B$5=2022,#REF!,IF('INHERENT MAP'!$B$5=2023,#REF!,IF('INHERENT MAP'!$B$5=2024,#REF!,#REF!))))</f>
        <v>0</v>
      </c>
      <c r="L163">
        <f>IF('INHERENT MAP'!$B$5=2021,'РЕЕСТР РИСКОВ_2023'!P202,IF('INHERENT MAP'!$B$5=2022,#REF!,IF('INHERENT MAP'!$B$5=2023,#REF!,IF('INHERENT MAP'!$B$5=2024,#REF!,#REF!))))</f>
        <v>0</v>
      </c>
      <c r="M163" t="str">
        <f>IF('INHERENT MAP'!$B$5=2021,IF('РЕЕСТР РИСКОВ_2023'!Q202="",M162,'РЕЕСТР РИСКОВ_2023'!Q202),IF('INHERENT MAP'!$B$5=2022,IF(#REF!="",M162,#REF!),IF('INHERENT MAP'!$B$5=2023,IF(#REF!="",M162,#REF!),IF('INHERENT MAP'!$B$5=2024,IF(#REF!="",M162,#REF!),IF('РЕЕСТР РИСКОВ_2023'!Q202="",M162,'РЕЕСТР РИСКОВ_2023'!Q202)))))</f>
        <v xml:space="preserve">Необоснованное завышение Плана расходов </v>
      </c>
      <c r="N163" t="str">
        <f>IF('INHERENT MAP'!$B$5=2021,IF('РЕЕСТР РИСКОВ_2023'!R202="",N162,'РЕЕСТР РИСКОВ_2023'!R202),IF('INHERENT MAP'!$B$5=2022,IF(#REF!="",N162,#REF!),IF('INHERENT MAP'!$B$5=2023,IF(#REF!="",N162,#REF!),IF('INHERENT MAP'!$B$5=2024,IF(#REF!="",N162,#REF!),IF('РЕЕСТР РИСКОВ_2023'!R202="",N162,'РЕЕСТР РИСКОВ_2023'!R202)))))</f>
        <v xml:space="preserve">R1.1CS1. В результате сговора с потенциальными поставщиками с целью получения от них незаконного вознаграждения или иной выгоды, в План расходов (бюджет) включаются излишние позиции, завышенные объёмы и цена, указываются неправильные классификаторы.      </v>
      </c>
      <c r="O163" t="str">
        <f>'РЕЕСТР РИСКОВ_2023'!T202</f>
        <v xml:space="preserve"> ОТЧЕТ по результатам оценки коррупционных рисков АО «НК «ҚТЖ» и его дочерних организаций за 2020 год</v>
      </c>
      <c r="P163" t="e">
        <f>IF('РЕЕСТР РИСКОВ_2023'!U202="",P162,'РЕЕСТР РИСКОВ_2023'!U202)</f>
        <v>#REF!</v>
      </c>
      <c r="Q163" t="str">
        <f>IF('РЕЕСТР РИСКОВ_2023'!V202="",Q162,'РЕЕСТР РИСКОВ_2023'!V202)</f>
        <v>Угрозы</v>
      </c>
      <c r="R163" t="str">
        <f>IF('РЕЕСТР РИСКОВ_2023'!W202="",R162,'РЕЕСТР РИСКОВ_2023'!W202)</f>
        <v>Возможные индикаторы:
1) нарушение установленного порядка определения маркетинговой цены;
2) закупка ТРУ по завышенной цене;
3) остатки ТМЦ не учитываются при планировании закупок;
4) отсутствие норм расхода на отдельные виды сырья и материалов, запасных частей, топлива; 
5) отсутствие резерва ТМЦ;
6) приобретение ТРУ сверх фактической потребности;
7) приобретение товаров и их не использование в производстве;
8) закупка ТРУ, не включённых в План закупок ТРУ;
9) необоснованное списание ТМЦ.</v>
      </c>
      <c r="S163">
        <f>'РЕЕСТР РИСКОВ_2023'!X202</f>
        <v>0</v>
      </c>
      <c r="T163" s="94">
        <f>IF('INHERENT MAP'!$B$5=2021,'РЕЕСТР РИСКОВ_2023'!Y202,IF('INHERENT MAP'!$B$5=2022,#REF!,IF('INHERENT MAP'!$B$5=2023,#REF!,IF('INHERENT MAP'!$B$5=2024,#REF!,#REF!))))</f>
        <v>1</v>
      </c>
      <c r="U163">
        <f>IF('INHERENT MAP'!$B$5=2021,'РЕЕСТР РИСКОВ_2023'!Z202,IF('INHERENT MAP'!$B$5=2022,#REF!,IF('INHERENT MAP'!$B$5=2023,#REF!,IF('INHERENT MAP'!$B$5=2024,#REF!,#REF!))))</f>
        <v>0</v>
      </c>
      <c r="V163">
        <f>IF('INHERENT MAP'!$B$5=2021,'РЕЕСТР РИСКОВ_2023'!AA202,IF('INHERENT MAP'!$B$5=2022,#REF!,IF('INHERENT MAP'!$B$5=2023,#REF!,IF('INHERENT MAP'!$B$5=2024,#REF!,#REF!))))</f>
        <v>0</v>
      </c>
      <c r="W163">
        <f>IF('INHERENT MAP'!$B$5=2021,'РЕЕСТР РИСКОВ_2023'!AB202,IF('INHERENT MAP'!$B$5=2022,#REF!,IF('INHERENT MAP'!$B$5=2023,#REF!,IF('INHERENT MAP'!$B$5=2024,#REF!,#REF!))))</f>
        <v>0</v>
      </c>
      <c r="X163" s="94">
        <f>IF('INHERENT MAP'!$B$5=2021,'РЕЕСТР РИСКОВ_2023'!AC202,IF('INHERENT MAP'!$B$5=2022,#REF!,IF('INHERENT MAP'!$B$5=2023,#REF!,IF('INHERENT MAP'!$B$5=2024,#REF!,#REF!))))</f>
        <v>1</v>
      </c>
      <c r="Y163">
        <f>IF('INHERENT MAP'!$B$5=2021,'РЕЕСТР РИСКОВ_2023'!AD202,IF('INHERENT MAP'!$B$5=2022,#REF!,IF('INHERENT MAP'!$B$5=2023,#REF!,IF('INHERENT MAP'!$B$5=2024,#REF!,#REF!))))</f>
        <v>0</v>
      </c>
      <c r="Z163">
        <f>IF('INHERENT MAP'!$B$5=2021,'РЕЕСТР РИСКОВ_2023'!AE202,IF('INHERENT MAP'!$B$5=2022,#REF!,IF('INHERENT MAP'!$B$5=2023,#REF!,IF('INHERENT MAP'!$B$5=2024,#REF!,#REF!))))</f>
        <v>0</v>
      </c>
      <c r="AA163">
        <f>IF('INHERENT MAP'!$B$5=2021,'РЕЕСТР РИСКОВ_2023'!AF202,IF('INHERENT MAP'!$B$5=2022,#REF!,IF('INHERENT MAP'!$B$5=2023,#REF!,IF('INHERENT MAP'!$B$5=2024,#REF!,#REF!))))</f>
        <v>0</v>
      </c>
      <c r="AB163">
        <f>IF('INHERENT MAP'!$B$5=2021,'РЕЕСТР РИСКОВ_2023'!AG202,IF('INHERENT MAP'!$B$5=2022,#REF!,IF('INHERENT MAP'!$B$5=2023,#REF!,IF('INHERENT MAP'!$B$5=2024,#REF!,#REF!))))</f>
        <v>0</v>
      </c>
      <c r="AC163">
        <f>IF('INHERENT MAP'!$B$5=2021,'РЕЕСТР РИСКОВ_2023'!AH202,IF('INHERENT MAP'!$B$5=2022,#REF!,IF('INHERENT MAP'!$B$5=2023,#REF!,IF('INHERENT MAP'!$B$5=2024,#REF!,#REF!))))</f>
        <v>0</v>
      </c>
      <c r="AD163" t="str">
        <f>IF('INHERENT MAP'!$B$5=2021,'РЕЕСТР РИСКОВ_2023'!AI202,IF('INHERENT MAP'!$B$5=2022,#REF!,IF('INHERENT MAP'!$B$5=2023,#REF!,IF('INHERENT MAP'!$B$5=2024,#REF!,#REF!))))</f>
        <v>1) внедрение автоматизации процедуры определения маркетинговой цены;
2) внедрение автоматизированного мониторинга остатков ТМЦ для их учета при планировании закупок;
3) рекомендовать включение проверки процедуры формирования бюджета и Плана закупок ТРУ в Годовой аудиторский план СВА.</v>
      </c>
      <c r="AE163">
        <f>IF('INHERENT MAP'!$B$5=2021,'РЕЕСТР РИСКОВ_2023'!AK202,IF('INHERENT MAP'!$B$5=2022,#REF!,IF('INHERENT MAP'!$B$5=2023,#REF!,IF('INHERENT MAP'!$B$5=2024,#REF!,#REF!))))</f>
        <v>0</v>
      </c>
      <c r="AF163">
        <f>IF('INHERENT MAP'!$B$5=2021,'РЕЕСТР РИСКОВ_2023'!AL202,IF('INHERENT MAP'!$B$5=2022,#REF!,IF('INHERENT MAP'!$B$5=2023,#REF!,IF('INHERENT MAP'!$B$5=2024,#REF!,#REF!))))</f>
        <v>0</v>
      </c>
      <c r="AG163">
        <f>IF('INHERENT MAP'!$B$5=2021,'РЕЕСТР РИСКОВ_2023'!AM202,IF('INHERENT MAP'!$B$5=2022,#REF!,IF('INHERENT MAP'!$B$5=2023,#REF!,IF('INHERENT MAP'!$B$5=2024,#REF!,#REF!))))</f>
        <v>0</v>
      </c>
      <c r="AH163">
        <f>IF('INHERENT MAP'!$B$5=2021,'РЕЕСТР РИСКОВ_2023'!AN202,IF('INHERENT MAP'!$B$5=2022,#REF!,IF('INHERENT MAP'!$B$5=2023,#REF!,IF('INHERENT MAP'!$B$5=2024,#REF!,#REF!))))</f>
        <v>0</v>
      </c>
      <c r="AI163">
        <f>IF('INHERENT MAP'!$B$5=2021,'РЕЕСТР РИСКОВ_2023'!AO202,IF('INHERENT MAP'!$B$5=2022,#REF!,IF('INHERENT MAP'!$B$5=2023,#REF!,IF('INHERENT MAP'!$B$5=2024,#REF!,#REF!))))</f>
        <v>0</v>
      </c>
      <c r="AJ163">
        <f>IF('INHERENT MAP'!$B$5=2021,'РЕЕСТР РИСКОВ_2023'!AP202,IF('INHERENT MAP'!$B$5=2022,#REF!,IF('INHERENT MAP'!$B$5=2023,#REF!,IF('INHERENT MAP'!$B$5=2024,#REF!,#REF!))))</f>
        <v>0</v>
      </c>
      <c r="AK163">
        <f>IF('РЕЕСТР РИСКОВ_2023'!AQ202="",AK162,'РЕЕСТР РИСКОВ_2023'!AQ202)</f>
        <v>0</v>
      </c>
      <c r="AL163">
        <f>IF('РЕЕСТР РИСКОВ_2023'!AR202="",AL162,'РЕЕСТР РИСКОВ_2023'!AR202)</f>
        <v>1</v>
      </c>
      <c r="AM163">
        <f>IF('РЕЕСТР РИСКОВ_2023'!AS202="",AM162,'РЕЕСТР РИСКОВ_2023'!AS202)</f>
        <v>0</v>
      </c>
      <c r="AN163">
        <f>IF('РЕЕСТР РИСКОВ_2023'!AT202="",AN162,'РЕЕСТР РИСКОВ_2023'!AT202)</f>
        <v>0</v>
      </c>
      <c r="AO163" t="e">
        <f>IF('РЕЕСТР РИСКОВ_2023'!AU202="",AO162,'РЕЕСТР РИСКОВ_2023'!AU202)</f>
        <v>#REF!</v>
      </c>
    </row>
    <row r="164" spans="2:41">
      <c r="B164" t="str">
        <f>IF('INHERENT MAP'!$B$5=2021,IF('РЕЕСТР РИСКОВ_2023'!F203="",B163,'РЕЕСТР РИСКОВ_2023'!F203),IF('INHERENT MAP'!$B$5=2022,IF(#REF!="",B163,#REF!),IF('INHERENT MAP'!$B$5=2023,IF(#REF!="",B163,#REF!),IF('INHERENT MAP'!$B$5=2024,IF(#REF!="",B163,#REF!),IF('РЕЕСТР РИСКОВ_2023'!F203="",B163,'РЕЕСТР РИСКОВ_2023'!F203)))))</f>
        <v>КОМПЛАЕНС РИСК</v>
      </c>
      <c r="C164" t="e">
        <f>IF('INHERENT MAP'!$B$5=2021,IF('РЕЕСТР РИСКОВ_2023'!G203="",C163,'РЕЕСТР РИСКОВ_2023'!G203),IF('INHERENT MAP'!$B$5=2022,IF(#REF!="",C163,#REF!),IF('INHERENT MAP'!$B$5=2023,IF(#REF!="",C163,#REF!),IF('INHERENT MAP'!$B$5=2024,IF(#REF!="",C163,#REF!),IF('РЕЕСТР РИСКОВ_2023'!G203="",C163,'РЕЕСТР РИСКОВ_2023'!G203)))))</f>
        <v>#REF!</v>
      </c>
      <c r="D164" t="str">
        <f>IF('INHERENT MAP'!$B$5=2021,IF('РЕЕСТР РИСКОВ_2023'!H203="",D163,'РЕЕСТР РИСКОВ_2023'!H203),IF('INHERENT MAP'!$B$5=2022,IF(#REF!="",D163,#REF!),IF('INHERENT MAP'!$B$5=2023,IF(#REF!="",D163,#REF!),IF('INHERENT MAP'!$B$5=2024,IF(#REF!="",D163,#REF!),IF('РЕЕСТР РИСКОВ_2023'!H203="",D163,'РЕЕСТР РИСКОВ_2023'!H203)))))</f>
        <v>CRR-2</v>
      </c>
      <c r="E164" t="str">
        <f>IF('INHERENT MAP'!$B$5=2021,IF('РЕЕСТР РИСКОВ_2023'!I203="",E163,'РЕЕСТР РИСКОВ_2023'!I203),IF('INHERENT MAP'!$B$5=2022,IF(#REF!="",E163,#REF!),IF('INHERENT MAP'!$B$5=2023,IF(#REF!="",E163,#REF!),IF('INHERENT MAP'!$B$5=2024,IF(#REF!="",E163,#REF!),IF('РЕЕСТР РИСКОВ_2023'!I203="",E163,'РЕЕСТР РИСКОВ_2023'!I203)))))</f>
        <v>Ц</v>
      </c>
      <c r="F164" t="str">
        <f>IF('INHERENT MAP'!$B$5=2021,IF('РЕЕСТР РИСКОВ_2023'!J203="",F163,'РЕЕСТР РИСКОВ_2023'!J203),IF('INHERENT MAP'!$B$5=2022,IF(#REF!="",F163,#REF!),IF('INHERENT MAP'!$B$5=2023,IF(#REF!="",F163,#REF!),IF('INHERENT MAP'!$B$5=2024,IF(#REF!="",F163,#REF!),IF('РЕЕСТР РИСКОВ_2023'!J203="",F163,'РЕЕСТР РИСКОВ_2023'!J203)))))</f>
        <v>ЦКС, ЦКБ</v>
      </c>
      <c r="G164" t="str">
        <f>IF('INHERENT MAP'!$B$5=2021,IF('РЕЕСТР РИСКОВ_2023'!K203="",G163,'РЕЕСТР РИСКОВ_2023'!K203),IF('INHERENT MAP'!$B$5=2022,IF(#REF!="",G163,#REF!),IF('INHERENT MAP'!$B$5=2023,IF(#REF!="",G163,#REF!),IF('INHERENT MAP'!$B$5=2024,IF(#REF!="",G163,#REF!),IF('РЕЕСТР РИСКОВ_2023'!K203="",G163,'РЕЕСТР РИСКОВ_2023'!K203)))))</f>
        <v>Коррупционные риски в сфере закупок</v>
      </c>
      <c r="H164">
        <f>IF('INHERENT MAP'!$B$5=2021,'РЕЕСТР РИСКОВ_2023'!L203,IF('INHERENT MAP'!$B$5=2022,#REF!,IF('INHERENT MAP'!$B$5=2023,#REF!,IF('INHERENT MAP'!$B$5=2024,#REF!,#REF!))))</f>
        <v>0</v>
      </c>
      <c r="I164">
        <f>IF('INHERENT MAP'!$B$5=2021,'РЕЕСТР РИСКОВ_2023'!M203,IF('INHERENT MAP'!$B$5=2022,#REF!,IF('INHERENT MAP'!$B$5=2023,#REF!,IF('INHERENT MAP'!$B$5=2024,#REF!,#REF!))))</f>
        <v>0</v>
      </c>
      <c r="J164">
        <f>IF('INHERENT MAP'!$B$5=2021,'РЕЕСТР РИСКОВ_2023'!N203,IF('INHERENT MAP'!$B$5=2022,#REF!,IF('INHERENT MAP'!$B$5=2023,#REF!,IF('INHERENT MAP'!$B$5=2024,#REF!,#REF!))))</f>
        <v>0</v>
      </c>
      <c r="K164">
        <f>IF('INHERENT MAP'!$B$5=2021,'РЕЕСТР РИСКОВ_2023'!O203,IF('INHERENT MAP'!$B$5=2022,#REF!,IF('INHERENT MAP'!$B$5=2023,#REF!,IF('INHERENT MAP'!$B$5=2024,#REF!,#REF!))))</f>
        <v>0</v>
      </c>
      <c r="L164">
        <f>IF('INHERENT MAP'!$B$5=2021,'РЕЕСТР РИСКОВ_2023'!P203,IF('INHERENT MAP'!$B$5=2022,#REF!,IF('INHERENT MAP'!$B$5=2023,#REF!,IF('INHERENT MAP'!$B$5=2024,#REF!,#REF!))))</f>
        <v>0</v>
      </c>
      <c r="M164" t="str">
        <f>IF('INHERENT MAP'!$B$5=2021,IF('РЕЕСТР РИСКОВ_2023'!Q203="",M163,'РЕЕСТР РИСКОВ_2023'!Q203),IF('INHERENT MAP'!$B$5=2022,IF(#REF!="",M163,#REF!),IF('INHERENT MAP'!$B$5=2023,IF(#REF!="",M163,#REF!),IF('INHERENT MAP'!$B$5=2024,IF(#REF!="",M163,#REF!),IF('РЕЕСТР РИСКОВ_2023'!Q203="",M163,'РЕЕСТР РИСКОВ_2023'!Q203)))))</f>
        <v>Необоснованный выбор способа закупок</v>
      </c>
      <c r="N164" t="str">
        <f>IF('INHERENT MAP'!$B$5=2021,IF('РЕЕСТР РИСКОВ_2023'!R203="",N163,'РЕЕСТР РИСКОВ_2023'!R203),IF('INHERENT MAP'!$B$5=2022,IF(#REF!="",N163,#REF!),IF('INHERENT MAP'!$B$5=2023,IF(#REF!="",N163,#REF!),IF('INHERENT MAP'!$B$5=2024,IF(#REF!="",N163,#REF!),IF('РЕЕСТР РИСКОВ_2023'!R203="",N163,'РЕЕСТР РИСКОВ_2023'!R203)))))</f>
        <v xml:space="preserve">R1.2CS1. В результате сговора с потенциальными поставщиками, аффилированными с представителем Компании, или выплачивающего ему незаконное вознаграждение или предлагающего иную выгоду, планируется упрощённый способ закупки, предпочтительный для реализации коррупционной схемы, например, безосновательно определяется способ закупок из одного источника, вместо электронных закупок с применением торгов на понижение.
R1.2CS2. Дробление суммы закупки на более мелкие в целях упрощения способа закупки, например способом ценовых предложений для конкретного поставщика, аффилированного с представителем Компании, или выплачивающего ему незаконное вознаграждение или предлагающего иную выгоду.  </v>
      </c>
      <c r="O164">
        <f>'РЕЕСТР РИСКОВ_2023'!T203</f>
        <v>0</v>
      </c>
      <c r="P164" t="e">
        <f>IF('РЕЕСТР РИСКОВ_2023'!U203="",P163,'РЕЕСТР РИСКОВ_2023'!U203)</f>
        <v>#REF!</v>
      </c>
      <c r="Q164" t="str">
        <f>IF('РЕЕСТР РИСКОВ_2023'!V203="",Q163,'РЕЕСТР РИСКОВ_2023'!V203)</f>
        <v>Угрозы</v>
      </c>
      <c r="R164" t="str">
        <f>IF('РЕЕСТР РИСКОВ_2023'!W203="",R163,'РЕЕСТР РИСКОВ_2023'!W203)</f>
        <v>Возможные индикаторы R1.2CS1.:
1) большинство закупок осуществляется способом из одного источника;
2) наличие аффилированности потенциальных поставщиков между собой, и/или между представителями Компании и поставщиком;
3) малая доля электронных закупок способами запроса ценовых предложений или тендера с применением торгов на понижение.
Возможные индикаторы R1.2CS2. :
1) наличие большого количества договоров на поставку однородных ТРУ, заключённых с одним поставщиком в относительно короткий промежуток времени.</v>
      </c>
      <c r="S164">
        <f>'РЕЕСТР РИСКОВ_2023'!X203</f>
        <v>0</v>
      </c>
      <c r="T164" s="94">
        <f>IF('INHERENT MAP'!$B$5=2021,'РЕЕСТР РИСКОВ_2023'!Y203,IF('INHERENT MAP'!$B$5=2022,#REF!,IF('INHERENT MAP'!$B$5=2023,#REF!,IF('INHERENT MAP'!$B$5=2024,#REF!,#REF!))))</f>
        <v>0.2</v>
      </c>
      <c r="U164">
        <f>IF('INHERENT MAP'!$B$5=2021,'РЕЕСТР РИСКОВ_2023'!Z203,IF('INHERENT MAP'!$B$5=2022,#REF!,IF('INHERENT MAP'!$B$5=2023,#REF!,IF('INHERENT MAP'!$B$5=2024,#REF!,#REF!))))</f>
        <v>0</v>
      </c>
      <c r="V164">
        <f>IF('INHERENT MAP'!$B$5=2021,'РЕЕСТР РИСКОВ_2023'!AA203,IF('INHERENT MAP'!$B$5=2022,#REF!,IF('INHERENT MAP'!$B$5=2023,#REF!,IF('INHERENT MAP'!$B$5=2024,#REF!,#REF!))))</f>
        <v>0</v>
      </c>
      <c r="W164">
        <f>IF('INHERENT MAP'!$B$5=2021,'РЕЕСТР РИСКОВ_2023'!AB203,IF('INHERENT MAP'!$B$5=2022,#REF!,IF('INHERENT MAP'!$B$5=2023,#REF!,IF('INHERENT MAP'!$B$5=2024,#REF!,#REF!))))</f>
        <v>0</v>
      </c>
      <c r="X164" s="94">
        <f>IF('INHERENT MAP'!$B$5=2021,'РЕЕСТР РИСКОВ_2023'!AC203,IF('INHERENT MAP'!$B$5=2022,#REF!,IF('INHERENT MAP'!$B$5=2023,#REF!,IF('INHERENT MAP'!$B$5=2024,#REF!,#REF!))))</f>
        <v>0</v>
      </c>
      <c r="Y164">
        <f>IF('INHERENT MAP'!$B$5=2021,'РЕЕСТР РИСКОВ_2023'!AD203,IF('INHERENT MAP'!$B$5=2022,#REF!,IF('INHERENT MAP'!$B$5=2023,#REF!,IF('INHERENT MAP'!$B$5=2024,#REF!,#REF!))))</f>
        <v>0</v>
      </c>
      <c r="Z164">
        <f>IF('INHERENT MAP'!$B$5=2021,'РЕЕСТР РИСКОВ_2023'!AE203,IF('INHERENT MAP'!$B$5=2022,#REF!,IF('INHERENT MAP'!$B$5=2023,#REF!,IF('INHERENT MAP'!$B$5=2024,#REF!,#REF!))))</f>
        <v>0</v>
      </c>
      <c r="AA164">
        <f>IF('INHERENT MAP'!$B$5=2021,'РЕЕСТР РИСКОВ_2023'!AF203,IF('INHERENT MAP'!$B$5=2022,#REF!,IF('INHERENT MAP'!$B$5=2023,#REF!,IF('INHERENT MAP'!$B$5=2024,#REF!,#REF!))))</f>
        <v>0</v>
      </c>
      <c r="AB164">
        <f>IF('INHERENT MAP'!$B$5=2021,'РЕЕСТР РИСКОВ_2023'!AG203,IF('INHERENT MAP'!$B$5=2022,#REF!,IF('INHERENT MAP'!$B$5=2023,#REF!,IF('INHERENT MAP'!$B$5=2024,#REF!,#REF!))))</f>
        <v>0</v>
      </c>
      <c r="AC164">
        <f>IF('INHERENT MAP'!$B$5=2021,'РЕЕСТР РИСКОВ_2023'!AH203,IF('INHERENT MAP'!$B$5=2022,#REF!,IF('INHERENT MAP'!$B$5=2023,#REF!,IF('INHERENT MAP'!$B$5=2024,#REF!,#REF!))))</f>
        <v>0</v>
      </c>
      <c r="AD164">
        <f>IF('INHERENT MAP'!$B$5=2021,'РЕЕСТР РИСКОВ_2023'!AI203,IF('INHERENT MAP'!$B$5=2022,#REF!,IF('INHERENT MAP'!$B$5=2023,#REF!,IF('INHERENT MAP'!$B$5=2024,#REF!,#REF!))))</f>
        <v>0</v>
      </c>
      <c r="AE164">
        <f>IF('INHERENT MAP'!$B$5=2021,'РЕЕСТР РИСКОВ_2023'!AK203,IF('INHERENT MAP'!$B$5=2022,#REF!,IF('INHERENT MAP'!$B$5=2023,#REF!,IF('INHERENT MAP'!$B$5=2024,#REF!,#REF!))))</f>
        <v>0</v>
      </c>
      <c r="AF164">
        <f>IF('INHERENT MAP'!$B$5=2021,'РЕЕСТР РИСКОВ_2023'!AL203,IF('INHERENT MAP'!$B$5=2022,#REF!,IF('INHERENT MAP'!$B$5=2023,#REF!,IF('INHERENT MAP'!$B$5=2024,#REF!,#REF!))))</f>
        <v>0</v>
      </c>
      <c r="AG164">
        <f>IF('INHERENT MAP'!$B$5=2021,'РЕЕСТР РИСКОВ_2023'!AM203,IF('INHERENT MAP'!$B$5=2022,#REF!,IF('INHERENT MAP'!$B$5=2023,#REF!,IF('INHERENT MAP'!$B$5=2024,#REF!,#REF!))))</f>
        <v>0</v>
      </c>
      <c r="AH164">
        <f>IF('INHERENT MAP'!$B$5=2021,'РЕЕСТР РИСКОВ_2023'!AN203,IF('INHERENT MAP'!$B$5=2022,#REF!,IF('INHERENT MAP'!$B$5=2023,#REF!,IF('INHERENT MAP'!$B$5=2024,#REF!,#REF!))))</f>
        <v>0</v>
      </c>
      <c r="AI164">
        <f>IF('INHERENT MAP'!$B$5=2021,'РЕЕСТР РИСКОВ_2023'!AO203,IF('INHERENT MAP'!$B$5=2022,#REF!,IF('INHERENT MAP'!$B$5=2023,#REF!,IF('INHERENT MAP'!$B$5=2024,#REF!,#REF!))))</f>
        <v>0</v>
      </c>
      <c r="AJ164">
        <f>IF('INHERENT MAP'!$B$5=2021,'РЕЕСТР РИСКОВ_2023'!AP203,IF('INHERENT MAP'!$B$5=2022,#REF!,IF('INHERENT MAP'!$B$5=2023,#REF!,IF('INHERENT MAP'!$B$5=2024,#REF!,#REF!))))</f>
        <v>0</v>
      </c>
      <c r="AK164">
        <f>IF('РЕЕСТР РИСКОВ_2023'!AQ203="",AK163,'РЕЕСТР РИСКОВ_2023'!AQ203)</f>
        <v>0</v>
      </c>
      <c r="AL164">
        <f>IF('РЕЕСТР РИСКОВ_2023'!AR203="",AL163,'РЕЕСТР РИСКОВ_2023'!AR203)</f>
        <v>1</v>
      </c>
      <c r="AM164">
        <f>IF('РЕЕСТР РИСКОВ_2023'!AS203="",AM163,'РЕЕСТР РИСКОВ_2023'!AS203)</f>
        <v>0</v>
      </c>
      <c r="AN164">
        <f>IF('РЕЕСТР РИСКОВ_2023'!AT203="",AN163,'РЕЕСТР РИСКОВ_2023'!AT203)</f>
        <v>0</v>
      </c>
      <c r="AO164" t="e">
        <f>IF('РЕЕСТР РИСКОВ_2023'!AU203="",AO163,'РЕЕСТР РИСКОВ_2023'!AU203)</f>
        <v>#REF!</v>
      </c>
    </row>
    <row r="165" spans="2:41">
      <c r="B165" t="str">
        <f>IF('INHERENT MAP'!$B$5=2021,IF('РЕЕСТР РИСКОВ_2023'!F204="",B164,'РЕЕСТР РИСКОВ_2023'!F204),IF('INHERENT MAP'!$B$5=2022,IF(#REF!="",B164,#REF!),IF('INHERENT MAP'!$B$5=2023,IF(#REF!="",B164,#REF!),IF('INHERENT MAP'!$B$5=2024,IF(#REF!="",B164,#REF!),IF('РЕЕСТР РИСКОВ_2023'!F204="",B164,'РЕЕСТР РИСКОВ_2023'!F204)))))</f>
        <v>КОМПЛАЕНС РИСК</v>
      </c>
      <c r="C165" t="e">
        <f>IF('INHERENT MAP'!$B$5=2021,IF('РЕЕСТР РИСКОВ_2023'!G204="",C164,'РЕЕСТР РИСКОВ_2023'!G204),IF('INHERENT MAP'!$B$5=2022,IF(#REF!="",C164,#REF!),IF('INHERENT MAP'!$B$5=2023,IF(#REF!="",C164,#REF!),IF('INHERENT MAP'!$B$5=2024,IF(#REF!="",C164,#REF!),IF('РЕЕСТР РИСКОВ_2023'!G204="",C164,'РЕЕСТР РИСКОВ_2023'!G204)))))</f>
        <v>#REF!</v>
      </c>
      <c r="D165" t="str">
        <f>IF('INHERENT MAP'!$B$5=2021,IF('РЕЕСТР РИСКОВ_2023'!H204="",D164,'РЕЕСТР РИСКОВ_2023'!H204),IF('INHERENT MAP'!$B$5=2022,IF(#REF!="",D164,#REF!),IF('INHERENT MAP'!$B$5=2023,IF(#REF!="",D164,#REF!),IF('INHERENT MAP'!$B$5=2024,IF(#REF!="",D164,#REF!),IF('РЕЕСТР РИСКОВ_2023'!H204="",D164,'РЕЕСТР РИСКОВ_2023'!H204)))))</f>
        <v>CRR-2</v>
      </c>
      <c r="E165" t="str">
        <f>IF('INHERENT MAP'!$B$5=2021,IF('РЕЕСТР РИСКОВ_2023'!I204="",E164,'РЕЕСТР РИСКОВ_2023'!I204),IF('INHERENT MAP'!$B$5=2022,IF(#REF!="",E164,#REF!),IF('INHERENT MAP'!$B$5=2023,IF(#REF!="",E164,#REF!),IF('INHERENT MAP'!$B$5=2024,IF(#REF!="",E164,#REF!),IF('РЕЕСТР РИСКОВ_2023'!I204="",E164,'РЕЕСТР РИСКОВ_2023'!I204)))))</f>
        <v>Ц</v>
      </c>
      <c r="F165" t="str">
        <f>IF('INHERENT MAP'!$B$5=2021,IF('РЕЕСТР РИСКОВ_2023'!J204="",F164,'РЕЕСТР РИСКОВ_2023'!J204),IF('INHERENT MAP'!$B$5=2022,IF(#REF!="",F164,#REF!),IF('INHERENT MAP'!$B$5=2023,IF(#REF!="",F164,#REF!),IF('INHERENT MAP'!$B$5=2024,IF(#REF!="",F164,#REF!),IF('РЕЕСТР РИСКОВ_2023'!J204="",F164,'РЕЕСТР РИСКОВ_2023'!J204)))))</f>
        <v>ЦКС, ЦКБ</v>
      </c>
      <c r="G165" t="str">
        <f>IF('INHERENT MAP'!$B$5=2021,IF('РЕЕСТР РИСКОВ_2023'!K204="",G164,'РЕЕСТР РИСКОВ_2023'!K204),IF('INHERENT MAP'!$B$5=2022,IF(#REF!="",G164,#REF!),IF('INHERENT MAP'!$B$5=2023,IF(#REF!="",G164,#REF!),IF('INHERENT MAP'!$B$5=2024,IF(#REF!="",G164,#REF!),IF('РЕЕСТР РИСКОВ_2023'!K204="",G164,'РЕЕСТР РИСКОВ_2023'!K204)))))</f>
        <v>Коррупционные риски в сфере закупок</v>
      </c>
      <c r="H165">
        <f>IF('INHERENT MAP'!$B$5=2021,'РЕЕСТР РИСКОВ_2023'!L204,IF('INHERENT MAP'!$B$5=2022,#REF!,IF('INHERENT MAP'!$B$5=2023,#REF!,IF('INHERENT MAP'!$B$5=2024,#REF!,#REF!))))</f>
        <v>0</v>
      </c>
      <c r="I165">
        <f>IF('INHERENT MAP'!$B$5=2021,'РЕЕСТР РИСКОВ_2023'!M204,IF('INHERENT MAP'!$B$5=2022,#REF!,IF('INHERENT MAP'!$B$5=2023,#REF!,IF('INHERENT MAP'!$B$5=2024,#REF!,#REF!))))</f>
        <v>0</v>
      </c>
      <c r="J165">
        <f>IF('INHERENT MAP'!$B$5=2021,'РЕЕСТР РИСКОВ_2023'!N204,IF('INHERENT MAP'!$B$5=2022,#REF!,IF('INHERENT MAP'!$B$5=2023,#REF!,IF('INHERENT MAP'!$B$5=2024,#REF!,#REF!))))</f>
        <v>0</v>
      </c>
      <c r="K165">
        <f>IF('INHERENT MAP'!$B$5=2021,'РЕЕСТР РИСКОВ_2023'!O204,IF('INHERENT MAP'!$B$5=2022,#REF!,IF('INHERENT MAP'!$B$5=2023,#REF!,IF('INHERENT MAP'!$B$5=2024,#REF!,#REF!))))</f>
        <v>0</v>
      </c>
      <c r="L165">
        <f>IF('INHERENT MAP'!$B$5=2021,'РЕЕСТР РИСКОВ_2023'!P204,IF('INHERENT MAP'!$B$5=2022,#REF!,IF('INHERENT MAP'!$B$5=2023,#REF!,IF('INHERENT MAP'!$B$5=2024,#REF!,#REF!))))</f>
        <v>0</v>
      </c>
      <c r="M165" t="str">
        <f>IF('INHERENT MAP'!$B$5=2021,IF('РЕЕСТР РИСКОВ_2023'!Q204="",M164,'РЕЕСТР РИСКОВ_2023'!Q204),IF('INHERENT MAP'!$B$5=2022,IF(#REF!="",M164,#REF!),IF('INHERENT MAP'!$B$5=2023,IF(#REF!="",M164,#REF!),IF('INHERENT MAP'!$B$5=2024,IF(#REF!="",M164,#REF!),IF('РЕЕСТР РИСКОВ_2023'!Q204="",M164,'РЕЕСТР РИСКОВ_2023'!Q204)))))</f>
        <v>Ограничение конкурентной среды посредством установления завышенных требований к потенциальным поставщикам</v>
      </c>
      <c r="N165" t="str">
        <f>IF('INHERENT MAP'!$B$5=2021,IF('РЕЕСТР РИСКОВ_2023'!R204="",N164,'РЕЕСТР РИСКОВ_2023'!R204),IF('INHERENT MAP'!$B$5=2022,IF(#REF!="",N164,#REF!),IF('INHERENT MAP'!$B$5=2023,IF(#REF!="",N164,#REF!),IF('INHERENT MAP'!$B$5=2024,IF(#REF!="",N164,#REF!),IF('РЕЕСТР РИСКОВ_2023'!R204="",N164,'РЕЕСТР РИСКОВ_2023'!R204)))))</f>
        <v>R1.3CS1. Ограничение конкуренции путем включения, в техническую спецификацию таких характеристик закупаемых ТРУ, которые могут быть приобретены только у одного потенциального поставщика, аффилированного с представителем Компании, или выплачивающего ему незаконное вознаграждение или предлагающего иную выгоду.
R1.3CS2. Ограничение конкуренции путем установления необоснованных требований к потенциальным поставщикам с целью привлечь конкретного потенциального поставщика, аффилированного с представителем Компании, или выплачивающего ему незаконное вознаграждение, предлагающего иную выгоду.
R1.3CS3. Ограничение конкуренции путем установления заниженной стоимости ТРУ, их сроков поставки/выполнения/оказания и оплаты, не привлекательной для добросовестных участников, с целью привлечь конкретного поставщика, аффилированного с представителем Компании, или выплачивающего ему незаконное вознаграждение, предлагающего иную выгоду.</v>
      </c>
      <c r="O165">
        <f>'РЕЕСТР РИСКОВ_2023'!T204</f>
        <v>0</v>
      </c>
      <c r="P165" t="e">
        <f>IF('РЕЕСТР РИСКОВ_2023'!U204="",P164,'РЕЕСТР РИСКОВ_2023'!U204)</f>
        <v>#REF!</v>
      </c>
      <c r="Q165" t="str">
        <f>IF('РЕЕСТР РИСКОВ_2023'!V204="",Q164,'РЕЕСТР РИСКОВ_2023'!V204)</f>
        <v>Угрозы</v>
      </c>
      <c r="R165" t="str">
        <f>IF('РЕЕСТР РИСКОВ_2023'!W204="",R164,'РЕЕСТР РИСКОВ_2023'!W204)</f>
        <v>Возможные индикаторы R1.3CS1.:
1) содержание в технической спецификации дискриминирующего условия;
2) выбор поставщика без надлежащей проверки на наличие конфликта интересов и благонадёжность;
3) не размещение проекта тендерной документации на веб-сайте Компании / Фонда для обсуждения;
4) наличие жалоб на ограничение конкуренции.
Возможные индикаторы R1.3CS2.:
1) наличие жалоб на ограничение конкуренции;
2)неоднократные победы конкретного поставщика в течение длительного времени.
Возможные индикаторы R1.3CS3.:
1) установление низкой цены, непривлекательной для потенциальных поставщиков (например, часть работ выполняется собственными силами заказчика);
2) короткий срок для исполнения договора;
3) большая сумма обеспечения заявки.</v>
      </c>
      <c r="S165">
        <f>'РЕЕСТР РИСКОВ_2023'!X204</f>
        <v>0</v>
      </c>
      <c r="T165" s="94">
        <f>IF('INHERENT MAP'!$B$5=2021,'РЕЕСТР РИСКОВ_2023'!Y204,IF('INHERENT MAP'!$B$5=2022,#REF!,IF('INHERENT MAP'!$B$5=2023,#REF!,IF('INHERENT MAP'!$B$5=2024,#REF!,#REF!))))</f>
        <v>0.5</v>
      </c>
      <c r="U165">
        <f>IF('INHERENT MAP'!$B$5=2021,'РЕЕСТР РИСКОВ_2023'!Z204,IF('INHERENT MAP'!$B$5=2022,#REF!,IF('INHERENT MAP'!$B$5=2023,#REF!,IF('INHERENT MAP'!$B$5=2024,#REF!,#REF!))))</f>
        <v>0</v>
      </c>
      <c r="V165">
        <f>IF('INHERENT MAP'!$B$5=2021,'РЕЕСТР РИСКОВ_2023'!AA204,IF('INHERENT MAP'!$B$5=2022,#REF!,IF('INHERENT MAP'!$B$5=2023,#REF!,IF('INHERENT MAP'!$B$5=2024,#REF!,#REF!))))</f>
        <v>0</v>
      </c>
      <c r="W165">
        <f>IF('INHERENT MAP'!$B$5=2021,'РЕЕСТР РИСКОВ_2023'!AB204,IF('INHERENT MAP'!$B$5=2022,#REF!,IF('INHERENT MAP'!$B$5=2023,#REF!,IF('INHERENT MAP'!$B$5=2024,#REF!,#REF!))))</f>
        <v>0</v>
      </c>
      <c r="X165" s="94">
        <f>IF('INHERENT MAP'!$B$5=2021,'РЕЕСТР РИСКОВ_2023'!AC204,IF('INHERENT MAP'!$B$5=2022,#REF!,IF('INHERENT MAP'!$B$5=2023,#REF!,IF('INHERENT MAP'!$B$5=2024,#REF!,#REF!))))</f>
        <v>0</v>
      </c>
      <c r="Y165">
        <f>IF('INHERENT MAP'!$B$5=2021,'РЕЕСТР РИСКОВ_2023'!AD204,IF('INHERENT MAP'!$B$5=2022,#REF!,IF('INHERENT MAP'!$B$5=2023,#REF!,IF('INHERENT MAP'!$B$5=2024,#REF!,#REF!))))</f>
        <v>0</v>
      </c>
      <c r="Z165">
        <f>IF('INHERENT MAP'!$B$5=2021,'РЕЕСТР РИСКОВ_2023'!AE204,IF('INHERENT MAP'!$B$5=2022,#REF!,IF('INHERENT MAP'!$B$5=2023,#REF!,IF('INHERENT MAP'!$B$5=2024,#REF!,#REF!))))</f>
        <v>0</v>
      </c>
      <c r="AA165">
        <f>IF('INHERENT MAP'!$B$5=2021,'РЕЕСТР РИСКОВ_2023'!AF204,IF('INHERENT MAP'!$B$5=2022,#REF!,IF('INHERENT MAP'!$B$5=2023,#REF!,IF('INHERENT MAP'!$B$5=2024,#REF!,#REF!))))</f>
        <v>0</v>
      </c>
      <c r="AB165">
        <f>IF('INHERENT MAP'!$B$5=2021,'РЕЕСТР РИСКОВ_2023'!AG204,IF('INHERENT MAP'!$B$5=2022,#REF!,IF('INHERENT MAP'!$B$5=2023,#REF!,IF('INHERENT MAP'!$B$5=2024,#REF!,#REF!))))</f>
        <v>0</v>
      </c>
      <c r="AC165">
        <f>IF('INHERENT MAP'!$B$5=2021,'РЕЕСТР РИСКОВ_2023'!AH204,IF('INHERENT MAP'!$B$5=2022,#REF!,IF('INHERENT MAP'!$B$5=2023,#REF!,IF('INHERENT MAP'!$B$5=2024,#REF!,#REF!))))</f>
        <v>0</v>
      </c>
      <c r="AD165">
        <f>IF('INHERENT MAP'!$B$5=2021,'РЕЕСТР РИСКОВ_2023'!AI204,IF('INHERENT MAP'!$B$5=2022,#REF!,IF('INHERENT MAP'!$B$5=2023,#REF!,IF('INHERENT MAP'!$B$5=2024,#REF!,#REF!))))</f>
        <v>0</v>
      </c>
      <c r="AE165">
        <f>IF('INHERENT MAP'!$B$5=2021,'РЕЕСТР РИСКОВ_2023'!AK204,IF('INHERENT MAP'!$B$5=2022,#REF!,IF('INHERENT MAP'!$B$5=2023,#REF!,IF('INHERENT MAP'!$B$5=2024,#REF!,#REF!))))</f>
        <v>0</v>
      </c>
      <c r="AF165">
        <f>IF('INHERENT MAP'!$B$5=2021,'РЕЕСТР РИСКОВ_2023'!AL204,IF('INHERENT MAP'!$B$5=2022,#REF!,IF('INHERENT MAP'!$B$5=2023,#REF!,IF('INHERENT MAP'!$B$5=2024,#REF!,#REF!))))</f>
        <v>0</v>
      </c>
      <c r="AG165">
        <f>IF('INHERENT MAP'!$B$5=2021,'РЕЕСТР РИСКОВ_2023'!AM204,IF('INHERENT MAP'!$B$5=2022,#REF!,IF('INHERENT MAP'!$B$5=2023,#REF!,IF('INHERENT MAP'!$B$5=2024,#REF!,#REF!))))</f>
        <v>0</v>
      </c>
      <c r="AH165">
        <f>IF('INHERENT MAP'!$B$5=2021,'РЕЕСТР РИСКОВ_2023'!AN204,IF('INHERENT MAP'!$B$5=2022,#REF!,IF('INHERENT MAP'!$B$5=2023,#REF!,IF('INHERENT MAP'!$B$5=2024,#REF!,#REF!))))</f>
        <v>0</v>
      </c>
      <c r="AI165">
        <f>IF('INHERENT MAP'!$B$5=2021,'РЕЕСТР РИСКОВ_2023'!AO204,IF('INHERENT MAP'!$B$5=2022,#REF!,IF('INHERENT MAP'!$B$5=2023,#REF!,IF('INHERENT MAP'!$B$5=2024,#REF!,#REF!))))</f>
        <v>0</v>
      </c>
      <c r="AJ165">
        <f>IF('INHERENT MAP'!$B$5=2021,'РЕЕСТР РИСКОВ_2023'!AP204,IF('INHERENT MAP'!$B$5=2022,#REF!,IF('INHERENT MAP'!$B$5=2023,#REF!,IF('INHERENT MAP'!$B$5=2024,#REF!,#REF!))))</f>
        <v>0</v>
      </c>
      <c r="AK165">
        <f>IF('РЕЕСТР РИСКОВ_2023'!AQ204="",AK164,'РЕЕСТР РИСКОВ_2023'!AQ204)</f>
        <v>0</v>
      </c>
      <c r="AL165">
        <f>IF('РЕЕСТР РИСКОВ_2023'!AR204="",AL164,'РЕЕСТР РИСКОВ_2023'!AR204)</f>
        <v>1</v>
      </c>
      <c r="AM165">
        <f>IF('РЕЕСТР РИСКОВ_2023'!AS204="",AM164,'РЕЕСТР РИСКОВ_2023'!AS204)</f>
        <v>0</v>
      </c>
      <c r="AN165">
        <f>IF('РЕЕСТР РИСКОВ_2023'!AT204="",AN164,'РЕЕСТР РИСКОВ_2023'!AT204)</f>
        <v>0</v>
      </c>
      <c r="AO165" t="e">
        <f>IF('РЕЕСТР РИСКОВ_2023'!AU204="",AO164,'РЕЕСТР РИСКОВ_2023'!AU204)</f>
        <v>#REF!</v>
      </c>
    </row>
    <row r="166" spans="2:41">
      <c r="B166" t="str">
        <f>IF('INHERENT MAP'!$B$5=2021,IF('РЕЕСТР РИСКОВ_2023'!F205="",B165,'РЕЕСТР РИСКОВ_2023'!F205),IF('INHERENT MAP'!$B$5=2022,IF(#REF!="",B165,#REF!),IF('INHERENT MAP'!$B$5=2023,IF(#REF!="",B165,#REF!),IF('INHERENT MAP'!$B$5=2024,IF(#REF!="",B165,#REF!),IF('РЕЕСТР РИСКОВ_2023'!F205="",B165,'РЕЕСТР РИСКОВ_2023'!F205)))))</f>
        <v>КОМПЛАЕНС РИСК</v>
      </c>
      <c r="C166" t="e">
        <f>IF('INHERENT MAP'!$B$5=2021,IF('РЕЕСТР РИСКОВ_2023'!G205="",C165,'РЕЕСТР РИСКОВ_2023'!G205),IF('INHERENT MAP'!$B$5=2022,IF(#REF!="",C165,#REF!),IF('INHERENT MAP'!$B$5=2023,IF(#REF!="",C165,#REF!),IF('INHERENT MAP'!$B$5=2024,IF(#REF!="",C165,#REF!),IF('РЕЕСТР РИСКОВ_2023'!G205="",C165,'РЕЕСТР РИСКОВ_2023'!G205)))))</f>
        <v>#REF!</v>
      </c>
      <c r="D166" t="str">
        <f>IF('INHERENT MAP'!$B$5=2021,IF('РЕЕСТР РИСКОВ_2023'!H205="",D165,'РЕЕСТР РИСКОВ_2023'!H205),IF('INHERENT MAP'!$B$5=2022,IF(#REF!="",D165,#REF!),IF('INHERENT MAP'!$B$5=2023,IF(#REF!="",D165,#REF!),IF('INHERENT MAP'!$B$5=2024,IF(#REF!="",D165,#REF!),IF('РЕЕСТР РИСКОВ_2023'!H205="",D165,'РЕЕСТР РИСКОВ_2023'!H205)))))</f>
        <v>CRR-2</v>
      </c>
      <c r="E166" t="str">
        <f>IF('INHERENT MAP'!$B$5=2021,IF('РЕЕСТР РИСКОВ_2023'!I205="",E165,'РЕЕСТР РИСКОВ_2023'!I205),IF('INHERENT MAP'!$B$5=2022,IF(#REF!="",E165,#REF!),IF('INHERENT MAP'!$B$5=2023,IF(#REF!="",E165,#REF!),IF('INHERENT MAP'!$B$5=2024,IF(#REF!="",E165,#REF!),IF('РЕЕСТР РИСКОВ_2023'!I205="",E165,'РЕЕСТР РИСКОВ_2023'!I205)))))</f>
        <v>Ц</v>
      </c>
      <c r="F166" t="str">
        <f>IF('INHERENT MAP'!$B$5=2021,IF('РЕЕСТР РИСКОВ_2023'!J205="",F165,'РЕЕСТР РИСКОВ_2023'!J205),IF('INHERENT MAP'!$B$5=2022,IF(#REF!="",F165,#REF!),IF('INHERENT MAP'!$B$5=2023,IF(#REF!="",F165,#REF!),IF('INHERENT MAP'!$B$5=2024,IF(#REF!="",F165,#REF!),IF('РЕЕСТР РИСКОВ_2023'!J205="",F165,'РЕЕСТР РИСКОВ_2023'!J205)))))</f>
        <v>ЦКС, ЦКБ</v>
      </c>
      <c r="G166" t="str">
        <f>IF('INHERENT MAP'!$B$5=2021,IF('РЕЕСТР РИСКОВ_2023'!K205="",G165,'РЕЕСТР РИСКОВ_2023'!K205),IF('INHERENT MAP'!$B$5=2022,IF(#REF!="",G165,#REF!),IF('INHERENT MAP'!$B$5=2023,IF(#REF!="",G165,#REF!),IF('INHERENT MAP'!$B$5=2024,IF(#REF!="",G165,#REF!),IF('РЕЕСТР РИСКОВ_2023'!K205="",G165,'РЕЕСТР РИСКОВ_2023'!K205)))))</f>
        <v>Коррупционные риски в сфере закупок</v>
      </c>
      <c r="H166">
        <f>IF('INHERENT MAP'!$B$5=2021,'РЕЕСТР РИСКОВ_2023'!L205,IF('INHERENT MAP'!$B$5=2022,#REF!,IF('INHERENT MAP'!$B$5=2023,#REF!,IF('INHERENT MAP'!$B$5=2024,#REF!,#REF!))))</f>
        <v>0</v>
      </c>
      <c r="I166">
        <f>IF('INHERENT MAP'!$B$5=2021,'РЕЕСТР РИСКОВ_2023'!M205,IF('INHERENT MAP'!$B$5=2022,#REF!,IF('INHERENT MAP'!$B$5=2023,#REF!,IF('INHERENT MAP'!$B$5=2024,#REF!,#REF!))))</f>
        <v>0</v>
      </c>
      <c r="J166">
        <f>IF('INHERENT MAP'!$B$5=2021,'РЕЕСТР РИСКОВ_2023'!N205,IF('INHERENT MAP'!$B$5=2022,#REF!,IF('INHERENT MAP'!$B$5=2023,#REF!,IF('INHERENT MAP'!$B$5=2024,#REF!,#REF!))))</f>
        <v>0</v>
      </c>
      <c r="K166">
        <f>IF('INHERENT MAP'!$B$5=2021,'РЕЕСТР РИСКОВ_2023'!O205,IF('INHERENT MAP'!$B$5=2022,#REF!,IF('INHERENT MAP'!$B$5=2023,#REF!,IF('INHERENT MAP'!$B$5=2024,#REF!,#REF!))))</f>
        <v>0</v>
      </c>
      <c r="L166">
        <f>IF('INHERENT MAP'!$B$5=2021,'РЕЕСТР РИСКОВ_2023'!P205,IF('INHERENT MAP'!$B$5=2022,#REF!,IF('INHERENT MAP'!$B$5=2023,#REF!,IF('INHERENT MAP'!$B$5=2024,#REF!,#REF!))))</f>
        <v>0</v>
      </c>
      <c r="M166" t="str">
        <f>IF('INHERENT MAP'!$B$5=2021,IF('РЕЕСТР РИСКОВ_2023'!Q205="",M165,'РЕЕСТР РИСКОВ_2023'!Q205),IF('INHERENT MAP'!$B$5=2022,IF(#REF!="",M165,#REF!),IF('INHERENT MAP'!$B$5=2023,IF(#REF!="",M165,#REF!),IF('INHERENT MAP'!$B$5=2024,IF(#REF!="",M165,#REF!),IF('РЕЕСТР РИСКОВ_2023'!Q205="",M165,'РЕЕСТР РИСКОВ_2023'!Q205)))))</f>
        <v>Необоснованное отклонение заявок на участие в тендере/ценовых предложений потенциальных поставщиков в целях признания закупки несостоявшейся для последующего закупа способом тендера путем проведения конкурентных переговоров</v>
      </c>
      <c r="N166" t="str">
        <f>IF('INHERENT MAP'!$B$5=2021,IF('РЕЕСТР РИСКОВ_2023'!R205="",N165,'РЕЕСТР РИСКОВ_2023'!R205),IF('INHERENT MAP'!$B$5=2022,IF(#REF!="",N165,#REF!),IF('INHERENT MAP'!$B$5=2023,IF(#REF!="",N165,#REF!),IF('INHERENT MAP'!$B$5=2024,IF(#REF!="",N165,#REF!),IF('РЕЕСТР РИСКОВ_2023'!R205="",N165,'РЕЕСТР РИСКОВ_2023'!R205)))))</f>
        <v>R1.4CS1. В результате сговора с потенциальным поставщиком, аффилированным с представителем Компании, или выплачивающего ему незаконное вознаграждение или предлагающего иную выгоду необоснованно отклоняются тендерные заявки/ценовые предложения потенциальных поставщиков в целях признания закупки несостоявшейся для последующего закупа способом тендера путем проведения конкурентных переговоров.</v>
      </c>
      <c r="O166">
        <f>'РЕЕСТР РИСКОВ_2023'!T205</f>
        <v>0</v>
      </c>
      <c r="P166" t="e">
        <f>IF('РЕЕСТР РИСКОВ_2023'!U205="",P165,'РЕЕСТР РИСКОВ_2023'!U205)</f>
        <v>#REF!</v>
      </c>
      <c r="Q166" t="str">
        <f>IF('РЕЕСТР РИСКОВ_2023'!V205="",Q165,'РЕЕСТР РИСКОВ_2023'!V205)</f>
        <v>Угрозы</v>
      </c>
      <c r="R166" t="str">
        <f>IF('РЕЕСТР РИСКОВ_2023'!W205="",R165,'РЕЕСТР РИСКОВ_2023'!W205)</f>
        <v>Возможные индикаторы:
1) отсутствие предварительного квалификационного отбора среди поставщиков;
2) ) большинство закупок способом тендера путем проведения конкурентных переговоров осуществлены в результате (по основанию) несостоявшихся закупок;
3) наличие необоснованных отклонений потенциальных поставщиков по формальным признакам;
4) неоднократное признание победителем закупки конкретного потенциального поставщика в течение длительного времени.</v>
      </c>
      <c r="S166">
        <f>'РЕЕСТР РИСКОВ_2023'!X205</f>
        <v>0</v>
      </c>
      <c r="T166" s="94">
        <f>IF('INHERENT MAP'!$B$5=2021,'РЕЕСТР РИСКОВ_2023'!Y205,IF('INHERENT MAP'!$B$5=2022,#REF!,IF('INHERENT MAP'!$B$5=2023,#REF!,IF('INHERENT MAP'!$B$5=2024,#REF!,#REF!))))</f>
        <v>0.5</v>
      </c>
      <c r="U166">
        <f>IF('INHERENT MAP'!$B$5=2021,'РЕЕСТР РИСКОВ_2023'!Z205,IF('INHERENT MAP'!$B$5=2022,#REF!,IF('INHERENT MAP'!$B$5=2023,#REF!,IF('INHERENT MAP'!$B$5=2024,#REF!,#REF!))))</f>
        <v>0</v>
      </c>
      <c r="V166">
        <f>IF('INHERENT MAP'!$B$5=2021,'РЕЕСТР РИСКОВ_2023'!AA205,IF('INHERENT MAP'!$B$5=2022,#REF!,IF('INHERENT MAP'!$B$5=2023,#REF!,IF('INHERENT MAP'!$B$5=2024,#REF!,#REF!))))</f>
        <v>0</v>
      </c>
      <c r="W166">
        <f>IF('INHERENT MAP'!$B$5=2021,'РЕЕСТР РИСКОВ_2023'!AB205,IF('INHERENT MAP'!$B$5=2022,#REF!,IF('INHERENT MAP'!$B$5=2023,#REF!,IF('INHERENT MAP'!$B$5=2024,#REF!,#REF!))))</f>
        <v>0</v>
      </c>
      <c r="X166" s="94">
        <f>IF('INHERENT MAP'!$B$5=2021,'РЕЕСТР РИСКОВ_2023'!AC205,IF('INHERENT MAP'!$B$5=2022,#REF!,IF('INHERENT MAP'!$B$5=2023,#REF!,IF('INHERENT MAP'!$B$5=2024,#REF!,#REF!))))</f>
        <v>0</v>
      </c>
      <c r="Y166">
        <f>IF('INHERENT MAP'!$B$5=2021,'РЕЕСТР РИСКОВ_2023'!AD205,IF('INHERENT MAP'!$B$5=2022,#REF!,IF('INHERENT MAP'!$B$5=2023,#REF!,IF('INHERENT MAP'!$B$5=2024,#REF!,#REF!))))</f>
        <v>0</v>
      </c>
      <c r="Z166">
        <f>IF('INHERENT MAP'!$B$5=2021,'РЕЕСТР РИСКОВ_2023'!AE205,IF('INHERENT MAP'!$B$5=2022,#REF!,IF('INHERENT MAP'!$B$5=2023,#REF!,IF('INHERENT MAP'!$B$5=2024,#REF!,#REF!))))</f>
        <v>0</v>
      </c>
      <c r="AA166">
        <f>IF('INHERENT MAP'!$B$5=2021,'РЕЕСТР РИСКОВ_2023'!AF205,IF('INHERENT MAP'!$B$5=2022,#REF!,IF('INHERENT MAP'!$B$5=2023,#REF!,IF('INHERENT MAP'!$B$5=2024,#REF!,#REF!))))</f>
        <v>0</v>
      </c>
      <c r="AB166">
        <f>IF('INHERENT MAP'!$B$5=2021,'РЕЕСТР РИСКОВ_2023'!AG205,IF('INHERENT MAP'!$B$5=2022,#REF!,IF('INHERENT MAP'!$B$5=2023,#REF!,IF('INHERENT MAP'!$B$5=2024,#REF!,#REF!))))</f>
        <v>0</v>
      </c>
      <c r="AC166">
        <f>IF('INHERENT MAP'!$B$5=2021,'РЕЕСТР РИСКОВ_2023'!AH205,IF('INHERENT MAP'!$B$5=2022,#REF!,IF('INHERENT MAP'!$B$5=2023,#REF!,IF('INHERENT MAP'!$B$5=2024,#REF!,#REF!))))</f>
        <v>0</v>
      </c>
      <c r="AD166">
        <f>IF('INHERENT MAP'!$B$5=2021,'РЕЕСТР РИСКОВ_2023'!AI205,IF('INHERENT MAP'!$B$5=2022,#REF!,IF('INHERENT MAP'!$B$5=2023,#REF!,IF('INHERENT MAP'!$B$5=2024,#REF!,#REF!))))</f>
        <v>0</v>
      </c>
      <c r="AE166">
        <f>IF('INHERENT MAP'!$B$5=2021,'РЕЕСТР РИСКОВ_2023'!AK205,IF('INHERENT MAP'!$B$5=2022,#REF!,IF('INHERENT MAP'!$B$5=2023,#REF!,IF('INHERENT MAP'!$B$5=2024,#REF!,#REF!))))</f>
        <v>0</v>
      </c>
      <c r="AF166">
        <f>IF('INHERENT MAP'!$B$5=2021,'РЕЕСТР РИСКОВ_2023'!AL205,IF('INHERENT MAP'!$B$5=2022,#REF!,IF('INHERENT MAP'!$B$5=2023,#REF!,IF('INHERENT MAP'!$B$5=2024,#REF!,#REF!))))</f>
        <v>0</v>
      </c>
      <c r="AG166">
        <f>IF('INHERENT MAP'!$B$5=2021,'РЕЕСТР РИСКОВ_2023'!AM205,IF('INHERENT MAP'!$B$5=2022,#REF!,IF('INHERENT MAP'!$B$5=2023,#REF!,IF('INHERENT MAP'!$B$5=2024,#REF!,#REF!))))</f>
        <v>0</v>
      </c>
      <c r="AH166">
        <f>IF('INHERENT MAP'!$B$5=2021,'РЕЕСТР РИСКОВ_2023'!AN205,IF('INHERENT MAP'!$B$5=2022,#REF!,IF('INHERENT MAP'!$B$5=2023,#REF!,IF('INHERENT MAP'!$B$5=2024,#REF!,#REF!))))</f>
        <v>0</v>
      </c>
      <c r="AI166">
        <f>IF('INHERENT MAP'!$B$5=2021,'РЕЕСТР РИСКОВ_2023'!AO205,IF('INHERENT MAP'!$B$5=2022,#REF!,IF('INHERENT MAP'!$B$5=2023,#REF!,IF('INHERENT MAP'!$B$5=2024,#REF!,#REF!))))</f>
        <v>0</v>
      </c>
      <c r="AJ166">
        <f>IF('INHERENT MAP'!$B$5=2021,'РЕЕСТР РИСКОВ_2023'!AP205,IF('INHERENT MAP'!$B$5=2022,#REF!,IF('INHERENT MAP'!$B$5=2023,#REF!,IF('INHERENT MAP'!$B$5=2024,#REF!,#REF!))))</f>
        <v>0</v>
      </c>
      <c r="AK166">
        <f>IF('РЕЕСТР РИСКОВ_2023'!AQ205="",AK165,'РЕЕСТР РИСКОВ_2023'!AQ205)</f>
        <v>0</v>
      </c>
      <c r="AL166">
        <f>IF('РЕЕСТР РИСКОВ_2023'!AR205="",AL165,'РЕЕСТР РИСКОВ_2023'!AR205)</f>
        <v>1</v>
      </c>
      <c r="AM166">
        <f>IF('РЕЕСТР РИСКОВ_2023'!AS205="",AM165,'РЕЕСТР РИСКОВ_2023'!AS205)</f>
        <v>0</v>
      </c>
      <c r="AN166">
        <f>IF('РЕЕСТР РИСКОВ_2023'!AT205="",AN165,'РЕЕСТР РИСКОВ_2023'!AT205)</f>
        <v>0</v>
      </c>
      <c r="AO166" t="e">
        <f>IF('РЕЕСТР РИСКОВ_2023'!AU205="",AO165,'РЕЕСТР РИСКОВ_2023'!AU205)</f>
        <v>#REF!</v>
      </c>
    </row>
    <row r="167" spans="2:41">
      <c r="B167" t="str">
        <f>IF('INHERENT MAP'!$B$5=2021,IF('РЕЕСТР РИСКОВ_2023'!F206="",B166,'РЕЕСТР РИСКОВ_2023'!F206),IF('INHERENT MAP'!$B$5=2022,IF(#REF!="",B166,#REF!),IF('INHERENT MAP'!$B$5=2023,IF(#REF!="",B166,#REF!),IF('INHERENT MAP'!$B$5=2024,IF(#REF!="",B166,#REF!),IF('РЕЕСТР РИСКОВ_2023'!F206="",B166,'РЕЕСТР РИСКОВ_2023'!F206)))))</f>
        <v>КОМПЛАЕНС РИСК</v>
      </c>
      <c r="C167" t="e">
        <f>IF('INHERENT MAP'!$B$5=2021,IF('РЕЕСТР РИСКОВ_2023'!G206="",C166,'РЕЕСТР РИСКОВ_2023'!G206),IF('INHERENT MAP'!$B$5=2022,IF(#REF!="",C166,#REF!),IF('INHERENT MAP'!$B$5=2023,IF(#REF!="",C166,#REF!),IF('INHERENT MAP'!$B$5=2024,IF(#REF!="",C166,#REF!),IF('РЕЕСТР РИСКОВ_2023'!G206="",C166,'РЕЕСТР РИСКОВ_2023'!G206)))))</f>
        <v>#REF!</v>
      </c>
      <c r="D167" t="str">
        <f>IF('INHERENT MAP'!$B$5=2021,IF('РЕЕСТР РИСКОВ_2023'!H206="",D166,'РЕЕСТР РИСКОВ_2023'!H206),IF('INHERENT MAP'!$B$5=2022,IF(#REF!="",D166,#REF!),IF('INHERENT MAP'!$B$5=2023,IF(#REF!="",D166,#REF!),IF('INHERENT MAP'!$B$5=2024,IF(#REF!="",D166,#REF!),IF('РЕЕСТР РИСКОВ_2023'!H206="",D166,'РЕЕСТР РИСКОВ_2023'!H206)))))</f>
        <v>CRR-2</v>
      </c>
      <c r="E167" t="str">
        <f>IF('INHERENT MAP'!$B$5=2021,IF('РЕЕСТР РИСКОВ_2023'!I206="",E166,'РЕЕСТР РИСКОВ_2023'!I206),IF('INHERENT MAP'!$B$5=2022,IF(#REF!="",E166,#REF!),IF('INHERENT MAP'!$B$5=2023,IF(#REF!="",E166,#REF!),IF('INHERENT MAP'!$B$5=2024,IF(#REF!="",E166,#REF!),IF('РЕЕСТР РИСКОВ_2023'!I206="",E166,'РЕЕСТР РИСКОВ_2023'!I206)))))</f>
        <v>Ц</v>
      </c>
      <c r="F167" t="str">
        <f>IF('INHERENT MAP'!$B$5=2021,IF('РЕЕСТР РИСКОВ_2023'!J206="",F166,'РЕЕСТР РИСКОВ_2023'!J206),IF('INHERENT MAP'!$B$5=2022,IF(#REF!="",F166,#REF!),IF('INHERENT MAP'!$B$5=2023,IF(#REF!="",F166,#REF!),IF('INHERENT MAP'!$B$5=2024,IF(#REF!="",F166,#REF!),IF('РЕЕСТР РИСКОВ_2023'!J206="",F166,'РЕЕСТР РИСКОВ_2023'!J206)))))</f>
        <v>ЦКС, ЦКБ</v>
      </c>
      <c r="G167" t="str">
        <f>IF('INHERENT MAP'!$B$5=2021,IF('РЕЕСТР РИСКОВ_2023'!K206="",G166,'РЕЕСТР РИСКОВ_2023'!K206),IF('INHERENT MAP'!$B$5=2022,IF(#REF!="",G166,#REF!),IF('INHERENT MAP'!$B$5=2023,IF(#REF!="",G166,#REF!),IF('INHERENT MAP'!$B$5=2024,IF(#REF!="",G166,#REF!),IF('РЕЕСТР РИСКОВ_2023'!K206="",G166,'РЕЕСТР РИСКОВ_2023'!K206)))))</f>
        <v>Коррупционные риски в сфере закупок</v>
      </c>
      <c r="H167">
        <f>IF('INHERENT MAP'!$B$5=2021,'РЕЕСТР РИСКОВ_2023'!L206,IF('INHERENT MAP'!$B$5=2022,#REF!,IF('INHERENT MAP'!$B$5=2023,#REF!,IF('INHERENT MAP'!$B$5=2024,#REF!,#REF!))))</f>
        <v>0</v>
      </c>
      <c r="I167">
        <f>IF('INHERENT MAP'!$B$5=2021,'РЕЕСТР РИСКОВ_2023'!M206,IF('INHERENT MAP'!$B$5=2022,#REF!,IF('INHERENT MAP'!$B$5=2023,#REF!,IF('INHERENT MAP'!$B$5=2024,#REF!,#REF!))))</f>
        <v>0</v>
      </c>
      <c r="J167">
        <f>IF('INHERENT MAP'!$B$5=2021,'РЕЕСТР РИСКОВ_2023'!N206,IF('INHERENT MAP'!$B$5=2022,#REF!,IF('INHERENT MAP'!$B$5=2023,#REF!,IF('INHERENT MAP'!$B$5=2024,#REF!,#REF!))))</f>
        <v>0</v>
      </c>
      <c r="K167">
        <f>IF('INHERENT MAP'!$B$5=2021,'РЕЕСТР РИСКОВ_2023'!O206,IF('INHERENT MAP'!$B$5=2022,#REF!,IF('INHERENT MAP'!$B$5=2023,#REF!,IF('INHERENT MAP'!$B$5=2024,#REF!,#REF!))))</f>
        <v>0</v>
      </c>
      <c r="L167">
        <f>IF('INHERENT MAP'!$B$5=2021,'РЕЕСТР РИСКОВ_2023'!P206,IF('INHERENT MAP'!$B$5=2022,#REF!,IF('INHERENT MAP'!$B$5=2023,#REF!,IF('INHERENT MAP'!$B$5=2024,#REF!,#REF!))))</f>
        <v>0</v>
      </c>
      <c r="M167" t="str">
        <f>IF('INHERENT MAP'!$B$5=2021,IF('РЕЕСТР РИСКОВ_2023'!Q206="",M166,'РЕЕСТР РИСКОВ_2023'!Q206),IF('INHERENT MAP'!$B$5=2022,IF(#REF!="",M166,#REF!),IF('INHERENT MAP'!$B$5=2023,IF(#REF!="",M166,#REF!),IF('INHERENT MAP'!$B$5=2024,IF(#REF!="",M166,#REF!),IF('РЕЕСТР РИСКОВ_2023'!Q206="",M166,'РЕЕСТР РИСКОВ_2023'!Q206)))))</f>
        <v>Необоснованная отмена закупок, либо затягивания сроков проведения закупок</v>
      </c>
      <c r="N167" t="str">
        <f>IF('INHERENT MAP'!$B$5=2021,IF('РЕЕСТР РИСКОВ_2023'!R206="",N166,'РЕЕСТР РИСКОВ_2023'!R206),IF('INHERENT MAP'!$B$5=2022,IF(#REF!="",N166,#REF!),IF('INHERENT MAP'!$B$5=2023,IF(#REF!="",N166,#REF!),IF('INHERENT MAP'!$B$5=2024,IF(#REF!="",N166,#REF!),IF('РЕЕСТР РИСКОВ_2023'!R206="",N166,'РЕЕСТР РИСКОВ_2023'!R206)))))</f>
        <v xml:space="preserve">R1.5CS1. В результате сговора с потенциальными поставщиками с целью получения от них незаконного вознаграждения или иной выгоды, Компанией отменяются процедуры закупки для проведения повторной процедуры закупки. Сведения о поступивших заявках передаются «своему» потенциальному поставщику и помогают ему выиграть повторную закупку. 
R1.5CS2. Несвоевременное проведение процедуры закупок, путём их затягивания для конкретного поставщика, аффилированного с представителем Компании, или выплачивающего незаконное вознаграждение / предлагающего иную выгоду. </v>
      </c>
      <c r="O167">
        <f>'РЕЕСТР РИСКОВ_2023'!T206</f>
        <v>0</v>
      </c>
      <c r="P167" t="e">
        <f>IF('РЕЕСТР РИСКОВ_2023'!U206="",P166,'РЕЕСТР РИСКОВ_2023'!U206)</f>
        <v>#REF!</v>
      </c>
      <c r="Q167" t="str">
        <f>IF('РЕЕСТР РИСКОВ_2023'!V206="",Q166,'РЕЕСТР РИСКОВ_2023'!V206)</f>
        <v>Угрозы</v>
      </c>
      <c r="R167" t="str">
        <f>IF('РЕЕСТР РИСКОВ_2023'!W206="",R166,'РЕЕСТР РИСКОВ_2023'!W206)</f>
        <v>Возможные индикаторы R1.5CS1.:
1) наличие жалоб и фактов необоснованной отмены закупок; 
2)  наличие аффилированности потенциальных поставщиков между собой, и/или между представителями Компании и поставщиком;
3) факты проведения закупок с нарушением установленных требований Стандарта закупок Фонда.
Возможные индикаторы R1.5CS2.:
1) наличие расхождений между планируемыми и фактическими сроками проведения закупок;
2) неадекватные сроки и причины задержек на этапах проведения закупок.</v>
      </c>
      <c r="S167">
        <f>'РЕЕСТР РИСКОВ_2023'!X206</f>
        <v>0</v>
      </c>
      <c r="T167" s="94">
        <f>IF('INHERENT MAP'!$B$5=2021,'РЕЕСТР РИСКОВ_2023'!Y206,IF('INHERENT MAP'!$B$5=2022,#REF!,IF('INHERENT MAP'!$B$5=2023,#REF!,IF('INHERENT MAP'!$B$5=2024,#REF!,#REF!))))</f>
        <v>0.2</v>
      </c>
      <c r="U167">
        <f>IF('INHERENT MAP'!$B$5=2021,'РЕЕСТР РИСКОВ_2023'!Z206,IF('INHERENT MAP'!$B$5=2022,#REF!,IF('INHERENT MAP'!$B$5=2023,#REF!,IF('INHERENT MAP'!$B$5=2024,#REF!,#REF!))))</f>
        <v>0</v>
      </c>
      <c r="V167">
        <f>IF('INHERENT MAP'!$B$5=2021,'РЕЕСТР РИСКОВ_2023'!AA206,IF('INHERENT MAP'!$B$5=2022,#REF!,IF('INHERENT MAP'!$B$5=2023,#REF!,IF('INHERENT MAP'!$B$5=2024,#REF!,#REF!))))</f>
        <v>0</v>
      </c>
      <c r="W167">
        <f>IF('INHERENT MAP'!$B$5=2021,'РЕЕСТР РИСКОВ_2023'!AB206,IF('INHERENT MAP'!$B$5=2022,#REF!,IF('INHERENT MAP'!$B$5=2023,#REF!,IF('INHERENT MAP'!$B$5=2024,#REF!,#REF!))))</f>
        <v>0</v>
      </c>
      <c r="X167" s="94">
        <f>IF('INHERENT MAP'!$B$5=2021,'РЕЕСТР РИСКОВ_2023'!AC206,IF('INHERENT MAP'!$B$5=2022,#REF!,IF('INHERENT MAP'!$B$5=2023,#REF!,IF('INHERENT MAP'!$B$5=2024,#REF!,#REF!))))</f>
        <v>0</v>
      </c>
      <c r="Y167">
        <f>IF('INHERENT MAP'!$B$5=2021,'РЕЕСТР РИСКОВ_2023'!AD206,IF('INHERENT MAP'!$B$5=2022,#REF!,IF('INHERENT MAP'!$B$5=2023,#REF!,IF('INHERENT MAP'!$B$5=2024,#REF!,#REF!))))</f>
        <v>0</v>
      </c>
      <c r="Z167">
        <f>IF('INHERENT MAP'!$B$5=2021,'РЕЕСТР РИСКОВ_2023'!AE206,IF('INHERENT MAP'!$B$5=2022,#REF!,IF('INHERENT MAP'!$B$5=2023,#REF!,IF('INHERENT MAP'!$B$5=2024,#REF!,#REF!))))</f>
        <v>0</v>
      </c>
      <c r="AA167">
        <f>IF('INHERENT MAP'!$B$5=2021,'РЕЕСТР РИСКОВ_2023'!AF206,IF('INHERENT MAP'!$B$5=2022,#REF!,IF('INHERENT MAP'!$B$5=2023,#REF!,IF('INHERENT MAP'!$B$5=2024,#REF!,#REF!))))</f>
        <v>0</v>
      </c>
      <c r="AB167">
        <f>IF('INHERENT MAP'!$B$5=2021,'РЕЕСТР РИСКОВ_2023'!AG206,IF('INHERENT MAP'!$B$5=2022,#REF!,IF('INHERENT MAP'!$B$5=2023,#REF!,IF('INHERENT MAP'!$B$5=2024,#REF!,#REF!))))</f>
        <v>0</v>
      </c>
      <c r="AC167">
        <f>IF('INHERENT MAP'!$B$5=2021,'РЕЕСТР РИСКОВ_2023'!AH206,IF('INHERENT MAP'!$B$5=2022,#REF!,IF('INHERENT MAP'!$B$5=2023,#REF!,IF('INHERENT MAP'!$B$5=2024,#REF!,#REF!))))</f>
        <v>0</v>
      </c>
      <c r="AD167">
        <f>IF('INHERENT MAP'!$B$5=2021,'РЕЕСТР РИСКОВ_2023'!AI206,IF('INHERENT MAP'!$B$5=2022,#REF!,IF('INHERENT MAP'!$B$5=2023,#REF!,IF('INHERENT MAP'!$B$5=2024,#REF!,#REF!))))</f>
        <v>0</v>
      </c>
      <c r="AE167">
        <f>IF('INHERENT MAP'!$B$5=2021,'РЕЕСТР РИСКОВ_2023'!AK206,IF('INHERENT MAP'!$B$5=2022,#REF!,IF('INHERENT MAP'!$B$5=2023,#REF!,IF('INHERENT MAP'!$B$5=2024,#REF!,#REF!))))</f>
        <v>0</v>
      </c>
      <c r="AF167">
        <f>IF('INHERENT MAP'!$B$5=2021,'РЕЕСТР РИСКОВ_2023'!AL206,IF('INHERENT MAP'!$B$5=2022,#REF!,IF('INHERENT MAP'!$B$5=2023,#REF!,IF('INHERENT MAP'!$B$5=2024,#REF!,#REF!))))</f>
        <v>0</v>
      </c>
      <c r="AG167">
        <f>IF('INHERENT MAP'!$B$5=2021,'РЕЕСТР РИСКОВ_2023'!AM206,IF('INHERENT MAP'!$B$5=2022,#REF!,IF('INHERENT MAP'!$B$5=2023,#REF!,IF('INHERENT MAP'!$B$5=2024,#REF!,#REF!))))</f>
        <v>0</v>
      </c>
      <c r="AH167">
        <f>IF('INHERENT MAP'!$B$5=2021,'РЕЕСТР РИСКОВ_2023'!AN206,IF('INHERENT MAP'!$B$5=2022,#REF!,IF('INHERENT MAP'!$B$5=2023,#REF!,IF('INHERENT MAP'!$B$5=2024,#REF!,#REF!))))</f>
        <v>0</v>
      </c>
      <c r="AI167">
        <f>IF('INHERENT MAP'!$B$5=2021,'РЕЕСТР РИСКОВ_2023'!AO206,IF('INHERENT MAP'!$B$5=2022,#REF!,IF('INHERENT MAP'!$B$5=2023,#REF!,IF('INHERENT MAP'!$B$5=2024,#REF!,#REF!))))</f>
        <v>0</v>
      </c>
      <c r="AJ167">
        <f>IF('INHERENT MAP'!$B$5=2021,'РЕЕСТР РИСКОВ_2023'!AP206,IF('INHERENT MAP'!$B$5=2022,#REF!,IF('INHERENT MAP'!$B$5=2023,#REF!,IF('INHERENT MAP'!$B$5=2024,#REF!,#REF!))))</f>
        <v>0</v>
      </c>
      <c r="AK167">
        <f>IF('РЕЕСТР РИСКОВ_2023'!AQ206="",AK166,'РЕЕСТР РИСКОВ_2023'!AQ206)</f>
        <v>0</v>
      </c>
      <c r="AL167">
        <f>IF('РЕЕСТР РИСКОВ_2023'!AR206="",AL166,'РЕЕСТР РИСКОВ_2023'!AR206)</f>
        <v>1</v>
      </c>
      <c r="AM167">
        <f>IF('РЕЕСТР РИСКОВ_2023'!AS206="",AM166,'РЕЕСТР РИСКОВ_2023'!AS206)</f>
        <v>0</v>
      </c>
      <c r="AN167">
        <f>IF('РЕЕСТР РИСКОВ_2023'!AT206="",AN166,'РЕЕСТР РИСКОВ_2023'!AT206)</f>
        <v>0</v>
      </c>
      <c r="AO167" t="e">
        <f>IF('РЕЕСТР РИСКОВ_2023'!AU206="",AO166,'РЕЕСТР РИСКОВ_2023'!AU206)</f>
        <v>#REF!</v>
      </c>
    </row>
    <row r="168" spans="2:41">
      <c r="B168" t="str">
        <f>IF('INHERENT MAP'!$B$5=2021,IF('РЕЕСТР РИСКОВ_2023'!F207="",B167,'РЕЕСТР РИСКОВ_2023'!F207),IF('INHERENT MAP'!$B$5=2022,IF(#REF!="",B167,#REF!),IF('INHERENT MAP'!$B$5=2023,IF(#REF!="",B167,#REF!),IF('INHERENT MAP'!$B$5=2024,IF(#REF!="",B167,#REF!),IF('РЕЕСТР РИСКОВ_2023'!F207="",B167,'РЕЕСТР РИСКОВ_2023'!F207)))))</f>
        <v>КОМПЛАЕНС РИСК</v>
      </c>
      <c r="C168" t="e">
        <f>IF('INHERENT MAP'!$B$5=2021,IF('РЕЕСТР РИСКОВ_2023'!G207="",C167,'РЕЕСТР РИСКОВ_2023'!G207),IF('INHERENT MAP'!$B$5=2022,IF(#REF!="",C167,#REF!),IF('INHERENT MAP'!$B$5=2023,IF(#REF!="",C167,#REF!),IF('INHERENT MAP'!$B$5=2024,IF(#REF!="",C167,#REF!),IF('РЕЕСТР РИСКОВ_2023'!G207="",C167,'РЕЕСТР РИСКОВ_2023'!G207)))))</f>
        <v>#REF!</v>
      </c>
      <c r="D168" t="str">
        <f>IF('INHERENT MAP'!$B$5=2021,IF('РЕЕСТР РИСКОВ_2023'!H207="",D167,'РЕЕСТР РИСКОВ_2023'!H207),IF('INHERENT MAP'!$B$5=2022,IF(#REF!="",D167,#REF!),IF('INHERENT MAP'!$B$5=2023,IF(#REF!="",D167,#REF!),IF('INHERENT MAP'!$B$5=2024,IF(#REF!="",D167,#REF!),IF('РЕЕСТР РИСКОВ_2023'!H207="",D167,'РЕЕСТР РИСКОВ_2023'!H207)))))</f>
        <v>CRR-2</v>
      </c>
      <c r="E168" t="str">
        <f>IF('INHERENT MAP'!$B$5=2021,IF('РЕЕСТР РИСКОВ_2023'!I207="",E167,'РЕЕСТР РИСКОВ_2023'!I207),IF('INHERENT MAP'!$B$5=2022,IF(#REF!="",E167,#REF!),IF('INHERENT MAP'!$B$5=2023,IF(#REF!="",E167,#REF!),IF('INHERENT MAP'!$B$5=2024,IF(#REF!="",E167,#REF!),IF('РЕЕСТР РИСКОВ_2023'!I207="",E167,'РЕЕСТР РИСКОВ_2023'!I207)))))</f>
        <v>Ц</v>
      </c>
      <c r="F168" t="str">
        <f>IF('INHERENT MAP'!$B$5=2021,IF('РЕЕСТР РИСКОВ_2023'!J207="",F167,'РЕЕСТР РИСКОВ_2023'!J207),IF('INHERENT MAP'!$B$5=2022,IF(#REF!="",F167,#REF!),IF('INHERENT MAP'!$B$5=2023,IF(#REF!="",F167,#REF!),IF('INHERENT MAP'!$B$5=2024,IF(#REF!="",F167,#REF!),IF('РЕЕСТР РИСКОВ_2023'!J207="",F167,'РЕЕСТР РИСКОВ_2023'!J207)))))</f>
        <v>ЦКС, ЦКБ</v>
      </c>
      <c r="G168" t="str">
        <f>IF('INHERENT MAP'!$B$5=2021,IF('РЕЕСТР РИСКОВ_2023'!K207="",G167,'РЕЕСТР РИСКОВ_2023'!K207),IF('INHERENT MAP'!$B$5=2022,IF(#REF!="",G167,#REF!),IF('INHERENT MAP'!$B$5=2023,IF(#REF!="",G167,#REF!),IF('INHERENT MAP'!$B$5=2024,IF(#REF!="",G167,#REF!),IF('РЕЕСТР РИСКОВ_2023'!K207="",G167,'РЕЕСТР РИСКОВ_2023'!K207)))))</f>
        <v>Коррупционные риски в сфере закупок</v>
      </c>
      <c r="H168">
        <f>IF('INHERENT MAP'!$B$5=2021,'РЕЕСТР РИСКОВ_2023'!L207,IF('INHERENT MAP'!$B$5=2022,#REF!,IF('INHERENT MAP'!$B$5=2023,#REF!,IF('INHERENT MAP'!$B$5=2024,#REF!,#REF!))))</f>
        <v>0</v>
      </c>
      <c r="I168">
        <f>IF('INHERENT MAP'!$B$5=2021,'РЕЕСТР РИСКОВ_2023'!M207,IF('INHERENT MAP'!$B$5=2022,#REF!,IF('INHERENT MAP'!$B$5=2023,#REF!,IF('INHERENT MAP'!$B$5=2024,#REF!,#REF!))))</f>
        <v>0</v>
      </c>
      <c r="J168">
        <f>IF('INHERENT MAP'!$B$5=2021,'РЕЕСТР РИСКОВ_2023'!N207,IF('INHERENT MAP'!$B$5=2022,#REF!,IF('INHERENT MAP'!$B$5=2023,#REF!,IF('INHERENT MAP'!$B$5=2024,#REF!,#REF!))))</f>
        <v>0</v>
      </c>
      <c r="K168">
        <f>IF('INHERENT MAP'!$B$5=2021,'РЕЕСТР РИСКОВ_2023'!O207,IF('INHERENT MAP'!$B$5=2022,#REF!,IF('INHERENT MAP'!$B$5=2023,#REF!,IF('INHERENT MAP'!$B$5=2024,#REF!,#REF!))))</f>
        <v>0</v>
      </c>
      <c r="L168">
        <f>IF('INHERENT MAP'!$B$5=2021,'РЕЕСТР РИСКОВ_2023'!P207,IF('INHERENT MAP'!$B$5=2022,#REF!,IF('INHERENT MAP'!$B$5=2023,#REF!,IF('INHERENT MAP'!$B$5=2024,#REF!,#REF!))))</f>
        <v>0</v>
      </c>
      <c r="M168" t="str">
        <f>IF('INHERENT MAP'!$B$5=2021,IF('РЕЕСТР РИСКОВ_2023'!Q207="",M167,'РЕЕСТР РИСКОВ_2023'!Q207),IF('INHERENT MAP'!$B$5=2022,IF(#REF!="",M167,#REF!),IF('INHERENT MAP'!$B$5=2023,IF(#REF!="",M167,#REF!),IF('INHERENT MAP'!$B$5=2024,IF(#REF!="",M167,#REF!),IF('РЕЕСТР РИСКОВ_2023'!Q207="",M167,'РЕЕСТР РИСКОВ_2023'!Q207)))))</f>
        <v>Выбор поставщика, включённого в Перечень ненадёжных потенциальных поставщиков (поставщиков) Холдинга и (или) в Реестр недобросовестных участников государственных закупок и (или) в Перечень лжепредприятий</v>
      </c>
      <c r="N168" t="str">
        <f>IF('INHERENT MAP'!$B$5=2021,IF('РЕЕСТР РИСКОВ_2023'!R207="",N167,'РЕЕСТР РИСКОВ_2023'!R207),IF('INHERENT MAP'!$B$5=2022,IF(#REF!="",N167,#REF!),IF('INHERENT MAP'!$B$5=2023,IF(#REF!="",N167,#REF!),IF('INHERENT MAP'!$B$5=2024,IF(#REF!="",N167,#REF!),IF('РЕЕСТР РИСКОВ_2023'!R207="",N167,'РЕЕСТР РИСКОВ_2023'!R207)))))</f>
        <v>R1.6CS1. В результате сговора с потенциальными поставщиками с целью получения от них незаконного вознаграждения или иной выгоды, проводится закупка у потенциального поставщика, включённого в Перечень ненадёжных потенциальных поставщиков Фонда и (или) в Реестр недобросовестных участников государственных закупок и (или) в Перечень лжепредприятий.</v>
      </c>
      <c r="O168">
        <f>'РЕЕСТР РИСКОВ_2023'!T207</f>
        <v>0</v>
      </c>
      <c r="P168" t="e">
        <f>IF('РЕЕСТР РИСКОВ_2023'!U207="",P167,'РЕЕСТР РИСКОВ_2023'!U207)</f>
        <v>#REF!</v>
      </c>
      <c r="Q168" t="str">
        <f>IF('РЕЕСТР РИСКОВ_2023'!V207="",Q167,'РЕЕСТР РИСКОВ_2023'!V207)</f>
        <v>Угрозы</v>
      </c>
      <c r="R168" t="str">
        <f>IF('РЕЕСТР РИСКОВ_2023'!W207="",R167,'РЕЕСТР РИСКОВ_2023'!W207)</f>
        <v>Возможные индикаторы:
1) поставщик состоит в Перечне ненадёжных потенциальных поставщиков Фонд и (или) в Реестре недобросовестных участников государственных закупок и (или) в Перечне лжепредприятий;
2) отсутствие предварительного квалификационного отбора среди поставщиков;
3) наличие необоснованных отклонений потенциальных поставщиков по формальным признакам.</v>
      </c>
      <c r="S168">
        <f>'РЕЕСТР РИСКОВ_2023'!X207</f>
        <v>0</v>
      </c>
      <c r="T168" s="94">
        <f>IF('INHERENT MAP'!$B$5=2021,'РЕЕСТР РИСКОВ_2023'!Y207,IF('INHERENT MAP'!$B$5=2022,#REF!,IF('INHERENT MAP'!$B$5=2023,#REF!,IF('INHERENT MAP'!$B$5=2024,#REF!,#REF!))))</f>
        <v>0.2</v>
      </c>
      <c r="U168">
        <f>IF('INHERENT MAP'!$B$5=2021,'РЕЕСТР РИСКОВ_2023'!Z207,IF('INHERENT MAP'!$B$5=2022,#REF!,IF('INHERENT MAP'!$B$5=2023,#REF!,IF('INHERENT MAP'!$B$5=2024,#REF!,#REF!))))</f>
        <v>0</v>
      </c>
      <c r="V168">
        <f>IF('INHERENT MAP'!$B$5=2021,'РЕЕСТР РИСКОВ_2023'!AA207,IF('INHERENT MAP'!$B$5=2022,#REF!,IF('INHERENT MAP'!$B$5=2023,#REF!,IF('INHERENT MAP'!$B$5=2024,#REF!,#REF!))))</f>
        <v>0</v>
      </c>
      <c r="W168">
        <f>IF('INHERENT MAP'!$B$5=2021,'РЕЕСТР РИСКОВ_2023'!AB207,IF('INHERENT MAP'!$B$5=2022,#REF!,IF('INHERENT MAP'!$B$5=2023,#REF!,IF('INHERENT MAP'!$B$5=2024,#REF!,#REF!))))</f>
        <v>0</v>
      </c>
      <c r="X168" s="94">
        <f>IF('INHERENT MAP'!$B$5=2021,'РЕЕСТР РИСКОВ_2023'!AC207,IF('INHERENT MAP'!$B$5=2022,#REF!,IF('INHERENT MAP'!$B$5=2023,#REF!,IF('INHERENT MAP'!$B$5=2024,#REF!,#REF!))))</f>
        <v>0</v>
      </c>
      <c r="Y168">
        <f>IF('INHERENT MAP'!$B$5=2021,'РЕЕСТР РИСКОВ_2023'!AD207,IF('INHERENT MAP'!$B$5=2022,#REF!,IF('INHERENT MAP'!$B$5=2023,#REF!,IF('INHERENT MAP'!$B$5=2024,#REF!,#REF!))))</f>
        <v>0</v>
      </c>
      <c r="Z168">
        <f>IF('INHERENT MAP'!$B$5=2021,'РЕЕСТР РИСКОВ_2023'!AE207,IF('INHERENT MAP'!$B$5=2022,#REF!,IF('INHERENT MAP'!$B$5=2023,#REF!,IF('INHERENT MAP'!$B$5=2024,#REF!,#REF!))))</f>
        <v>0</v>
      </c>
      <c r="AA168">
        <f>IF('INHERENT MAP'!$B$5=2021,'РЕЕСТР РИСКОВ_2023'!AF207,IF('INHERENT MAP'!$B$5=2022,#REF!,IF('INHERENT MAP'!$B$5=2023,#REF!,IF('INHERENT MAP'!$B$5=2024,#REF!,#REF!))))</f>
        <v>0</v>
      </c>
      <c r="AB168">
        <f>IF('INHERENT MAP'!$B$5=2021,'РЕЕСТР РИСКОВ_2023'!AG207,IF('INHERENT MAP'!$B$5=2022,#REF!,IF('INHERENT MAP'!$B$5=2023,#REF!,IF('INHERENT MAP'!$B$5=2024,#REF!,#REF!))))</f>
        <v>0</v>
      </c>
      <c r="AC168">
        <f>IF('INHERENT MAP'!$B$5=2021,'РЕЕСТР РИСКОВ_2023'!AH207,IF('INHERENT MAP'!$B$5=2022,#REF!,IF('INHERENT MAP'!$B$5=2023,#REF!,IF('INHERENT MAP'!$B$5=2024,#REF!,#REF!))))</f>
        <v>0</v>
      </c>
      <c r="AD168">
        <f>IF('INHERENT MAP'!$B$5=2021,'РЕЕСТР РИСКОВ_2023'!AI207,IF('INHERENT MAP'!$B$5=2022,#REF!,IF('INHERENT MAP'!$B$5=2023,#REF!,IF('INHERENT MAP'!$B$5=2024,#REF!,#REF!))))</f>
        <v>0</v>
      </c>
      <c r="AE168">
        <f>IF('INHERENT MAP'!$B$5=2021,'РЕЕСТР РИСКОВ_2023'!AK207,IF('INHERENT MAP'!$B$5=2022,#REF!,IF('INHERENT MAP'!$B$5=2023,#REF!,IF('INHERENT MAP'!$B$5=2024,#REF!,#REF!))))</f>
        <v>0</v>
      </c>
      <c r="AF168">
        <f>IF('INHERENT MAP'!$B$5=2021,'РЕЕСТР РИСКОВ_2023'!AL207,IF('INHERENT MAP'!$B$5=2022,#REF!,IF('INHERENT MAP'!$B$5=2023,#REF!,IF('INHERENT MAP'!$B$5=2024,#REF!,#REF!))))</f>
        <v>0</v>
      </c>
      <c r="AG168">
        <f>IF('INHERENT MAP'!$B$5=2021,'РЕЕСТР РИСКОВ_2023'!AM207,IF('INHERENT MAP'!$B$5=2022,#REF!,IF('INHERENT MAP'!$B$5=2023,#REF!,IF('INHERENT MAP'!$B$5=2024,#REF!,#REF!))))</f>
        <v>0</v>
      </c>
      <c r="AH168">
        <f>IF('INHERENT MAP'!$B$5=2021,'РЕЕСТР РИСКОВ_2023'!AN207,IF('INHERENT MAP'!$B$5=2022,#REF!,IF('INHERENT MAP'!$B$5=2023,#REF!,IF('INHERENT MAP'!$B$5=2024,#REF!,#REF!))))</f>
        <v>0</v>
      </c>
      <c r="AI168">
        <f>IF('INHERENT MAP'!$B$5=2021,'РЕЕСТР РИСКОВ_2023'!AO207,IF('INHERENT MAP'!$B$5=2022,#REF!,IF('INHERENT MAP'!$B$5=2023,#REF!,IF('INHERENT MAP'!$B$5=2024,#REF!,#REF!))))</f>
        <v>0</v>
      </c>
      <c r="AJ168">
        <f>IF('INHERENT MAP'!$B$5=2021,'РЕЕСТР РИСКОВ_2023'!AP207,IF('INHERENT MAP'!$B$5=2022,#REF!,IF('INHERENT MAP'!$B$5=2023,#REF!,IF('INHERENT MAP'!$B$5=2024,#REF!,#REF!))))</f>
        <v>0</v>
      </c>
      <c r="AK168">
        <f>IF('РЕЕСТР РИСКОВ_2023'!AQ207="",AK167,'РЕЕСТР РИСКОВ_2023'!AQ207)</f>
        <v>0</v>
      </c>
      <c r="AL168">
        <f>IF('РЕЕСТР РИСКОВ_2023'!AR207="",AL167,'РЕЕСТР РИСКОВ_2023'!AR207)</f>
        <v>1</v>
      </c>
      <c r="AM168">
        <f>IF('РЕЕСТР РИСКОВ_2023'!AS207="",AM167,'РЕЕСТР РИСКОВ_2023'!AS207)</f>
        <v>0</v>
      </c>
      <c r="AN168">
        <f>IF('РЕЕСТР РИСКОВ_2023'!AT207="",AN167,'РЕЕСТР РИСКОВ_2023'!AT207)</f>
        <v>0</v>
      </c>
      <c r="AO168" t="e">
        <f>IF('РЕЕСТР РИСКОВ_2023'!AU207="",AO167,'РЕЕСТР РИСКОВ_2023'!AU207)</f>
        <v>#REF!</v>
      </c>
    </row>
    <row r="169" spans="2:41">
      <c r="B169" t="str">
        <f>IF('INHERENT MAP'!$B$5=2021,IF('РЕЕСТР РИСКОВ_2023'!F208="",B168,'РЕЕСТР РИСКОВ_2023'!F208),IF('INHERENT MAP'!$B$5=2022,IF(#REF!="",B168,#REF!),IF('INHERENT MAP'!$B$5=2023,IF(#REF!="",B168,#REF!),IF('INHERENT MAP'!$B$5=2024,IF(#REF!="",B168,#REF!),IF('РЕЕСТР РИСКОВ_2023'!F208="",B168,'РЕЕСТР РИСКОВ_2023'!F208)))))</f>
        <v>КОМПЛАЕНС РИСК</v>
      </c>
      <c r="C169" t="e">
        <f>IF('INHERENT MAP'!$B$5=2021,IF('РЕЕСТР РИСКОВ_2023'!G208="",C168,'РЕЕСТР РИСКОВ_2023'!G208),IF('INHERENT MAP'!$B$5=2022,IF(#REF!="",C168,#REF!),IF('INHERENT MAP'!$B$5=2023,IF(#REF!="",C168,#REF!),IF('INHERENT MAP'!$B$5=2024,IF(#REF!="",C168,#REF!),IF('РЕЕСТР РИСКОВ_2023'!G208="",C168,'РЕЕСТР РИСКОВ_2023'!G208)))))</f>
        <v>#REF!</v>
      </c>
      <c r="D169" t="str">
        <f>IF('INHERENT MAP'!$B$5=2021,IF('РЕЕСТР РИСКОВ_2023'!H208="",D168,'РЕЕСТР РИСКОВ_2023'!H208),IF('INHERENT MAP'!$B$5=2022,IF(#REF!="",D168,#REF!),IF('INHERENT MAP'!$B$5=2023,IF(#REF!="",D168,#REF!),IF('INHERENT MAP'!$B$5=2024,IF(#REF!="",D168,#REF!),IF('РЕЕСТР РИСКОВ_2023'!H208="",D168,'РЕЕСТР РИСКОВ_2023'!H208)))))</f>
        <v>CRR-2</v>
      </c>
      <c r="E169" t="str">
        <f>IF('INHERENT MAP'!$B$5=2021,IF('РЕЕСТР РИСКОВ_2023'!I208="",E168,'РЕЕСТР РИСКОВ_2023'!I208),IF('INHERENT MAP'!$B$5=2022,IF(#REF!="",E168,#REF!),IF('INHERENT MAP'!$B$5=2023,IF(#REF!="",E168,#REF!),IF('INHERENT MAP'!$B$5=2024,IF(#REF!="",E168,#REF!),IF('РЕЕСТР РИСКОВ_2023'!I208="",E168,'РЕЕСТР РИСКОВ_2023'!I208)))))</f>
        <v>Ц</v>
      </c>
      <c r="F169" t="str">
        <f>IF('INHERENT MAP'!$B$5=2021,IF('РЕЕСТР РИСКОВ_2023'!J208="",F168,'РЕЕСТР РИСКОВ_2023'!J208),IF('INHERENT MAP'!$B$5=2022,IF(#REF!="",F168,#REF!),IF('INHERENT MAP'!$B$5=2023,IF(#REF!="",F168,#REF!),IF('INHERENT MAP'!$B$5=2024,IF(#REF!="",F168,#REF!),IF('РЕЕСТР РИСКОВ_2023'!J208="",F168,'РЕЕСТР РИСКОВ_2023'!J208)))))</f>
        <v>ЦКС, ЦКБ</v>
      </c>
      <c r="G169" t="str">
        <f>IF('INHERENT MAP'!$B$5=2021,IF('РЕЕСТР РИСКОВ_2023'!K208="",G168,'РЕЕСТР РИСКОВ_2023'!K208),IF('INHERENT MAP'!$B$5=2022,IF(#REF!="",G168,#REF!),IF('INHERENT MAP'!$B$5=2023,IF(#REF!="",G168,#REF!),IF('INHERENT MAP'!$B$5=2024,IF(#REF!="",G168,#REF!),IF('РЕЕСТР РИСКОВ_2023'!K208="",G168,'РЕЕСТР РИСКОВ_2023'!K208)))))</f>
        <v>Коррупционные риски в сфере закупок</v>
      </c>
      <c r="H169">
        <f>IF('INHERENT MAP'!$B$5=2021,'РЕЕСТР РИСКОВ_2023'!L208,IF('INHERENT MAP'!$B$5=2022,#REF!,IF('INHERENT MAP'!$B$5=2023,#REF!,IF('INHERENT MAP'!$B$5=2024,#REF!,#REF!))))</f>
        <v>0</v>
      </c>
      <c r="I169">
        <f>IF('INHERENT MAP'!$B$5=2021,'РЕЕСТР РИСКОВ_2023'!M208,IF('INHERENT MAP'!$B$5=2022,#REF!,IF('INHERENT MAP'!$B$5=2023,#REF!,IF('INHERENT MAP'!$B$5=2024,#REF!,#REF!))))</f>
        <v>0</v>
      </c>
      <c r="J169">
        <f>IF('INHERENT MAP'!$B$5=2021,'РЕЕСТР РИСКОВ_2023'!N208,IF('INHERENT MAP'!$B$5=2022,#REF!,IF('INHERENT MAP'!$B$5=2023,#REF!,IF('INHERENT MAP'!$B$5=2024,#REF!,#REF!))))</f>
        <v>0</v>
      </c>
      <c r="K169">
        <f>IF('INHERENT MAP'!$B$5=2021,'РЕЕСТР РИСКОВ_2023'!O208,IF('INHERENT MAP'!$B$5=2022,#REF!,IF('INHERENT MAP'!$B$5=2023,#REF!,IF('INHERENT MAP'!$B$5=2024,#REF!,#REF!))))</f>
        <v>0</v>
      </c>
      <c r="L169">
        <f>IF('INHERENT MAP'!$B$5=2021,'РЕЕСТР РИСКОВ_2023'!P208,IF('INHERENT MAP'!$B$5=2022,#REF!,IF('INHERENT MAP'!$B$5=2023,#REF!,IF('INHERENT MAP'!$B$5=2024,#REF!,#REF!))))</f>
        <v>0</v>
      </c>
      <c r="M169" t="str">
        <f>IF('INHERENT MAP'!$B$5=2021,IF('РЕЕСТР РИСКОВ_2023'!Q208="",M168,'РЕЕСТР РИСКОВ_2023'!Q208),IF('INHERENT MAP'!$B$5=2022,IF(#REF!="",M168,#REF!),IF('INHERENT MAP'!$B$5=2023,IF(#REF!="",M168,#REF!),IF('INHERENT MAP'!$B$5=2024,IF(#REF!="",M168,#REF!),IF('РЕЕСТР РИСКОВ_2023'!Q208="",M168,'РЕЕСТР РИСКОВ_2023'!Q208)))))</f>
        <v>Выбор поставщика при наличии конфликта интересов, признаков аффилированности</v>
      </c>
      <c r="N169" t="str">
        <f>IF('INHERENT MAP'!$B$5=2021,IF('РЕЕСТР РИСКОВ_2023'!R208="",N168,'РЕЕСТР РИСКОВ_2023'!R208),IF('INHERENT MAP'!$B$5=2022,IF(#REF!="",N168,#REF!),IF('INHERENT MAP'!$B$5=2023,IF(#REF!="",N168,#REF!),IF('INHERENT MAP'!$B$5=2024,IF(#REF!="",N168,#REF!),IF('РЕЕСТР РИСКОВ_2023'!R208="",N168,'РЕЕСТР РИСКОВ_2023'!R208)))))</f>
        <v>R1.7CS1. В результате сговора с потенциальными поставщиками с целью получения от них незаконного вознаграждения или иной выгоды, производится выбор поставщика, аффилированного с представителем Компании или имеющий признаки конфликта интересов.</v>
      </c>
      <c r="O169">
        <f>'РЕЕСТР РИСКОВ_2023'!T208</f>
        <v>0</v>
      </c>
      <c r="P169" t="e">
        <f>IF('РЕЕСТР РИСКОВ_2023'!U208="",P168,'РЕЕСТР РИСКОВ_2023'!U208)</f>
        <v>#REF!</v>
      </c>
      <c r="Q169" t="str">
        <f>IF('РЕЕСТР РИСКОВ_2023'!V208="",Q168,'РЕЕСТР РИСКОВ_2023'!V208)</f>
        <v>Угрозы</v>
      </c>
      <c r="R169" t="str">
        <f>IF('РЕЕСТР РИСКОВ_2023'!W208="",R168,'РЕЕСТР РИСКОВ_2023'!W208)</f>
        <v>Возможные индикаторы:
1) наличие конфликта интересов, признаков аффилированности поставщика с представителями Компании;
2) отсутствие предварительного квалификационного отбора среди поставщиков;
3) наличие необоснованных отклонений потенциальных поставщиков по формальным признакам.</v>
      </c>
      <c r="S169">
        <f>'РЕЕСТР РИСКОВ_2023'!X208</f>
        <v>0</v>
      </c>
      <c r="T169" s="94">
        <f>IF('INHERENT MAP'!$B$5=2021,'РЕЕСТР РИСКОВ_2023'!Y208,IF('INHERENT MAP'!$B$5=2022,#REF!,IF('INHERENT MAP'!$B$5=2023,#REF!,IF('INHERENT MAP'!$B$5=2024,#REF!,#REF!))))</f>
        <v>0.2</v>
      </c>
      <c r="U169">
        <f>IF('INHERENT MAP'!$B$5=2021,'РЕЕСТР РИСКОВ_2023'!Z208,IF('INHERENT MAP'!$B$5=2022,#REF!,IF('INHERENT MAP'!$B$5=2023,#REF!,IF('INHERENT MAP'!$B$5=2024,#REF!,#REF!))))</f>
        <v>0</v>
      </c>
      <c r="V169">
        <f>IF('INHERENT MAP'!$B$5=2021,'РЕЕСТР РИСКОВ_2023'!AA208,IF('INHERENT MAP'!$B$5=2022,#REF!,IF('INHERENT MAP'!$B$5=2023,#REF!,IF('INHERENT MAP'!$B$5=2024,#REF!,#REF!))))</f>
        <v>0</v>
      </c>
      <c r="W169">
        <f>IF('INHERENT MAP'!$B$5=2021,'РЕЕСТР РИСКОВ_2023'!AB208,IF('INHERENT MAP'!$B$5=2022,#REF!,IF('INHERENT MAP'!$B$5=2023,#REF!,IF('INHERENT MAP'!$B$5=2024,#REF!,#REF!))))</f>
        <v>0</v>
      </c>
      <c r="X169" s="94">
        <f>IF('INHERENT MAP'!$B$5=2021,'РЕЕСТР РИСКОВ_2023'!AC208,IF('INHERENT MAP'!$B$5=2022,#REF!,IF('INHERENT MAP'!$B$5=2023,#REF!,IF('INHERENT MAP'!$B$5=2024,#REF!,#REF!))))</f>
        <v>0</v>
      </c>
      <c r="Y169">
        <f>IF('INHERENT MAP'!$B$5=2021,'РЕЕСТР РИСКОВ_2023'!AD208,IF('INHERENT MAP'!$B$5=2022,#REF!,IF('INHERENT MAP'!$B$5=2023,#REF!,IF('INHERENT MAP'!$B$5=2024,#REF!,#REF!))))</f>
        <v>0</v>
      </c>
      <c r="Z169">
        <f>IF('INHERENT MAP'!$B$5=2021,'РЕЕСТР РИСКОВ_2023'!AE208,IF('INHERENT MAP'!$B$5=2022,#REF!,IF('INHERENT MAP'!$B$5=2023,#REF!,IF('INHERENT MAP'!$B$5=2024,#REF!,#REF!))))</f>
        <v>0</v>
      </c>
      <c r="AA169">
        <f>IF('INHERENT MAP'!$B$5=2021,'РЕЕСТР РИСКОВ_2023'!AF208,IF('INHERENT MAP'!$B$5=2022,#REF!,IF('INHERENT MAP'!$B$5=2023,#REF!,IF('INHERENT MAP'!$B$5=2024,#REF!,#REF!))))</f>
        <v>0</v>
      </c>
      <c r="AB169">
        <f>IF('INHERENT MAP'!$B$5=2021,'РЕЕСТР РИСКОВ_2023'!AG208,IF('INHERENT MAP'!$B$5=2022,#REF!,IF('INHERENT MAP'!$B$5=2023,#REF!,IF('INHERENT MAP'!$B$5=2024,#REF!,#REF!))))</f>
        <v>0</v>
      </c>
      <c r="AC169">
        <f>IF('INHERENT MAP'!$B$5=2021,'РЕЕСТР РИСКОВ_2023'!AH208,IF('INHERENT MAP'!$B$5=2022,#REF!,IF('INHERENT MAP'!$B$5=2023,#REF!,IF('INHERENT MAP'!$B$5=2024,#REF!,#REF!))))</f>
        <v>0</v>
      </c>
      <c r="AD169">
        <f>IF('INHERENT MAP'!$B$5=2021,'РЕЕСТР РИСКОВ_2023'!AI208,IF('INHERENT MAP'!$B$5=2022,#REF!,IF('INHERENT MAP'!$B$5=2023,#REF!,IF('INHERENT MAP'!$B$5=2024,#REF!,#REF!))))</f>
        <v>0</v>
      </c>
      <c r="AE169">
        <f>IF('INHERENT MAP'!$B$5=2021,'РЕЕСТР РИСКОВ_2023'!AK208,IF('INHERENT MAP'!$B$5=2022,#REF!,IF('INHERENT MAP'!$B$5=2023,#REF!,IF('INHERENT MAP'!$B$5=2024,#REF!,#REF!))))</f>
        <v>0</v>
      </c>
      <c r="AF169">
        <f>IF('INHERENT MAP'!$B$5=2021,'РЕЕСТР РИСКОВ_2023'!AL208,IF('INHERENT MAP'!$B$5=2022,#REF!,IF('INHERENT MAP'!$B$5=2023,#REF!,IF('INHERENT MAP'!$B$5=2024,#REF!,#REF!))))</f>
        <v>0</v>
      </c>
      <c r="AG169">
        <f>IF('INHERENT MAP'!$B$5=2021,'РЕЕСТР РИСКОВ_2023'!AM208,IF('INHERENT MAP'!$B$5=2022,#REF!,IF('INHERENT MAP'!$B$5=2023,#REF!,IF('INHERENT MAP'!$B$5=2024,#REF!,#REF!))))</f>
        <v>0</v>
      </c>
      <c r="AH169">
        <f>IF('INHERENT MAP'!$B$5=2021,'РЕЕСТР РИСКОВ_2023'!AN208,IF('INHERENT MAP'!$B$5=2022,#REF!,IF('INHERENT MAP'!$B$5=2023,#REF!,IF('INHERENT MAP'!$B$5=2024,#REF!,#REF!))))</f>
        <v>0</v>
      </c>
      <c r="AI169">
        <f>IF('INHERENT MAP'!$B$5=2021,'РЕЕСТР РИСКОВ_2023'!AO208,IF('INHERENT MAP'!$B$5=2022,#REF!,IF('INHERENT MAP'!$B$5=2023,#REF!,IF('INHERENT MAP'!$B$5=2024,#REF!,#REF!))))</f>
        <v>0</v>
      </c>
      <c r="AJ169">
        <f>IF('INHERENT MAP'!$B$5=2021,'РЕЕСТР РИСКОВ_2023'!AP208,IF('INHERENT MAP'!$B$5=2022,#REF!,IF('INHERENT MAP'!$B$5=2023,#REF!,IF('INHERENT MAP'!$B$5=2024,#REF!,#REF!))))</f>
        <v>0</v>
      </c>
      <c r="AK169">
        <f>IF('РЕЕСТР РИСКОВ_2023'!AQ208="",AK168,'РЕЕСТР РИСКОВ_2023'!AQ208)</f>
        <v>0</v>
      </c>
      <c r="AL169">
        <f>IF('РЕЕСТР РИСКОВ_2023'!AR208="",AL168,'РЕЕСТР РИСКОВ_2023'!AR208)</f>
        <v>1</v>
      </c>
      <c r="AM169">
        <f>IF('РЕЕСТР РИСКОВ_2023'!AS208="",AM168,'РЕЕСТР РИСКОВ_2023'!AS208)</f>
        <v>0</v>
      </c>
      <c r="AN169">
        <f>IF('РЕЕСТР РИСКОВ_2023'!AT208="",AN168,'РЕЕСТР РИСКОВ_2023'!AT208)</f>
        <v>0</v>
      </c>
      <c r="AO169" t="e">
        <f>IF('РЕЕСТР РИСКОВ_2023'!AU208="",AO168,'РЕЕСТР РИСКОВ_2023'!AU208)</f>
        <v>#REF!</v>
      </c>
    </row>
    <row r="170" spans="2:41">
      <c r="B170" t="str">
        <f>IF('INHERENT MAP'!$B$5=2021,IF('РЕЕСТР РИСКОВ_2023'!F209="",B169,'РЕЕСТР РИСКОВ_2023'!F209),IF('INHERENT MAP'!$B$5=2022,IF(#REF!="",B169,#REF!),IF('INHERENT MAP'!$B$5=2023,IF(#REF!="",B169,#REF!),IF('INHERENT MAP'!$B$5=2024,IF(#REF!="",B169,#REF!),IF('РЕЕСТР РИСКОВ_2023'!F209="",B169,'РЕЕСТР РИСКОВ_2023'!F209)))))</f>
        <v>КОМПЛАЕНС РИСК</v>
      </c>
      <c r="C170" t="e">
        <f>IF('INHERENT MAP'!$B$5=2021,IF('РЕЕСТР РИСКОВ_2023'!G209="",C169,'РЕЕСТР РИСКОВ_2023'!G209),IF('INHERENT MAP'!$B$5=2022,IF(#REF!="",C169,#REF!),IF('INHERENT MAP'!$B$5=2023,IF(#REF!="",C169,#REF!),IF('INHERENT MAP'!$B$5=2024,IF(#REF!="",C169,#REF!),IF('РЕЕСТР РИСКОВ_2023'!G209="",C169,'РЕЕСТР РИСКОВ_2023'!G209)))))</f>
        <v>#REF!</v>
      </c>
      <c r="D170" t="str">
        <f>IF('INHERENT MAP'!$B$5=2021,IF('РЕЕСТР РИСКОВ_2023'!H209="",D169,'РЕЕСТР РИСКОВ_2023'!H209),IF('INHERENT MAP'!$B$5=2022,IF(#REF!="",D169,#REF!),IF('INHERENT MAP'!$B$5=2023,IF(#REF!="",D169,#REF!),IF('INHERENT MAP'!$B$5=2024,IF(#REF!="",D169,#REF!),IF('РЕЕСТР РИСКОВ_2023'!H209="",D169,'РЕЕСТР РИСКОВ_2023'!H209)))))</f>
        <v>CRR-2</v>
      </c>
      <c r="E170" t="str">
        <f>IF('INHERENT MAP'!$B$5=2021,IF('РЕЕСТР РИСКОВ_2023'!I209="",E169,'РЕЕСТР РИСКОВ_2023'!I209),IF('INHERENT MAP'!$B$5=2022,IF(#REF!="",E169,#REF!),IF('INHERENT MAP'!$B$5=2023,IF(#REF!="",E169,#REF!),IF('INHERENT MAP'!$B$5=2024,IF(#REF!="",E169,#REF!),IF('РЕЕСТР РИСКОВ_2023'!I209="",E169,'РЕЕСТР РИСКОВ_2023'!I209)))))</f>
        <v>Ц</v>
      </c>
      <c r="F170" t="str">
        <f>IF('INHERENT MAP'!$B$5=2021,IF('РЕЕСТР РИСКОВ_2023'!J209="",F169,'РЕЕСТР РИСКОВ_2023'!J209),IF('INHERENT MAP'!$B$5=2022,IF(#REF!="",F169,#REF!),IF('INHERENT MAP'!$B$5=2023,IF(#REF!="",F169,#REF!),IF('INHERENT MAP'!$B$5=2024,IF(#REF!="",F169,#REF!),IF('РЕЕСТР РИСКОВ_2023'!J209="",F169,'РЕЕСТР РИСКОВ_2023'!J209)))))</f>
        <v>ЦКС, ЦКБ</v>
      </c>
      <c r="G170" t="str">
        <f>IF('INHERENT MAP'!$B$5=2021,IF('РЕЕСТР РИСКОВ_2023'!K209="",G169,'РЕЕСТР РИСКОВ_2023'!K209),IF('INHERENT MAP'!$B$5=2022,IF(#REF!="",G169,#REF!),IF('INHERENT MAP'!$B$5=2023,IF(#REF!="",G169,#REF!),IF('INHERENT MAP'!$B$5=2024,IF(#REF!="",G169,#REF!),IF('РЕЕСТР РИСКОВ_2023'!K209="",G169,'РЕЕСТР РИСКОВ_2023'!K209)))))</f>
        <v>Коррупционные риски в сфере закупок</v>
      </c>
      <c r="H170">
        <f>IF('INHERENT MAP'!$B$5=2021,'РЕЕСТР РИСКОВ_2023'!L209,IF('INHERENT MAP'!$B$5=2022,#REF!,IF('INHERENT MAP'!$B$5=2023,#REF!,IF('INHERENT MAP'!$B$5=2024,#REF!,#REF!))))</f>
        <v>0</v>
      </c>
      <c r="I170">
        <f>IF('INHERENT MAP'!$B$5=2021,'РЕЕСТР РИСКОВ_2023'!M209,IF('INHERENT MAP'!$B$5=2022,#REF!,IF('INHERENT MAP'!$B$5=2023,#REF!,IF('INHERENT MAP'!$B$5=2024,#REF!,#REF!))))</f>
        <v>0</v>
      </c>
      <c r="J170">
        <f>IF('INHERENT MAP'!$B$5=2021,'РЕЕСТР РИСКОВ_2023'!N209,IF('INHERENT MAP'!$B$5=2022,#REF!,IF('INHERENT MAP'!$B$5=2023,#REF!,IF('INHERENT MAP'!$B$5=2024,#REF!,#REF!))))</f>
        <v>0</v>
      </c>
      <c r="K170">
        <f>IF('INHERENT MAP'!$B$5=2021,'РЕЕСТР РИСКОВ_2023'!O209,IF('INHERENT MAP'!$B$5=2022,#REF!,IF('INHERENT MAP'!$B$5=2023,#REF!,IF('INHERENT MAP'!$B$5=2024,#REF!,#REF!))))</f>
        <v>0</v>
      </c>
      <c r="L170">
        <f>IF('INHERENT MAP'!$B$5=2021,'РЕЕСТР РИСКОВ_2023'!P209,IF('INHERENT MAP'!$B$5=2022,#REF!,IF('INHERENT MAP'!$B$5=2023,#REF!,IF('INHERENT MAP'!$B$5=2024,#REF!,#REF!))))</f>
        <v>0</v>
      </c>
      <c r="M170" t="str">
        <f>IF('INHERENT MAP'!$B$5=2021,IF('РЕЕСТР РИСКОВ_2023'!Q209="",M169,'РЕЕСТР РИСКОВ_2023'!Q209),IF('INHERENT MAP'!$B$5=2022,IF(#REF!="",M169,#REF!),IF('INHERENT MAP'!$B$5=2023,IF(#REF!="",M169,#REF!),IF('INHERENT MAP'!$B$5=2024,IF(#REF!="",M169,#REF!),IF('РЕЕСТР РИСКОВ_2023'!Q209="",M169,'РЕЕСТР РИСКОВ_2023'!Q209)))))</f>
        <v>Неправомерное изменение условий проекта договора/договора</v>
      </c>
      <c r="N170" t="str">
        <f>IF('INHERENT MAP'!$B$5=2021,IF('РЕЕСТР РИСКОВ_2023'!R209="",N169,'РЕЕСТР РИСКОВ_2023'!R209),IF('INHERENT MAP'!$B$5=2022,IF(#REF!="",N169,#REF!),IF('INHERENT MAP'!$B$5=2023,IF(#REF!="",N169,#REF!),IF('INHERENT MAP'!$B$5=2024,IF(#REF!="",N169,#REF!),IF('РЕЕСТР РИСКОВ_2023'!R209="",N169,'РЕЕСТР РИСКОВ_2023'!R209)))))</f>
        <v>R1.8.CS1. Необоснованное изменение условий заключенного договора через заключение дополнительных соглашений, для увеличения выгоды поставщика, аффилированного с представителем Компании, или выплачивающего ему незаконное вознаграждение или предлагающего иную выгоду.</v>
      </c>
      <c r="O170">
        <f>'РЕЕСТР РИСКОВ_2023'!T209</f>
        <v>0</v>
      </c>
      <c r="P170" t="e">
        <f>IF('РЕЕСТР РИСКОВ_2023'!U209="",P169,'РЕЕСТР РИСКОВ_2023'!U209)</f>
        <v>#REF!</v>
      </c>
      <c r="Q170" t="str">
        <f>IF('РЕЕСТР РИСКОВ_2023'!V209="",Q169,'РЕЕСТР РИСКОВ_2023'!V209)</f>
        <v>Угрозы</v>
      </c>
      <c r="R170" t="str">
        <f>IF('РЕЕСТР РИСКОВ_2023'!W209="",R169,'РЕЕСТР РИСКОВ_2023'!W209)</f>
        <v>Возможные индикаторы:
1) наличие изменений и дополнений к договору закупки ТРУ на дополнительные суммы, не предусмотренные договором;
2) увеличение стоимости договора без увеличении объёма ТРУ;
3) увеличение сроков поставки ТРУ;
4) осуществление оплаты без подтверждения поставки ТРУ;
5) наличие аффилированного с представителем Компании.</v>
      </c>
      <c r="S170">
        <f>'РЕЕСТР РИСКОВ_2023'!X209</f>
        <v>0</v>
      </c>
      <c r="T170" s="94">
        <f>IF('INHERENT MAP'!$B$5=2021,'РЕЕСТР РИСКОВ_2023'!Y209,IF('INHERENT MAP'!$B$5=2022,#REF!,IF('INHERENT MAP'!$B$5=2023,#REF!,IF('INHERENT MAP'!$B$5=2024,#REF!,#REF!))))</f>
        <v>0.5</v>
      </c>
      <c r="U170">
        <f>IF('INHERENT MAP'!$B$5=2021,'РЕЕСТР РИСКОВ_2023'!Z209,IF('INHERENT MAP'!$B$5=2022,#REF!,IF('INHERENT MAP'!$B$5=2023,#REF!,IF('INHERENT MAP'!$B$5=2024,#REF!,#REF!))))</f>
        <v>0</v>
      </c>
      <c r="V170">
        <f>IF('INHERENT MAP'!$B$5=2021,'РЕЕСТР РИСКОВ_2023'!AA209,IF('INHERENT MAP'!$B$5=2022,#REF!,IF('INHERENT MAP'!$B$5=2023,#REF!,IF('INHERENT MAP'!$B$5=2024,#REF!,#REF!))))</f>
        <v>0</v>
      </c>
      <c r="W170">
        <f>IF('INHERENT MAP'!$B$5=2021,'РЕЕСТР РИСКОВ_2023'!AB209,IF('INHERENT MAP'!$B$5=2022,#REF!,IF('INHERENT MAP'!$B$5=2023,#REF!,IF('INHERENT MAP'!$B$5=2024,#REF!,#REF!))))</f>
        <v>0</v>
      </c>
      <c r="X170" s="94">
        <f>IF('INHERENT MAP'!$B$5=2021,'РЕЕСТР РИСКОВ_2023'!AC209,IF('INHERENT MAP'!$B$5=2022,#REF!,IF('INHERENT MAP'!$B$5=2023,#REF!,IF('INHERENT MAP'!$B$5=2024,#REF!,#REF!))))</f>
        <v>0</v>
      </c>
      <c r="Y170">
        <f>IF('INHERENT MAP'!$B$5=2021,'РЕЕСТР РИСКОВ_2023'!AD209,IF('INHERENT MAP'!$B$5=2022,#REF!,IF('INHERENT MAP'!$B$5=2023,#REF!,IF('INHERENT MAP'!$B$5=2024,#REF!,#REF!))))</f>
        <v>0</v>
      </c>
      <c r="Z170">
        <f>IF('INHERENT MAP'!$B$5=2021,'РЕЕСТР РИСКОВ_2023'!AE209,IF('INHERENT MAP'!$B$5=2022,#REF!,IF('INHERENT MAP'!$B$5=2023,#REF!,IF('INHERENT MAP'!$B$5=2024,#REF!,#REF!))))</f>
        <v>0</v>
      </c>
      <c r="AA170">
        <f>IF('INHERENT MAP'!$B$5=2021,'РЕЕСТР РИСКОВ_2023'!AF209,IF('INHERENT MAP'!$B$5=2022,#REF!,IF('INHERENT MAP'!$B$5=2023,#REF!,IF('INHERENT MAP'!$B$5=2024,#REF!,#REF!))))</f>
        <v>0</v>
      </c>
      <c r="AB170">
        <f>IF('INHERENT MAP'!$B$5=2021,'РЕЕСТР РИСКОВ_2023'!AG209,IF('INHERENT MAP'!$B$5=2022,#REF!,IF('INHERENT MAP'!$B$5=2023,#REF!,IF('INHERENT MAP'!$B$5=2024,#REF!,#REF!))))</f>
        <v>0</v>
      </c>
      <c r="AC170">
        <f>IF('INHERENT MAP'!$B$5=2021,'РЕЕСТР РИСКОВ_2023'!AH209,IF('INHERENT MAP'!$B$5=2022,#REF!,IF('INHERENT MAP'!$B$5=2023,#REF!,IF('INHERENT MAP'!$B$5=2024,#REF!,#REF!))))</f>
        <v>0</v>
      </c>
      <c r="AD170">
        <f>IF('INHERENT MAP'!$B$5=2021,'РЕЕСТР РИСКОВ_2023'!AI209,IF('INHERENT MAP'!$B$5=2022,#REF!,IF('INHERENT MAP'!$B$5=2023,#REF!,IF('INHERENT MAP'!$B$5=2024,#REF!,#REF!))))</f>
        <v>0</v>
      </c>
      <c r="AE170">
        <f>IF('INHERENT MAP'!$B$5=2021,'РЕЕСТР РИСКОВ_2023'!AK209,IF('INHERENT MAP'!$B$5=2022,#REF!,IF('INHERENT MAP'!$B$5=2023,#REF!,IF('INHERENT MAP'!$B$5=2024,#REF!,#REF!))))</f>
        <v>0</v>
      </c>
      <c r="AF170">
        <f>IF('INHERENT MAP'!$B$5=2021,'РЕЕСТР РИСКОВ_2023'!AL209,IF('INHERENT MAP'!$B$5=2022,#REF!,IF('INHERENT MAP'!$B$5=2023,#REF!,IF('INHERENT MAP'!$B$5=2024,#REF!,#REF!))))</f>
        <v>0</v>
      </c>
      <c r="AG170">
        <f>IF('INHERENT MAP'!$B$5=2021,'РЕЕСТР РИСКОВ_2023'!AM209,IF('INHERENT MAP'!$B$5=2022,#REF!,IF('INHERENT MAP'!$B$5=2023,#REF!,IF('INHERENT MAP'!$B$5=2024,#REF!,#REF!))))</f>
        <v>0</v>
      </c>
      <c r="AH170">
        <f>IF('INHERENT MAP'!$B$5=2021,'РЕЕСТР РИСКОВ_2023'!AN209,IF('INHERENT MAP'!$B$5=2022,#REF!,IF('INHERENT MAP'!$B$5=2023,#REF!,IF('INHERENT MAP'!$B$5=2024,#REF!,#REF!))))</f>
        <v>0</v>
      </c>
      <c r="AI170">
        <f>IF('INHERENT MAP'!$B$5=2021,'РЕЕСТР РИСКОВ_2023'!AO209,IF('INHERENT MAP'!$B$5=2022,#REF!,IF('INHERENT MAP'!$B$5=2023,#REF!,IF('INHERENT MAP'!$B$5=2024,#REF!,#REF!))))</f>
        <v>0</v>
      </c>
      <c r="AJ170">
        <f>IF('INHERENT MAP'!$B$5=2021,'РЕЕСТР РИСКОВ_2023'!AP209,IF('INHERENT MAP'!$B$5=2022,#REF!,IF('INHERENT MAP'!$B$5=2023,#REF!,IF('INHERENT MAP'!$B$5=2024,#REF!,#REF!))))</f>
        <v>0</v>
      </c>
      <c r="AK170">
        <f>IF('РЕЕСТР РИСКОВ_2023'!AQ209="",AK169,'РЕЕСТР РИСКОВ_2023'!AQ209)</f>
        <v>0</v>
      </c>
      <c r="AL170">
        <f>IF('РЕЕСТР РИСКОВ_2023'!AR209="",AL169,'РЕЕСТР РИСКОВ_2023'!AR209)</f>
        <v>1</v>
      </c>
      <c r="AM170">
        <f>IF('РЕЕСТР РИСКОВ_2023'!AS209="",AM169,'РЕЕСТР РИСКОВ_2023'!AS209)</f>
        <v>0</v>
      </c>
      <c r="AN170">
        <f>IF('РЕЕСТР РИСКОВ_2023'!AT209="",AN169,'РЕЕСТР РИСКОВ_2023'!AT209)</f>
        <v>0</v>
      </c>
      <c r="AO170" t="e">
        <f>IF('РЕЕСТР РИСКОВ_2023'!AU209="",AO169,'РЕЕСТР РИСКОВ_2023'!AU209)</f>
        <v>#REF!</v>
      </c>
    </row>
    <row r="171" spans="2:41">
      <c r="B171" t="str">
        <f>IF('INHERENT MAP'!$B$5=2021,IF('РЕЕСТР РИСКОВ_2023'!F210="",B170,'РЕЕСТР РИСКОВ_2023'!F210),IF('INHERENT MAP'!$B$5=2022,IF(#REF!="",B170,#REF!),IF('INHERENT MAP'!$B$5=2023,IF(#REF!="",B170,#REF!),IF('INHERENT MAP'!$B$5=2024,IF(#REF!="",B170,#REF!),IF('РЕЕСТР РИСКОВ_2023'!F210="",B170,'РЕЕСТР РИСКОВ_2023'!F210)))))</f>
        <v>КОМПЛАЕНС РИСК</v>
      </c>
      <c r="C171" t="e">
        <f>IF('INHERENT MAP'!$B$5=2021,IF('РЕЕСТР РИСКОВ_2023'!G210="",C170,'РЕЕСТР РИСКОВ_2023'!G210),IF('INHERENT MAP'!$B$5=2022,IF(#REF!="",C170,#REF!),IF('INHERENT MAP'!$B$5=2023,IF(#REF!="",C170,#REF!),IF('INHERENT MAP'!$B$5=2024,IF(#REF!="",C170,#REF!),IF('РЕЕСТР РИСКОВ_2023'!G210="",C170,'РЕЕСТР РИСКОВ_2023'!G210)))))</f>
        <v>#REF!</v>
      </c>
      <c r="D171" t="str">
        <f>IF('INHERENT MAP'!$B$5=2021,IF('РЕЕСТР РИСКОВ_2023'!H210="",D170,'РЕЕСТР РИСКОВ_2023'!H210),IF('INHERENT MAP'!$B$5=2022,IF(#REF!="",D170,#REF!),IF('INHERENT MAP'!$B$5=2023,IF(#REF!="",D170,#REF!),IF('INHERENT MAP'!$B$5=2024,IF(#REF!="",D170,#REF!),IF('РЕЕСТР РИСКОВ_2023'!H210="",D170,'РЕЕСТР РИСКОВ_2023'!H210)))))</f>
        <v>CRR-2</v>
      </c>
      <c r="E171" t="str">
        <f>IF('INHERENT MAP'!$B$5=2021,IF('РЕЕСТР РИСКОВ_2023'!I210="",E170,'РЕЕСТР РИСКОВ_2023'!I210),IF('INHERENT MAP'!$B$5=2022,IF(#REF!="",E170,#REF!),IF('INHERENT MAP'!$B$5=2023,IF(#REF!="",E170,#REF!),IF('INHERENT MAP'!$B$5=2024,IF(#REF!="",E170,#REF!),IF('РЕЕСТР РИСКОВ_2023'!I210="",E170,'РЕЕСТР РИСКОВ_2023'!I210)))))</f>
        <v>Ц</v>
      </c>
      <c r="F171" t="str">
        <f>IF('INHERENT MAP'!$B$5=2021,IF('РЕЕСТР РИСКОВ_2023'!J210="",F170,'РЕЕСТР РИСКОВ_2023'!J210),IF('INHERENT MAP'!$B$5=2022,IF(#REF!="",F170,#REF!),IF('INHERENT MAP'!$B$5=2023,IF(#REF!="",F170,#REF!),IF('INHERENT MAP'!$B$5=2024,IF(#REF!="",F170,#REF!),IF('РЕЕСТР РИСКОВ_2023'!J210="",F170,'РЕЕСТР РИСКОВ_2023'!J210)))))</f>
        <v>ЦКС, ЦКБ</v>
      </c>
      <c r="G171" t="str">
        <f>IF('INHERENT MAP'!$B$5=2021,IF('РЕЕСТР РИСКОВ_2023'!K210="",G170,'РЕЕСТР РИСКОВ_2023'!K210),IF('INHERENT MAP'!$B$5=2022,IF(#REF!="",G170,#REF!),IF('INHERENT MAP'!$B$5=2023,IF(#REF!="",G170,#REF!),IF('INHERENT MAP'!$B$5=2024,IF(#REF!="",G170,#REF!),IF('РЕЕСТР РИСКОВ_2023'!K210="",G170,'РЕЕСТР РИСКОВ_2023'!K210)))))</f>
        <v>Коррупционные риски в сфере закупок</v>
      </c>
      <c r="H171">
        <f>IF('INHERENT MAP'!$B$5=2021,'РЕЕСТР РИСКОВ_2023'!L210,IF('INHERENT MAP'!$B$5=2022,#REF!,IF('INHERENT MAP'!$B$5=2023,#REF!,IF('INHERENT MAP'!$B$5=2024,#REF!,#REF!))))</f>
        <v>0</v>
      </c>
      <c r="I171">
        <f>IF('INHERENT MAP'!$B$5=2021,'РЕЕСТР РИСКОВ_2023'!M210,IF('INHERENT MAP'!$B$5=2022,#REF!,IF('INHERENT MAP'!$B$5=2023,#REF!,IF('INHERENT MAP'!$B$5=2024,#REF!,#REF!))))</f>
        <v>0</v>
      </c>
      <c r="J171">
        <f>IF('INHERENT MAP'!$B$5=2021,'РЕЕСТР РИСКОВ_2023'!N210,IF('INHERENT MAP'!$B$5=2022,#REF!,IF('INHERENT MAP'!$B$5=2023,#REF!,IF('INHERENT MAP'!$B$5=2024,#REF!,#REF!))))</f>
        <v>0</v>
      </c>
      <c r="K171">
        <f>IF('INHERENT MAP'!$B$5=2021,'РЕЕСТР РИСКОВ_2023'!O210,IF('INHERENT MAP'!$B$5=2022,#REF!,IF('INHERENT MAP'!$B$5=2023,#REF!,IF('INHERENT MAP'!$B$5=2024,#REF!,#REF!))))</f>
        <v>0</v>
      </c>
      <c r="L171">
        <f>IF('INHERENT MAP'!$B$5=2021,'РЕЕСТР РИСКОВ_2023'!P210,IF('INHERENT MAP'!$B$5=2022,#REF!,IF('INHERENT MAP'!$B$5=2023,#REF!,IF('INHERENT MAP'!$B$5=2024,#REF!,#REF!))))</f>
        <v>0</v>
      </c>
      <c r="M171" t="str">
        <f>IF('INHERENT MAP'!$B$5=2021,IF('РЕЕСТР РИСКОВ_2023'!Q210="",M170,'РЕЕСТР РИСКОВ_2023'!Q210),IF('INHERENT MAP'!$B$5=2022,IF(#REF!="",M170,#REF!),IF('INHERENT MAP'!$B$5=2023,IF(#REF!="",M170,#REF!),IF('INHERENT MAP'!$B$5=2024,IF(#REF!="",M170,#REF!),IF('РЕЕСТР РИСКОВ_2023'!Q210="",M170,'РЕЕСТР РИСКОВ_2023'!Q210)))))</f>
        <v>Несоответствующие условиям договора приёмка и оплата ТРУ</v>
      </c>
      <c r="N171" t="str">
        <f>IF('INHERENT MAP'!$B$5=2021,IF('РЕЕСТР РИСКОВ_2023'!R210="",N170,'РЕЕСТР РИСКОВ_2023'!R210),IF('INHERENT MAP'!$B$5=2022,IF(#REF!="",N170,#REF!),IF('INHERENT MAP'!$B$5=2023,IF(#REF!="",N170,#REF!),IF('INHERENT MAP'!$B$5=2024,IF(#REF!="",N170,#REF!),IF('РЕЕСТР РИСКОВ_2023'!R210="",N170,'РЕЕСТР РИСКОВ_2023'!R210)))))</f>
        <v>R1.9CS1. В результате сговора с потенциальными поставщиками с целью получения от них незаконного вознаграждения или иной выгоды, представители Компании подписывают акты приёмки ТРУ без фактического выполнения поставки ТРУ, либо не качественной поставки ТРУ, либо подписания акта приёмки ТРУ задним числом, либо с иными нарушениями условий договора.
R1.9CS2. В нарушение порядка, определенного условиями заключенного договора, проведение Компанией оплаты поставщику, аффилированному с представителем Компании, или выплачивающему ему незаконное вознаграждение или предлагающего иную выгоду.</v>
      </c>
      <c r="O171">
        <f>'РЕЕСТР РИСКОВ_2023'!T210</f>
        <v>0</v>
      </c>
      <c r="P171" t="e">
        <f>IF('РЕЕСТР РИСКОВ_2023'!U210="",P170,'РЕЕСТР РИСКОВ_2023'!U210)</f>
        <v>#REF!</v>
      </c>
      <c r="Q171" t="str">
        <f>IF('РЕЕСТР РИСКОВ_2023'!V210="",Q170,'РЕЕСТР РИСКОВ_2023'!V210)</f>
        <v>Угрозы</v>
      </c>
      <c r="R171" t="str">
        <f>IF('РЕЕСТР РИСКОВ_2023'!W210="",R170,'РЕЕСТР РИСКОВ_2023'!W210)</f>
        <v>Возможные индикаторы R1.9CS1.:
1) наличие фактов подписаний актов приёмки некачественных ТРУ (контрафактного товара), а также на основании несоответствующих (поддельных) документов; 
2) наличие фактов подписания актов приёмки ТРУ задним числом.
Возможные индикаторы R1.9CS2.:
1) наличие фактов оплаты за ТРУ при отсутствии необходимого пакета документов, подтверждающих поставку ТРУ; 
2) наличие фактов заключения дополнительных соглашений к договорам, которыми изменен порядок оплаты по договору в пользу поставщика.</v>
      </c>
      <c r="S171">
        <f>'РЕЕСТР РИСКОВ_2023'!X210</f>
        <v>0</v>
      </c>
      <c r="T171" s="94">
        <f>IF('INHERENT MAP'!$B$5=2021,'РЕЕСТР РИСКОВ_2023'!Y210,IF('INHERENT MAP'!$B$5=2022,#REF!,IF('INHERENT MAP'!$B$5=2023,#REF!,IF('INHERENT MAP'!$B$5=2024,#REF!,#REF!))))</f>
        <v>1</v>
      </c>
      <c r="U171">
        <f>IF('INHERENT MAP'!$B$5=2021,'РЕЕСТР РИСКОВ_2023'!Z210,IF('INHERENT MAP'!$B$5=2022,#REF!,IF('INHERENT MAP'!$B$5=2023,#REF!,IF('INHERENT MAP'!$B$5=2024,#REF!,#REF!))))</f>
        <v>0</v>
      </c>
      <c r="V171">
        <f>IF('INHERENT MAP'!$B$5=2021,'РЕЕСТР РИСКОВ_2023'!AA210,IF('INHERENT MAP'!$B$5=2022,#REF!,IF('INHERENT MAP'!$B$5=2023,#REF!,IF('INHERENT MAP'!$B$5=2024,#REF!,#REF!))))</f>
        <v>0</v>
      </c>
      <c r="W171">
        <f>IF('INHERENT MAP'!$B$5=2021,'РЕЕСТР РИСКОВ_2023'!AB210,IF('INHERENT MAP'!$B$5=2022,#REF!,IF('INHERENT MAP'!$B$5=2023,#REF!,IF('INHERENT MAP'!$B$5=2024,#REF!,#REF!))))</f>
        <v>0</v>
      </c>
      <c r="X171" s="94">
        <f>IF('INHERENT MAP'!$B$5=2021,'РЕЕСТР РИСКОВ_2023'!AC210,IF('INHERENT MAP'!$B$5=2022,#REF!,IF('INHERENT MAP'!$B$5=2023,#REF!,IF('INHERENT MAP'!$B$5=2024,#REF!,#REF!))))</f>
        <v>0</v>
      </c>
      <c r="Y171">
        <f>IF('INHERENT MAP'!$B$5=2021,'РЕЕСТР РИСКОВ_2023'!AD210,IF('INHERENT MAP'!$B$5=2022,#REF!,IF('INHERENT MAP'!$B$5=2023,#REF!,IF('INHERENT MAP'!$B$5=2024,#REF!,#REF!))))</f>
        <v>0</v>
      </c>
      <c r="Z171">
        <f>IF('INHERENT MAP'!$B$5=2021,'РЕЕСТР РИСКОВ_2023'!AE210,IF('INHERENT MAP'!$B$5=2022,#REF!,IF('INHERENT MAP'!$B$5=2023,#REF!,IF('INHERENT MAP'!$B$5=2024,#REF!,#REF!))))</f>
        <v>0</v>
      </c>
      <c r="AA171">
        <f>IF('INHERENT MAP'!$B$5=2021,'РЕЕСТР РИСКОВ_2023'!AF210,IF('INHERENT MAP'!$B$5=2022,#REF!,IF('INHERENT MAP'!$B$5=2023,#REF!,IF('INHERENT MAP'!$B$5=2024,#REF!,#REF!))))</f>
        <v>0</v>
      </c>
      <c r="AB171">
        <f>IF('INHERENT MAP'!$B$5=2021,'РЕЕСТР РИСКОВ_2023'!AG210,IF('INHERENT MAP'!$B$5=2022,#REF!,IF('INHERENT MAP'!$B$5=2023,#REF!,IF('INHERENT MAP'!$B$5=2024,#REF!,#REF!))))</f>
        <v>0</v>
      </c>
      <c r="AC171">
        <f>IF('INHERENT MAP'!$B$5=2021,'РЕЕСТР РИСКОВ_2023'!AH210,IF('INHERENT MAP'!$B$5=2022,#REF!,IF('INHERENT MAP'!$B$5=2023,#REF!,IF('INHERENT MAP'!$B$5=2024,#REF!,#REF!))))</f>
        <v>0</v>
      </c>
      <c r="AD171">
        <f>IF('INHERENT MAP'!$B$5=2021,'РЕЕСТР РИСКОВ_2023'!AI210,IF('INHERENT MAP'!$B$5=2022,#REF!,IF('INHERENT MAP'!$B$5=2023,#REF!,IF('INHERENT MAP'!$B$5=2024,#REF!,#REF!))))</f>
        <v>0</v>
      </c>
      <c r="AE171">
        <f>IF('INHERENT MAP'!$B$5=2021,'РЕЕСТР РИСКОВ_2023'!AK210,IF('INHERENT MAP'!$B$5=2022,#REF!,IF('INHERENT MAP'!$B$5=2023,#REF!,IF('INHERENT MAP'!$B$5=2024,#REF!,#REF!))))</f>
        <v>0</v>
      </c>
      <c r="AF171">
        <f>IF('INHERENT MAP'!$B$5=2021,'РЕЕСТР РИСКОВ_2023'!AL210,IF('INHERENT MAP'!$B$5=2022,#REF!,IF('INHERENT MAP'!$B$5=2023,#REF!,IF('INHERENT MAP'!$B$5=2024,#REF!,#REF!))))</f>
        <v>0</v>
      </c>
      <c r="AG171">
        <f>IF('INHERENT MAP'!$B$5=2021,'РЕЕСТР РИСКОВ_2023'!AM210,IF('INHERENT MAP'!$B$5=2022,#REF!,IF('INHERENT MAP'!$B$5=2023,#REF!,IF('INHERENT MAP'!$B$5=2024,#REF!,#REF!))))</f>
        <v>0</v>
      </c>
      <c r="AH171">
        <f>IF('INHERENT MAP'!$B$5=2021,'РЕЕСТР РИСКОВ_2023'!AN210,IF('INHERENT MAP'!$B$5=2022,#REF!,IF('INHERENT MAP'!$B$5=2023,#REF!,IF('INHERENT MAP'!$B$5=2024,#REF!,#REF!))))</f>
        <v>0</v>
      </c>
      <c r="AI171">
        <f>IF('INHERENT MAP'!$B$5=2021,'РЕЕСТР РИСКОВ_2023'!AO210,IF('INHERENT MAP'!$B$5=2022,#REF!,IF('INHERENT MAP'!$B$5=2023,#REF!,IF('INHERENT MAP'!$B$5=2024,#REF!,#REF!))))</f>
        <v>0</v>
      </c>
      <c r="AJ171">
        <f>IF('INHERENT MAP'!$B$5=2021,'РЕЕСТР РИСКОВ_2023'!AP210,IF('INHERENT MAP'!$B$5=2022,#REF!,IF('INHERENT MAP'!$B$5=2023,#REF!,IF('INHERENT MAP'!$B$5=2024,#REF!,#REF!))))</f>
        <v>0</v>
      </c>
      <c r="AK171">
        <f>IF('РЕЕСТР РИСКОВ_2023'!AQ210="",AK170,'РЕЕСТР РИСКОВ_2023'!AQ210)</f>
        <v>0</v>
      </c>
      <c r="AL171">
        <f>IF('РЕЕСТР РИСКОВ_2023'!AR210="",AL170,'РЕЕСТР РИСКОВ_2023'!AR210)</f>
        <v>1</v>
      </c>
      <c r="AM171">
        <f>IF('РЕЕСТР РИСКОВ_2023'!AS210="",AM170,'РЕЕСТР РИСКОВ_2023'!AS210)</f>
        <v>0</v>
      </c>
      <c r="AN171">
        <f>IF('РЕЕСТР РИСКОВ_2023'!AT210="",AN170,'РЕЕСТР РИСКОВ_2023'!AT210)</f>
        <v>0</v>
      </c>
      <c r="AO171" t="e">
        <f>IF('РЕЕСТР РИСКОВ_2023'!AU210="",AO170,'РЕЕСТР РИСКОВ_2023'!AU210)</f>
        <v>#REF!</v>
      </c>
    </row>
    <row r="172" spans="2:41">
      <c r="B172" t="str">
        <f>IF('INHERENT MAP'!$B$5=2021,IF('РЕЕСТР РИСКОВ_2023'!F211="",B171,'РЕЕСТР РИСКОВ_2023'!F211),IF('INHERENT MAP'!$B$5=2022,IF(#REF!="",B171,#REF!),IF('INHERENT MAP'!$B$5=2023,IF(#REF!="",B171,#REF!),IF('INHERENT MAP'!$B$5=2024,IF(#REF!="",B171,#REF!),IF('РЕЕСТР РИСКОВ_2023'!F211="",B171,'РЕЕСТР РИСКОВ_2023'!F211)))))</f>
        <v>КОМПЛАЕНС РИСК</v>
      </c>
      <c r="C172" t="e">
        <f>IF('INHERENT MAP'!$B$5=2021,IF('РЕЕСТР РИСКОВ_2023'!G211="",C171,'РЕЕСТР РИСКОВ_2023'!G211),IF('INHERENT MAP'!$B$5=2022,IF(#REF!="",C171,#REF!),IF('INHERENT MAP'!$B$5=2023,IF(#REF!="",C171,#REF!),IF('INHERENT MAP'!$B$5=2024,IF(#REF!="",C171,#REF!),IF('РЕЕСТР РИСКОВ_2023'!G211="",C171,'РЕЕСТР РИСКОВ_2023'!G211)))))</f>
        <v>#REF!</v>
      </c>
      <c r="D172" t="str">
        <f>IF('INHERENT MAP'!$B$5=2021,IF('РЕЕСТР РИСКОВ_2023'!H211="",D171,'РЕЕСТР РИСКОВ_2023'!H211),IF('INHERENT MAP'!$B$5=2022,IF(#REF!="",D171,#REF!),IF('INHERENT MAP'!$B$5=2023,IF(#REF!="",D171,#REF!),IF('INHERENT MAP'!$B$5=2024,IF(#REF!="",D171,#REF!),IF('РЕЕСТР РИСКОВ_2023'!H211="",D171,'РЕЕСТР РИСКОВ_2023'!H211)))))</f>
        <v>CRR-2</v>
      </c>
      <c r="E172" t="str">
        <f>IF('INHERENT MAP'!$B$5=2021,IF('РЕЕСТР РИСКОВ_2023'!I211="",E171,'РЕЕСТР РИСКОВ_2023'!I211),IF('INHERENT MAP'!$B$5=2022,IF(#REF!="",E171,#REF!),IF('INHERENT MAP'!$B$5=2023,IF(#REF!="",E171,#REF!),IF('INHERENT MAP'!$B$5=2024,IF(#REF!="",E171,#REF!),IF('РЕЕСТР РИСКОВ_2023'!I211="",E171,'РЕЕСТР РИСКОВ_2023'!I211)))))</f>
        <v>Ц</v>
      </c>
      <c r="F172" t="str">
        <f>IF('INHERENT MAP'!$B$5=2021,IF('РЕЕСТР РИСКОВ_2023'!J211="",F171,'РЕЕСТР РИСКОВ_2023'!J211),IF('INHERENT MAP'!$B$5=2022,IF(#REF!="",F171,#REF!),IF('INHERENT MAP'!$B$5=2023,IF(#REF!="",F171,#REF!),IF('INHERENT MAP'!$B$5=2024,IF(#REF!="",F171,#REF!),IF('РЕЕСТР РИСКОВ_2023'!J211="",F171,'РЕЕСТР РИСКОВ_2023'!J211)))))</f>
        <v>ЦКС, ЦКБ</v>
      </c>
      <c r="G172" t="str">
        <f>IF('INHERENT MAP'!$B$5=2021,IF('РЕЕСТР РИСКОВ_2023'!K211="",G171,'РЕЕСТР РИСКОВ_2023'!K211),IF('INHERENT MAP'!$B$5=2022,IF(#REF!="",G171,#REF!),IF('INHERENT MAP'!$B$5=2023,IF(#REF!="",G171,#REF!),IF('INHERENT MAP'!$B$5=2024,IF(#REF!="",G171,#REF!),IF('РЕЕСТР РИСКОВ_2023'!K211="",G171,'РЕЕСТР РИСКОВ_2023'!K211)))))</f>
        <v>Коррупционные риски в сфере закупок</v>
      </c>
      <c r="H172">
        <f>IF('INHERENT MAP'!$B$5=2021,'РЕЕСТР РИСКОВ_2023'!L211,IF('INHERENT MAP'!$B$5=2022,#REF!,IF('INHERENT MAP'!$B$5=2023,#REF!,IF('INHERENT MAP'!$B$5=2024,#REF!,#REF!))))</f>
        <v>0</v>
      </c>
      <c r="I172">
        <f>IF('INHERENT MAP'!$B$5=2021,'РЕЕСТР РИСКОВ_2023'!M211,IF('INHERENT MAP'!$B$5=2022,#REF!,IF('INHERENT MAP'!$B$5=2023,#REF!,IF('INHERENT MAP'!$B$5=2024,#REF!,#REF!))))</f>
        <v>0</v>
      </c>
      <c r="J172">
        <f>IF('INHERENT MAP'!$B$5=2021,'РЕЕСТР РИСКОВ_2023'!N211,IF('INHERENT MAP'!$B$5=2022,#REF!,IF('INHERENT MAP'!$B$5=2023,#REF!,IF('INHERENT MAP'!$B$5=2024,#REF!,#REF!))))</f>
        <v>0</v>
      </c>
      <c r="K172">
        <f>IF('INHERENT MAP'!$B$5=2021,'РЕЕСТР РИСКОВ_2023'!O211,IF('INHERENT MAP'!$B$5=2022,#REF!,IF('INHERENT MAP'!$B$5=2023,#REF!,IF('INHERENT MAP'!$B$5=2024,#REF!,#REF!))))</f>
        <v>0</v>
      </c>
      <c r="L172">
        <f>IF('INHERENT MAP'!$B$5=2021,'РЕЕСТР РИСКОВ_2023'!P211,IF('INHERENT MAP'!$B$5=2022,#REF!,IF('INHERENT MAP'!$B$5=2023,#REF!,IF('INHERENT MAP'!$B$5=2024,#REF!,#REF!))))</f>
        <v>0</v>
      </c>
      <c r="M172" t="str">
        <f>IF('INHERENT MAP'!$B$5=2021,IF('РЕЕСТР РИСКОВ_2023'!Q211="",M171,'РЕЕСТР РИСКОВ_2023'!Q211),IF('INHERENT MAP'!$B$5=2022,IF(#REF!="",M171,#REF!),IF('INHERENT MAP'!$B$5=2023,IF(#REF!="",M171,#REF!),IF('INHERENT MAP'!$B$5=2024,IF(#REF!="",M171,#REF!),IF('РЕЕСТР РИСКОВ_2023'!Q211="",M171,'РЕЕСТР РИСКОВ_2023'!Q211)))))</f>
        <v xml:space="preserve">Несвоевременная оплата по договору </v>
      </c>
      <c r="N172" t="str">
        <f>IF('INHERENT MAP'!$B$5=2021,IF('РЕЕСТР РИСКОВ_2023'!R211="",N171,'РЕЕСТР РИСКОВ_2023'!R211),IF('INHERENT MAP'!$B$5=2022,IF(#REF!="",N171,#REF!),IF('INHERENT MAP'!$B$5=2023,IF(#REF!="",N171,#REF!),IF('INHERENT MAP'!$B$5=2024,IF(#REF!="",N171,#REF!),IF('РЕЕСТР РИСКОВ_2023'!R211="",N171,'РЕЕСТР РИСКОВ_2023'!R211)))))</f>
        <v>R1.10CS1. Нарушение сроков оплаты по договору для целей получения сумм штрафных санкций за просрочку оплаты в пользу поставщика, аффилированному с представителем Компании, или выплачивающему ему незаконное вознаграждение или предлагающего иную выгоду.</v>
      </c>
      <c r="O172">
        <f>'РЕЕСТР РИСКОВ_2023'!T211</f>
        <v>0</v>
      </c>
      <c r="P172" t="e">
        <f>IF('РЕЕСТР РИСКОВ_2023'!U211="",P171,'РЕЕСТР РИСКОВ_2023'!U211)</f>
        <v>#REF!</v>
      </c>
      <c r="Q172" t="str">
        <f>IF('РЕЕСТР РИСКОВ_2023'!V211="",Q171,'РЕЕСТР РИСКОВ_2023'!V211)</f>
        <v>Угрозы</v>
      </c>
      <c r="R172" t="str">
        <f>IF('РЕЕСТР РИСКОВ_2023'!W211="",R171,'РЕЕСТР РИСКОВ_2023'!W211)</f>
        <v>Возможные индикаторы:
1) наличие фактов необоснованной просрочки оплаты за поставленные ТРУ;
2) отсутствие графика платежей по договорам;
3) наличие просроченной кредиторской задолженности.</v>
      </c>
      <c r="S172">
        <f>'РЕЕСТР РИСКОВ_2023'!X211</f>
        <v>0</v>
      </c>
      <c r="T172" s="94">
        <f>IF('INHERENT MAP'!$B$5=2021,'РЕЕСТР РИСКОВ_2023'!Y211,IF('INHERENT MAP'!$B$5=2022,#REF!,IF('INHERENT MAP'!$B$5=2023,#REF!,IF('INHERENT MAP'!$B$5=2024,#REF!,#REF!))))</f>
        <v>0.2</v>
      </c>
      <c r="U172">
        <f>IF('INHERENT MAP'!$B$5=2021,'РЕЕСТР РИСКОВ_2023'!Z211,IF('INHERENT MAP'!$B$5=2022,#REF!,IF('INHERENT MAP'!$B$5=2023,#REF!,IF('INHERENT MAP'!$B$5=2024,#REF!,#REF!))))</f>
        <v>0</v>
      </c>
      <c r="V172">
        <f>IF('INHERENT MAP'!$B$5=2021,'РЕЕСТР РИСКОВ_2023'!AA211,IF('INHERENT MAP'!$B$5=2022,#REF!,IF('INHERENT MAP'!$B$5=2023,#REF!,IF('INHERENT MAP'!$B$5=2024,#REF!,#REF!))))</f>
        <v>0</v>
      </c>
      <c r="W172">
        <f>IF('INHERENT MAP'!$B$5=2021,'РЕЕСТР РИСКОВ_2023'!AB211,IF('INHERENT MAP'!$B$5=2022,#REF!,IF('INHERENT MAP'!$B$5=2023,#REF!,IF('INHERENT MAP'!$B$5=2024,#REF!,#REF!))))</f>
        <v>0</v>
      </c>
      <c r="X172" s="94">
        <f>IF('INHERENT MAP'!$B$5=2021,'РЕЕСТР РИСКОВ_2023'!AC211,IF('INHERENT MAP'!$B$5=2022,#REF!,IF('INHERENT MAP'!$B$5=2023,#REF!,IF('INHERENT MAP'!$B$5=2024,#REF!,#REF!))))</f>
        <v>0</v>
      </c>
      <c r="Y172">
        <f>IF('INHERENT MAP'!$B$5=2021,'РЕЕСТР РИСКОВ_2023'!AD211,IF('INHERENT MAP'!$B$5=2022,#REF!,IF('INHERENT MAP'!$B$5=2023,#REF!,IF('INHERENT MAP'!$B$5=2024,#REF!,#REF!))))</f>
        <v>0</v>
      </c>
      <c r="Z172">
        <f>IF('INHERENT MAP'!$B$5=2021,'РЕЕСТР РИСКОВ_2023'!AE211,IF('INHERENT MAP'!$B$5=2022,#REF!,IF('INHERENT MAP'!$B$5=2023,#REF!,IF('INHERENT MAP'!$B$5=2024,#REF!,#REF!))))</f>
        <v>0</v>
      </c>
      <c r="AA172">
        <f>IF('INHERENT MAP'!$B$5=2021,'РЕЕСТР РИСКОВ_2023'!AF211,IF('INHERENT MAP'!$B$5=2022,#REF!,IF('INHERENT MAP'!$B$5=2023,#REF!,IF('INHERENT MAP'!$B$5=2024,#REF!,#REF!))))</f>
        <v>0</v>
      </c>
      <c r="AB172">
        <f>IF('INHERENT MAP'!$B$5=2021,'РЕЕСТР РИСКОВ_2023'!AG211,IF('INHERENT MAP'!$B$5=2022,#REF!,IF('INHERENT MAP'!$B$5=2023,#REF!,IF('INHERENT MAP'!$B$5=2024,#REF!,#REF!))))</f>
        <v>0</v>
      </c>
      <c r="AC172">
        <f>IF('INHERENT MAP'!$B$5=2021,'РЕЕСТР РИСКОВ_2023'!AH211,IF('INHERENT MAP'!$B$5=2022,#REF!,IF('INHERENT MAP'!$B$5=2023,#REF!,IF('INHERENT MAP'!$B$5=2024,#REF!,#REF!))))</f>
        <v>0</v>
      </c>
      <c r="AD172">
        <f>IF('INHERENT MAP'!$B$5=2021,'РЕЕСТР РИСКОВ_2023'!AI211,IF('INHERENT MAP'!$B$5=2022,#REF!,IF('INHERENT MAP'!$B$5=2023,#REF!,IF('INHERENT MAP'!$B$5=2024,#REF!,#REF!))))</f>
        <v>0</v>
      </c>
      <c r="AE172">
        <f>IF('INHERENT MAP'!$B$5=2021,'РЕЕСТР РИСКОВ_2023'!AK211,IF('INHERENT MAP'!$B$5=2022,#REF!,IF('INHERENT MAP'!$B$5=2023,#REF!,IF('INHERENT MAP'!$B$5=2024,#REF!,#REF!))))</f>
        <v>0</v>
      </c>
      <c r="AF172">
        <f>IF('INHERENT MAP'!$B$5=2021,'РЕЕСТР РИСКОВ_2023'!AL211,IF('INHERENT MAP'!$B$5=2022,#REF!,IF('INHERENT MAP'!$B$5=2023,#REF!,IF('INHERENT MAP'!$B$5=2024,#REF!,#REF!))))</f>
        <v>0</v>
      </c>
      <c r="AG172">
        <f>IF('INHERENT MAP'!$B$5=2021,'РЕЕСТР РИСКОВ_2023'!AM211,IF('INHERENT MAP'!$B$5=2022,#REF!,IF('INHERENT MAP'!$B$5=2023,#REF!,IF('INHERENT MAP'!$B$5=2024,#REF!,#REF!))))</f>
        <v>0</v>
      </c>
      <c r="AH172">
        <f>IF('INHERENT MAP'!$B$5=2021,'РЕЕСТР РИСКОВ_2023'!AN211,IF('INHERENT MAP'!$B$5=2022,#REF!,IF('INHERENT MAP'!$B$5=2023,#REF!,IF('INHERENT MAP'!$B$5=2024,#REF!,#REF!))))</f>
        <v>0</v>
      </c>
      <c r="AI172">
        <f>IF('INHERENT MAP'!$B$5=2021,'РЕЕСТР РИСКОВ_2023'!AO211,IF('INHERENT MAP'!$B$5=2022,#REF!,IF('INHERENT MAP'!$B$5=2023,#REF!,IF('INHERENT MAP'!$B$5=2024,#REF!,#REF!))))</f>
        <v>0</v>
      </c>
      <c r="AJ172">
        <f>IF('INHERENT MAP'!$B$5=2021,'РЕЕСТР РИСКОВ_2023'!AP211,IF('INHERENT MAP'!$B$5=2022,#REF!,IF('INHERENT MAP'!$B$5=2023,#REF!,IF('INHERENT MAP'!$B$5=2024,#REF!,#REF!))))</f>
        <v>0</v>
      </c>
      <c r="AK172">
        <f>IF('РЕЕСТР РИСКОВ_2023'!AQ211="",AK171,'РЕЕСТР РИСКОВ_2023'!AQ211)</f>
        <v>0</v>
      </c>
      <c r="AL172">
        <f>IF('РЕЕСТР РИСКОВ_2023'!AR211="",AL171,'РЕЕСТР РИСКОВ_2023'!AR211)</f>
        <v>1</v>
      </c>
      <c r="AM172">
        <f>IF('РЕЕСТР РИСКОВ_2023'!AS211="",AM171,'РЕЕСТР РИСКОВ_2023'!AS211)</f>
        <v>0</v>
      </c>
      <c r="AN172">
        <f>IF('РЕЕСТР РИСКОВ_2023'!AT211="",AN171,'РЕЕСТР РИСКОВ_2023'!AT211)</f>
        <v>0</v>
      </c>
      <c r="AO172" t="e">
        <f>IF('РЕЕСТР РИСКОВ_2023'!AU211="",AO171,'РЕЕСТР РИСКОВ_2023'!AU211)</f>
        <v>#REF!</v>
      </c>
    </row>
    <row r="173" spans="2:41">
      <c r="B173" t="str">
        <f>IF('INHERENT MAP'!$B$5=2021,IF('РЕЕСТР РИСКОВ_2023'!F212="",B172,'РЕЕСТР РИСКОВ_2023'!F212),IF('INHERENT MAP'!$B$5=2022,IF(#REF!="",B172,#REF!),IF('INHERENT MAP'!$B$5=2023,IF(#REF!="",B172,#REF!),IF('INHERENT MAP'!$B$5=2024,IF(#REF!="",B172,#REF!),IF('РЕЕСТР РИСКОВ_2023'!F212="",B172,'РЕЕСТР РИСКОВ_2023'!F212)))))</f>
        <v>КОМПЛАЕНС РИСК</v>
      </c>
      <c r="C173" t="e">
        <f>IF('INHERENT MAP'!$B$5=2021,IF('РЕЕСТР РИСКОВ_2023'!G212="",C172,'РЕЕСТР РИСКОВ_2023'!G212),IF('INHERENT MAP'!$B$5=2022,IF(#REF!="",C172,#REF!),IF('INHERENT MAP'!$B$5=2023,IF(#REF!="",C172,#REF!),IF('INHERENT MAP'!$B$5=2024,IF(#REF!="",C172,#REF!),IF('РЕЕСТР РИСКОВ_2023'!G212="",C172,'РЕЕСТР РИСКОВ_2023'!G212)))))</f>
        <v>#REF!</v>
      </c>
      <c r="D173" t="str">
        <f>IF('INHERENT MAP'!$B$5=2021,IF('РЕЕСТР РИСКОВ_2023'!H212="",D172,'РЕЕСТР РИСКОВ_2023'!H212),IF('INHERENT MAP'!$B$5=2022,IF(#REF!="",D172,#REF!),IF('INHERENT MAP'!$B$5=2023,IF(#REF!="",D172,#REF!),IF('INHERENT MAP'!$B$5=2024,IF(#REF!="",D172,#REF!),IF('РЕЕСТР РИСКОВ_2023'!H212="",D172,'РЕЕСТР РИСКОВ_2023'!H212)))))</f>
        <v>CRR-2</v>
      </c>
      <c r="E173" t="str">
        <f>IF('INHERENT MAP'!$B$5=2021,IF('РЕЕСТР РИСКОВ_2023'!I212="",E172,'РЕЕСТР РИСКОВ_2023'!I212),IF('INHERENT MAP'!$B$5=2022,IF(#REF!="",E172,#REF!),IF('INHERENT MAP'!$B$5=2023,IF(#REF!="",E172,#REF!),IF('INHERENT MAP'!$B$5=2024,IF(#REF!="",E172,#REF!),IF('РЕЕСТР РИСКОВ_2023'!I212="",E172,'РЕЕСТР РИСКОВ_2023'!I212)))))</f>
        <v>Ц</v>
      </c>
      <c r="F173" t="str">
        <f>IF('INHERENT MAP'!$B$5=2021,IF('РЕЕСТР РИСКОВ_2023'!J212="",F172,'РЕЕСТР РИСКОВ_2023'!J212),IF('INHERENT MAP'!$B$5=2022,IF(#REF!="",F172,#REF!),IF('INHERENT MAP'!$B$5=2023,IF(#REF!="",F172,#REF!),IF('INHERENT MAP'!$B$5=2024,IF(#REF!="",F172,#REF!),IF('РЕЕСТР РИСКОВ_2023'!J212="",F172,'РЕЕСТР РИСКОВ_2023'!J212)))))</f>
        <v>ЦКС, ЦКБ</v>
      </c>
      <c r="G173" t="str">
        <f>IF('INHERENT MAP'!$B$5=2021,IF('РЕЕСТР РИСКОВ_2023'!K212="",G172,'РЕЕСТР РИСКОВ_2023'!K212),IF('INHERENT MAP'!$B$5=2022,IF(#REF!="",G172,#REF!),IF('INHERENT MAP'!$B$5=2023,IF(#REF!="",G172,#REF!),IF('INHERENT MAP'!$B$5=2024,IF(#REF!="",G172,#REF!),IF('РЕЕСТР РИСКОВ_2023'!K212="",G172,'РЕЕСТР РИСКОВ_2023'!K212)))))</f>
        <v>Коррупционные риски в сфере закупок</v>
      </c>
      <c r="H173">
        <f>IF('INHERENT MAP'!$B$5=2021,'РЕЕСТР РИСКОВ_2023'!L212,IF('INHERENT MAP'!$B$5=2022,#REF!,IF('INHERENT MAP'!$B$5=2023,#REF!,IF('INHERENT MAP'!$B$5=2024,#REF!,#REF!))))</f>
        <v>0</v>
      </c>
      <c r="I173">
        <f>IF('INHERENT MAP'!$B$5=2021,'РЕЕСТР РИСКОВ_2023'!M212,IF('INHERENT MAP'!$B$5=2022,#REF!,IF('INHERENT MAP'!$B$5=2023,#REF!,IF('INHERENT MAP'!$B$5=2024,#REF!,#REF!))))</f>
        <v>0</v>
      </c>
      <c r="J173">
        <f>IF('INHERENT MAP'!$B$5=2021,'РЕЕСТР РИСКОВ_2023'!N212,IF('INHERENT MAP'!$B$5=2022,#REF!,IF('INHERENT MAP'!$B$5=2023,#REF!,IF('INHERENT MAP'!$B$5=2024,#REF!,#REF!))))</f>
        <v>0</v>
      </c>
      <c r="K173">
        <f>IF('INHERENT MAP'!$B$5=2021,'РЕЕСТР РИСКОВ_2023'!O212,IF('INHERENT MAP'!$B$5=2022,#REF!,IF('INHERENT MAP'!$B$5=2023,#REF!,IF('INHERENT MAP'!$B$5=2024,#REF!,#REF!))))</f>
        <v>0</v>
      </c>
      <c r="L173">
        <f>IF('INHERENT MAP'!$B$5=2021,'РЕЕСТР РИСКОВ_2023'!P212,IF('INHERENT MAP'!$B$5=2022,#REF!,IF('INHERENT MAP'!$B$5=2023,#REF!,IF('INHERENT MAP'!$B$5=2024,#REF!,#REF!))))</f>
        <v>0</v>
      </c>
      <c r="M173" t="str">
        <f>IF('INHERENT MAP'!$B$5=2021,IF('РЕЕСТР РИСКОВ_2023'!Q212="",M172,'РЕЕСТР РИСКОВ_2023'!Q212),IF('INHERENT MAP'!$B$5=2022,IF(#REF!="",M172,#REF!),IF('INHERENT MAP'!$B$5=2023,IF(#REF!="",M172,#REF!),IF('INHERENT MAP'!$B$5=2024,IF(#REF!="",M172,#REF!),IF('РЕЕСТР РИСКОВ_2023'!Q212="",M172,'РЕЕСТР РИСКОВ_2023'!Q212)))))</f>
        <v>Непредставление/несвоевременное представление необходимой информации для формирования перечня ненадёжных потенциальных поставщиков (поставщиков) Фонда</v>
      </c>
      <c r="N173" t="str">
        <f>IF('INHERENT MAP'!$B$5=2021,IF('РЕЕСТР РИСКОВ_2023'!R212="",N172,'РЕЕСТР РИСКОВ_2023'!R212),IF('INHERENT MAP'!$B$5=2022,IF(#REF!="",N172,#REF!),IF('INHERENT MAP'!$B$5=2023,IF(#REF!="",N172,#REF!),IF('INHERENT MAP'!$B$5=2024,IF(#REF!="",N172,#REF!),IF('РЕЕСТР РИСКОВ_2023'!R212="",N172,'РЕЕСТР РИСКОВ_2023'!R212)))))</f>
        <v>R1.11CS1. В результате сговора с потенциальными поставщиками (поставщиком) с целью получения от них незаконного вознаграждения или иной выгоды, представители Компании не направляют либо не своевременно предоставляют в Фонд информацию для включения потенциальных поставщиков (поставщиков), допустивших нарушения, являющиеся основаниями для включения в Перечень ненадёжных потенциальных поставщиков Фонда.</v>
      </c>
      <c r="O173">
        <f>'РЕЕСТР РИСКОВ_2023'!T212</f>
        <v>0</v>
      </c>
      <c r="P173" t="e">
        <f>IF('РЕЕСТР РИСКОВ_2023'!U212="",P172,'РЕЕСТР РИСКОВ_2023'!U212)</f>
        <v>#REF!</v>
      </c>
      <c r="Q173" t="str">
        <f>IF('РЕЕСТР РИСКОВ_2023'!V212="",Q172,'РЕЕСТР РИСКОВ_2023'!V212)</f>
        <v>Угрозы</v>
      </c>
      <c r="R173" t="str">
        <f>IF('РЕЕСТР РИСКОВ_2023'!W212="",R172,'РЕЕСТР РИСКОВ_2023'!W212)</f>
        <v>Возможные индикаторы:
1) наличие фактов предоставления потенциальным поставщиком недостоверной информации и/или ложных сведений об отсутствии конфликта интересов;
2) наличие жалоб на нарушения поставщиком своих обязательств;
3) наличие вступившего в законную силу решения (постановления) суда, установившего факт неисполнения или ненадлежащего исполнения договора о закупках.</v>
      </c>
      <c r="S173">
        <f>'РЕЕСТР РИСКОВ_2023'!X212</f>
        <v>0</v>
      </c>
      <c r="T173" s="94">
        <f>IF('INHERENT MAP'!$B$5=2021,'РЕЕСТР РИСКОВ_2023'!Y212,IF('INHERENT MAP'!$B$5=2022,#REF!,IF('INHERENT MAP'!$B$5=2023,#REF!,IF('INHERENT MAP'!$B$5=2024,#REF!,#REF!))))</f>
        <v>0.5</v>
      </c>
      <c r="U173">
        <f>IF('INHERENT MAP'!$B$5=2021,'РЕЕСТР РИСКОВ_2023'!Z212,IF('INHERENT MAP'!$B$5=2022,#REF!,IF('INHERENT MAP'!$B$5=2023,#REF!,IF('INHERENT MAP'!$B$5=2024,#REF!,#REF!))))</f>
        <v>0</v>
      </c>
      <c r="V173">
        <f>IF('INHERENT MAP'!$B$5=2021,'РЕЕСТР РИСКОВ_2023'!AA212,IF('INHERENT MAP'!$B$5=2022,#REF!,IF('INHERENT MAP'!$B$5=2023,#REF!,IF('INHERENT MAP'!$B$5=2024,#REF!,#REF!))))</f>
        <v>0</v>
      </c>
      <c r="W173">
        <f>IF('INHERENT MAP'!$B$5=2021,'РЕЕСТР РИСКОВ_2023'!AB212,IF('INHERENT MAP'!$B$5=2022,#REF!,IF('INHERENT MAP'!$B$5=2023,#REF!,IF('INHERENT MAP'!$B$5=2024,#REF!,#REF!))))</f>
        <v>0</v>
      </c>
      <c r="X173" s="94">
        <f>IF('INHERENT MAP'!$B$5=2021,'РЕЕСТР РИСКОВ_2023'!AC212,IF('INHERENT MAP'!$B$5=2022,#REF!,IF('INHERENT MAP'!$B$5=2023,#REF!,IF('INHERENT MAP'!$B$5=2024,#REF!,#REF!))))</f>
        <v>0</v>
      </c>
      <c r="Y173">
        <f>IF('INHERENT MAP'!$B$5=2021,'РЕЕСТР РИСКОВ_2023'!AD212,IF('INHERENT MAP'!$B$5=2022,#REF!,IF('INHERENT MAP'!$B$5=2023,#REF!,IF('INHERENT MAP'!$B$5=2024,#REF!,#REF!))))</f>
        <v>0</v>
      </c>
      <c r="Z173">
        <f>IF('INHERENT MAP'!$B$5=2021,'РЕЕСТР РИСКОВ_2023'!AE212,IF('INHERENT MAP'!$B$5=2022,#REF!,IF('INHERENT MAP'!$B$5=2023,#REF!,IF('INHERENT MAP'!$B$5=2024,#REF!,#REF!))))</f>
        <v>0</v>
      </c>
      <c r="AA173">
        <f>IF('INHERENT MAP'!$B$5=2021,'РЕЕСТР РИСКОВ_2023'!AF212,IF('INHERENT MAP'!$B$5=2022,#REF!,IF('INHERENT MAP'!$B$5=2023,#REF!,IF('INHERENT MAP'!$B$5=2024,#REF!,#REF!))))</f>
        <v>0</v>
      </c>
      <c r="AB173">
        <f>IF('INHERENT MAP'!$B$5=2021,'РЕЕСТР РИСКОВ_2023'!AG212,IF('INHERENT MAP'!$B$5=2022,#REF!,IF('INHERENT MAP'!$B$5=2023,#REF!,IF('INHERENT MAP'!$B$5=2024,#REF!,#REF!))))</f>
        <v>0</v>
      </c>
      <c r="AC173">
        <f>IF('INHERENT MAP'!$B$5=2021,'РЕЕСТР РИСКОВ_2023'!AH212,IF('INHERENT MAP'!$B$5=2022,#REF!,IF('INHERENT MAP'!$B$5=2023,#REF!,IF('INHERENT MAP'!$B$5=2024,#REF!,#REF!))))</f>
        <v>0</v>
      </c>
      <c r="AD173">
        <f>IF('INHERENT MAP'!$B$5=2021,'РЕЕСТР РИСКОВ_2023'!AI212,IF('INHERENT MAP'!$B$5=2022,#REF!,IF('INHERENT MAP'!$B$5=2023,#REF!,IF('INHERENT MAP'!$B$5=2024,#REF!,#REF!))))</f>
        <v>0</v>
      </c>
      <c r="AE173">
        <f>IF('INHERENT MAP'!$B$5=2021,'РЕЕСТР РИСКОВ_2023'!AK212,IF('INHERENT MAP'!$B$5=2022,#REF!,IF('INHERENT MAP'!$B$5=2023,#REF!,IF('INHERENT MAP'!$B$5=2024,#REF!,#REF!))))</f>
        <v>0</v>
      </c>
      <c r="AF173">
        <f>IF('INHERENT MAP'!$B$5=2021,'РЕЕСТР РИСКОВ_2023'!AL212,IF('INHERENT MAP'!$B$5=2022,#REF!,IF('INHERENT MAP'!$B$5=2023,#REF!,IF('INHERENT MAP'!$B$5=2024,#REF!,#REF!))))</f>
        <v>0</v>
      </c>
      <c r="AG173">
        <f>IF('INHERENT MAP'!$B$5=2021,'РЕЕСТР РИСКОВ_2023'!AM212,IF('INHERENT MAP'!$B$5=2022,#REF!,IF('INHERENT MAP'!$B$5=2023,#REF!,IF('INHERENT MAP'!$B$5=2024,#REF!,#REF!))))</f>
        <v>0</v>
      </c>
      <c r="AH173">
        <f>IF('INHERENT MAP'!$B$5=2021,'РЕЕСТР РИСКОВ_2023'!AN212,IF('INHERENT MAP'!$B$5=2022,#REF!,IF('INHERENT MAP'!$B$5=2023,#REF!,IF('INHERENT MAP'!$B$5=2024,#REF!,#REF!))))</f>
        <v>0</v>
      </c>
      <c r="AI173">
        <f>IF('INHERENT MAP'!$B$5=2021,'РЕЕСТР РИСКОВ_2023'!AO212,IF('INHERENT MAP'!$B$5=2022,#REF!,IF('INHERENT MAP'!$B$5=2023,#REF!,IF('INHERENT MAP'!$B$5=2024,#REF!,#REF!))))</f>
        <v>0</v>
      </c>
      <c r="AJ173">
        <f>IF('INHERENT MAP'!$B$5=2021,'РЕЕСТР РИСКОВ_2023'!AP212,IF('INHERENT MAP'!$B$5=2022,#REF!,IF('INHERENT MAP'!$B$5=2023,#REF!,IF('INHERENT MAP'!$B$5=2024,#REF!,#REF!))))</f>
        <v>0</v>
      </c>
      <c r="AK173">
        <f>IF('РЕЕСТР РИСКОВ_2023'!AQ212="",AK172,'РЕЕСТР РИСКОВ_2023'!AQ212)</f>
        <v>0</v>
      </c>
      <c r="AL173">
        <f>IF('РЕЕСТР РИСКОВ_2023'!AR212="",AL172,'РЕЕСТР РИСКОВ_2023'!AR212)</f>
        <v>1</v>
      </c>
      <c r="AM173">
        <f>IF('РЕЕСТР РИСКОВ_2023'!AS212="",AM172,'РЕЕСТР РИСКОВ_2023'!AS212)</f>
        <v>0</v>
      </c>
      <c r="AN173">
        <f>IF('РЕЕСТР РИСКОВ_2023'!AT212="",AN172,'РЕЕСТР РИСКОВ_2023'!AT212)</f>
        <v>0</v>
      </c>
      <c r="AO173" t="e">
        <f>IF('РЕЕСТР РИСКОВ_2023'!AU212="",AO172,'РЕЕСТР РИСКОВ_2023'!AU212)</f>
        <v>#REF!</v>
      </c>
    </row>
    <row r="174" spans="2:41">
      <c r="B174" t="str">
        <f>IF('INHERENT MAP'!$B$5=2021,IF('РЕЕСТР РИСКОВ_2023'!F213="",B173,'РЕЕСТР РИСКОВ_2023'!F213),IF('INHERENT MAP'!$B$5=2022,IF(#REF!="",B173,#REF!),IF('INHERENT MAP'!$B$5=2023,IF(#REF!="",B173,#REF!),IF('INHERENT MAP'!$B$5=2024,IF(#REF!="",B173,#REF!),IF('РЕЕСТР РИСКОВ_2023'!F213="",B173,'РЕЕСТР РИСКОВ_2023'!F213)))))</f>
        <v>КОМПЛАЕНС РИСК</v>
      </c>
      <c r="C174" t="e">
        <f>IF('INHERENT MAP'!$B$5=2021,IF('РЕЕСТР РИСКОВ_2023'!G213="",C173,'РЕЕСТР РИСКОВ_2023'!G213),IF('INHERENT MAP'!$B$5=2022,IF(#REF!="",C173,#REF!),IF('INHERENT MAP'!$B$5=2023,IF(#REF!="",C173,#REF!),IF('INHERENT MAP'!$B$5=2024,IF(#REF!="",C173,#REF!),IF('РЕЕСТР РИСКОВ_2023'!G213="",C173,'РЕЕСТР РИСКОВ_2023'!G213)))))</f>
        <v>#REF!</v>
      </c>
      <c r="D174" t="str">
        <f>IF('INHERENT MAP'!$B$5=2021,IF('РЕЕСТР РИСКОВ_2023'!H213="",D173,'РЕЕСТР РИСКОВ_2023'!H213),IF('INHERENT MAP'!$B$5=2022,IF(#REF!="",D173,#REF!),IF('INHERENT MAP'!$B$5=2023,IF(#REF!="",D173,#REF!),IF('INHERENT MAP'!$B$5=2024,IF(#REF!="",D173,#REF!),IF('РЕЕСТР РИСКОВ_2023'!H213="",D173,'РЕЕСТР РИСКОВ_2023'!H213)))))</f>
        <v>CRR-3</v>
      </c>
      <c r="E174" t="str">
        <f>IF('INHERENT MAP'!$B$5=2021,IF('РЕЕСТР РИСКОВ_2023'!I213="",E173,'РЕЕСТР РИСКОВ_2023'!I213),IF('INHERENT MAP'!$B$5=2022,IF(#REF!="",E173,#REF!),IF('INHERENT MAP'!$B$5=2023,IF(#REF!="",E173,#REF!),IF('INHERENT MAP'!$B$5=2024,IF(#REF!="",E173,#REF!),IF('РЕЕСТР РИСКОВ_2023'!I213="",E173,'РЕЕСТР РИСКОВ_2023'!I213)))))</f>
        <v>Ц</v>
      </c>
      <c r="F174" t="str">
        <f>IF('INHERENT MAP'!$B$5=2021,IF('РЕЕСТР РИСКОВ_2023'!J213="",F173,'РЕЕСТР РИСКОВ_2023'!J213),IF('INHERENT MAP'!$B$5=2022,IF(#REF!="",F173,#REF!),IF('INHERENT MAP'!$B$5=2023,IF(#REF!="",F173,#REF!),IF('INHERENT MAP'!$B$5=2024,IF(#REF!="",F173,#REF!),IF('РЕЕСТР РИСКОВ_2023'!J213="",F173,'РЕЕСТР РИСКОВ_2023'!J213)))))</f>
        <v>ЦКС, ЦКБ</v>
      </c>
      <c r="G174" t="str">
        <f>IF('INHERENT MAP'!$B$5=2021,IF('РЕЕСТР РИСКОВ_2023'!K213="",G173,'РЕЕСТР РИСКОВ_2023'!K213),IF('INHERENT MAP'!$B$5=2022,IF(#REF!="",G173,#REF!),IF('INHERENT MAP'!$B$5=2023,IF(#REF!="",G173,#REF!),IF('INHERENT MAP'!$B$5=2024,IF(#REF!="",G173,#REF!),IF('РЕЕСТР РИСКОВ_2023'!K213="",G173,'РЕЕСТР РИСКОВ_2023'!K213)))))</f>
        <v>Коррупционные риски в сфере управления персоналом</v>
      </c>
      <c r="H174">
        <f>IF('INHERENT MAP'!$B$5=2021,'РЕЕСТР РИСКОВ_2023'!L213,IF('INHERENT MAP'!$B$5=2022,#REF!,IF('INHERENT MAP'!$B$5=2023,#REF!,IF('INHERENT MAP'!$B$5=2024,#REF!,#REF!))))</f>
        <v>0</v>
      </c>
      <c r="I174">
        <f>IF('INHERENT MAP'!$B$5=2021,'РЕЕСТР РИСКОВ_2023'!M213,IF('INHERENT MAP'!$B$5=2022,#REF!,IF('INHERENT MAP'!$B$5=2023,#REF!,IF('INHERENT MAP'!$B$5=2024,#REF!,#REF!))))</f>
        <v>0</v>
      </c>
      <c r="J174">
        <f>IF('INHERENT MAP'!$B$5=2021,'РЕЕСТР РИСКОВ_2023'!N213,IF('INHERENT MAP'!$B$5=2022,#REF!,IF('INHERENT MAP'!$B$5=2023,#REF!,IF('INHERENT MAP'!$B$5=2024,#REF!,#REF!))))</f>
        <v>0</v>
      </c>
      <c r="K174">
        <f>IF('INHERENT MAP'!$B$5=2021,'РЕЕСТР РИСКОВ_2023'!O213,IF('INHERENT MAP'!$B$5=2022,#REF!,IF('INHERENT MAP'!$B$5=2023,#REF!,IF('INHERENT MAP'!$B$5=2024,#REF!,#REF!))))</f>
        <v>0</v>
      </c>
      <c r="L174">
        <f>IF('INHERENT MAP'!$B$5=2021,'РЕЕСТР РИСКОВ_2023'!P213,IF('INHERENT MAP'!$B$5=2022,#REF!,IF('INHERENT MAP'!$B$5=2023,#REF!,IF('INHERENT MAP'!$B$5=2024,#REF!,#REF!))))</f>
        <v>0</v>
      </c>
      <c r="M174" t="str">
        <f>IF('INHERENT MAP'!$B$5=2021,IF('РЕЕСТР РИСКОВ_2023'!Q213="",M173,'РЕЕСТР РИСКОВ_2023'!Q213),IF('INHERENT MAP'!$B$5=2022,IF(#REF!="",M173,#REF!),IF('INHERENT MAP'!$B$5=2023,IF(#REF!="",M173,#REF!),IF('INHERENT MAP'!$B$5=2024,IF(#REF!="",M173,#REF!),IF('РЕЕСТР РИСКОВ_2023'!Q213="",M173,'РЕЕСТР РИСКОВ_2023'!Q213)))))</f>
        <v xml:space="preserve">Установление квалификационных и иных требований, не соответствующих должности </v>
      </c>
      <c r="N174" t="str">
        <f>IF('INHERENT MAP'!$B$5=2021,IF('РЕЕСТР РИСКОВ_2023'!R213="",N173,'РЕЕСТР РИСКОВ_2023'!R213),IF('INHERENT MAP'!$B$5=2022,IF(#REF!="",N173,#REF!),IF('INHERENT MAP'!$B$5=2023,IF(#REF!="",N173,#REF!),IF('INHERENT MAP'!$B$5=2024,IF(#REF!="",N173,#REF!),IF('РЕЕСТР РИСКОВ_2023'!R213="",N173,'РЕЕСТР РИСКОВ_2023'!R213)))))</f>
        <v xml:space="preserve">R2.1CS1. Оказание содействия в установлении таких квалификационных и иных требований, которым бы соответствовал конкретный кандидат на вакантную должность в результате сговора с третьими лицами, аффилированными с  представителем Компании, или выплачивающего ему незаконное вознаграждение / предлагающего иную выгоду. </v>
      </c>
      <c r="O174">
        <f>'РЕЕСТР РИСКОВ_2023'!T213</f>
        <v>0</v>
      </c>
      <c r="P174" t="e">
        <f>IF('РЕЕСТР РИСКОВ_2023'!U213="",P173,'РЕЕСТР РИСКОВ_2023'!U213)</f>
        <v>#REF!</v>
      </c>
      <c r="Q174" t="str">
        <f>IF('РЕЕСТР РИСКОВ_2023'!V213="",Q173,'РЕЕСТР РИСКОВ_2023'!V213)</f>
        <v>Угрозы</v>
      </c>
      <c r="R174" t="str">
        <f>IF('РЕЕСТР РИСКОВ_2023'!W213="",R173,'РЕЕСТР РИСКОВ_2023'!W213)</f>
        <v>Возможные индикаторы:
1) несоответствие квалификации принятого работника, установленным в описании должности критериям и требованиям для конкретной позиции/должности в Компании;
2) необоснованное заключение о несоответствии кандидатов установленным критериям для конкретной позиции/должности в Компании с целью ограничения конкуренции и выборе конкретного лица;
3) отсутствие надлежащей проверки кандидатов на наличие аффилированности/конфликта интересов с представителями Компании.</v>
      </c>
      <c r="S174">
        <f>'РЕЕСТР РИСКОВ_2023'!X213</f>
        <v>0</v>
      </c>
      <c r="T174" s="94">
        <f>IF('INHERENT MAP'!$B$5=2021,'РЕЕСТР РИСКОВ_2023'!Y213,IF('INHERENT MAP'!$B$5=2022,#REF!,IF('INHERENT MAP'!$B$5=2023,#REF!,IF('INHERENT MAP'!$B$5=2024,#REF!,#REF!))))</f>
        <v>0.2</v>
      </c>
      <c r="U174">
        <f>IF('INHERENT MAP'!$B$5=2021,'РЕЕСТР РИСКОВ_2023'!Z213,IF('INHERENT MAP'!$B$5=2022,#REF!,IF('INHERENT MAP'!$B$5=2023,#REF!,IF('INHERENT MAP'!$B$5=2024,#REF!,#REF!))))</f>
        <v>0</v>
      </c>
      <c r="V174">
        <f>IF('INHERENT MAP'!$B$5=2021,'РЕЕСТР РИСКОВ_2023'!AA213,IF('INHERENT MAP'!$B$5=2022,#REF!,IF('INHERENT MAP'!$B$5=2023,#REF!,IF('INHERENT MAP'!$B$5=2024,#REF!,#REF!))))</f>
        <v>0</v>
      </c>
      <c r="W174">
        <f>IF('INHERENT MAP'!$B$5=2021,'РЕЕСТР РИСКОВ_2023'!AB213,IF('INHERENT MAP'!$B$5=2022,#REF!,IF('INHERENT MAP'!$B$5=2023,#REF!,IF('INHERENT MAP'!$B$5=2024,#REF!,#REF!))))</f>
        <v>0</v>
      </c>
      <c r="X174" s="94">
        <f>IF('INHERENT MAP'!$B$5=2021,'РЕЕСТР РИСКОВ_2023'!AC213,IF('INHERENT MAP'!$B$5=2022,#REF!,IF('INHERENT MAP'!$B$5=2023,#REF!,IF('INHERENT MAP'!$B$5=2024,#REF!,#REF!))))</f>
        <v>0</v>
      </c>
      <c r="Y174">
        <f>IF('INHERENT MAP'!$B$5=2021,'РЕЕСТР РИСКОВ_2023'!AD213,IF('INHERENT MAP'!$B$5=2022,#REF!,IF('INHERENT MAP'!$B$5=2023,#REF!,IF('INHERENT MAP'!$B$5=2024,#REF!,#REF!))))</f>
        <v>0</v>
      </c>
      <c r="Z174">
        <f>IF('INHERENT MAP'!$B$5=2021,'РЕЕСТР РИСКОВ_2023'!AE213,IF('INHERENT MAP'!$B$5=2022,#REF!,IF('INHERENT MAP'!$B$5=2023,#REF!,IF('INHERENT MAP'!$B$5=2024,#REF!,#REF!))))</f>
        <v>0</v>
      </c>
      <c r="AA174">
        <f>IF('INHERENT MAP'!$B$5=2021,'РЕЕСТР РИСКОВ_2023'!AF213,IF('INHERENT MAP'!$B$5=2022,#REF!,IF('INHERENT MAP'!$B$5=2023,#REF!,IF('INHERENT MAP'!$B$5=2024,#REF!,#REF!))))</f>
        <v>0</v>
      </c>
      <c r="AB174">
        <f>IF('INHERENT MAP'!$B$5=2021,'РЕЕСТР РИСКОВ_2023'!AG213,IF('INHERENT MAP'!$B$5=2022,#REF!,IF('INHERENT MAP'!$B$5=2023,#REF!,IF('INHERENT MAP'!$B$5=2024,#REF!,#REF!))))</f>
        <v>0</v>
      </c>
      <c r="AC174">
        <f>IF('INHERENT MAP'!$B$5=2021,'РЕЕСТР РИСКОВ_2023'!AH213,IF('INHERENT MAP'!$B$5=2022,#REF!,IF('INHERENT MAP'!$B$5=2023,#REF!,IF('INHERENT MAP'!$B$5=2024,#REF!,#REF!))))</f>
        <v>0</v>
      </c>
      <c r="AD174">
        <f>IF('INHERENT MAP'!$B$5=2021,'РЕЕСТР РИСКОВ_2023'!AI213,IF('INHERENT MAP'!$B$5=2022,#REF!,IF('INHERENT MAP'!$B$5=2023,#REF!,IF('INHERENT MAP'!$B$5=2024,#REF!,#REF!))))</f>
        <v>0</v>
      </c>
      <c r="AE174">
        <f>IF('INHERENT MAP'!$B$5=2021,'РЕЕСТР РИСКОВ_2023'!AK213,IF('INHERENT MAP'!$B$5=2022,#REF!,IF('INHERENT MAP'!$B$5=2023,#REF!,IF('INHERENT MAP'!$B$5=2024,#REF!,#REF!))))</f>
        <v>0</v>
      </c>
      <c r="AF174">
        <f>IF('INHERENT MAP'!$B$5=2021,'РЕЕСТР РИСКОВ_2023'!AL213,IF('INHERENT MAP'!$B$5=2022,#REF!,IF('INHERENT MAP'!$B$5=2023,#REF!,IF('INHERENT MAP'!$B$5=2024,#REF!,#REF!))))</f>
        <v>0</v>
      </c>
      <c r="AG174">
        <f>IF('INHERENT MAP'!$B$5=2021,'РЕЕСТР РИСКОВ_2023'!AM213,IF('INHERENT MAP'!$B$5=2022,#REF!,IF('INHERENT MAP'!$B$5=2023,#REF!,IF('INHERENT MAP'!$B$5=2024,#REF!,#REF!))))</f>
        <v>0</v>
      </c>
      <c r="AH174">
        <f>IF('INHERENT MAP'!$B$5=2021,'РЕЕСТР РИСКОВ_2023'!AN213,IF('INHERENT MAP'!$B$5=2022,#REF!,IF('INHERENT MAP'!$B$5=2023,#REF!,IF('INHERENT MAP'!$B$5=2024,#REF!,#REF!))))</f>
        <v>0</v>
      </c>
      <c r="AI174">
        <f>IF('INHERENT MAP'!$B$5=2021,'РЕЕСТР РИСКОВ_2023'!AO213,IF('INHERENT MAP'!$B$5=2022,#REF!,IF('INHERENT MAP'!$B$5=2023,#REF!,IF('INHERENT MAP'!$B$5=2024,#REF!,#REF!))))</f>
        <v>0</v>
      </c>
      <c r="AJ174">
        <f>IF('INHERENT MAP'!$B$5=2021,'РЕЕСТР РИСКОВ_2023'!AP213,IF('INHERENT MAP'!$B$5=2022,#REF!,IF('INHERENT MAP'!$B$5=2023,#REF!,IF('INHERENT MAP'!$B$5=2024,#REF!,#REF!))))</f>
        <v>0</v>
      </c>
      <c r="AK174">
        <f>IF('РЕЕСТР РИСКОВ_2023'!AQ213="",AK173,'РЕЕСТР РИСКОВ_2023'!AQ213)</f>
        <v>0</v>
      </c>
      <c r="AL174">
        <f>IF('РЕЕСТР РИСКОВ_2023'!AR213="",AL173,'РЕЕСТР РИСКОВ_2023'!AR213)</f>
        <v>1</v>
      </c>
      <c r="AM174">
        <f>IF('РЕЕСТР РИСКОВ_2023'!AS213="",AM173,'РЕЕСТР РИСКОВ_2023'!AS213)</f>
        <v>0</v>
      </c>
      <c r="AN174">
        <f>IF('РЕЕСТР РИСКОВ_2023'!AT213="",AN173,'РЕЕСТР РИСКОВ_2023'!AT213)</f>
        <v>0</v>
      </c>
      <c r="AO174" t="e">
        <f>IF('РЕЕСТР РИСКОВ_2023'!AU213="",AO173,'РЕЕСТР РИСКОВ_2023'!AU213)</f>
        <v>#REF!</v>
      </c>
    </row>
    <row r="175" spans="2:41">
      <c r="B175" t="str">
        <f>IF('INHERENT MAP'!$B$5=2021,IF('РЕЕСТР РИСКОВ_2023'!F214="",B174,'РЕЕСТР РИСКОВ_2023'!F214),IF('INHERENT MAP'!$B$5=2022,IF(#REF!="",B174,#REF!),IF('INHERENT MAP'!$B$5=2023,IF(#REF!="",B174,#REF!),IF('INHERENT MAP'!$B$5=2024,IF(#REF!="",B174,#REF!),IF('РЕЕСТР РИСКОВ_2023'!F214="",B174,'РЕЕСТР РИСКОВ_2023'!F214)))))</f>
        <v>КОМПЛАЕНС РИСК</v>
      </c>
      <c r="C175" t="e">
        <f>IF('INHERENT MAP'!$B$5=2021,IF('РЕЕСТР РИСКОВ_2023'!G214="",C174,'РЕЕСТР РИСКОВ_2023'!G214),IF('INHERENT MAP'!$B$5=2022,IF(#REF!="",C174,#REF!),IF('INHERENT MAP'!$B$5=2023,IF(#REF!="",C174,#REF!),IF('INHERENT MAP'!$B$5=2024,IF(#REF!="",C174,#REF!),IF('РЕЕСТР РИСКОВ_2023'!G214="",C174,'РЕЕСТР РИСКОВ_2023'!G214)))))</f>
        <v>#REF!</v>
      </c>
      <c r="D175" t="str">
        <f>IF('INHERENT MAP'!$B$5=2021,IF('РЕЕСТР РИСКОВ_2023'!H214="",D174,'РЕЕСТР РИСКОВ_2023'!H214),IF('INHERENT MAP'!$B$5=2022,IF(#REF!="",D174,#REF!),IF('INHERENT MAP'!$B$5=2023,IF(#REF!="",D174,#REF!),IF('INHERENT MAP'!$B$5=2024,IF(#REF!="",D174,#REF!),IF('РЕЕСТР РИСКОВ_2023'!H214="",D174,'РЕЕСТР РИСКОВ_2023'!H214)))))</f>
        <v>CRR-3</v>
      </c>
      <c r="E175" t="str">
        <f>IF('INHERENT MAP'!$B$5=2021,IF('РЕЕСТР РИСКОВ_2023'!I214="",E174,'РЕЕСТР РИСКОВ_2023'!I214),IF('INHERENT MAP'!$B$5=2022,IF(#REF!="",E174,#REF!),IF('INHERENT MAP'!$B$5=2023,IF(#REF!="",E174,#REF!),IF('INHERENT MAP'!$B$5=2024,IF(#REF!="",E174,#REF!),IF('РЕЕСТР РИСКОВ_2023'!I214="",E174,'РЕЕСТР РИСКОВ_2023'!I214)))))</f>
        <v>Ц</v>
      </c>
      <c r="F175" t="str">
        <f>IF('INHERENT MAP'!$B$5=2021,IF('РЕЕСТР РИСКОВ_2023'!J214="",F174,'РЕЕСТР РИСКОВ_2023'!J214),IF('INHERENT MAP'!$B$5=2022,IF(#REF!="",F174,#REF!),IF('INHERENT MAP'!$B$5=2023,IF(#REF!="",F174,#REF!),IF('INHERENT MAP'!$B$5=2024,IF(#REF!="",F174,#REF!),IF('РЕЕСТР РИСКОВ_2023'!J214="",F174,'РЕЕСТР РИСКОВ_2023'!J214)))))</f>
        <v>ЦКС, ЦКБ</v>
      </c>
      <c r="G175" t="str">
        <f>IF('INHERENT MAP'!$B$5=2021,IF('РЕЕСТР РИСКОВ_2023'!K214="",G174,'РЕЕСТР РИСКОВ_2023'!K214),IF('INHERENT MAP'!$B$5=2022,IF(#REF!="",G174,#REF!),IF('INHERENT MAP'!$B$5=2023,IF(#REF!="",G174,#REF!),IF('INHERENT MAP'!$B$5=2024,IF(#REF!="",G174,#REF!),IF('РЕЕСТР РИСКОВ_2023'!K214="",G174,'РЕЕСТР РИСКОВ_2023'!K214)))))</f>
        <v>Коррупционные риски в сфере управления персоналом</v>
      </c>
      <c r="H175">
        <f>IF('INHERENT MAP'!$B$5=2021,'РЕЕСТР РИСКОВ_2023'!L214,IF('INHERENT MAP'!$B$5=2022,#REF!,IF('INHERENT MAP'!$B$5=2023,#REF!,IF('INHERENT MAP'!$B$5=2024,#REF!,#REF!))))</f>
        <v>0</v>
      </c>
      <c r="I175">
        <f>IF('INHERENT MAP'!$B$5=2021,'РЕЕСТР РИСКОВ_2023'!M214,IF('INHERENT MAP'!$B$5=2022,#REF!,IF('INHERENT MAP'!$B$5=2023,#REF!,IF('INHERENT MAP'!$B$5=2024,#REF!,#REF!))))</f>
        <v>0</v>
      </c>
      <c r="J175">
        <f>IF('INHERENT MAP'!$B$5=2021,'РЕЕСТР РИСКОВ_2023'!N214,IF('INHERENT MAP'!$B$5=2022,#REF!,IF('INHERENT MAP'!$B$5=2023,#REF!,IF('INHERENT MAP'!$B$5=2024,#REF!,#REF!))))</f>
        <v>0</v>
      </c>
      <c r="K175">
        <f>IF('INHERENT MAP'!$B$5=2021,'РЕЕСТР РИСКОВ_2023'!O214,IF('INHERENT MAP'!$B$5=2022,#REF!,IF('INHERENT MAP'!$B$5=2023,#REF!,IF('INHERENT MAP'!$B$5=2024,#REF!,#REF!))))</f>
        <v>0</v>
      </c>
      <c r="L175">
        <f>IF('INHERENT MAP'!$B$5=2021,'РЕЕСТР РИСКОВ_2023'!P214,IF('INHERENT MAP'!$B$5=2022,#REF!,IF('INHERENT MAP'!$B$5=2023,#REF!,IF('INHERENT MAP'!$B$5=2024,#REF!,#REF!))))</f>
        <v>0</v>
      </c>
      <c r="M175" t="str">
        <f>IF('INHERENT MAP'!$B$5=2021,IF('РЕЕСТР РИСКОВ_2023'!Q214="",M174,'РЕЕСТР РИСКОВ_2023'!Q214),IF('INHERENT MAP'!$B$5=2022,IF(#REF!="",M174,#REF!),IF('INHERENT MAP'!$B$5=2023,IF(#REF!="",M174,#REF!),IF('INHERENT MAP'!$B$5=2024,IF(#REF!="",M174,#REF!),IF('РЕЕСТР РИСКОВ_2023'!Q214="",M174,'РЕЕСТР РИСКОВ_2023'!Q214)))))</f>
        <v>Упрощение процедур конкурсного отбора и найма на вакантную должность для конкретного лица</v>
      </c>
      <c r="N175" t="str">
        <f>IF('INHERENT MAP'!$B$5=2021,IF('РЕЕСТР РИСКОВ_2023'!R214="",N174,'РЕЕСТР РИСКОВ_2023'!R214),IF('INHERENT MAP'!$B$5=2022,IF(#REF!="",N174,#REF!),IF('INHERENT MAP'!$B$5=2023,IF(#REF!="",N174,#REF!),IF('INHERENT MAP'!$B$5=2024,IF(#REF!="",N174,#REF!),IF('РЕЕСТР РИСКОВ_2023'!R214="",N174,'РЕЕСТР РИСКОВ_2023'!R214)))))</f>
        <v xml:space="preserve">R2.2CS1. Оказание содействия в упрощении процедур конкурсного отбора и найма на вакантную должность для конкретного лица вследствие сговора с третьими лицами, аффилированными с представителем Компании, или выплачивающего ему незаконное вознаграждение/ предлагающего иную выгоду.
R2.2CS2. Ограничение прав внешних кандидатов на участие в конкурсе на вакантные руководящие должности путем приема ранее не работавших в Компании третьих лиц на технические специальности и дальнейшего перевода их в ЦА на руководящие позиции как «переведенные работники внутри группы Компании» вследствие сговора с третьими лицами, аффилированными с представителем Компании, или выплачивающего ему незаконное вознаграждение/предлагающего иную выгоду.
R2.2CS3. Прием третьих лиц  на временно свободную вакансию с последующим переводом на постоянную работу без участия в конкурсном отборе с оформлением как «переведенные работники внутри группы Компании» вследствие сговора с третьими лицами, аффилированными с представителем Компании, или выплачивающего ему незаконное вознаграждение/ предлагающего иную выгоду. </v>
      </c>
      <c r="O175">
        <f>'РЕЕСТР РИСКОВ_2023'!T214</f>
        <v>0</v>
      </c>
      <c r="P175" t="e">
        <f>IF('РЕЕСТР РИСКОВ_2023'!U214="",P174,'РЕЕСТР РИСКОВ_2023'!U214)</f>
        <v>#REF!</v>
      </c>
      <c r="Q175" t="str">
        <f>IF('РЕЕСТР РИСКОВ_2023'!V214="",Q174,'РЕЕСТР РИСКОВ_2023'!V214)</f>
        <v>Угрозы</v>
      </c>
      <c r="R175" t="str">
        <f>IF('РЕЕСТР РИСКОВ_2023'!W214="",R174,'РЕЕСТР РИСКОВ_2023'!W214)</f>
        <v>Возможные индикаторы R2.2CS1.:
1) объявление о наличии вакансии не размещено на веб-сайте Компании или иных информационных источниках; 
2) прием на работу работника без прохождения всех этапов конкурсного отбора; 
3) прием на работу работников без надлежащей его проверки на наличие аффилированности / конфликта интересов с представителем Компании.
Возможные индикаторы R2.2CS2.:
1) стаж работы переведенных лиц в группе Компании составляет менее 1 года; 
2) отсутствие надлежащей проверки кандидатов на наличие аффилированности/конфликта интересов с представителями Компании; 
3) не рассмотрение кандидатов из числа кадрового резерва. 
Возможные индикаторы R2.2CS3.:
1) срок приема на временную вакансию и перевода на постоянную должность составляет 1-2 дня;
2) отсутствие прохождения конкурса внутренними кандидатами, имеющих стаж работы в группе Компании менее 3-х месяцев.</v>
      </c>
      <c r="S175">
        <f>'РЕЕСТР РИСКОВ_2023'!X214</f>
        <v>0</v>
      </c>
      <c r="T175" s="94">
        <f>IF('INHERENT MAP'!$B$5=2021,'РЕЕСТР РИСКОВ_2023'!Y214,IF('INHERENT MAP'!$B$5=2022,#REF!,IF('INHERENT MAP'!$B$5=2023,#REF!,IF('INHERENT MAP'!$B$5=2024,#REF!,#REF!))))</f>
        <v>0.2</v>
      </c>
      <c r="U175">
        <f>IF('INHERENT MAP'!$B$5=2021,'РЕЕСТР РИСКОВ_2023'!Z214,IF('INHERENT MAP'!$B$5=2022,#REF!,IF('INHERENT MAP'!$B$5=2023,#REF!,IF('INHERENT MAP'!$B$5=2024,#REF!,#REF!))))</f>
        <v>0</v>
      </c>
      <c r="V175">
        <f>IF('INHERENT MAP'!$B$5=2021,'РЕЕСТР РИСКОВ_2023'!AA214,IF('INHERENT MAP'!$B$5=2022,#REF!,IF('INHERENT MAP'!$B$5=2023,#REF!,IF('INHERENT MAP'!$B$5=2024,#REF!,#REF!))))</f>
        <v>0</v>
      </c>
      <c r="W175">
        <f>IF('INHERENT MAP'!$B$5=2021,'РЕЕСТР РИСКОВ_2023'!AB214,IF('INHERENT MAP'!$B$5=2022,#REF!,IF('INHERENT MAP'!$B$5=2023,#REF!,IF('INHERENT MAP'!$B$5=2024,#REF!,#REF!))))</f>
        <v>0</v>
      </c>
      <c r="X175" s="94">
        <f>IF('INHERENT MAP'!$B$5=2021,'РЕЕСТР РИСКОВ_2023'!AC214,IF('INHERENT MAP'!$B$5=2022,#REF!,IF('INHERENT MAP'!$B$5=2023,#REF!,IF('INHERENT MAP'!$B$5=2024,#REF!,#REF!))))</f>
        <v>0</v>
      </c>
      <c r="Y175">
        <f>IF('INHERENT MAP'!$B$5=2021,'РЕЕСТР РИСКОВ_2023'!AD214,IF('INHERENT MAP'!$B$5=2022,#REF!,IF('INHERENT MAP'!$B$5=2023,#REF!,IF('INHERENT MAP'!$B$5=2024,#REF!,#REF!))))</f>
        <v>0</v>
      </c>
      <c r="Z175">
        <f>IF('INHERENT MAP'!$B$5=2021,'РЕЕСТР РИСКОВ_2023'!AE214,IF('INHERENT MAP'!$B$5=2022,#REF!,IF('INHERENT MAP'!$B$5=2023,#REF!,IF('INHERENT MAP'!$B$5=2024,#REF!,#REF!))))</f>
        <v>0</v>
      </c>
      <c r="AA175">
        <f>IF('INHERENT MAP'!$B$5=2021,'РЕЕСТР РИСКОВ_2023'!AF214,IF('INHERENT MAP'!$B$5=2022,#REF!,IF('INHERENT MAP'!$B$5=2023,#REF!,IF('INHERENT MAP'!$B$5=2024,#REF!,#REF!))))</f>
        <v>0</v>
      </c>
      <c r="AB175">
        <f>IF('INHERENT MAP'!$B$5=2021,'РЕЕСТР РИСКОВ_2023'!AG214,IF('INHERENT MAP'!$B$5=2022,#REF!,IF('INHERENT MAP'!$B$5=2023,#REF!,IF('INHERENT MAP'!$B$5=2024,#REF!,#REF!))))</f>
        <v>0</v>
      </c>
      <c r="AC175">
        <f>IF('INHERENT MAP'!$B$5=2021,'РЕЕСТР РИСКОВ_2023'!AH214,IF('INHERENT MAP'!$B$5=2022,#REF!,IF('INHERENT MAP'!$B$5=2023,#REF!,IF('INHERENT MAP'!$B$5=2024,#REF!,#REF!))))</f>
        <v>0</v>
      </c>
      <c r="AD175">
        <f>IF('INHERENT MAP'!$B$5=2021,'РЕЕСТР РИСКОВ_2023'!AI214,IF('INHERENT MAP'!$B$5=2022,#REF!,IF('INHERENT MAP'!$B$5=2023,#REF!,IF('INHERENT MAP'!$B$5=2024,#REF!,#REF!))))</f>
        <v>0</v>
      </c>
      <c r="AE175">
        <f>IF('INHERENT MAP'!$B$5=2021,'РЕЕСТР РИСКОВ_2023'!AK214,IF('INHERENT MAP'!$B$5=2022,#REF!,IF('INHERENT MAP'!$B$5=2023,#REF!,IF('INHERENT MAP'!$B$5=2024,#REF!,#REF!))))</f>
        <v>0</v>
      </c>
      <c r="AF175">
        <f>IF('INHERENT MAP'!$B$5=2021,'РЕЕСТР РИСКОВ_2023'!AL214,IF('INHERENT MAP'!$B$5=2022,#REF!,IF('INHERENT MAP'!$B$5=2023,#REF!,IF('INHERENT MAP'!$B$5=2024,#REF!,#REF!))))</f>
        <v>0</v>
      </c>
      <c r="AG175">
        <f>IF('INHERENT MAP'!$B$5=2021,'РЕЕСТР РИСКОВ_2023'!AM214,IF('INHERENT MAP'!$B$5=2022,#REF!,IF('INHERENT MAP'!$B$5=2023,#REF!,IF('INHERENT MAP'!$B$5=2024,#REF!,#REF!))))</f>
        <v>0</v>
      </c>
      <c r="AH175">
        <f>IF('INHERENT MAP'!$B$5=2021,'РЕЕСТР РИСКОВ_2023'!AN214,IF('INHERENT MAP'!$B$5=2022,#REF!,IF('INHERENT MAP'!$B$5=2023,#REF!,IF('INHERENT MAP'!$B$5=2024,#REF!,#REF!))))</f>
        <v>0</v>
      </c>
      <c r="AI175">
        <f>IF('INHERENT MAP'!$B$5=2021,'РЕЕСТР РИСКОВ_2023'!AO214,IF('INHERENT MAP'!$B$5=2022,#REF!,IF('INHERENT MAP'!$B$5=2023,#REF!,IF('INHERENT MAP'!$B$5=2024,#REF!,#REF!))))</f>
        <v>0</v>
      </c>
      <c r="AJ175">
        <f>IF('INHERENT MAP'!$B$5=2021,'РЕЕСТР РИСКОВ_2023'!AP214,IF('INHERENT MAP'!$B$5=2022,#REF!,IF('INHERENT MAP'!$B$5=2023,#REF!,IF('INHERENT MAP'!$B$5=2024,#REF!,#REF!))))</f>
        <v>0</v>
      </c>
      <c r="AK175">
        <f>IF('РЕЕСТР РИСКОВ_2023'!AQ214="",AK174,'РЕЕСТР РИСКОВ_2023'!AQ214)</f>
        <v>0</v>
      </c>
      <c r="AL175">
        <f>IF('РЕЕСТР РИСКОВ_2023'!AR214="",AL174,'РЕЕСТР РИСКОВ_2023'!AR214)</f>
        <v>1</v>
      </c>
      <c r="AM175">
        <f>IF('РЕЕСТР РИСКОВ_2023'!AS214="",AM174,'РЕЕСТР РИСКОВ_2023'!AS214)</f>
        <v>0</v>
      </c>
      <c r="AN175">
        <f>IF('РЕЕСТР РИСКОВ_2023'!AT214="",AN174,'РЕЕСТР РИСКОВ_2023'!AT214)</f>
        <v>0</v>
      </c>
      <c r="AO175" t="e">
        <f>IF('РЕЕСТР РИСКОВ_2023'!AU214="",AO174,'РЕЕСТР РИСКОВ_2023'!AU214)</f>
        <v>#REF!</v>
      </c>
    </row>
    <row r="176" spans="2:41">
      <c r="B176" t="str">
        <f>IF('INHERENT MAP'!$B$5=2021,IF('РЕЕСТР РИСКОВ_2023'!F215="",B175,'РЕЕСТР РИСКОВ_2023'!F215),IF('INHERENT MAP'!$B$5=2022,IF(#REF!="",B175,#REF!),IF('INHERENT MAP'!$B$5=2023,IF(#REF!="",B175,#REF!),IF('INHERENT MAP'!$B$5=2024,IF(#REF!="",B175,#REF!),IF('РЕЕСТР РИСКОВ_2023'!F215="",B175,'РЕЕСТР РИСКОВ_2023'!F215)))))</f>
        <v>КОМПЛАЕНС РИСК</v>
      </c>
      <c r="C176" t="e">
        <f>IF('INHERENT MAP'!$B$5=2021,IF('РЕЕСТР РИСКОВ_2023'!G215="",C175,'РЕЕСТР РИСКОВ_2023'!G215),IF('INHERENT MAP'!$B$5=2022,IF(#REF!="",C175,#REF!),IF('INHERENT MAP'!$B$5=2023,IF(#REF!="",C175,#REF!),IF('INHERENT MAP'!$B$5=2024,IF(#REF!="",C175,#REF!),IF('РЕЕСТР РИСКОВ_2023'!G215="",C175,'РЕЕСТР РИСКОВ_2023'!G215)))))</f>
        <v>#REF!</v>
      </c>
      <c r="D176" t="str">
        <f>IF('INHERENT MAP'!$B$5=2021,IF('РЕЕСТР РИСКОВ_2023'!H215="",D175,'РЕЕСТР РИСКОВ_2023'!H215),IF('INHERENT MAP'!$B$5=2022,IF(#REF!="",D175,#REF!),IF('INHERENT MAP'!$B$5=2023,IF(#REF!="",D175,#REF!),IF('INHERENT MAP'!$B$5=2024,IF(#REF!="",D175,#REF!),IF('РЕЕСТР РИСКОВ_2023'!H215="",D175,'РЕЕСТР РИСКОВ_2023'!H215)))))</f>
        <v>CRR-3</v>
      </c>
      <c r="E176" t="str">
        <f>IF('INHERENT MAP'!$B$5=2021,IF('РЕЕСТР РИСКОВ_2023'!I215="",E175,'РЕЕСТР РИСКОВ_2023'!I215),IF('INHERENT MAP'!$B$5=2022,IF(#REF!="",E175,#REF!),IF('INHERENT MAP'!$B$5=2023,IF(#REF!="",E175,#REF!),IF('INHERENT MAP'!$B$5=2024,IF(#REF!="",E175,#REF!),IF('РЕЕСТР РИСКОВ_2023'!I215="",E175,'РЕЕСТР РИСКОВ_2023'!I215)))))</f>
        <v>Ц</v>
      </c>
      <c r="F176" t="str">
        <f>IF('INHERENT MAP'!$B$5=2021,IF('РЕЕСТР РИСКОВ_2023'!J215="",F175,'РЕЕСТР РИСКОВ_2023'!J215),IF('INHERENT MAP'!$B$5=2022,IF(#REF!="",F175,#REF!),IF('INHERENT MAP'!$B$5=2023,IF(#REF!="",F175,#REF!),IF('INHERENT MAP'!$B$5=2024,IF(#REF!="",F175,#REF!),IF('РЕЕСТР РИСКОВ_2023'!J215="",F175,'РЕЕСТР РИСКОВ_2023'!J215)))))</f>
        <v>ЦКС, ЦКБ</v>
      </c>
      <c r="G176" t="str">
        <f>IF('INHERENT MAP'!$B$5=2021,IF('РЕЕСТР РИСКОВ_2023'!K215="",G175,'РЕЕСТР РИСКОВ_2023'!K215),IF('INHERENT MAP'!$B$5=2022,IF(#REF!="",G175,#REF!),IF('INHERENT MAP'!$B$5=2023,IF(#REF!="",G175,#REF!),IF('INHERENT MAP'!$B$5=2024,IF(#REF!="",G175,#REF!),IF('РЕЕСТР РИСКОВ_2023'!K215="",G175,'РЕЕСТР РИСКОВ_2023'!K215)))))</f>
        <v>Коррупционные риски в сфере управления персоналом</v>
      </c>
      <c r="H176">
        <f>IF('INHERENT MAP'!$B$5=2021,'РЕЕСТР РИСКОВ_2023'!L215,IF('INHERENT MAP'!$B$5=2022,#REF!,IF('INHERENT MAP'!$B$5=2023,#REF!,IF('INHERENT MAP'!$B$5=2024,#REF!,#REF!))))</f>
        <v>0</v>
      </c>
      <c r="I176">
        <f>IF('INHERENT MAP'!$B$5=2021,'РЕЕСТР РИСКОВ_2023'!M215,IF('INHERENT MAP'!$B$5=2022,#REF!,IF('INHERENT MAP'!$B$5=2023,#REF!,IF('INHERENT MAP'!$B$5=2024,#REF!,#REF!))))</f>
        <v>0</v>
      </c>
      <c r="J176">
        <f>IF('INHERENT MAP'!$B$5=2021,'РЕЕСТР РИСКОВ_2023'!N215,IF('INHERENT MAP'!$B$5=2022,#REF!,IF('INHERENT MAP'!$B$5=2023,#REF!,IF('INHERENT MAP'!$B$5=2024,#REF!,#REF!))))</f>
        <v>0</v>
      </c>
      <c r="K176">
        <f>IF('INHERENT MAP'!$B$5=2021,'РЕЕСТР РИСКОВ_2023'!O215,IF('INHERENT MAP'!$B$5=2022,#REF!,IF('INHERENT MAP'!$B$5=2023,#REF!,IF('INHERENT MAP'!$B$5=2024,#REF!,#REF!))))</f>
        <v>0</v>
      </c>
      <c r="L176">
        <f>IF('INHERENT MAP'!$B$5=2021,'РЕЕСТР РИСКОВ_2023'!P215,IF('INHERENT MAP'!$B$5=2022,#REF!,IF('INHERENT MAP'!$B$5=2023,#REF!,IF('INHERENT MAP'!$B$5=2024,#REF!,#REF!))))</f>
        <v>0</v>
      </c>
      <c r="M176" t="str">
        <f>IF('INHERENT MAP'!$B$5=2021,IF('РЕЕСТР РИСКОВ_2023'!Q215="",M175,'РЕЕСТР РИСКОВ_2023'!Q215),IF('INHERENT MAP'!$B$5=2022,IF(#REF!="",M175,#REF!),IF('INHERENT MAP'!$B$5=2023,IF(#REF!="",M175,#REF!),IF('INHERENT MAP'!$B$5=2024,IF(#REF!="",M175,#REF!),IF('РЕЕСТР РИСКОВ_2023'!Q215="",M175,'РЕЕСТР РИСКОВ_2023'!Q215)))))</f>
        <v xml:space="preserve">Найм работников, не соответствующих квалификационным и иным требованиям </v>
      </c>
      <c r="N176" t="str">
        <f>IF('INHERENT MAP'!$B$5=2021,IF('РЕЕСТР РИСКОВ_2023'!R215="",N175,'РЕЕСТР РИСКОВ_2023'!R215),IF('INHERENT MAP'!$B$5=2022,IF(#REF!="",N175,#REF!),IF('INHERENT MAP'!$B$5=2023,IF(#REF!="",N175,#REF!),IF('INHERENT MAP'!$B$5=2024,IF(#REF!="",N175,#REF!),IF('РЕЕСТР РИСКОВ_2023'!R215="",N175,'РЕЕСТР РИСКОВ_2023'!R215)))))</f>
        <v xml:space="preserve">R2.3CS1. Оказание содействия в приёме на работу кандидатов, несоответствующих квалификационным и иным требованиям вследствие сговора с третьими лицами, аффилированными с представителем Компании, или выплачивающего ему незаконное вознаграждение/предлагающего иную выгоду. </v>
      </c>
      <c r="O176">
        <f>'РЕЕСТР РИСКОВ_2023'!T215</f>
        <v>0</v>
      </c>
      <c r="P176" t="e">
        <f>IF('РЕЕСТР РИСКОВ_2023'!U215="",P175,'РЕЕСТР РИСКОВ_2023'!U215)</f>
        <v>#REF!</v>
      </c>
      <c r="Q176" t="str">
        <f>IF('РЕЕСТР РИСКОВ_2023'!V215="",Q175,'РЕЕСТР РИСКОВ_2023'!V215)</f>
        <v>Угрозы</v>
      </c>
      <c r="R176" t="str">
        <f>IF('РЕЕСТР РИСКОВ_2023'!W215="",R175,'РЕЕСТР РИСКОВ_2023'!W215)</f>
        <v>Возможные индикаторы:
1) прием на работу работника без проведения конкурсного отбора;
2) наличие несоответствий принятого на работу работника установленным квалификационным требованиям (описание должности) и иным требованиям;
3) отсутствие анализа соответствия принимаемого работника установленным квалификационным требованиям (описание должности) и иным требованиям, в т.ч. подлинность дипломов о высшем образовании;
4) не рассмотрение кандидатов из числа кадрового резерва;
5) отсутствие надлежащей проверки кандидатов на наличие аффилированности/конфликта интересов с представителями Компании.</v>
      </c>
      <c r="S176">
        <f>'РЕЕСТР РИСКОВ_2023'!X215</f>
        <v>0</v>
      </c>
      <c r="T176" s="94">
        <f>IF('INHERENT MAP'!$B$5=2021,'РЕЕСТР РИСКОВ_2023'!Y215,IF('INHERENT MAP'!$B$5=2022,#REF!,IF('INHERENT MAP'!$B$5=2023,#REF!,IF('INHERENT MAP'!$B$5=2024,#REF!,#REF!))))</f>
        <v>0.2</v>
      </c>
      <c r="U176">
        <f>IF('INHERENT MAP'!$B$5=2021,'РЕЕСТР РИСКОВ_2023'!Z215,IF('INHERENT MAP'!$B$5=2022,#REF!,IF('INHERENT MAP'!$B$5=2023,#REF!,IF('INHERENT MAP'!$B$5=2024,#REF!,#REF!))))</f>
        <v>0</v>
      </c>
      <c r="V176">
        <f>IF('INHERENT MAP'!$B$5=2021,'РЕЕСТР РИСКОВ_2023'!AA215,IF('INHERENT MAP'!$B$5=2022,#REF!,IF('INHERENT MAP'!$B$5=2023,#REF!,IF('INHERENT MAP'!$B$5=2024,#REF!,#REF!))))</f>
        <v>0</v>
      </c>
      <c r="W176">
        <f>IF('INHERENT MAP'!$B$5=2021,'РЕЕСТР РИСКОВ_2023'!AB215,IF('INHERENT MAP'!$B$5=2022,#REF!,IF('INHERENT MAP'!$B$5=2023,#REF!,IF('INHERENT MAP'!$B$5=2024,#REF!,#REF!))))</f>
        <v>0</v>
      </c>
      <c r="X176" s="94">
        <f>IF('INHERENT MAP'!$B$5=2021,'РЕЕСТР РИСКОВ_2023'!AC215,IF('INHERENT MAP'!$B$5=2022,#REF!,IF('INHERENT MAP'!$B$5=2023,#REF!,IF('INHERENT MAP'!$B$5=2024,#REF!,#REF!))))</f>
        <v>0</v>
      </c>
      <c r="Y176">
        <f>IF('INHERENT MAP'!$B$5=2021,'РЕЕСТР РИСКОВ_2023'!AD215,IF('INHERENT MAP'!$B$5=2022,#REF!,IF('INHERENT MAP'!$B$5=2023,#REF!,IF('INHERENT MAP'!$B$5=2024,#REF!,#REF!))))</f>
        <v>0</v>
      </c>
      <c r="Z176">
        <f>IF('INHERENT MAP'!$B$5=2021,'РЕЕСТР РИСКОВ_2023'!AE215,IF('INHERENT MAP'!$B$5=2022,#REF!,IF('INHERENT MAP'!$B$5=2023,#REF!,IF('INHERENT MAP'!$B$5=2024,#REF!,#REF!))))</f>
        <v>0</v>
      </c>
      <c r="AA176">
        <f>IF('INHERENT MAP'!$B$5=2021,'РЕЕСТР РИСКОВ_2023'!AF215,IF('INHERENT MAP'!$B$5=2022,#REF!,IF('INHERENT MAP'!$B$5=2023,#REF!,IF('INHERENT MAP'!$B$5=2024,#REF!,#REF!))))</f>
        <v>0</v>
      </c>
      <c r="AB176">
        <f>IF('INHERENT MAP'!$B$5=2021,'РЕЕСТР РИСКОВ_2023'!AG215,IF('INHERENT MAP'!$B$5=2022,#REF!,IF('INHERENT MAP'!$B$5=2023,#REF!,IF('INHERENT MAP'!$B$5=2024,#REF!,#REF!))))</f>
        <v>0</v>
      </c>
      <c r="AC176">
        <f>IF('INHERENT MAP'!$B$5=2021,'РЕЕСТР РИСКОВ_2023'!AH215,IF('INHERENT MAP'!$B$5=2022,#REF!,IF('INHERENT MAP'!$B$5=2023,#REF!,IF('INHERENT MAP'!$B$5=2024,#REF!,#REF!))))</f>
        <v>0</v>
      </c>
      <c r="AD176">
        <f>IF('INHERENT MAP'!$B$5=2021,'РЕЕСТР РИСКОВ_2023'!AI215,IF('INHERENT MAP'!$B$5=2022,#REF!,IF('INHERENT MAP'!$B$5=2023,#REF!,IF('INHERENT MAP'!$B$5=2024,#REF!,#REF!))))</f>
        <v>0</v>
      </c>
      <c r="AE176">
        <f>IF('INHERENT MAP'!$B$5=2021,'РЕЕСТР РИСКОВ_2023'!AK215,IF('INHERENT MAP'!$B$5=2022,#REF!,IF('INHERENT MAP'!$B$5=2023,#REF!,IF('INHERENT MAP'!$B$5=2024,#REF!,#REF!))))</f>
        <v>0</v>
      </c>
      <c r="AF176">
        <f>IF('INHERENT MAP'!$B$5=2021,'РЕЕСТР РИСКОВ_2023'!AL215,IF('INHERENT MAP'!$B$5=2022,#REF!,IF('INHERENT MAP'!$B$5=2023,#REF!,IF('INHERENT MAP'!$B$5=2024,#REF!,#REF!))))</f>
        <v>0</v>
      </c>
      <c r="AG176">
        <f>IF('INHERENT MAP'!$B$5=2021,'РЕЕСТР РИСКОВ_2023'!AM215,IF('INHERENT MAP'!$B$5=2022,#REF!,IF('INHERENT MAP'!$B$5=2023,#REF!,IF('INHERENT MAP'!$B$5=2024,#REF!,#REF!))))</f>
        <v>0</v>
      </c>
      <c r="AH176">
        <f>IF('INHERENT MAP'!$B$5=2021,'РЕЕСТР РИСКОВ_2023'!AN215,IF('INHERENT MAP'!$B$5=2022,#REF!,IF('INHERENT MAP'!$B$5=2023,#REF!,IF('INHERENT MAP'!$B$5=2024,#REF!,#REF!))))</f>
        <v>0</v>
      </c>
      <c r="AI176">
        <f>IF('INHERENT MAP'!$B$5=2021,'РЕЕСТР РИСКОВ_2023'!AO215,IF('INHERENT MAP'!$B$5=2022,#REF!,IF('INHERENT MAP'!$B$5=2023,#REF!,IF('INHERENT MAP'!$B$5=2024,#REF!,#REF!))))</f>
        <v>0</v>
      </c>
      <c r="AJ176">
        <f>IF('INHERENT MAP'!$B$5=2021,'РЕЕСТР РИСКОВ_2023'!AP215,IF('INHERENT MAP'!$B$5=2022,#REF!,IF('INHERENT MAP'!$B$5=2023,#REF!,IF('INHERENT MAP'!$B$5=2024,#REF!,#REF!))))</f>
        <v>0</v>
      </c>
      <c r="AK176">
        <f>IF('РЕЕСТР РИСКОВ_2023'!AQ215="",AK175,'РЕЕСТР РИСКОВ_2023'!AQ215)</f>
        <v>0</v>
      </c>
      <c r="AL176">
        <f>IF('РЕЕСТР РИСКОВ_2023'!AR215="",AL175,'РЕЕСТР РИСКОВ_2023'!AR215)</f>
        <v>1</v>
      </c>
      <c r="AM176">
        <f>IF('РЕЕСТР РИСКОВ_2023'!AS215="",AM175,'РЕЕСТР РИСКОВ_2023'!AS215)</f>
        <v>0</v>
      </c>
      <c r="AN176">
        <f>IF('РЕЕСТР РИСКОВ_2023'!AT215="",AN175,'РЕЕСТР РИСКОВ_2023'!AT215)</f>
        <v>0</v>
      </c>
      <c r="AO176" t="e">
        <f>IF('РЕЕСТР РИСКОВ_2023'!AU215="",AO175,'РЕЕСТР РИСКОВ_2023'!AU215)</f>
        <v>#REF!</v>
      </c>
    </row>
    <row r="177" spans="2:41">
      <c r="B177" t="str">
        <f>IF('INHERENT MAP'!$B$5=2021,IF('РЕЕСТР РИСКОВ_2023'!F216="",B176,'РЕЕСТР РИСКОВ_2023'!F216),IF('INHERENT MAP'!$B$5=2022,IF(#REF!="",B176,#REF!),IF('INHERENT MAP'!$B$5=2023,IF(#REF!="",B176,#REF!),IF('INHERENT MAP'!$B$5=2024,IF(#REF!="",B176,#REF!),IF('РЕЕСТР РИСКОВ_2023'!F216="",B176,'РЕЕСТР РИСКОВ_2023'!F216)))))</f>
        <v>КОМПЛАЕНС РИСК</v>
      </c>
      <c r="C177" t="e">
        <f>IF('INHERENT MAP'!$B$5=2021,IF('РЕЕСТР РИСКОВ_2023'!G216="",C176,'РЕЕСТР РИСКОВ_2023'!G216),IF('INHERENT MAP'!$B$5=2022,IF(#REF!="",C176,#REF!),IF('INHERENT MAP'!$B$5=2023,IF(#REF!="",C176,#REF!),IF('INHERENT MAP'!$B$5=2024,IF(#REF!="",C176,#REF!),IF('РЕЕСТР РИСКОВ_2023'!G216="",C176,'РЕЕСТР РИСКОВ_2023'!G216)))))</f>
        <v>#REF!</v>
      </c>
      <c r="D177" t="str">
        <f>IF('INHERENT MAP'!$B$5=2021,IF('РЕЕСТР РИСКОВ_2023'!H216="",D176,'РЕЕСТР РИСКОВ_2023'!H216),IF('INHERENT MAP'!$B$5=2022,IF(#REF!="",D176,#REF!),IF('INHERENT MAP'!$B$5=2023,IF(#REF!="",D176,#REF!),IF('INHERENT MAP'!$B$5=2024,IF(#REF!="",D176,#REF!),IF('РЕЕСТР РИСКОВ_2023'!H216="",D176,'РЕЕСТР РИСКОВ_2023'!H216)))))</f>
        <v>CRR-3</v>
      </c>
      <c r="E177" t="str">
        <f>IF('INHERENT MAP'!$B$5=2021,IF('РЕЕСТР РИСКОВ_2023'!I216="",E176,'РЕЕСТР РИСКОВ_2023'!I216),IF('INHERENT MAP'!$B$5=2022,IF(#REF!="",E176,#REF!),IF('INHERENT MAP'!$B$5=2023,IF(#REF!="",E176,#REF!),IF('INHERENT MAP'!$B$5=2024,IF(#REF!="",E176,#REF!),IF('РЕЕСТР РИСКОВ_2023'!I216="",E176,'РЕЕСТР РИСКОВ_2023'!I216)))))</f>
        <v>Ц</v>
      </c>
      <c r="F177" t="str">
        <f>IF('INHERENT MAP'!$B$5=2021,IF('РЕЕСТР РИСКОВ_2023'!J216="",F176,'РЕЕСТР РИСКОВ_2023'!J216),IF('INHERENT MAP'!$B$5=2022,IF(#REF!="",F176,#REF!),IF('INHERENT MAP'!$B$5=2023,IF(#REF!="",F176,#REF!),IF('INHERENT MAP'!$B$5=2024,IF(#REF!="",F176,#REF!),IF('РЕЕСТР РИСКОВ_2023'!J216="",F176,'РЕЕСТР РИСКОВ_2023'!J216)))))</f>
        <v>ЦКС, ЦКБ</v>
      </c>
      <c r="G177" t="str">
        <f>IF('INHERENT MAP'!$B$5=2021,IF('РЕЕСТР РИСКОВ_2023'!K216="",G176,'РЕЕСТР РИСКОВ_2023'!K216),IF('INHERENT MAP'!$B$5=2022,IF(#REF!="",G176,#REF!),IF('INHERENT MAP'!$B$5=2023,IF(#REF!="",G176,#REF!),IF('INHERENT MAP'!$B$5=2024,IF(#REF!="",G176,#REF!),IF('РЕЕСТР РИСКОВ_2023'!K216="",G176,'РЕЕСТР РИСКОВ_2023'!K216)))))</f>
        <v>Коррупционные риски в сфере управления персоналом</v>
      </c>
      <c r="H177">
        <f>IF('INHERENT MAP'!$B$5=2021,'РЕЕСТР РИСКОВ_2023'!L216,IF('INHERENT MAP'!$B$5=2022,#REF!,IF('INHERENT MAP'!$B$5=2023,#REF!,IF('INHERENT MAP'!$B$5=2024,#REF!,#REF!))))</f>
        <v>0</v>
      </c>
      <c r="I177">
        <f>IF('INHERENT MAP'!$B$5=2021,'РЕЕСТР РИСКОВ_2023'!M216,IF('INHERENT MAP'!$B$5=2022,#REF!,IF('INHERENT MAP'!$B$5=2023,#REF!,IF('INHERENT MAP'!$B$5=2024,#REF!,#REF!))))</f>
        <v>0</v>
      </c>
      <c r="J177">
        <f>IF('INHERENT MAP'!$B$5=2021,'РЕЕСТР РИСКОВ_2023'!N216,IF('INHERENT MAP'!$B$5=2022,#REF!,IF('INHERENT MAP'!$B$5=2023,#REF!,IF('INHERENT MAP'!$B$5=2024,#REF!,#REF!))))</f>
        <v>0</v>
      </c>
      <c r="K177">
        <f>IF('INHERENT MAP'!$B$5=2021,'РЕЕСТР РИСКОВ_2023'!O216,IF('INHERENT MAP'!$B$5=2022,#REF!,IF('INHERENT MAP'!$B$5=2023,#REF!,IF('INHERENT MAP'!$B$5=2024,#REF!,#REF!))))</f>
        <v>0</v>
      </c>
      <c r="L177">
        <f>IF('INHERENT MAP'!$B$5=2021,'РЕЕСТР РИСКОВ_2023'!P216,IF('INHERENT MAP'!$B$5=2022,#REF!,IF('INHERENT MAP'!$B$5=2023,#REF!,IF('INHERENT MAP'!$B$5=2024,#REF!,#REF!))))</f>
        <v>0</v>
      </c>
      <c r="M177" t="str">
        <f>IF('INHERENT MAP'!$B$5=2021,IF('РЕЕСТР РИСКОВ_2023'!Q216="",M176,'РЕЕСТР РИСКОВ_2023'!Q216),IF('INHERENT MAP'!$B$5=2022,IF(#REF!="",M176,#REF!),IF('INHERENT MAP'!$B$5=2023,IF(#REF!="",M176,#REF!),IF('INHERENT MAP'!$B$5=2024,IF(#REF!="",M176,#REF!),IF('РЕЕСТР РИСКОВ_2023'!Q216="",M176,'РЕЕСТР РИСКОВ_2023'!Q216)))))</f>
        <v xml:space="preserve">Найм работников, ранее привлекавшихся к ответственности за коррупционные правонарушения </v>
      </c>
      <c r="N177" t="str">
        <f>IF('INHERENT MAP'!$B$5=2021,IF('РЕЕСТР РИСКОВ_2023'!R216="",N176,'РЕЕСТР РИСКОВ_2023'!R216),IF('INHERENT MAP'!$B$5=2022,IF(#REF!="",N176,#REF!),IF('INHERENT MAP'!$B$5=2023,IF(#REF!="",N176,#REF!),IF('INHERENT MAP'!$B$5=2024,IF(#REF!="",N176,#REF!),IF('РЕЕСТР РИСКОВ_2023'!R216="",N176,'РЕЕСТР РИСКОВ_2023'!R216)))))</f>
        <v>R2.4CS1. Оказание содействия в приёме на работу кандидатов, которые ранее привлекались к ответственности за коррупционные правонарушения вследствие сговора с третьими лицами, аффилированными с представителем Компании, или выплачивающего ему незаконное вознаграждение/предлагающего иную выгоду</v>
      </c>
      <c r="O177">
        <f>'РЕЕСТР РИСКОВ_2023'!T216</f>
        <v>0</v>
      </c>
      <c r="P177" t="e">
        <f>IF('РЕЕСТР РИСКОВ_2023'!U216="",P176,'РЕЕСТР РИСКОВ_2023'!U216)</f>
        <v>#REF!</v>
      </c>
      <c r="Q177" t="str">
        <f>IF('РЕЕСТР РИСКОВ_2023'!V216="",Q176,'РЕЕСТР РИСКОВ_2023'!V216)</f>
        <v>Угрозы</v>
      </c>
      <c r="R177" t="str">
        <f>IF('РЕЕСТР РИСКОВ_2023'!W216="",R176,'РЕЕСТР РИСКОВ_2023'!W216)</f>
        <v>Возможные индикаторы:
1) прием на работу работника, в отношении которого имеется информация о вовлечении его в коррупционную деятельность или экономические преступления;
2) отсутствие процедуры проверки благонадежности кандидата на вакантную должность.</v>
      </c>
      <c r="S177">
        <f>'РЕЕСТР РИСКОВ_2023'!X216</f>
        <v>0</v>
      </c>
      <c r="T177" s="94">
        <f>IF('INHERENT MAP'!$B$5=2021,'РЕЕСТР РИСКОВ_2023'!Y216,IF('INHERENT MAP'!$B$5=2022,#REF!,IF('INHERENT MAP'!$B$5=2023,#REF!,IF('INHERENT MAP'!$B$5=2024,#REF!,#REF!))))</f>
        <v>0</v>
      </c>
      <c r="U177">
        <f>IF('INHERENT MAP'!$B$5=2021,'РЕЕСТР РИСКОВ_2023'!Z216,IF('INHERENT MAP'!$B$5=2022,#REF!,IF('INHERENT MAP'!$B$5=2023,#REF!,IF('INHERENT MAP'!$B$5=2024,#REF!,#REF!))))</f>
        <v>0</v>
      </c>
      <c r="V177">
        <f>IF('INHERENT MAP'!$B$5=2021,'РЕЕСТР РИСКОВ_2023'!AA216,IF('INHERENT MAP'!$B$5=2022,#REF!,IF('INHERENT MAP'!$B$5=2023,#REF!,IF('INHERENT MAP'!$B$5=2024,#REF!,#REF!))))</f>
        <v>0</v>
      </c>
      <c r="W177">
        <f>IF('INHERENT MAP'!$B$5=2021,'РЕЕСТР РИСКОВ_2023'!AB216,IF('INHERENT MAP'!$B$5=2022,#REF!,IF('INHERENT MAP'!$B$5=2023,#REF!,IF('INHERENT MAP'!$B$5=2024,#REF!,#REF!))))</f>
        <v>0</v>
      </c>
      <c r="X177" s="94">
        <f>IF('INHERENT MAP'!$B$5=2021,'РЕЕСТР РИСКОВ_2023'!AC216,IF('INHERENT MAP'!$B$5=2022,#REF!,IF('INHERENT MAP'!$B$5=2023,#REF!,IF('INHERENT MAP'!$B$5=2024,#REF!,#REF!))))</f>
        <v>0</v>
      </c>
      <c r="Y177">
        <f>IF('INHERENT MAP'!$B$5=2021,'РЕЕСТР РИСКОВ_2023'!AD216,IF('INHERENT MAP'!$B$5=2022,#REF!,IF('INHERENT MAP'!$B$5=2023,#REF!,IF('INHERENT MAP'!$B$5=2024,#REF!,#REF!))))</f>
        <v>0</v>
      </c>
      <c r="Z177">
        <f>IF('INHERENT MAP'!$B$5=2021,'РЕЕСТР РИСКОВ_2023'!AE216,IF('INHERENT MAP'!$B$5=2022,#REF!,IF('INHERENT MAP'!$B$5=2023,#REF!,IF('INHERENT MAP'!$B$5=2024,#REF!,#REF!))))</f>
        <v>0</v>
      </c>
      <c r="AA177">
        <f>IF('INHERENT MAP'!$B$5=2021,'РЕЕСТР РИСКОВ_2023'!AF216,IF('INHERENT MAP'!$B$5=2022,#REF!,IF('INHERENT MAP'!$B$5=2023,#REF!,IF('INHERENT MAP'!$B$5=2024,#REF!,#REF!))))</f>
        <v>0</v>
      </c>
      <c r="AB177">
        <f>IF('INHERENT MAP'!$B$5=2021,'РЕЕСТР РИСКОВ_2023'!AG216,IF('INHERENT MAP'!$B$5=2022,#REF!,IF('INHERENT MAP'!$B$5=2023,#REF!,IF('INHERENT MAP'!$B$5=2024,#REF!,#REF!))))</f>
        <v>0</v>
      </c>
      <c r="AC177">
        <f>IF('INHERENT MAP'!$B$5=2021,'РЕЕСТР РИСКОВ_2023'!AH216,IF('INHERENT MAP'!$B$5=2022,#REF!,IF('INHERENT MAP'!$B$5=2023,#REF!,IF('INHERENT MAP'!$B$5=2024,#REF!,#REF!))))</f>
        <v>0</v>
      </c>
      <c r="AD177">
        <f>IF('INHERENT MAP'!$B$5=2021,'РЕЕСТР РИСКОВ_2023'!AI216,IF('INHERENT MAP'!$B$5=2022,#REF!,IF('INHERENT MAP'!$B$5=2023,#REF!,IF('INHERENT MAP'!$B$5=2024,#REF!,#REF!))))</f>
        <v>0</v>
      </c>
      <c r="AE177">
        <f>IF('INHERENT MAP'!$B$5=2021,'РЕЕСТР РИСКОВ_2023'!AK216,IF('INHERENT MAP'!$B$5=2022,#REF!,IF('INHERENT MAP'!$B$5=2023,#REF!,IF('INHERENT MAP'!$B$5=2024,#REF!,#REF!))))</f>
        <v>0</v>
      </c>
      <c r="AF177">
        <f>IF('INHERENT MAP'!$B$5=2021,'РЕЕСТР РИСКОВ_2023'!AL216,IF('INHERENT MAP'!$B$5=2022,#REF!,IF('INHERENT MAP'!$B$5=2023,#REF!,IF('INHERENT MAP'!$B$5=2024,#REF!,#REF!))))</f>
        <v>0</v>
      </c>
      <c r="AG177">
        <f>IF('INHERENT MAP'!$B$5=2021,'РЕЕСТР РИСКОВ_2023'!AM216,IF('INHERENT MAP'!$B$5=2022,#REF!,IF('INHERENT MAP'!$B$5=2023,#REF!,IF('INHERENT MAP'!$B$5=2024,#REF!,#REF!))))</f>
        <v>0</v>
      </c>
      <c r="AH177">
        <f>IF('INHERENT MAP'!$B$5=2021,'РЕЕСТР РИСКОВ_2023'!AN216,IF('INHERENT MAP'!$B$5=2022,#REF!,IF('INHERENT MAP'!$B$5=2023,#REF!,IF('INHERENT MAP'!$B$5=2024,#REF!,#REF!))))</f>
        <v>0</v>
      </c>
      <c r="AI177">
        <f>IF('INHERENT MAP'!$B$5=2021,'РЕЕСТР РИСКОВ_2023'!AO216,IF('INHERENT MAP'!$B$5=2022,#REF!,IF('INHERENT MAP'!$B$5=2023,#REF!,IF('INHERENT MAP'!$B$5=2024,#REF!,#REF!))))</f>
        <v>0</v>
      </c>
      <c r="AJ177">
        <f>IF('INHERENT MAP'!$B$5=2021,'РЕЕСТР РИСКОВ_2023'!AP216,IF('INHERENT MAP'!$B$5=2022,#REF!,IF('INHERENT MAP'!$B$5=2023,#REF!,IF('INHERENT MAP'!$B$5=2024,#REF!,#REF!))))</f>
        <v>0</v>
      </c>
      <c r="AK177">
        <f>IF('РЕЕСТР РИСКОВ_2023'!AQ216="",AK176,'РЕЕСТР РИСКОВ_2023'!AQ216)</f>
        <v>0</v>
      </c>
      <c r="AL177">
        <f>IF('РЕЕСТР РИСКОВ_2023'!AR216="",AL176,'РЕЕСТР РИСКОВ_2023'!AR216)</f>
        <v>1</v>
      </c>
      <c r="AM177">
        <f>IF('РЕЕСТР РИСКОВ_2023'!AS216="",AM176,'РЕЕСТР РИСКОВ_2023'!AS216)</f>
        <v>0</v>
      </c>
      <c r="AN177">
        <f>IF('РЕЕСТР РИСКОВ_2023'!AT216="",AN176,'РЕЕСТР РИСКОВ_2023'!AT216)</f>
        <v>0</v>
      </c>
      <c r="AO177" t="e">
        <f>IF('РЕЕСТР РИСКОВ_2023'!AU216="",AO176,'РЕЕСТР РИСКОВ_2023'!AU216)</f>
        <v>#REF!</v>
      </c>
    </row>
    <row r="178" spans="2:41">
      <c r="B178" t="str">
        <f>IF('INHERENT MAP'!$B$5=2021,IF('РЕЕСТР РИСКОВ_2023'!F217="",B177,'РЕЕСТР РИСКОВ_2023'!F217),IF('INHERENT MAP'!$B$5=2022,IF(#REF!="",B177,#REF!),IF('INHERENT MAP'!$B$5=2023,IF(#REF!="",B177,#REF!),IF('INHERENT MAP'!$B$5=2024,IF(#REF!="",B177,#REF!),IF('РЕЕСТР РИСКОВ_2023'!F217="",B177,'РЕЕСТР РИСКОВ_2023'!F217)))))</f>
        <v>КОМПЛАЕНС РИСК</v>
      </c>
      <c r="C178" t="e">
        <f>IF('INHERENT MAP'!$B$5=2021,IF('РЕЕСТР РИСКОВ_2023'!G217="",C177,'РЕЕСТР РИСКОВ_2023'!G217),IF('INHERENT MAP'!$B$5=2022,IF(#REF!="",C177,#REF!),IF('INHERENT MAP'!$B$5=2023,IF(#REF!="",C177,#REF!),IF('INHERENT MAP'!$B$5=2024,IF(#REF!="",C177,#REF!),IF('РЕЕСТР РИСКОВ_2023'!G217="",C177,'РЕЕСТР РИСКОВ_2023'!G217)))))</f>
        <v>#REF!</v>
      </c>
      <c r="D178" t="str">
        <f>IF('INHERENT MAP'!$B$5=2021,IF('РЕЕСТР РИСКОВ_2023'!H217="",D177,'РЕЕСТР РИСКОВ_2023'!H217),IF('INHERENT MAP'!$B$5=2022,IF(#REF!="",D177,#REF!),IF('INHERENT MAP'!$B$5=2023,IF(#REF!="",D177,#REF!),IF('INHERENT MAP'!$B$5=2024,IF(#REF!="",D177,#REF!),IF('РЕЕСТР РИСКОВ_2023'!H217="",D177,'РЕЕСТР РИСКОВ_2023'!H217)))))</f>
        <v>CRR-3</v>
      </c>
      <c r="E178" t="str">
        <f>IF('INHERENT MAP'!$B$5=2021,IF('РЕЕСТР РИСКОВ_2023'!I217="",E177,'РЕЕСТР РИСКОВ_2023'!I217),IF('INHERENT MAP'!$B$5=2022,IF(#REF!="",E177,#REF!),IF('INHERENT MAP'!$B$5=2023,IF(#REF!="",E177,#REF!),IF('INHERENT MAP'!$B$5=2024,IF(#REF!="",E177,#REF!),IF('РЕЕСТР РИСКОВ_2023'!I217="",E177,'РЕЕСТР РИСКОВ_2023'!I217)))))</f>
        <v>Ц</v>
      </c>
      <c r="F178" t="str">
        <f>IF('INHERENT MAP'!$B$5=2021,IF('РЕЕСТР РИСКОВ_2023'!J217="",F177,'РЕЕСТР РИСКОВ_2023'!J217),IF('INHERENT MAP'!$B$5=2022,IF(#REF!="",F177,#REF!),IF('INHERENT MAP'!$B$5=2023,IF(#REF!="",F177,#REF!),IF('INHERENT MAP'!$B$5=2024,IF(#REF!="",F177,#REF!),IF('РЕЕСТР РИСКОВ_2023'!J217="",F177,'РЕЕСТР РИСКОВ_2023'!J217)))))</f>
        <v>ЦКС, ЦКБ</v>
      </c>
      <c r="G178" t="str">
        <f>IF('INHERENT MAP'!$B$5=2021,IF('РЕЕСТР РИСКОВ_2023'!K217="",G177,'РЕЕСТР РИСКОВ_2023'!K217),IF('INHERENT MAP'!$B$5=2022,IF(#REF!="",G177,#REF!),IF('INHERENT MAP'!$B$5=2023,IF(#REF!="",G177,#REF!),IF('INHERENT MAP'!$B$5=2024,IF(#REF!="",G177,#REF!),IF('РЕЕСТР РИСКОВ_2023'!K217="",G177,'РЕЕСТР РИСКОВ_2023'!K217)))))</f>
        <v>Коррупционные риски в сфере управления персоналом</v>
      </c>
      <c r="H178">
        <f>IF('INHERENT MAP'!$B$5=2021,'РЕЕСТР РИСКОВ_2023'!L217,IF('INHERENT MAP'!$B$5=2022,#REF!,IF('INHERENT MAP'!$B$5=2023,#REF!,IF('INHERENT MAP'!$B$5=2024,#REF!,#REF!))))</f>
        <v>0</v>
      </c>
      <c r="I178">
        <f>IF('INHERENT MAP'!$B$5=2021,'РЕЕСТР РИСКОВ_2023'!M217,IF('INHERENT MAP'!$B$5=2022,#REF!,IF('INHERENT MAP'!$B$5=2023,#REF!,IF('INHERENT MAP'!$B$5=2024,#REF!,#REF!))))</f>
        <v>0</v>
      </c>
      <c r="J178">
        <f>IF('INHERENT MAP'!$B$5=2021,'РЕЕСТР РИСКОВ_2023'!N217,IF('INHERENT MAP'!$B$5=2022,#REF!,IF('INHERENT MAP'!$B$5=2023,#REF!,IF('INHERENT MAP'!$B$5=2024,#REF!,#REF!))))</f>
        <v>0</v>
      </c>
      <c r="K178">
        <f>IF('INHERENT MAP'!$B$5=2021,'РЕЕСТР РИСКОВ_2023'!O217,IF('INHERENT MAP'!$B$5=2022,#REF!,IF('INHERENT MAP'!$B$5=2023,#REF!,IF('INHERENT MAP'!$B$5=2024,#REF!,#REF!))))</f>
        <v>0</v>
      </c>
      <c r="L178">
        <f>IF('INHERENT MAP'!$B$5=2021,'РЕЕСТР РИСКОВ_2023'!P217,IF('INHERENT MAP'!$B$5=2022,#REF!,IF('INHERENT MAP'!$B$5=2023,#REF!,IF('INHERENT MAP'!$B$5=2024,#REF!,#REF!))))</f>
        <v>0</v>
      </c>
      <c r="M178" t="str">
        <f>IF('INHERENT MAP'!$B$5=2021,IF('РЕЕСТР РИСКОВ_2023'!Q217="",M177,'РЕЕСТР РИСКОВ_2023'!Q217),IF('INHERENT MAP'!$B$5=2022,IF(#REF!="",M177,#REF!),IF('INHERENT MAP'!$B$5=2023,IF(#REF!="",M177,#REF!),IF('INHERENT MAP'!$B$5=2024,IF(#REF!="",M177,#REF!),IF('РЕЕСТР РИСКОВ_2023'!Q217="",M177,'РЕЕСТР РИСКОВ_2023'!Q217)))))</f>
        <v>Риск выплаты вознаграждения работникам, которые фактически не ведут трудовую деятельность вследствие сговора с такими работниками</v>
      </c>
      <c r="N178" t="str">
        <f>IF('INHERENT MAP'!$B$5=2021,IF('РЕЕСТР РИСКОВ_2023'!R217="",N177,'РЕЕСТР РИСКОВ_2023'!R217),IF('INHERENT MAP'!$B$5=2022,IF(#REF!="",N177,#REF!),IF('INHERENT MAP'!$B$5=2023,IF(#REF!="",N177,#REF!),IF('INHERENT MAP'!$B$5=2024,IF(#REF!="",N177,#REF!),IF('РЕЕСТР РИСКОВ_2023'!R217="",N177,'РЕЕСТР РИСКОВ_2023'!R217)))))</f>
        <v>R2.5CS1. Фиктивное трудоустройство третьих лиц, в результате сговора с которыми представители Компании выплачивают им заработную плату и иные выплаты с целью получения от них незаконного вознаграждения или иную выгоду. 
R2.5CS2. Выплаты вознаграждения работникам, которые фактически не осуществляют / временно не осуществляют  трудовую деятельность (лист по временной нетрудоспособности) вследствие сговора с работниками и извлечения личной выгоды
R2.5CS3. Необоснованное начисление и выплаты вознаграждения должностному лицу/работнику путем злоупотребления служебным положением и извлечения личной выгоды.</v>
      </c>
      <c r="O178">
        <f>'РЕЕСТР РИСКОВ_2023'!T217</f>
        <v>0</v>
      </c>
      <c r="P178" t="e">
        <f>IF('РЕЕСТР РИСКОВ_2023'!U217="",P177,'РЕЕСТР РИСКОВ_2023'!U217)</f>
        <v>#REF!</v>
      </c>
      <c r="Q178" t="str">
        <f>IF('РЕЕСТР РИСКОВ_2023'!V217="",Q177,'РЕЕСТР РИСКОВ_2023'!V217)</f>
        <v>Угрозы</v>
      </c>
      <c r="R178" t="str">
        <f>IF('РЕЕСТР РИСКОВ_2023'!W217="",R177,'РЕЕСТР РИСКОВ_2023'!W217)</f>
        <v xml:space="preserve">Возможные индикаторы: 
1) несоответствие заработной платы работника штатному расписанию или уровню заработной платы работника, занимающего аналогичную должность/позицию;
2) отсутствие информации, подтверждающих прохождение кандидатом процедур отбора и найма;
3) начисление заработной платы лицам, фактически не работавшим, а также выплате незаконных премиальных вознаграждений;
4) наличие признаков «мертвых душ» (отсутствие отпусков, больничных, командировок и т.д.).
</v>
      </c>
      <c r="S178">
        <f>'РЕЕСТР РИСКОВ_2023'!X217</f>
        <v>0</v>
      </c>
      <c r="T178" s="94">
        <f>IF('INHERENT MAP'!$B$5=2021,'РЕЕСТР РИСКОВ_2023'!Y217,IF('INHERENT MAP'!$B$5=2022,#REF!,IF('INHERENT MAP'!$B$5=2023,#REF!,IF('INHERENT MAP'!$B$5=2024,#REF!,#REF!))))</f>
        <v>0</v>
      </c>
      <c r="U178">
        <f>IF('INHERENT MAP'!$B$5=2021,'РЕЕСТР РИСКОВ_2023'!Z217,IF('INHERENT MAP'!$B$5=2022,#REF!,IF('INHERENT MAP'!$B$5=2023,#REF!,IF('INHERENT MAP'!$B$5=2024,#REF!,#REF!))))</f>
        <v>0</v>
      </c>
      <c r="V178">
        <f>IF('INHERENT MAP'!$B$5=2021,'РЕЕСТР РИСКОВ_2023'!AA217,IF('INHERENT MAP'!$B$5=2022,#REF!,IF('INHERENT MAP'!$B$5=2023,#REF!,IF('INHERENT MAP'!$B$5=2024,#REF!,#REF!))))</f>
        <v>0</v>
      </c>
      <c r="W178">
        <f>IF('INHERENT MAP'!$B$5=2021,'РЕЕСТР РИСКОВ_2023'!AB217,IF('INHERENT MAP'!$B$5=2022,#REF!,IF('INHERENT MAP'!$B$5=2023,#REF!,IF('INHERENT MAP'!$B$5=2024,#REF!,#REF!))))</f>
        <v>0</v>
      </c>
      <c r="X178" s="94">
        <f>IF('INHERENT MAP'!$B$5=2021,'РЕЕСТР РИСКОВ_2023'!AC217,IF('INHERENT MAP'!$B$5=2022,#REF!,IF('INHERENT MAP'!$B$5=2023,#REF!,IF('INHERENT MAP'!$B$5=2024,#REF!,#REF!))))</f>
        <v>0</v>
      </c>
      <c r="Y178">
        <f>IF('INHERENT MAP'!$B$5=2021,'РЕЕСТР РИСКОВ_2023'!AD217,IF('INHERENT MAP'!$B$5=2022,#REF!,IF('INHERENT MAP'!$B$5=2023,#REF!,IF('INHERENT MAP'!$B$5=2024,#REF!,#REF!))))</f>
        <v>0</v>
      </c>
      <c r="Z178">
        <f>IF('INHERENT MAP'!$B$5=2021,'РЕЕСТР РИСКОВ_2023'!AE217,IF('INHERENT MAP'!$B$5=2022,#REF!,IF('INHERENT MAP'!$B$5=2023,#REF!,IF('INHERENT MAP'!$B$5=2024,#REF!,#REF!))))</f>
        <v>0</v>
      </c>
      <c r="AA178">
        <f>IF('INHERENT MAP'!$B$5=2021,'РЕЕСТР РИСКОВ_2023'!AF217,IF('INHERENT MAP'!$B$5=2022,#REF!,IF('INHERENT MAP'!$B$5=2023,#REF!,IF('INHERENT MAP'!$B$5=2024,#REF!,#REF!))))</f>
        <v>0</v>
      </c>
      <c r="AB178">
        <f>IF('INHERENT MAP'!$B$5=2021,'РЕЕСТР РИСКОВ_2023'!AG217,IF('INHERENT MAP'!$B$5=2022,#REF!,IF('INHERENT MAP'!$B$5=2023,#REF!,IF('INHERENT MAP'!$B$5=2024,#REF!,#REF!))))</f>
        <v>0</v>
      </c>
      <c r="AC178">
        <f>IF('INHERENT MAP'!$B$5=2021,'РЕЕСТР РИСКОВ_2023'!AH217,IF('INHERENT MAP'!$B$5=2022,#REF!,IF('INHERENT MAP'!$B$5=2023,#REF!,IF('INHERENT MAP'!$B$5=2024,#REF!,#REF!))))</f>
        <v>0</v>
      </c>
      <c r="AD178">
        <f>IF('INHERENT MAP'!$B$5=2021,'РЕЕСТР РИСКОВ_2023'!AI217,IF('INHERENT MAP'!$B$5=2022,#REF!,IF('INHERENT MAP'!$B$5=2023,#REF!,IF('INHERENT MAP'!$B$5=2024,#REF!,#REF!))))</f>
        <v>0</v>
      </c>
      <c r="AE178">
        <f>IF('INHERENT MAP'!$B$5=2021,'РЕЕСТР РИСКОВ_2023'!AK217,IF('INHERENT MAP'!$B$5=2022,#REF!,IF('INHERENT MAP'!$B$5=2023,#REF!,IF('INHERENT MAP'!$B$5=2024,#REF!,#REF!))))</f>
        <v>0</v>
      </c>
      <c r="AF178">
        <f>IF('INHERENT MAP'!$B$5=2021,'РЕЕСТР РИСКОВ_2023'!AL217,IF('INHERENT MAP'!$B$5=2022,#REF!,IF('INHERENT MAP'!$B$5=2023,#REF!,IF('INHERENT MAP'!$B$5=2024,#REF!,#REF!))))</f>
        <v>0</v>
      </c>
      <c r="AG178">
        <f>IF('INHERENT MAP'!$B$5=2021,'РЕЕСТР РИСКОВ_2023'!AM217,IF('INHERENT MAP'!$B$5=2022,#REF!,IF('INHERENT MAP'!$B$5=2023,#REF!,IF('INHERENT MAP'!$B$5=2024,#REF!,#REF!))))</f>
        <v>0</v>
      </c>
      <c r="AH178">
        <f>IF('INHERENT MAP'!$B$5=2021,'РЕЕСТР РИСКОВ_2023'!AN217,IF('INHERENT MAP'!$B$5=2022,#REF!,IF('INHERENT MAP'!$B$5=2023,#REF!,IF('INHERENT MAP'!$B$5=2024,#REF!,#REF!))))</f>
        <v>0</v>
      </c>
      <c r="AI178">
        <f>IF('INHERENT MAP'!$B$5=2021,'РЕЕСТР РИСКОВ_2023'!AO217,IF('INHERENT MAP'!$B$5=2022,#REF!,IF('INHERENT MAP'!$B$5=2023,#REF!,IF('INHERENT MAP'!$B$5=2024,#REF!,#REF!))))</f>
        <v>0</v>
      </c>
      <c r="AJ178">
        <f>IF('INHERENT MAP'!$B$5=2021,'РЕЕСТР РИСКОВ_2023'!AP217,IF('INHERENT MAP'!$B$5=2022,#REF!,IF('INHERENT MAP'!$B$5=2023,#REF!,IF('INHERENT MAP'!$B$5=2024,#REF!,#REF!))))</f>
        <v>0</v>
      </c>
      <c r="AK178">
        <f>IF('РЕЕСТР РИСКОВ_2023'!AQ217="",AK177,'РЕЕСТР РИСКОВ_2023'!AQ217)</f>
        <v>0</v>
      </c>
      <c r="AL178">
        <f>IF('РЕЕСТР РИСКОВ_2023'!AR217="",AL177,'РЕЕСТР РИСКОВ_2023'!AR217)</f>
        <v>1</v>
      </c>
      <c r="AM178">
        <f>IF('РЕЕСТР РИСКОВ_2023'!AS217="",AM177,'РЕЕСТР РИСКОВ_2023'!AS217)</f>
        <v>0</v>
      </c>
      <c r="AN178">
        <f>IF('РЕЕСТР РИСКОВ_2023'!AT217="",AN177,'РЕЕСТР РИСКОВ_2023'!AT217)</f>
        <v>0</v>
      </c>
      <c r="AO178" t="e">
        <f>IF('РЕЕСТР РИСКОВ_2023'!AU217="",AO177,'РЕЕСТР РИСКОВ_2023'!AU217)</f>
        <v>#REF!</v>
      </c>
    </row>
    <row r="179" spans="2:41">
      <c r="B179" t="str">
        <f>IF('INHERENT MAP'!$B$5=2021,IF('РЕЕСТР РИСКОВ_2023'!F218="",B178,'РЕЕСТР РИСКОВ_2023'!F218),IF('INHERENT MAP'!$B$5=2022,IF(#REF!="",B178,#REF!),IF('INHERENT MAP'!$B$5=2023,IF(#REF!="",B178,#REF!),IF('INHERENT MAP'!$B$5=2024,IF(#REF!="",B178,#REF!),IF('РЕЕСТР РИСКОВ_2023'!F218="",B178,'РЕЕСТР РИСКОВ_2023'!F218)))))</f>
        <v>КОМПЛАЕНС РИСК</v>
      </c>
      <c r="C179" t="e">
        <f>IF('INHERENT MAP'!$B$5=2021,IF('РЕЕСТР РИСКОВ_2023'!G218="",C178,'РЕЕСТР РИСКОВ_2023'!G218),IF('INHERENT MAP'!$B$5=2022,IF(#REF!="",C178,#REF!),IF('INHERENT MAP'!$B$5=2023,IF(#REF!="",C178,#REF!),IF('INHERENT MAP'!$B$5=2024,IF(#REF!="",C178,#REF!),IF('РЕЕСТР РИСКОВ_2023'!G218="",C178,'РЕЕСТР РИСКОВ_2023'!G218)))))</f>
        <v>#REF!</v>
      </c>
      <c r="D179" t="str">
        <f>IF('INHERENT MAP'!$B$5=2021,IF('РЕЕСТР РИСКОВ_2023'!H218="",D178,'РЕЕСТР РИСКОВ_2023'!H218),IF('INHERENT MAP'!$B$5=2022,IF(#REF!="",D178,#REF!),IF('INHERENT MAP'!$B$5=2023,IF(#REF!="",D178,#REF!),IF('INHERENT MAP'!$B$5=2024,IF(#REF!="",D178,#REF!),IF('РЕЕСТР РИСКОВ_2023'!H218="",D178,'РЕЕСТР РИСКОВ_2023'!H218)))))</f>
        <v>CRR-3</v>
      </c>
      <c r="E179" t="str">
        <f>IF('INHERENT MAP'!$B$5=2021,IF('РЕЕСТР РИСКОВ_2023'!I218="",E178,'РЕЕСТР РИСКОВ_2023'!I218),IF('INHERENT MAP'!$B$5=2022,IF(#REF!="",E178,#REF!),IF('INHERENT MAP'!$B$5=2023,IF(#REF!="",E178,#REF!),IF('INHERENT MAP'!$B$5=2024,IF(#REF!="",E178,#REF!),IF('РЕЕСТР РИСКОВ_2023'!I218="",E178,'РЕЕСТР РИСКОВ_2023'!I218)))))</f>
        <v>Ц</v>
      </c>
      <c r="F179" t="str">
        <f>IF('INHERENT MAP'!$B$5=2021,IF('РЕЕСТР РИСКОВ_2023'!J218="",F178,'РЕЕСТР РИСКОВ_2023'!J218),IF('INHERENT MAP'!$B$5=2022,IF(#REF!="",F178,#REF!),IF('INHERENT MAP'!$B$5=2023,IF(#REF!="",F178,#REF!),IF('INHERENT MAP'!$B$5=2024,IF(#REF!="",F178,#REF!),IF('РЕЕСТР РИСКОВ_2023'!J218="",F178,'РЕЕСТР РИСКОВ_2023'!J218)))))</f>
        <v>ЦКС, ЦКБ</v>
      </c>
      <c r="G179" t="str">
        <f>IF('INHERENT MAP'!$B$5=2021,IF('РЕЕСТР РИСКОВ_2023'!K218="",G178,'РЕЕСТР РИСКОВ_2023'!K218),IF('INHERENT MAP'!$B$5=2022,IF(#REF!="",G178,#REF!),IF('INHERENT MAP'!$B$5=2023,IF(#REF!="",G178,#REF!),IF('INHERENT MAP'!$B$5=2024,IF(#REF!="",G178,#REF!),IF('РЕЕСТР РИСКОВ_2023'!K218="",G178,'РЕЕСТР РИСКОВ_2023'!K218)))))</f>
        <v>Коррупционные риски в сфере управления персоналом</v>
      </c>
      <c r="H179">
        <f>IF('INHERENT MAP'!$B$5=2021,'РЕЕСТР РИСКОВ_2023'!L218,IF('INHERENT MAP'!$B$5=2022,#REF!,IF('INHERENT MAP'!$B$5=2023,#REF!,IF('INHERENT MAP'!$B$5=2024,#REF!,#REF!))))</f>
        <v>0</v>
      </c>
      <c r="I179">
        <f>IF('INHERENT MAP'!$B$5=2021,'РЕЕСТР РИСКОВ_2023'!M218,IF('INHERENT MAP'!$B$5=2022,#REF!,IF('INHERENT MAP'!$B$5=2023,#REF!,IF('INHERENT MAP'!$B$5=2024,#REF!,#REF!))))</f>
        <v>0</v>
      </c>
      <c r="J179">
        <f>IF('INHERENT MAP'!$B$5=2021,'РЕЕСТР РИСКОВ_2023'!N218,IF('INHERENT MAP'!$B$5=2022,#REF!,IF('INHERENT MAP'!$B$5=2023,#REF!,IF('INHERENT MAP'!$B$5=2024,#REF!,#REF!))))</f>
        <v>0</v>
      </c>
      <c r="K179">
        <f>IF('INHERENT MAP'!$B$5=2021,'РЕЕСТР РИСКОВ_2023'!O218,IF('INHERENT MAP'!$B$5=2022,#REF!,IF('INHERENT MAP'!$B$5=2023,#REF!,IF('INHERENT MAP'!$B$5=2024,#REF!,#REF!))))</f>
        <v>0</v>
      </c>
      <c r="L179">
        <f>IF('INHERENT MAP'!$B$5=2021,'РЕЕСТР РИСКОВ_2023'!P218,IF('INHERENT MAP'!$B$5=2022,#REF!,IF('INHERENT MAP'!$B$5=2023,#REF!,IF('INHERENT MAP'!$B$5=2024,#REF!,#REF!))))</f>
        <v>0</v>
      </c>
      <c r="M179" t="str">
        <f>IF('INHERENT MAP'!$B$5=2021,IF('РЕЕСТР РИСКОВ_2023'!Q218="",M178,'РЕЕСТР РИСКОВ_2023'!Q218),IF('INHERENT MAP'!$B$5=2022,IF(#REF!="",M178,#REF!),IF('INHERENT MAP'!$B$5=2023,IF(#REF!="",M178,#REF!),IF('INHERENT MAP'!$B$5=2024,IF(#REF!="",M178,#REF!),IF('РЕЕСТР РИСКОВ_2023'!Q218="",M178,'РЕЕСТР РИСКОВ_2023'!Q218)))))</f>
        <v>Риск необоснованного предоставления мер материальной (социальной) поддержки отдельным работникам вследствие сговора с такими работниками</v>
      </c>
      <c r="N179" t="str">
        <f>IF('INHERENT MAP'!$B$5=2021,IF('РЕЕСТР РИСКОВ_2023'!R218="",N178,'РЕЕСТР РИСКОВ_2023'!R218),IF('INHERENT MAP'!$B$5=2022,IF(#REF!="",N178,#REF!),IF('INHERENT MAP'!$B$5=2023,IF(#REF!="",N178,#REF!),IF('INHERENT MAP'!$B$5=2024,IF(#REF!="",N178,#REF!),IF('РЕЕСТР РИСКОВ_2023'!R218="",N178,'РЕЕСТР РИСКОВ_2023'!R218)))))</f>
        <v xml:space="preserve">R2.6.CS1. В результате сговора с работниками с целью получения от них незаконного вознаграждения или иную выгоду, представители Компании устанавливают доплаты к должностным окладам «за расширение зон обслуживания», которые начисляются за функции, которые уже предусмотрены в должностных инструкциях или непосредственно связаны с исполнением должностных инструкций.
R2.6.CS2. Оказание фиктивной материальной помощи социального характера без ведома работников вследствие сговора между представителями Компании и извлечения личной выгоды. </v>
      </c>
      <c r="O179">
        <f>'РЕЕСТР РИСКОВ_2023'!T218</f>
        <v>0</v>
      </c>
      <c r="P179" t="e">
        <f>IF('РЕЕСТР РИСКОВ_2023'!U218="",P178,'РЕЕСТР РИСКОВ_2023'!U218)</f>
        <v>#REF!</v>
      </c>
      <c r="Q179" t="str">
        <f>IF('РЕЕСТР РИСКОВ_2023'!V218="",Q178,'РЕЕСТР РИСКОВ_2023'!V218)</f>
        <v>Угрозы</v>
      </c>
      <c r="R179" t="str">
        <f>IF('РЕЕСТР РИСКОВ_2023'!W218="",R178,'РЕЕСТР РИСКОВ_2023'!W218)</f>
        <v>Возможные индикаторы:
1) отсутствие информации о работниках в документах, связанных с исполнением работ (наряд на выполнение работ, журналах инструктажа и т.д.);
2) отсутствие надлежащей проверки на наличие родственных связей между работниками Компании.</v>
      </c>
      <c r="S179">
        <f>'РЕЕСТР РИСКОВ_2023'!X218</f>
        <v>0</v>
      </c>
      <c r="T179" s="94">
        <f>IF('INHERENT MAP'!$B$5=2021,'РЕЕСТР РИСКОВ_2023'!Y218,IF('INHERENT MAP'!$B$5=2022,#REF!,IF('INHERENT MAP'!$B$5=2023,#REF!,IF('INHERENT MAP'!$B$5=2024,#REF!,#REF!))))</f>
        <v>0</v>
      </c>
      <c r="U179">
        <f>IF('INHERENT MAP'!$B$5=2021,'РЕЕСТР РИСКОВ_2023'!Z218,IF('INHERENT MAP'!$B$5=2022,#REF!,IF('INHERENT MAP'!$B$5=2023,#REF!,IF('INHERENT MAP'!$B$5=2024,#REF!,#REF!))))</f>
        <v>0</v>
      </c>
      <c r="V179">
        <f>IF('INHERENT MAP'!$B$5=2021,'РЕЕСТР РИСКОВ_2023'!AA218,IF('INHERENT MAP'!$B$5=2022,#REF!,IF('INHERENT MAP'!$B$5=2023,#REF!,IF('INHERENT MAP'!$B$5=2024,#REF!,#REF!))))</f>
        <v>0</v>
      </c>
      <c r="W179">
        <f>IF('INHERENT MAP'!$B$5=2021,'РЕЕСТР РИСКОВ_2023'!AB218,IF('INHERENT MAP'!$B$5=2022,#REF!,IF('INHERENT MAP'!$B$5=2023,#REF!,IF('INHERENT MAP'!$B$5=2024,#REF!,#REF!))))</f>
        <v>0</v>
      </c>
      <c r="X179" s="94">
        <f>IF('INHERENT MAP'!$B$5=2021,'РЕЕСТР РИСКОВ_2023'!AC218,IF('INHERENT MAP'!$B$5=2022,#REF!,IF('INHERENT MAP'!$B$5=2023,#REF!,IF('INHERENT MAP'!$B$5=2024,#REF!,#REF!))))</f>
        <v>0</v>
      </c>
      <c r="Y179">
        <f>IF('INHERENT MAP'!$B$5=2021,'РЕЕСТР РИСКОВ_2023'!AD218,IF('INHERENT MAP'!$B$5=2022,#REF!,IF('INHERENT MAP'!$B$5=2023,#REF!,IF('INHERENT MAP'!$B$5=2024,#REF!,#REF!))))</f>
        <v>0</v>
      </c>
      <c r="Z179">
        <f>IF('INHERENT MAP'!$B$5=2021,'РЕЕСТР РИСКОВ_2023'!AE218,IF('INHERENT MAP'!$B$5=2022,#REF!,IF('INHERENT MAP'!$B$5=2023,#REF!,IF('INHERENT MAP'!$B$5=2024,#REF!,#REF!))))</f>
        <v>0</v>
      </c>
      <c r="AA179">
        <f>IF('INHERENT MAP'!$B$5=2021,'РЕЕСТР РИСКОВ_2023'!AF218,IF('INHERENT MAP'!$B$5=2022,#REF!,IF('INHERENT MAP'!$B$5=2023,#REF!,IF('INHERENT MAP'!$B$5=2024,#REF!,#REF!))))</f>
        <v>0</v>
      </c>
      <c r="AB179">
        <f>IF('INHERENT MAP'!$B$5=2021,'РЕЕСТР РИСКОВ_2023'!AG218,IF('INHERENT MAP'!$B$5=2022,#REF!,IF('INHERENT MAP'!$B$5=2023,#REF!,IF('INHERENT MAP'!$B$5=2024,#REF!,#REF!))))</f>
        <v>0</v>
      </c>
      <c r="AC179">
        <f>IF('INHERENT MAP'!$B$5=2021,'РЕЕСТР РИСКОВ_2023'!AH218,IF('INHERENT MAP'!$B$5=2022,#REF!,IF('INHERENT MAP'!$B$5=2023,#REF!,IF('INHERENT MAP'!$B$5=2024,#REF!,#REF!))))</f>
        <v>0</v>
      </c>
      <c r="AD179">
        <f>IF('INHERENT MAP'!$B$5=2021,'РЕЕСТР РИСКОВ_2023'!AI218,IF('INHERENT MAP'!$B$5=2022,#REF!,IF('INHERENT MAP'!$B$5=2023,#REF!,IF('INHERENT MAP'!$B$5=2024,#REF!,#REF!))))</f>
        <v>0</v>
      </c>
      <c r="AE179">
        <f>IF('INHERENT MAP'!$B$5=2021,'РЕЕСТР РИСКОВ_2023'!AK218,IF('INHERENT MAP'!$B$5=2022,#REF!,IF('INHERENT MAP'!$B$5=2023,#REF!,IF('INHERENT MAP'!$B$5=2024,#REF!,#REF!))))</f>
        <v>0</v>
      </c>
      <c r="AF179">
        <f>IF('INHERENT MAP'!$B$5=2021,'РЕЕСТР РИСКОВ_2023'!AL218,IF('INHERENT MAP'!$B$5=2022,#REF!,IF('INHERENT MAP'!$B$5=2023,#REF!,IF('INHERENT MAP'!$B$5=2024,#REF!,#REF!))))</f>
        <v>0</v>
      </c>
      <c r="AG179">
        <f>IF('INHERENT MAP'!$B$5=2021,'РЕЕСТР РИСКОВ_2023'!AM218,IF('INHERENT MAP'!$B$5=2022,#REF!,IF('INHERENT MAP'!$B$5=2023,#REF!,IF('INHERENT MAP'!$B$5=2024,#REF!,#REF!))))</f>
        <v>0</v>
      </c>
      <c r="AH179">
        <f>IF('INHERENT MAP'!$B$5=2021,'РЕЕСТР РИСКОВ_2023'!AN218,IF('INHERENT MAP'!$B$5=2022,#REF!,IF('INHERENT MAP'!$B$5=2023,#REF!,IF('INHERENT MAP'!$B$5=2024,#REF!,#REF!))))</f>
        <v>0</v>
      </c>
      <c r="AI179">
        <f>IF('INHERENT MAP'!$B$5=2021,'РЕЕСТР РИСКОВ_2023'!AO218,IF('INHERENT MAP'!$B$5=2022,#REF!,IF('INHERENT MAP'!$B$5=2023,#REF!,IF('INHERENT MAP'!$B$5=2024,#REF!,#REF!))))</f>
        <v>0</v>
      </c>
      <c r="AJ179">
        <f>IF('INHERENT MAP'!$B$5=2021,'РЕЕСТР РИСКОВ_2023'!AP218,IF('INHERENT MAP'!$B$5=2022,#REF!,IF('INHERENT MAP'!$B$5=2023,#REF!,IF('INHERENT MAP'!$B$5=2024,#REF!,#REF!))))</f>
        <v>0</v>
      </c>
      <c r="AK179">
        <f>IF('РЕЕСТР РИСКОВ_2023'!AQ218="",AK178,'РЕЕСТР РИСКОВ_2023'!AQ218)</f>
        <v>0</v>
      </c>
      <c r="AL179">
        <f>IF('РЕЕСТР РИСКОВ_2023'!AR218="",AL178,'РЕЕСТР РИСКОВ_2023'!AR218)</f>
        <v>1</v>
      </c>
      <c r="AM179">
        <f>IF('РЕЕСТР РИСКОВ_2023'!AS218="",AM178,'РЕЕСТР РИСКОВ_2023'!AS218)</f>
        <v>0</v>
      </c>
      <c r="AN179">
        <f>IF('РЕЕСТР РИСКОВ_2023'!AT218="",AN178,'РЕЕСТР РИСКОВ_2023'!AT218)</f>
        <v>0</v>
      </c>
      <c r="AO179" t="e">
        <f>IF('РЕЕСТР РИСКОВ_2023'!AU218="",AO178,'РЕЕСТР РИСКОВ_2023'!AU218)</f>
        <v>#REF!</v>
      </c>
    </row>
    <row r="180" spans="2:41">
      <c r="B180" t="str">
        <f>IF('INHERENT MAP'!$B$5=2021,IF('РЕЕСТР РИСКОВ_2023'!F219="",B179,'РЕЕСТР РИСКОВ_2023'!F219),IF('INHERENT MAP'!$B$5=2022,IF(#REF!="",B179,#REF!),IF('INHERENT MAP'!$B$5=2023,IF(#REF!="",B179,#REF!),IF('INHERENT MAP'!$B$5=2024,IF(#REF!="",B179,#REF!),IF('РЕЕСТР РИСКОВ_2023'!F219="",B179,'РЕЕСТР РИСКОВ_2023'!F219)))))</f>
        <v>КОМПЛАЕНС РИСК</v>
      </c>
      <c r="C180" t="e">
        <f>IF('INHERENT MAP'!$B$5=2021,IF('РЕЕСТР РИСКОВ_2023'!G219="",C179,'РЕЕСТР РИСКОВ_2023'!G219),IF('INHERENT MAP'!$B$5=2022,IF(#REF!="",C179,#REF!),IF('INHERENT MAP'!$B$5=2023,IF(#REF!="",C179,#REF!),IF('INHERENT MAP'!$B$5=2024,IF(#REF!="",C179,#REF!),IF('РЕЕСТР РИСКОВ_2023'!G219="",C179,'РЕЕСТР РИСКОВ_2023'!G219)))))</f>
        <v>#REF!</v>
      </c>
      <c r="D180" t="str">
        <f>IF('INHERENT MAP'!$B$5=2021,IF('РЕЕСТР РИСКОВ_2023'!H219="",D179,'РЕЕСТР РИСКОВ_2023'!H219),IF('INHERENT MAP'!$B$5=2022,IF(#REF!="",D179,#REF!),IF('INHERENT MAP'!$B$5=2023,IF(#REF!="",D179,#REF!),IF('INHERENT MAP'!$B$5=2024,IF(#REF!="",D179,#REF!),IF('РЕЕСТР РИСКОВ_2023'!H219="",D179,'РЕЕСТР РИСКОВ_2023'!H219)))))</f>
        <v>CRR-3</v>
      </c>
      <c r="E180" t="str">
        <f>IF('INHERENT MAP'!$B$5=2021,IF('РЕЕСТР РИСКОВ_2023'!I219="",E179,'РЕЕСТР РИСКОВ_2023'!I219),IF('INHERENT MAP'!$B$5=2022,IF(#REF!="",E179,#REF!),IF('INHERENT MAP'!$B$5=2023,IF(#REF!="",E179,#REF!),IF('INHERENT MAP'!$B$5=2024,IF(#REF!="",E179,#REF!),IF('РЕЕСТР РИСКОВ_2023'!I219="",E179,'РЕЕСТР РИСКОВ_2023'!I219)))))</f>
        <v>Ц</v>
      </c>
      <c r="F180" t="str">
        <f>IF('INHERENT MAP'!$B$5=2021,IF('РЕЕСТР РИСКОВ_2023'!J219="",F179,'РЕЕСТР РИСКОВ_2023'!J219),IF('INHERENT MAP'!$B$5=2022,IF(#REF!="",F179,#REF!),IF('INHERENT MAP'!$B$5=2023,IF(#REF!="",F179,#REF!),IF('INHERENT MAP'!$B$5=2024,IF(#REF!="",F179,#REF!),IF('РЕЕСТР РИСКОВ_2023'!J219="",F179,'РЕЕСТР РИСКОВ_2023'!J219)))))</f>
        <v>ЦКС, ЦКБ</v>
      </c>
      <c r="G180" t="str">
        <f>IF('INHERENT MAP'!$B$5=2021,IF('РЕЕСТР РИСКОВ_2023'!K219="",G179,'РЕЕСТР РИСКОВ_2023'!K219),IF('INHERENT MAP'!$B$5=2022,IF(#REF!="",G179,#REF!),IF('INHERENT MAP'!$B$5=2023,IF(#REF!="",G179,#REF!),IF('INHERENT MAP'!$B$5=2024,IF(#REF!="",G179,#REF!),IF('РЕЕСТР РИСКОВ_2023'!K219="",G179,'РЕЕСТР РИСКОВ_2023'!K219)))))</f>
        <v>Коррупционные риски в сфере управления персоналом</v>
      </c>
      <c r="H180">
        <f>IF('INHERENT MAP'!$B$5=2021,'РЕЕСТР РИСКОВ_2023'!L219,IF('INHERENT MAP'!$B$5=2022,#REF!,IF('INHERENT MAP'!$B$5=2023,#REF!,IF('INHERENT MAP'!$B$5=2024,#REF!,#REF!))))</f>
        <v>0</v>
      </c>
      <c r="I180">
        <f>IF('INHERENT MAP'!$B$5=2021,'РЕЕСТР РИСКОВ_2023'!M219,IF('INHERENT MAP'!$B$5=2022,#REF!,IF('INHERENT MAP'!$B$5=2023,#REF!,IF('INHERENT MAP'!$B$5=2024,#REF!,#REF!))))</f>
        <v>0</v>
      </c>
      <c r="J180">
        <f>IF('INHERENT MAP'!$B$5=2021,'РЕЕСТР РИСКОВ_2023'!N219,IF('INHERENT MAP'!$B$5=2022,#REF!,IF('INHERENT MAP'!$B$5=2023,#REF!,IF('INHERENT MAP'!$B$5=2024,#REF!,#REF!))))</f>
        <v>0</v>
      </c>
      <c r="K180">
        <f>IF('INHERENT MAP'!$B$5=2021,'РЕЕСТР РИСКОВ_2023'!O219,IF('INHERENT MAP'!$B$5=2022,#REF!,IF('INHERENT MAP'!$B$5=2023,#REF!,IF('INHERENT MAP'!$B$5=2024,#REF!,#REF!))))</f>
        <v>0</v>
      </c>
      <c r="L180">
        <f>IF('INHERENT MAP'!$B$5=2021,'РЕЕСТР РИСКОВ_2023'!P219,IF('INHERENT MAP'!$B$5=2022,#REF!,IF('INHERENT MAP'!$B$5=2023,#REF!,IF('INHERENT MAP'!$B$5=2024,#REF!,#REF!))))</f>
        <v>0</v>
      </c>
      <c r="M180" t="str">
        <f>IF('INHERENT MAP'!$B$5=2021,IF('РЕЕСТР РИСКОВ_2023'!Q219="",M179,'РЕЕСТР РИСКОВ_2023'!Q219),IF('INHERENT MAP'!$B$5=2022,IF(#REF!="",M179,#REF!),IF('INHERENT MAP'!$B$5=2023,IF(#REF!="",M179,#REF!),IF('INHERENT MAP'!$B$5=2024,IF(#REF!="",M179,#REF!),IF('РЕЕСТР РИСКОВ_2023'!Q219="",M179,'РЕЕСТР РИСКОВ_2023'!Q219)))))</f>
        <v>Риск необоснованного выбора кандидатов для обучения в высших учебных заведениях в результате сговора с работниками</v>
      </c>
      <c r="N180" t="str">
        <f>IF('INHERENT MAP'!$B$5=2021,IF('РЕЕСТР РИСКОВ_2023'!R219="",N179,'РЕЕСТР РИСКОВ_2023'!R219),IF('INHERENT MAP'!$B$5=2022,IF(#REF!="",N179,#REF!),IF('INHERENT MAP'!$B$5=2023,IF(#REF!="",N179,#REF!),IF('INHERENT MAP'!$B$5=2024,IF(#REF!="",N179,#REF!),IF('РЕЕСТР РИСКОВ_2023'!R219="",N179,'РЕЕСТР РИСКОВ_2023'!R219)))))</f>
        <v xml:space="preserve">R2.7CS1. Выбор работника для обучения по программе «Магистратура» и «Докторантура» и на прохождение стажировки, аффилированного с представителем Компании, или выплачивающего ему незаконное вознаграждение/предлагающего иную выгоду.  </v>
      </c>
      <c r="O180">
        <f>'РЕЕСТР РИСКОВ_2023'!T219</f>
        <v>0</v>
      </c>
      <c r="P180" t="e">
        <f>IF('РЕЕСТР РИСКОВ_2023'!U219="",P179,'РЕЕСТР РИСКОВ_2023'!U219)</f>
        <v>#REF!</v>
      </c>
      <c r="Q180" t="str">
        <f>IF('РЕЕСТР РИСКОВ_2023'!V219="",Q179,'РЕЕСТР РИСКОВ_2023'!V219)</f>
        <v>Угрозы</v>
      </c>
      <c r="R180" t="str">
        <f>IF('РЕЕСТР РИСКОВ_2023'!W219="",R179,'РЕЕСТР РИСКОВ_2023'!W219)</f>
        <v>Возможные индикаторы: 
1) несоответствие выбранного работника установленным критериям и требованиям Компании для участия в программе «Магистратура» и «Докторантура» и прохождение стажировки;
2) отсутствие процедуры проверки аффилированности и наличия конфликта интересов кандидатов для участия в обучающей программе с представителями Компании;
3) недостаточная прозрачность процедур отбора кандидатов;
4) отсутствие решения Комиссии по присуждению гранта на обучение;
5) присуждение гранта на обучение работнику, который увольняется с Компании.</v>
      </c>
      <c r="S180">
        <f>'РЕЕСТР РИСКОВ_2023'!X219</f>
        <v>0</v>
      </c>
      <c r="T180" s="94">
        <f>IF('INHERENT MAP'!$B$5=2021,'РЕЕСТР РИСКОВ_2023'!Y219,IF('INHERENT MAP'!$B$5=2022,#REF!,IF('INHERENT MAP'!$B$5=2023,#REF!,IF('INHERENT MAP'!$B$5=2024,#REF!,#REF!))))</f>
        <v>0</v>
      </c>
      <c r="U180">
        <f>IF('INHERENT MAP'!$B$5=2021,'РЕЕСТР РИСКОВ_2023'!Z219,IF('INHERENT MAP'!$B$5=2022,#REF!,IF('INHERENT MAP'!$B$5=2023,#REF!,IF('INHERENT MAP'!$B$5=2024,#REF!,#REF!))))</f>
        <v>0</v>
      </c>
      <c r="V180">
        <f>IF('INHERENT MAP'!$B$5=2021,'РЕЕСТР РИСКОВ_2023'!AA219,IF('INHERENT MAP'!$B$5=2022,#REF!,IF('INHERENT MAP'!$B$5=2023,#REF!,IF('INHERENT MAP'!$B$5=2024,#REF!,#REF!))))</f>
        <v>0</v>
      </c>
      <c r="W180">
        <f>IF('INHERENT MAP'!$B$5=2021,'РЕЕСТР РИСКОВ_2023'!AB219,IF('INHERENT MAP'!$B$5=2022,#REF!,IF('INHERENT MAP'!$B$5=2023,#REF!,IF('INHERENT MAP'!$B$5=2024,#REF!,#REF!))))</f>
        <v>0</v>
      </c>
      <c r="X180" s="94">
        <f>IF('INHERENT MAP'!$B$5=2021,'РЕЕСТР РИСКОВ_2023'!AC219,IF('INHERENT MAP'!$B$5=2022,#REF!,IF('INHERENT MAP'!$B$5=2023,#REF!,IF('INHERENT MAP'!$B$5=2024,#REF!,#REF!))))</f>
        <v>0</v>
      </c>
      <c r="Y180">
        <f>IF('INHERENT MAP'!$B$5=2021,'РЕЕСТР РИСКОВ_2023'!AD219,IF('INHERENT MAP'!$B$5=2022,#REF!,IF('INHERENT MAP'!$B$5=2023,#REF!,IF('INHERENT MAP'!$B$5=2024,#REF!,#REF!))))</f>
        <v>0</v>
      </c>
      <c r="Z180">
        <f>IF('INHERENT MAP'!$B$5=2021,'РЕЕСТР РИСКОВ_2023'!AE219,IF('INHERENT MAP'!$B$5=2022,#REF!,IF('INHERENT MAP'!$B$5=2023,#REF!,IF('INHERENT MAP'!$B$5=2024,#REF!,#REF!))))</f>
        <v>0</v>
      </c>
      <c r="AA180">
        <f>IF('INHERENT MAP'!$B$5=2021,'РЕЕСТР РИСКОВ_2023'!AF219,IF('INHERENT MAP'!$B$5=2022,#REF!,IF('INHERENT MAP'!$B$5=2023,#REF!,IF('INHERENT MAP'!$B$5=2024,#REF!,#REF!))))</f>
        <v>0</v>
      </c>
      <c r="AB180">
        <f>IF('INHERENT MAP'!$B$5=2021,'РЕЕСТР РИСКОВ_2023'!AG219,IF('INHERENT MAP'!$B$5=2022,#REF!,IF('INHERENT MAP'!$B$5=2023,#REF!,IF('INHERENT MAP'!$B$5=2024,#REF!,#REF!))))</f>
        <v>0</v>
      </c>
      <c r="AC180">
        <f>IF('INHERENT MAP'!$B$5=2021,'РЕЕСТР РИСКОВ_2023'!AH219,IF('INHERENT MAP'!$B$5=2022,#REF!,IF('INHERENT MAP'!$B$5=2023,#REF!,IF('INHERENT MAP'!$B$5=2024,#REF!,#REF!))))</f>
        <v>0</v>
      </c>
      <c r="AD180">
        <f>IF('INHERENT MAP'!$B$5=2021,'РЕЕСТР РИСКОВ_2023'!AI219,IF('INHERENT MAP'!$B$5=2022,#REF!,IF('INHERENT MAP'!$B$5=2023,#REF!,IF('INHERENT MAP'!$B$5=2024,#REF!,#REF!))))</f>
        <v>0</v>
      </c>
      <c r="AE180">
        <f>IF('INHERENT MAP'!$B$5=2021,'РЕЕСТР РИСКОВ_2023'!AK219,IF('INHERENT MAP'!$B$5=2022,#REF!,IF('INHERENT MAP'!$B$5=2023,#REF!,IF('INHERENT MAP'!$B$5=2024,#REF!,#REF!))))</f>
        <v>0</v>
      </c>
      <c r="AF180">
        <f>IF('INHERENT MAP'!$B$5=2021,'РЕЕСТР РИСКОВ_2023'!AL219,IF('INHERENT MAP'!$B$5=2022,#REF!,IF('INHERENT MAP'!$B$5=2023,#REF!,IF('INHERENT MAP'!$B$5=2024,#REF!,#REF!))))</f>
        <v>0</v>
      </c>
      <c r="AG180">
        <f>IF('INHERENT MAP'!$B$5=2021,'РЕЕСТР РИСКОВ_2023'!AM219,IF('INHERENT MAP'!$B$5=2022,#REF!,IF('INHERENT MAP'!$B$5=2023,#REF!,IF('INHERENT MAP'!$B$5=2024,#REF!,#REF!))))</f>
        <v>0</v>
      </c>
      <c r="AH180">
        <f>IF('INHERENT MAP'!$B$5=2021,'РЕЕСТР РИСКОВ_2023'!AN219,IF('INHERENT MAP'!$B$5=2022,#REF!,IF('INHERENT MAP'!$B$5=2023,#REF!,IF('INHERENT MAP'!$B$5=2024,#REF!,#REF!))))</f>
        <v>0</v>
      </c>
      <c r="AI180">
        <f>IF('INHERENT MAP'!$B$5=2021,'РЕЕСТР РИСКОВ_2023'!AO219,IF('INHERENT MAP'!$B$5=2022,#REF!,IF('INHERENT MAP'!$B$5=2023,#REF!,IF('INHERENT MAP'!$B$5=2024,#REF!,#REF!))))</f>
        <v>0</v>
      </c>
      <c r="AJ180">
        <f>IF('INHERENT MAP'!$B$5=2021,'РЕЕСТР РИСКОВ_2023'!AP219,IF('INHERENT MAP'!$B$5=2022,#REF!,IF('INHERENT MAP'!$B$5=2023,#REF!,IF('INHERENT MAP'!$B$5=2024,#REF!,#REF!))))</f>
        <v>0</v>
      </c>
      <c r="AK180">
        <f>IF('РЕЕСТР РИСКОВ_2023'!AQ219="",AK179,'РЕЕСТР РИСКОВ_2023'!AQ219)</f>
        <v>0</v>
      </c>
      <c r="AL180">
        <f>IF('РЕЕСТР РИСКОВ_2023'!AR219="",AL179,'РЕЕСТР РИСКОВ_2023'!AR219)</f>
        <v>1</v>
      </c>
      <c r="AM180">
        <f>IF('РЕЕСТР РИСКОВ_2023'!AS219="",AM179,'РЕЕСТР РИСКОВ_2023'!AS219)</f>
        <v>0</v>
      </c>
      <c r="AN180">
        <f>IF('РЕЕСТР РИСКОВ_2023'!AT219="",AN179,'РЕЕСТР РИСКОВ_2023'!AT219)</f>
        <v>0</v>
      </c>
      <c r="AO180" t="e">
        <f>IF('РЕЕСТР РИСКОВ_2023'!AU219="",AO179,'РЕЕСТР РИСКОВ_2023'!AU219)</f>
        <v>#REF!</v>
      </c>
    </row>
    <row r="181" spans="2:41">
      <c r="B181" t="str">
        <f>IF('INHERENT MAP'!$B$5=2021,IF('РЕЕСТР РИСКОВ_2023'!F220="",B180,'РЕЕСТР РИСКОВ_2023'!F220),IF('INHERENT MAP'!$B$5=2022,IF(#REF!="",B180,#REF!),IF('INHERENT MAP'!$B$5=2023,IF(#REF!="",B180,#REF!),IF('INHERENT MAP'!$B$5=2024,IF(#REF!="",B180,#REF!),IF('РЕЕСТР РИСКОВ_2023'!F220="",B180,'РЕЕСТР РИСКОВ_2023'!F220)))))</f>
        <v>КОМПЛАЕНС РИСК</v>
      </c>
      <c r="C181" t="e">
        <f>IF('INHERENT MAP'!$B$5=2021,IF('РЕЕСТР РИСКОВ_2023'!G220="",C180,'РЕЕСТР РИСКОВ_2023'!G220),IF('INHERENT MAP'!$B$5=2022,IF(#REF!="",C180,#REF!),IF('INHERENT MAP'!$B$5=2023,IF(#REF!="",C180,#REF!),IF('INHERENT MAP'!$B$5=2024,IF(#REF!="",C180,#REF!),IF('РЕЕСТР РИСКОВ_2023'!G220="",C180,'РЕЕСТР РИСКОВ_2023'!G220)))))</f>
        <v>#REF!</v>
      </c>
      <c r="D181" t="str">
        <f>IF('INHERENT MAP'!$B$5=2021,IF('РЕЕСТР РИСКОВ_2023'!H220="",D180,'РЕЕСТР РИСКОВ_2023'!H220),IF('INHERENT MAP'!$B$5=2022,IF(#REF!="",D180,#REF!),IF('INHERENT MAP'!$B$5=2023,IF(#REF!="",D180,#REF!),IF('INHERENT MAP'!$B$5=2024,IF(#REF!="",D180,#REF!),IF('РЕЕСТР РИСКОВ_2023'!H220="",D180,'РЕЕСТР РИСКОВ_2023'!H220)))))</f>
        <v>CRR-3</v>
      </c>
      <c r="E181" t="str">
        <f>IF('INHERENT MAP'!$B$5=2021,IF('РЕЕСТР РИСКОВ_2023'!I220="",E180,'РЕЕСТР РИСКОВ_2023'!I220),IF('INHERENT MAP'!$B$5=2022,IF(#REF!="",E180,#REF!),IF('INHERENT MAP'!$B$5=2023,IF(#REF!="",E180,#REF!),IF('INHERENT MAP'!$B$5=2024,IF(#REF!="",E180,#REF!),IF('РЕЕСТР РИСКОВ_2023'!I220="",E180,'РЕЕСТР РИСКОВ_2023'!I220)))))</f>
        <v>Ц</v>
      </c>
      <c r="F181" t="str">
        <f>IF('INHERENT MAP'!$B$5=2021,IF('РЕЕСТР РИСКОВ_2023'!J220="",F180,'РЕЕСТР РИСКОВ_2023'!J220),IF('INHERENT MAP'!$B$5=2022,IF(#REF!="",F180,#REF!),IF('INHERENT MAP'!$B$5=2023,IF(#REF!="",F180,#REF!),IF('INHERENT MAP'!$B$5=2024,IF(#REF!="",F180,#REF!),IF('РЕЕСТР РИСКОВ_2023'!J220="",F180,'РЕЕСТР РИСКОВ_2023'!J220)))))</f>
        <v>ЦКС, ЦКБ</v>
      </c>
      <c r="G181" t="str">
        <f>IF('INHERENT MAP'!$B$5=2021,IF('РЕЕСТР РИСКОВ_2023'!K220="",G180,'РЕЕСТР РИСКОВ_2023'!K220),IF('INHERENT MAP'!$B$5=2022,IF(#REF!="",G180,#REF!),IF('INHERENT MAP'!$B$5=2023,IF(#REF!="",G180,#REF!),IF('INHERENT MAP'!$B$5=2024,IF(#REF!="",G180,#REF!),IF('РЕЕСТР РИСКОВ_2023'!K220="",G180,'РЕЕСТР РИСКОВ_2023'!K220)))))</f>
        <v>Коррупционные риски в сфере управления персоналом</v>
      </c>
      <c r="H181">
        <f>IF('INHERENT MAP'!$B$5=2021,'РЕЕСТР РИСКОВ_2023'!L220,IF('INHERENT MAP'!$B$5=2022,#REF!,IF('INHERENT MAP'!$B$5=2023,#REF!,IF('INHERENT MAP'!$B$5=2024,#REF!,#REF!))))</f>
        <v>0</v>
      </c>
      <c r="I181">
        <f>IF('INHERENT MAP'!$B$5=2021,'РЕЕСТР РИСКОВ_2023'!M220,IF('INHERENT MAP'!$B$5=2022,#REF!,IF('INHERENT MAP'!$B$5=2023,#REF!,IF('INHERENT MAP'!$B$5=2024,#REF!,#REF!))))</f>
        <v>0</v>
      </c>
      <c r="J181">
        <f>IF('INHERENT MAP'!$B$5=2021,'РЕЕСТР РИСКОВ_2023'!N220,IF('INHERENT MAP'!$B$5=2022,#REF!,IF('INHERENT MAP'!$B$5=2023,#REF!,IF('INHERENT MAP'!$B$5=2024,#REF!,#REF!))))</f>
        <v>0</v>
      </c>
      <c r="K181">
        <f>IF('INHERENT MAP'!$B$5=2021,'РЕЕСТР РИСКОВ_2023'!O220,IF('INHERENT MAP'!$B$5=2022,#REF!,IF('INHERENT MAP'!$B$5=2023,#REF!,IF('INHERENT MAP'!$B$5=2024,#REF!,#REF!))))</f>
        <v>0</v>
      </c>
      <c r="L181">
        <f>IF('INHERENT MAP'!$B$5=2021,'РЕЕСТР РИСКОВ_2023'!P220,IF('INHERENT MAP'!$B$5=2022,#REF!,IF('INHERENT MAP'!$B$5=2023,#REF!,IF('INHERENT MAP'!$B$5=2024,#REF!,#REF!))))</f>
        <v>0</v>
      </c>
      <c r="M181" t="str">
        <f>IF('INHERENT MAP'!$B$5=2021,IF('РЕЕСТР РИСКОВ_2023'!Q220="",M180,'РЕЕСТР РИСКОВ_2023'!Q220),IF('INHERENT MAP'!$B$5=2022,IF(#REF!="",M180,#REF!),IF('INHERENT MAP'!$B$5=2023,IF(#REF!="",M180,#REF!),IF('INHERENT MAP'!$B$5=2024,IF(#REF!="",M180,#REF!),IF('РЕЕСТР РИСКОВ_2023'!Q220="",M180,'РЕЕСТР РИСКОВ_2023'!Q220)))))</f>
        <v>Риск применения дисциплинарных мер (в том числе расторжение трудовых отношений) по основаниям, не предусмотренным трудовым законодательством</v>
      </c>
      <c r="N181" t="str">
        <f>IF('INHERENT MAP'!$B$5=2021,IF('РЕЕСТР РИСКОВ_2023'!R220="",N180,'РЕЕСТР РИСКОВ_2023'!R220),IF('INHERENT MAP'!$B$5=2022,IF(#REF!="",N180,#REF!),IF('INHERENT MAP'!$B$5=2023,IF(#REF!="",N180,#REF!),IF('INHERENT MAP'!$B$5=2024,IF(#REF!="",N180,#REF!),IF('РЕЕСТР РИСКОВ_2023'!R220="",N180,'РЕЕСТР РИСКОВ_2023'!R220)))))</f>
        <v xml:space="preserve">R2.8CS1. Применение дисциплинарного взыскания по основаниям, не предусмотренным трудовым законодательством может являться инструментом давления на работника с целью увольнения их в интересах третьих лиц.    </v>
      </c>
      <c r="O181">
        <f>'РЕЕСТР РИСКОВ_2023'!T220</f>
        <v>0</v>
      </c>
      <c r="P181" t="e">
        <f>IF('РЕЕСТР РИСКОВ_2023'!U220="",P180,'РЕЕСТР РИСКОВ_2023'!U220)</f>
        <v>#REF!</v>
      </c>
      <c r="Q181" t="str">
        <f>IF('РЕЕСТР РИСКОВ_2023'!V220="",Q180,'РЕЕСТР РИСКОВ_2023'!V220)</f>
        <v>Угрозы</v>
      </c>
      <c r="R181" t="str">
        <f>IF('РЕЕСТР РИСКОВ_2023'!W220="",R180,'РЕЕСТР РИСКОВ_2023'!W220)</f>
        <v>Возможные индикаторы:
1) увольнение по основаниям, не предусмотренным законом;
2) увольнение по основанию, которое не имело место в действительности;
3) указание иного основания увольнения, чем то, которое имело место в действительности;
4) увольнение без надлежащего документального оформления дисциплинарных проступков и грубого нарушения трудовых обязанностей (прогула, появления в нетрезвом состоянии, нарушения правил безопасности, хищения и т.п.).</v>
      </c>
      <c r="S181">
        <f>'РЕЕСТР РИСКОВ_2023'!X220</f>
        <v>0</v>
      </c>
      <c r="T181" s="94">
        <f>IF('INHERENT MAP'!$B$5=2021,'РЕЕСТР РИСКОВ_2023'!Y220,IF('INHERENT MAP'!$B$5=2022,#REF!,IF('INHERENT MAP'!$B$5=2023,#REF!,IF('INHERENT MAP'!$B$5=2024,#REF!,#REF!))))</f>
        <v>0</v>
      </c>
      <c r="U181">
        <f>IF('INHERENT MAP'!$B$5=2021,'РЕЕСТР РИСКОВ_2023'!Z220,IF('INHERENT MAP'!$B$5=2022,#REF!,IF('INHERENT MAP'!$B$5=2023,#REF!,IF('INHERENT MAP'!$B$5=2024,#REF!,#REF!))))</f>
        <v>0</v>
      </c>
      <c r="V181">
        <f>IF('INHERENT MAP'!$B$5=2021,'РЕЕСТР РИСКОВ_2023'!AA220,IF('INHERENT MAP'!$B$5=2022,#REF!,IF('INHERENT MAP'!$B$5=2023,#REF!,IF('INHERENT MAP'!$B$5=2024,#REF!,#REF!))))</f>
        <v>0</v>
      </c>
      <c r="W181">
        <f>IF('INHERENT MAP'!$B$5=2021,'РЕЕСТР РИСКОВ_2023'!AB220,IF('INHERENT MAP'!$B$5=2022,#REF!,IF('INHERENT MAP'!$B$5=2023,#REF!,IF('INHERENT MAP'!$B$5=2024,#REF!,#REF!))))</f>
        <v>0</v>
      </c>
      <c r="X181" s="94">
        <f>IF('INHERENT MAP'!$B$5=2021,'РЕЕСТР РИСКОВ_2023'!AC220,IF('INHERENT MAP'!$B$5=2022,#REF!,IF('INHERENT MAP'!$B$5=2023,#REF!,IF('INHERENT MAP'!$B$5=2024,#REF!,#REF!))))</f>
        <v>0</v>
      </c>
      <c r="Y181">
        <f>IF('INHERENT MAP'!$B$5=2021,'РЕЕСТР РИСКОВ_2023'!AD220,IF('INHERENT MAP'!$B$5=2022,#REF!,IF('INHERENT MAP'!$B$5=2023,#REF!,IF('INHERENT MAP'!$B$5=2024,#REF!,#REF!))))</f>
        <v>0</v>
      </c>
      <c r="Z181">
        <f>IF('INHERENT MAP'!$B$5=2021,'РЕЕСТР РИСКОВ_2023'!AE220,IF('INHERENT MAP'!$B$5=2022,#REF!,IF('INHERENT MAP'!$B$5=2023,#REF!,IF('INHERENT MAP'!$B$5=2024,#REF!,#REF!))))</f>
        <v>0</v>
      </c>
      <c r="AA181">
        <f>IF('INHERENT MAP'!$B$5=2021,'РЕЕСТР РИСКОВ_2023'!AF220,IF('INHERENT MAP'!$B$5=2022,#REF!,IF('INHERENT MAP'!$B$5=2023,#REF!,IF('INHERENT MAP'!$B$5=2024,#REF!,#REF!))))</f>
        <v>0</v>
      </c>
      <c r="AB181">
        <f>IF('INHERENT MAP'!$B$5=2021,'РЕЕСТР РИСКОВ_2023'!AG220,IF('INHERENT MAP'!$B$5=2022,#REF!,IF('INHERENT MAP'!$B$5=2023,#REF!,IF('INHERENT MAP'!$B$5=2024,#REF!,#REF!))))</f>
        <v>0</v>
      </c>
      <c r="AC181">
        <f>IF('INHERENT MAP'!$B$5=2021,'РЕЕСТР РИСКОВ_2023'!AH220,IF('INHERENT MAP'!$B$5=2022,#REF!,IF('INHERENT MAP'!$B$5=2023,#REF!,IF('INHERENT MAP'!$B$5=2024,#REF!,#REF!))))</f>
        <v>0</v>
      </c>
      <c r="AD181">
        <f>IF('INHERENT MAP'!$B$5=2021,'РЕЕСТР РИСКОВ_2023'!AI220,IF('INHERENT MAP'!$B$5=2022,#REF!,IF('INHERENT MAP'!$B$5=2023,#REF!,IF('INHERENT MAP'!$B$5=2024,#REF!,#REF!))))</f>
        <v>0</v>
      </c>
      <c r="AE181">
        <f>IF('INHERENT MAP'!$B$5=2021,'РЕЕСТР РИСКОВ_2023'!AK220,IF('INHERENT MAP'!$B$5=2022,#REF!,IF('INHERENT MAP'!$B$5=2023,#REF!,IF('INHERENT MAP'!$B$5=2024,#REF!,#REF!))))</f>
        <v>0</v>
      </c>
      <c r="AF181">
        <f>IF('INHERENT MAP'!$B$5=2021,'РЕЕСТР РИСКОВ_2023'!AL220,IF('INHERENT MAP'!$B$5=2022,#REF!,IF('INHERENT MAP'!$B$5=2023,#REF!,IF('INHERENT MAP'!$B$5=2024,#REF!,#REF!))))</f>
        <v>0</v>
      </c>
      <c r="AG181">
        <f>IF('INHERENT MAP'!$B$5=2021,'РЕЕСТР РИСКОВ_2023'!AM220,IF('INHERENT MAP'!$B$5=2022,#REF!,IF('INHERENT MAP'!$B$5=2023,#REF!,IF('INHERENT MAP'!$B$5=2024,#REF!,#REF!))))</f>
        <v>0</v>
      </c>
      <c r="AH181">
        <f>IF('INHERENT MAP'!$B$5=2021,'РЕЕСТР РИСКОВ_2023'!AN220,IF('INHERENT MAP'!$B$5=2022,#REF!,IF('INHERENT MAP'!$B$5=2023,#REF!,IF('INHERENT MAP'!$B$5=2024,#REF!,#REF!))))</f>
        <v>0</v>
      </c>
      <c r="AI181">
        <f>IF('INHERENT MAP'!$B$5=2021,'РЕЕСТР РИСКОВ_2023'!AO220,IF('INHERENT MAP'!$B$5=2022,#REF!,IF('INHERENT MAP'!$B$5=2023,#REF!,IF('INHERENT MAP'!$B$5=2024,#REF!,#REF!))))</f>
        <v>0</v>
      </c>
      <c r="AJ181">
        <f>IF('INHERENT MAP'!$B$5=2021,'РЕЕСТР РИСКОВ_2023'!AP220,IF('INHERENT MAP'!$B$5=2022,#REF!,IF('INHERENT MAP'!$B$5=2023,#REF!,IF('INHERENT MAP'!$B$5=2024,#REF!,#REF!))))</f>
        <v>0</v>
      </c>
      <c r="AK181">
        <f>IF('РЕЕСТР РИСКОВ_2023'!AQ220="",AK180,'РЕЕСТР РИСКОВ_2023'!AQ220)</f>
        <v>0</v>
      </c>
      <c r="AL181">
        <f>IF('РЕЕСТР РИСКОВ_2023'!AR220="",AL180,'РЕЕСТР РИСКОВ_2023'!AR220)</f>
        <v>1</v>
      </c>
      <c r="AM181">
        <f>IF('РЕЕСТР РИСКОВ_2023'!AS220="",AM180,'РЕЕСТР РИСКОВ_2023'!AS220)</f>
        <v>0</v>
      </c>
      <c r="AN181">
        <f>IF('РЕЕСТР РИСКОВ_2023'!AT220="",AN180,'РЕЕСТР РИСКОВ_2023'!AT220)</f>
        <v>0</v>
      </c>
      <c r="AO181" t="e">
        <f>IF('РЕЕСТР РИСКОВ_2023'!AU220="",AO180,'РЕЕСТР РИСКОВ_2023'!AU220)</f>
        <v>#REF!</v>
      </c>
    </row>
    <row r="182" spans="2:41">
      <c r="B182" t="str">
        <f>IF('INHERENT MAP'!$B$5=2021,IF('РЕЕСТР РИСКОВ_2023'!F221="",B181,'РЕЕСТР РИСКОВ_2023'!F221),IF('INHERENT MAP'!$B$5=2022,IF(#REF!="",B181,#REF!),IF('INHERENT MAP'!$B$5=2023,IF(#REF!="",B181,#REF!),IF('INHERENT MAP'!$B$5=2024,IF(#REF!="",B181,#REF!),IF('РЕЕСТР РИСКОВ_2023'!F221="",B181,'РЕЕСТР РИСКОВ_2023'!F221)))))</f>
        <v>КОМПЛАЕНС РИСК</v>
      </c>
      <c r="C182" t="e">
        <f>IF('INHERENT MAP'!$B$5=2021,IF('РЕЕСТР РИСКОВ_2023'!G221="",C181,'РЕЕСТР РИСКОВ_2023'!G221),IF('INHERENT MAP'!$B$5=2022,IF(#REF!="",C181,#REF!),IF('INHERENT MAP'!$B$5=2023,IF(#REF!="",C181,#REF!),IF('INHERENT MAP'!$B$5=2024,IF(#REF!="",C181,#REF!),IF('РЕЕСТР РИСКОВ_2023'!G221="",C181,'РЕЕСТР РИСКОВ_2023'!G221)))))</f>
        <v>#REF!</v>
      </c>
      <c r="D182" t="str">
        <f>IF('INHERENT MAP'!$B$5=2021,IF('РЕЕСТР РИСКОВ_2023'!H221="",D181,'РЕЕСТР РИСКОВ_2023'!H221),IF('INHERENT MAP'!$B$5=2022,IF(#REF!="",D181,#REF!),IF('INHERENT MAP'!$B$5=2023,IF(#REF!="",D181,#REF!),IF('INHERENT MAP'!$B$5=2024,IF(#REF!="",D181,#REF!),IF('РЕЕСТР РИСКОВ_2023'!H221="",D181,'РЕЕСТР РИСКОВ_2023'!H221)))))</f>
        <v>CRR-3</v>
      </c>
      <c r="E182" t="str">
        <f>IF('INHERENT MAP'!$B$5=2021,IF('РЕЕСТР РИСКОВ_2023'!I221="",E181,'РЕЕСТР РИСКОВ_2023'!I221),IF('INHERENT MAP'!$B$5=2022,IF(#REF!="",E181,#REF!),IF('INHERENT MAP'!$B$5=2023,IF(#REF!="",E181,#REF!),IF('INHERENT MAP'!$B$5=2024,IF(#REF!="",E181,#REF!),IF('РЕЕСТР РИСКОВ_2023'!I221="",E181,'РЕЕСТР РИСКОВ_2023'!I221)))))</f>
        <v>Ц</v>
      </c>
      <c r="F182" t="str">
        <f>IF('INHERENT MAP'!$B$5=2021,IF('РЕЕСТР РИСКОВ_2023'!J221="",F181,'РЕЕСТР РИСКОВ_2023'!J221),IF('INHERENT MAP'!$B$5=2022,IF(#REF!="",F181,#REF!),IF('INHERENT MAP'!$B$5=2023,IF(#REF!="",F181,#REF!),IF('INHERENT MAP'!$B$5=2024,IF(#REF!="",F181,#REF!),IF('РЕЕСТР РИСКОВ_2023'!J221="",F181,'РЕЕСТР РИСКОВ_2023'!J221)))))</f>
        <v>ЦКС, ЦКБ</v>
      </c>
      <c r="G182" t="str">
        <f>IF('INHERENT MAP'!$B$5=2021,IF('РЕЕСТР РИСКОВ_2023'!K221="",G181,'РЕЕСТР РИСКОВ_2023'!K221),IF('INHERENT MAP'!$B$5=2022,IF(#REF!="",G181,#REF!),IF('INHERENT MAP'!$B$5=2023,IF(#REF!="",G181,#REF!),IF('INHERENT MAP'!$B$5=2024,IF(#REF!="",G181,#REF!),IF('РЕЕСТР РИСКОВ_2023'!K221="",G181,'РЕЕСТР РИСКОВ_2023'!K221)))))</f>
        <v>Коррупционные риски в сфере управления персоналом</v>
      </c>
      <c r="H182">
        <f>IF('INHERENT MAP'!$B$5=2021,'РЕЕСТР РИСКОВ_2023'!L221,IF('INHERENT MAP'!$B$5=2022,#REF!,IF('INHERENT MAP'!$B$5=2023,#REF!,IF('INHERENT MAP'!$B$5=2024,#REF!,#REF!))))</f>
        <v>0</v>
      </c>
      <c r="I182">
        <f>IF('INHERENT MAP'!$B$5=2021,'РЕЕСТР РИСКОВ_2023'!M221,IF('INHERENT MAP'!$B$5=2022,#REF!,IF('INHERENT MAP'!$B$5=2023,#REF!,IF('INHERENT MAP'!$B$5=2024,#REF!,#REF!))))</f>
        <v>0</v>
      </c>
      <c r="J182">
        <f>IF('INHERENT MAP'!$B$5=2021,'РЕЕСТР РИСКОВ_2023'!N221,IF('INHERENT MAP'!$B$5=2022,#REF!,IF('INHERENT MAP'!$B$5=2023,#REF!,IF('INHERENT MAP'!$B$5=2024,#REF!,#REF!))))</f>
        <v>0</v>
      </c>
      <c r="K182">
        <f>IF('INHERENT MAP'!$B$5=2021,'РЕЕСТР РИСКОВ_2023'!O221,IF('INHERENT MAP'!$B$5=2022,#REF!,IF('INHERENT MAP'!$B$5=2023,#REF!,IF('INHERENT MAP'!$B$5=2024,#REF!,#REF!))))</f>
        <v>0</v>
      </c>
      <c r="L182">
        <f>IF('INHERENT MAP'!$B$5=2021,'РЕЕСТР РИСКОВ_2023'!P221,IF('INHERENT MAP'!$B$5=2022,#REF!,IF('INHERENT MAP'!$B$5=2023,#REF!,IF('INHERENT MAP'!$B$5=2024,#REF!,#REF!))))</f>
        <v>0</v>
      </c>
      <c r="M182" t="str">
        <f>IF('INHERENT MAP'!$B$5=2021,IF('РЕЕСТР РИСКОВ_2023'!Q221="",M181,'РЕЕСТР РИСКОВ_2023'!Q221),IF('INHERENT MAP'!$B$5=2022,IF(#REF!="",M181,#REF!),IF('INHERENT MAP'!$B$5=2023,IF(#REF!="",M181,#REF!),IF('INHERENT MAP'!$B$5=2024,IF(#REF!="",M181,#REF!),IF('РЕЕСТР РИСКОВ_2023'!Q221="",M181,'РЕЕСТР РИСКОВ_2023'!Q221)))))</f>
        <v>Дискриминация работников при оценке деятельности по основаниям, не относящимся к профессиональной деятельности/должностным обязанностям</v>
      </c>
      <c r="N182" t="str">
        <f>IF('INHERENT MAP'!$B$5=2021,IF('РЕЕСТР РИСКОВ_2023'!R221="",N181,'РЕЕСТР РИСКОВ_2023'!R221),IF('INHERENT MAP'!$B$5=2022,IF(#REF!="",N181,#REF!),IF('INHERENT MAP'!$B$5=2023,IF(#REF!="",N181,#REF!),IF('INHERENT MAP'!$B$5=2024,IF(#REF!="",N181,#REF!),IF('РЕЕСТР РИСКОВ_2023'!R221="",N181,'РЕЕСТР РИСКОВ_2023'!R221)))))</f>
        <v>R2.9.CS1. Дискриминация работника при оценке его деятельности и результативности по основаниям, не относящимся к профессиональной деятельности/должностным обязанностям.</v>
      </c>
      <c r="O182">
        <f>'РЕЕСТР РИСКОВ_2023'!T221</f>
        <v>0</v>
      </c>
      <c r="P182" t="e">
        <f>IF('РЕЕСТР РИСКОВ_2023'!U221="",P181,'РЕЕСТР РИСКОВ_2023'!U221)</f>
        <v>#REF!</v>
      </c>
      <c r="Q182" t="str">
        <f>IF('РЕЕСТР РИСКОВ_2023'!V221="",Q181,'РЕЕСТР РИСКОВ_2023'!V221)</f>
        <v>Угрозы</v>
      </c>
      <c r="R182" t="str">
        <f>IF('РЕЕСТР РИСКОВ_2023'!W221="",R181,'РЕЕСТР РИСКОВ_2023'!W221)</f>
        <v>Возможные индикаторы:
1)  несоблюдение принципа стандартного распределения в карте талантов либо дисбаланс при формировании сводного рейтинга;
2)  наличие жалоб и обращений со стороны работников на дискриминацию при оценке его деятельности по основаниям, не относящимся к профессиональной деятельности/должностным обязанностям.</v>
      </c>
      <c r="S182">
        <f>'РЕЕСТР РИСКОВ_2023'!X221</f>
        <v>0</v>
      </c>
      <c r="T182" s="94">
        <f>IF('INHERENT MAP'!$B$5=2021,'РЕЕСТР РИСКОВ_2023'!Y221,IF('INHERENT MAP'!$B$5=2022,#REF!,IF('INHERENT MAP'!$B$5=2023,#REF!,IF('INHERENT MAP'!$B$5=2024,#REF!,#REF!))))</f>
        <v>0</v>
      </c>
      <c r="U182">
        <f>IF('INHERENT MAP'!$B$5=2021,'РЕЕСТР РИСКОВ_2023'!Z221,IF('INHERENT MAP'!$B$5=2022,#REF!,IF('INHERENT MAP'!$B$5=2023,#REF!,IF('INHERENT MAP'!$B$5=2024,#REF!,#REF!))))</f>
        <v>0</v>
      </c>
      <c r="V182">
        <f>IF('INHERENT MAP'!$B$5=2021,'РЕЕСТР РИСКОВ_2023'!AA221,IF('INHERENT MAP'!$B$5=2022,#REF!,IF('INHERENT MAP'!$B$5=2023,#REF!,IF('INHERENT MAP'!$B$5=2024,#REF!,#REF!))))</f>
        <v>0</v>
      </c>
      <c r="W182">
        <f>IF('INHERENT MAP'!$B$5=2021,'РЕЕСТР РИСКОВ_2023'!AB221,IF('INHERENT MAP'!$B$5=2022,#REF!,IF('INHERENT MAP'!$B$5=2023,#REF!,IF('INHERENT MAP'!$B$5=2024,#REF!,#REF!))))</f>
        <v>0</v>
      </c>
      <c r="X182" s="94">
        <f>IF('INHERENT MAP'!$B$5=2021,'РЕЕСТР РИСКОВ_2023'!AC221,IF('INHERENT MAP'!$B$5=2022,#REF!,IF('INHERENT MAP'!$B$5=2023,#REF!,IF('INHERENT MAP'!$B$5=2024,#REF!,#REF!))))</f>
        <v>0</v>
      </c>
      <c r="Y182">
        <f>IF('INHERENT MAP'!$B$5=2021,'РЕЕСТР РИСКОВ_2023'!AD221,IF('INHERENT MAP'!$B$5=2022,#REF!,IF('INHERENT MAP'!$B$5=2023,#REF!,IF('INHERENT MAP'!$B$5=2024,#REF!,#REF!))))</f>
        <v>0</v>
      </c>
      <c r="Z182">
        <f>IF('INHERENT MAP'!$B$5=2021,'РЕЕСТР РИСКОВ_2023'!AE221,IF('INHERENT MAP'!$B$5=2022,#REF!,IF('INHERENT MAP'!$B$5=2023,#REF!,IF('INHERENT MAP'!$B$5=2024,#REF!,#REF!))))</f>
        <v>0</v>
      </c>
      <c r="AA182">
        <f>IF('INHERENT MAP'!$B$5=2021,'РЕЕСТР РИСКОВ_2023'!AF221,IF('INHERENT MAP'!$B$5=2022,#REF!,IF('INHERENT MAP'!$B$5=2023,#REF!,IF('INHERENT MAP'!$B$5=2024,#REF!,#REF!))))</f>
        <v>0</v>
      </c>
      <c r="AB182">
        <f>IF('INHERENT MAP'!$B$5=2021,'РЕЕСТР РИСКОВ_2023'!AG221,IF('INHERENT MAP'!$B$5=2022,#REF!,IF('INHERENT MAP'!$B$5=2023,#REF!,IF('INHERENT MAP'!$B$5=2024,#REF!,#REF!))))</f>
        <v>0</v>
      </c>
      <c r="AC182">
        <f>IF('INHERENT MAP'!$B$5=2021,'РЕЕСТР РИСКОВ_2023'!AH221,IF('INHERENT MAP'!$B$5=2022,#REF!,IF('INHERENT MAP'!$B$5=2023,#REF!,IF('INHERENT MAP'!$B$5=2024,#REF!,#REF!))))</f>
        <v>0</v>
      </c>
      <c r="AD182">
        <f>IF('INHERENT MAP'!$B$5=2021,'РЕЕСТР РИСКОВ_2023'!AI221,IF('INHERENT MAP'!$B$5=2022,#REF!,IF('INHERENT MAP'!$B$5=2023,#REF!,IF('INHERENT MAP'!$B$5=2024,#REF!,#REF!))))</f>
        <v>0</v>
      </c>
      <c r="AE182">
        <f>IF('INHERENT MAP'!$B$5=2021,'РЕЕСТР РИСКОВ_2023'!AK221,IF('INHERENT MAP'!$B$5=2022,#REF!,IF('INHERENT MAP'!$B$5=2023,#REF!,IF('INHERENT MAP'!$B$5=2024,#REF!,#REF!))))</f>
        <v>0</v>
      </c>
      <c r="AF182">
        <f>IF('INHERENT MAP'!$B$5=2021,'РЕЕСТР РИСКОВ_2023'!AL221,IF('INHERENT MAP'!$B$5=2022,#REF!,IF('INHERENT MAP'!$B$5=2023,#REF!,IF('INHERENT MAP'!$B$5=2024,#REF!,#REF!))))</f>
        <v>0</v>
      </c>
      <c r="AG182">
        <f>IF('INHERENT MAP'!$B$5=2021,'РЕЕСТР РИСКОВ_2023'!AM221,IF('INHERENT MAP'!$B$5=2022,#REF!,IF('INHERENT MAP'!$B$5=2023,#REF!,IF('INHERENT MAP'!$B$5=2024,#REF!,#REF!))))</f>
        <v>0</v>
      </c>
      <c r="AH182">
        <f>IF('INHERENT MAP'!$B$5=2021,'РЕЕСТР РИСКОВ_2023'!AN221,IF('INHERENT MAP'!$B$5=2022,#REF!,IF('INHERENT MAP'!$B$5=2023,#REF!,IF('INHERENT MAP'!$B$5=2024,#REF!,#REF!))))</f>
        <v>0</v>
      </c>
      <c r="AI182">
        <f>IF('INHERENT MAP'!$B$5=2021,'РЕЕСТР РИСКОВ_2023'!AO221,IF('INHERENT MAP'!$B$5=2022,#REF!,IF('INHERENT MAP'!$B$5=2023,#REF!,IF('INHERENT MAP'!$B$5=2024,#REF!,#REF!))))</f>
        <v>0</v>
      </c>
      <c r="AJ182">
        <f>IF('INHERENT MAP'!$B$5=2021,'РЕЕСТР РИСКОВ_2023'!AP221,IF('INHERENT MAP'!$B$5=2022,#REF!,IF('INHERENT MAP'!$B$5=2023,#REF!,IF('INHERENT MAP'!$B$5=2024,#REF!,#REF!))))</f>
        <v>0</v>
      </c>
      <c r="AK182">
        <f>IF('РЕЕСТР РИСКОВ_2023'!AQ221="",AK181,'РЕЕСТР РИСКОВ_2023'!AQ221)</f>
        <v>0</v>
      </c>
      <c r="AL182">
        <f>IF('РЕЕСТР РИСКОВ_2023'!AR221="",AL181,'РЕЕСТР РИСКОВ_2023'!AR221)</f>
        <v>1</v>
      </c>
      <c r="AM182">
        <f>IF('РЕЕСТР РИСКОВ_2023'!AS221="",AM181,'РЕЕСТР РИСКОВ_2023'!AS221)</f>
        <v>0</v>
      </c>
      <c r="AN182">
        <f>IF('РЕЕСТР РИСКОВ_2023'!AT221="",AN181,'РЕЕСТР РИСКОВ_2023'!AT221)</f>
        <v>0</v>
      </c>
      <c r="AO182" t="e">
        <f>IF('РЕЕСТР РИСКОВ_2023'!AU221="",AO181,'РЕЕСТР РИСКОВ_2023'!AU221)</f>
        <v>#REF!</v>
      </c>
    </row>
    <row r="183" spans="2:41">
      <c r="B183" t="str">
        <f>IF('INHERENT MAP'!$B$5=2021,IF('РЕЕСТР РИСКОВ_2023'!F222="",B182,'РЕЕСТР РИСКОВ_2023'!F222),IF('INHERENT MAP'!$B$5=2022,IF(#REF!="",B182,#REF!),IF('INHERENT MAP'!$B$5=2023,IF(#REF!="",B182,#REF!),IF('INHERENT MAP'!$B$5=2024,IF(#REF!="",B182,#REF!),IF('РЕЕСТР РИСКОВ_2023'!F222="",B182,'РЕЕСТР РИСКОВ_2023'!F222)))))</f>
        <v>КОМПЛАЕНС РИСК</v>
      </c>
      <c r="C183" t="e">
        <f>IF('INHERENT MAP'!$B$5=2021,IF('РЕЕСТР РИСКОВ_2023'!G222="",C182,'РЕЕСТР РИСКОВ_2023'!G222),IF('INHERENT MAP'!$B$5=2022,IF(#REF!="",C182,#REF!),IF('INHERENT MAP'!$B$5=2023,IF(#REF!="",C182,#REF!),IF('INHERENT MAP'!$B$5=2024,IF(#REF!="",C182,#REF!),IF('РЕЕСТР РИСКОВ_2023'!G222="",C182,'РЕЕСТР РИСКОВ_2023'!G222)))))</f>
        <v>#REF!</v>
      </c>
      <c r="D183" t="str">
        <f>IF('INHERENT MAP'!$B$5=2021,IF('РЕЕСТР РИСКОВ_2023'!H222="",D182,'РЕЕСТР РИСКОВ_2023'!H222),IF('INHERENT MAP'!$B$5=2022,IF(#REF!="",D182,#REF!),IF('INHERENT MAP'!$B$5=2023,IF(#REF!="",D182,#REF!),IF('INHERENT MAP'!$B$5=2024,IF(#REF!="",D182,#REF!),IF('РЕЕСТР РИСКОВ_2023'!H222="",D182,'РЕЕСТР РИСКОВ_2023'!H222)))))</f>
        <v>CRR-3</v>
      </c>
      <c r="E183" t="str">
        <f>IF('INHERENT MAP'!$B$5=2021,IF('РЕЕСТР РИСКОВ_2023'!I222="",E182,'РЕЕСТР РИСКОВ_2023'!I222),IF('INHERENT MAP'!$B$5=2022,IF(#REF!="",E182,#REF!),IF('INHERENT MAP'!$B$5=2023,IF(#REF!="",E182,#REF!),IF('INHERENT MAP'!$B$5=2024,IF(#REF!="",E182,#REF!),IF('РЕЕСТР РИСКОВ_2023'!I222="",E182,'РЕЕСТР РИСКОВ_2023'!I222)))))</f>
        <v>Ц</v>
      </c>
      <c r="F183" t="str">
        <f>IF('INHERENT MAP'!$B$5=2021,IF('РЕЕСТР РИСКОВ_2023'!J222="",F182,'РЕЕСТР РИСКОВ_2023'!J222),IF('INHERENT MAP'!$B$5=2022,IF(#REF!="",F182,#REF!),IF('INHERENT MAP'!$B$5=2023,IF(#REF!="",F182,#REF!),IF('INHERENT MAP'!$B$5=2024,IF(#REF!="",F182,#REF!),IF('РЕЕСТР РИСКОВ_2023'!J222="",F182,'РЕЕСТР РИСКОВ_2023'!J222)))))</f>
        <v>ЦКС, ЦКБ</v>
      </c>
      <c r="G183" t="str">
        <f>IF('INHERENT MAP'!$B$5=2021,IF('РЕЕСТР РИСКОВ_2023'!K222="",G182,'РЕЕСТР РИСКОВ_2023'!K222),IF('INHERENT MAP'!$B$5=2022,IF(#REF!="",G182,#REF!),IF('INHERENT MAP'!$B$5=2023,IF(#REF!="",G182,#REF!),IF('INHERENT MAP'!$B$5=2024,IF(#REF!="",G182,#REF!),IF('РЕЕСТР РИСКОВ_2023'!K222="",G182,'РЕЕСТР РИСКОВ_2023'!K222)))))</f>
        <v>Коррупционные риски в сфере управления персоналом</v>
      </c>
      <c r="H183">
        <f>IF('INHERENT MAP'!$B$5=2021,'РЕЕСТР РИСКОВ_2023'!L222,IF('INHERENT MAP'!$B$5=2022,#REF!,IF('INHERENT MAP'!$B$5=2023,#REF!,IF('INHERENT MAP'!$B$5=2024,#REF!,#REF!))))</f>
        <v>0</v>
      </c>
      <c r="I183">
        <f>IF('INHERENT MAP'!$B$5=2021,'РЕЕСТР РИСКОВ_2023'!M222,IF('INHERENT MAP'!$B$5=2022,#REF!,IF('INHERENT MAP'!$B$5=2023,#REF!,IF('INHERENT MAP'!$B$5=2024,#REF!,#REF!))))</f>
        <v>0</v>
      </c>
      <c r="J183">
        <f>IF('INHERENT MAP'!$B$5=2021,'РЕЕСТР РИСКОВ_2023'!N222,IF('INHERENT MAP'!$B$5=2022,#REF!,IF('INHERENT MAP'!$B$5=2023,#REF!,IF('INHERENT MAP'!$B$5=2024,#REF!,#REF!))))</f>
        <v>0</v>
      </c>
      <c r="K183">
        <f>IF('INHERENT MAP'!$B$5=2021,'РЕЕСТР РИСКОВ_2023'!O222,IF('INHERENT MAP'!$B$5=2022,#REF!,IF('INHERENT MAP'!$B$5=2023,#REF!,IF('INHERENT MAP'!$B$5=2024,#REF!,#REF!))))</f>
        <v>0</v>
      </c>
      <c r="L183">
        <f>IF('INHERENT MAP'!$B$5=2021,'РЕЕСТР РИСКОВ_2023'!P222,IF('INHERENT MAP'!$B$5=2022,#REF!,IF('INHERENT MAP'!$B$5=2023,#REF!,IF('INHERENT MAP'!$B$5=2024,#REF!,#REF!))))</f>
        <v>0</v>
      </c>
      <c r="M183" t="str">
        <f>IF('INHERENT MAP'!$B$5=2021,IF('РЕЕСТР РИСКОВ_2023'!Q222="",M182,'РЕЕСТР РИСКОВ_2023'!Q222),IF('INHERENT MAP'!$B$5=2022,IF(#REF!="",M182,#REF!),IF('INHERENT MAP'!$B$5=2023,IF(#REF!="",M182,#REF!),IF('INHERENT MAP'!$B$5=2024,IF(#REF!="",M182,#REF!),IF('РЕЕСТР РИСКОВ_2023'!Q222="",M182,'РЕЕСТР РИСКОВ_2023'!Q222)))))</f>
        <v xml:space="preserve">Риск принятия региональными руководителями Компании необъективных кадровых решений в части выбора финального кандидата </v>
      </c>
      <c r="N183" t="str">
        <f>IF('INHERENT MAP'!$B$5=2021,IF('РЕЕСТР РИСКОВ_2023'!R222="",N182,'РЕЕСТР РИСКОВ_2023'!R222),IF('INHERENT MAP'!$B$5=2022,IF(#REF!="",N182,#REF!),IF('INHERENT MAP'!$B$5=2023,IF(#REF!="",N182,#REF!),IF('INHERENT MAP'!$B$5=2024,IF(#REF!="",N182,#REF!),IF('РЕЕСТР РИСКОВ_2023'!R222="",N182,'РЕЕСТР РИСКОВ_2023'!R222)))))</f>
        <v xml:space="preserve">R2.10.CS1. Выбор финального кандидата исходя из рекомендации руководителя регионального структурного подразделения, в котором образовалась вакансия в результате получения незаконного вознаграждения. </v>
      </c>
      <c r="O183">
        <f>'РЕЕСТР РИСКОВ_2023'!T222</f>
        <v>0</v>
      </c>
      <c r="P183" t="e">
        <f>IF('РЕЕСТР РИСКОВ_2023'!U222="",P182,'РЕЕСТР РИСКОВ_2023'!U222)</f>
        <v>#REF!</v>
      </c>
      <c r="Q183" t="str">
        <f>IF('РЕЕСТР РИСКОВ_2023'!V222="",Q182,'РЕЕСТР РИСКОВ_2023'!V222)</f>
        <v>Угрозы</v>
      </c>
      <c r="R183" t="str">
        <f>IF('РЕЕСТР РИСКОВ_2023'!W222="",R182,'РЕЕСТР РИСКОВ_2023'!W222)</f>
        <v>Жалобы на несправедливый выбор кандидатов.</v>
      </c>
      <c r="S183">
        <f>'РЕЕСТР РИСКОВ_2023'!X222</f>
        <v>0</v>
      </c>
      <c r="T183" s="94">
        <f>IF('INHERENT MAP'!$B$5=2021,'РЕЕСТР РИСКОВ_2023'!Y222,IF('INHERENT MAP'!$B$5=2022,#REF!,IF('INHERENT MAP'!$B$5=2023,#REF!,IF('INHERENT MAP'!$B$5=2024,#REF!,#REF!))))</f>
        <v>0</v>
      </c>
      <c r="U183">
        <f>IF('INHERENT MAP'!$B$5=2021,'РЕЕСТР РИСКОВ_2023'!Z222,IF('INHERENT MAP'!$B$5=2022,#REF!,IF('INHERENT MAP'!$B$5=2023,#REF!,IF('INHERENT MAP'!$B$5=2024,#REF!,#REF!))))</f>
        <v>0</v>
      </c>
      <c r="V183">
        <f>IF('INHERENT MAP'!$B$5=2021,'РЕЕСТР РИСКОВ_2023'!AA222,IF('INHERENT MAP'!$B$5=2022,#REF!,IF('INHERENT MAP'!$B$5=2023,#REF!,IF('INHERENT MAP'!$B$5=2024,#REF!,#REF!))))</f>
        <v>0</v>
      </c>
      <c r="W183">
        <f>IF('INHERENT MAP'!$B$5=2021,'РЕЕСТР РИСКОВ_2023'!AB222,IF('INHERENT MAP'!$B$5=2022,#REF!,IF('INHERENT MAP'!$B$5=2023,#REF!,IF('INHERENT MAP'!$B$5=2024,#REF!,#REF!))))</f>
        <v>0</v>
      </c>
      <c r="X183" s="94">
        <f>IF('INHERENT MAP'!$B$5=2021,'РЕЕСТР РИСКОВ_2023'!AC222,IF('INHERENT MAP'!$B$5=2022,#REF!,IF('INHERENT MAP'!$B$5=2023,#REF!,IF('INHERENT MAP'!$B$5=2024,#REF!,#REF!))))</f>
        <v>0</v>
      </c>
      <c r="Y183">
        <f>IF('INHERENT MAP'!$B$5=2021,'РЕЕСТР РИСКОВ_2023'!AD222,IF('INHERENT MAP'!$B$5=2022,#REF!,IF('INHERENT MAP'!$B$5=2023,#REF!,IF('INHERENT MAP'!$B$5=2024,#REF!,#REF!))))</f>
        <v>0</v>
      </c>
      <c r="Z183">
        <f>IF('INHERENT MAP'!$B$5=2021,'РЕЕСТР РИСКОВ_2023'!AE222,IF('INHERENT MAP'!$B$5=2022,#REF!,IF('INHERENT MAP'!$B$5=2023,#REF!,IF('INHERENT MAP'!$B$5=2024,#REF!,#REF!))))</f>
        <v>0</v>
      </c>
      <c r="AA183">
        <f>IF('INHERENT MAP'!$B$5=2021,'РЕЕСТР РИСКОВ_2023'!AF222,IF('INHERENT MAP'!$B$5=2022,#REF!,IF('INHERENT MAP'!$B$5=2023,#REF!,IF('INHERENT MAP'!$B$5=2024,#REF!,#REF!))))</f>
        <v>0</v>
      </c>
      <c r="AB183">
        <f>IF('INHERENT MAP'!$B$5=2021,'РЕЕСТР РИСКОВ_2023'!AG222,IF('INHERENT MAP'!$B$5=2022,#REF!,IF('INHERENT MAP'!$B$5=2023,#REF!,IF('INHERENT MAP'!$B$5=2024,#REF!,#REF!))))</f>
        <v>0</v>
      </c>
      <c r="AC183">
        <f>IF('INHERENT MAP'!$B$5=2021,'РЕЕСТР РИСКОВ_2023'!AH222,IF('INHERENT MAP'!$B$5=2022,#REF!,IF('INHERENT MAP'!$B$5=2023,#REF!,IF('INHERENT MAP'!$B$5=2024,#REF!,#REF!))))</f>
        <v>0</v>
      </c>
      <c r="AD183">
        <f>IF('INHERENT MAP'!$B$5=2021,'РЕЕСТР РИСКОВ_2023'!AI222,IF('INHERENT MAP'!$B$5=2022,#REF!,IF('INHERENT MAP'!$B$5=2023,#REF!,IF('INHERENT MAP'!$B$5=2024,#REF!,#REF!))))</f>
        <v>0</v>
      </c>
      <c r="AE183">
        <f>IF('INHERENT MAP'!$B$5=2021,'РЕЕСТР РИСКОВ_2023'!AK222,IF('INHERENT MAP'!$B$5=2022,#REF!,IF('INHERENT MAP'!$B$5=2023,#REF!,IF('INHERENT MAP'!$B$5=2024,#REF!,#REF!))))</f>
        <v>0</v>
      </c>
      <c r="AF183">
        <f>IF('INHERENT MAP'!$B$5=2021,'РЕЕСТР РИСКОВ_2023'!AL222,IF('INHERENT MAP'!$B$5=2022,#REF!,IF('INHERENT MAP'!$B$5=2023,#REF!,IF('INHERENT MAP'!$B$5=2024,#REF!,#REF!))))</f>
        <v>0</v>
      </c>
      <c r="AG183">
        <f>IF('INHERENT MAP'!$B$5=2021,'РЕЕСТР РИСКОВ_2023'!AM222,IF('INHERENT MAP'!$B$5=2022,#REF!,IF('INHERENT MAP'!$B$5=2023,#REF!,IF('INHERENT MAP'!$B$5=2024,#REF!,#REF!))))</f>
        <v>0</v>
      </c>
      <c r="AH183">
        <f>IF('INHERENT MAP'!$B$5=2021,'РЕЕСТР РИСКОВ_2023'!AN222,IF('INHERENT MAP'!$B$5=2022,#REF!,IF('INHERENT MAP'!$B$5=2023,#REF!,IF('INHERENT MAP'!$B$5=2024,#REF!,#REF!))))</f>
        <v>0</v>
      </c>
      <c r="AI183">
        <f>IF('INHERENT MAP'!$B$5=2021,'РЕЕСТР РИСКОВ_2023'!AO222,IF('INHERENT MAP'!$B$5=2022,#REF!,IF('INHERENT MAP'!$B$5=2023,#REF!,IF('INHERENT MAP'!$B$5=2024,#REF!,#REF!))))</f>
        <v>0</v>
      </c>
      <c r="AJ183">
        <f>IF('INHERENT MAP'!$B$5=2021,'РЕЕСТР РИСКОВ_2023'!AP222,IF('INHERENT MAP'!$B$5=2022,#REF!,IF('INHERENT MAP'!$B$5=2023,#REF!,IF('INHERENT MAP'!$B$5=2024,#REF!,#REF!))))</f>
        <v>0</v>
      </c>
      <c r="AK183">
        <f>IF('РЕЕСТР РИСКОВ_2023'!AQ222="",AK182,'РЕЕСТР РИСКОВ_2023'!AQ222)</f>
        <v>0</v>
      </c>
      <c r="AL183">
        <f>IF('РЕЕСТР РИСКОВ_2023'!AR222="",AL182,'РЕЕСТР РИСКОВ_2023'!AR222)</f>
        <v>1</v>
      </c>
      <c r="AM183">
        <f>IF('РЕЕСТР РИСКОВ_2023'!AS222="",AM182,'РЕЕСТР РИСКОВ_2023'!AS222)</f>
        <v>0</v>
      </c>
      <c r="AN183">
        <f>IF('РЕЕСТР РИСКОВ_2023'!AT222="",AN182,'РЕЕСТР РИСКОВ_2023'!AT222)</f>
        <v>0</v>
      </c>
      <c r="AO183" t="e">
        <f>IF('РЕЕСТР РИСКОВ_2023'!AU222="",AO182,'РЕЕСТР РИСКОВ_2023'!AU222)</f>
        <v>#REF!</v>
      </c>
    </row>
    <row r="184" spans="2:41">
      <c r="B184" t="str">
        <f>IF('INHERENT MAP'!$B$5=2021,IF('РЕЕСТР РИСКОВ_2023'!F223="",B183,'РЕЕСТР РИСКОВ_2023'!F223),IF('INHERENT MAP'!$B$5=2022,IF(#REF!="",B183,#REF!),IF('INHERENT MAP'!$B$5=2023,IF(#REF!="",B183,#REF!),IF('INHERENT MAP'!$B$5=2024,IF(#REF!="",B183,#REF!),IF('РЕЕСТР РИСКОВ_2023'!F223="",B183,'РЕЕСТР РИСКОВ_2023'!F223)))))</f>
        <v>КОМПЛАЕНС РИСК</v>
      </c>
      <c r="C184" t="e">
        <f>IF('INHERENT MAP'!$B$5=2021,IF('РЕЕСТР РИСКОВ_2023'!G223="",C183,'РЕЕСТР РИСКОВ_2023'!G223),IF('INHERENT MAP'!$B$5=2022,IF(#REF!="",C183,#REF!),IF('INHERENT MAP'!$B$5=2023,IF(#REF!="",C183,#REF!),IF('INHERENT MAP'!$B$5=2024,IF(#REF!="",C183,#REF!),IF('РЕЕСТР РИСКОВ_2023'!G223="",C183,'РЕЕСТР РИСКОВ_2023'!G223)))))</f>
        <v>#REF!</v>
      </c>
      <c r="D184" t="str">
        <f>IF('INHERENT MAP'!$B$5=2021,IF('РЕЕСТР РИСКОВ_2023'!H223="",D183,'РЕЕСТР РИСКОВ_2023'!H223),IF('INHERENT MAP'!$B$5=2022,IF(#REF!="",D183,#REF!),IF('INHERENT MAP'!$B$5=2023,IF(#REF!="",D183,#REF!),IF('INHERENT MAP'!$B$5=2024,IF(#REF!="",D183,#REF!),IF('РЕЕСТР РИСКОВ_2023'!H223="",D183,'РЕЕСТР РИСКОВ_2023'!H223)))))</f>
        <v>CRR-3</v>
      </c>
      <c r="E184" t="str">
        <f>IF('INHERENT MAP'!$B$5=2021,IF('РЕЕСТР РИСКОВ_2023'!I223="",E183,'РЕЕСТР РИСКОВ_2023'!I223),IF('INHERENT MAP'!$B$5=2022,IF(#REF!="",E183,#REF!),IF('INHERENT MAP'!$B$5=2023,IF(#REF!="",E183,#REF!),IF('INHERENT MAP'!$B$5=2024,IF(#REF!="",E183,#REF!),IF('РЕЕСТР РИСКОВ_2023'!I223="",E183,'РЕЕСТР РИСКОВ_2023'!I223)))))</f>
        <v>Ц</v>
      </c>
      <c r="F184" t="str">
        <f>IF('INHERENT MAP'!$B$5=2021,IF('РЕЕСТР РИСКОВ_2023'!J223="",F183,'РЕЕСТР РИСКОВ_2023'!J223),IF('INHERENT MAP'!$B$5=2022,IF(#REF!="",F183,#REF!),IF('INHERENT MAP'!$B$5=2023,IF(#REF!="",F183,#REF!),IF('INHERENT MAP'!$B$5=2024,IF(#REF!="",F183,#REF!),IF('РЕЕСТР РИСКОВ_2023'!J223="",F183,'РЕЕСТР РИСКОВ_2023'!J223)))))</f>
        <v>ЦКС, ЦКБ</v>
      </c>
      <c r="G184" t="str">
        <f>IF('INHERENT MAP'!$B$5=2021,IF('РЕЕСТР РИСКОВ_2023'!K223="",G183,'РЕЕСТР РИСКОВ_2023'!K223),IF('INHERENT MAP'!$B$5=2022,IF(#REF!="",G183,#REF!),IF('INHERENT MAP'!$B$5=2023,IF(#REF!="",G183,#REF!),IF('INHERENT MAP'!$B$5=2024,IF(#REF!="",G183,#REF!),IF('РЕЕСТР РИСКОВ_2023'!K223="",G183,'РЕЕСТР РИСКОВ_2023'!K223)))))</f>
        <v>Коррупционные риски в сфере управления персоналом</v>
      </c>
      <c r="H184">
        <f>IF('INHERENT MAP'!$B$5=2021,'РЕЕСТР РИСКОВ_2023'!L223,IF('INHERENT MAP'!$B$5=2022,#REF!,IF('INHERENT MAP'!$B$5=2023,#REF!,IF('INHERENT MAP'!$B$5=2024,#REF!,#REF!))))</f>
        <v>0</v>
      </c>
      <c r="I184">
        <f>IF('INHERENT MAP'!$B$5=2021,'РЕЕСТР РИСКОВ_2023'!M223,IF('INHERENT MAP'!$B$5=2022,#REF!,IF('INHERENT MAP'!$B$5=2023,#REF!,IF('INHERENT MAP'!$B$5=2024,#REF!,#REF!))))</f>
        <v>0</v>
      </c>
      <c r="J184">
        <f>IF('INHERENT MAP'!$B$5=2021,'РЕЕСТР РИСКОВ_2023'!N223,IF('INHERENT MAP'!$B$5=2022,#REF!,IF('INHERENT MAP'!$B$5=2023,#REF!,IF('INHERENT MAP'!$B$5=2024,#REF!,#REF!))))</f>
        <v>0</v>
      </c>
      <c r="K184">
        <f>IF('INHERENT MAP'!$B$5=2021,'РЕЕСТР РИСКОВ_2023'!O223,IF('INHERENT MAP'!$B$5=2022,#REF!,IF('INHERENT MAP'!$B$5=2023,#REF!,IF('INHERENT MAP'!$B$5=2024,#REF!,#REF!))))</f>
        <v>0</v>
      </c>
      <c r="L184">
        <f>IF('INHERENT MAP'!$B$5=2021,'РЕЕСТР РИСКОВ_2023'!P223,IF('INHERENT MAP'!$B$5=2022,#REF!,IF('INHERENT MAP'!$B$5=2023,#REF!,IF('INHERENT MAP'!$B$5=2024,#REF!,#REF!))))</f>
        <v>0</v>
      </c>
      <c r="M184" t="str">
        <f>IF('INHERENT MAP'!$B$5=2021,IF('РЕЕСТР РИСКОВ_2023'!Q223="",M183,'РЕЕСТР РИСКОВ_2023'!Q223),IF('INHERENT MAP'!$B$5=2022,IF(#REF!="",M183,#REF!),IF('INHERENT MAP'!$B$5=2023,IF(#REF!="",M183,#REF!),IF('INHERENT MAP'!$B$5=2024,IF(#REF!="",M183,#REF!),IF('РЕЕСТР РИСКОВ_2023'!Q223="",M183,'РЕЕСТР РИСКОВ_2023'!Q223)))))</f>
        <v>Коррупционные риски при профессиональном развитии и обучении работников на базе Учебных центров Фцкадр (УЦ)</v>
      </c>
      <c r="N184" t="str">
        <f>IF('INHERENT MAP'!$B$5=2021,IF('РЕЕСТР РИСКОВ_2023'!R223="",N183,'РЕЕСТР РИСКОВ_2023'!R223),IF('INHERENT MAP'!$B$5=2022,IF(#REF!="",N183,#REF!),IF('INHERENT MAP'!$B$5=2023,IF(#REF!="",N183,#REF!),IF('INHERENT MAP'!$B$5=2024,IF(#REF!="",N183,#REF!),IF('РЕЕСТР РИСКОВ_2023'!R223="",N183,'РЕЕСТР РИСКОВ_2023'!R223)))))</f>
        <v>R2.11.CS1. Получение незаконного вознаграждения или иной выгоды членами экзаменационной комиссии с целью принятия положительного решения, если  слушатель по итогам экзамена / тестирования не набрал проходного количества баллов.
R2.11.CS2. В результате сговора с работником с целью получения незаконного вознаграждения или иной выгоды ответственные лица УЦ неправомерно освобождают  слушателей от занятий с сохранением командировочных расходов.
R2.11.CS3. С целью получения незаконного вознаграждения или иной выгоды ответственные лица УЦ незаконно выдают свидетельства, удостоверения об окончании курсов профессиональной подготовки / повышения квалификации лицам, не проходившим обучение.</v>
      </c>
      <c r="O184">
        <f>'РЕЕСТР РИСКОВ_2023'!T223</f>
        <v>0</v>
      </c>
      <c r="P184" t="e">
        <f>IF('РЕЕСТР РИСКОВ_2023'!U223="",P183,'РЕЕСТР РИСКОВ_2023'!U223)</f>
        <v>#REF!</v>
      </c>
      <c r="Q184" t="str">
        <f>IF('РЕЕСТР РИСКОВ_2023'!V223="",Q183,'РЕЕСТР РИСКОВ_2023'!V223)</f>
        <v>Угрозы</v>
      </c>
      <c r="R184" t="str">
        <f>IF('РЕЕСТР РИСКОВ_2023'!W223="",R183,'РЕЕСТР РИСКОВ_2023'!W223)</f>
        <v>Возможные индикаторы:
1) наличие жалоб от работников;
2) отсутствие первичных документов по прохождению обучения.</v>
      </c>
      <c r="S184">
        <f>'РЕЕСТР РИСКОВ_2023'!X223</f>
        <v>0</v>
      </c>
      <c r="T184" s="94">
        <f>IF('INHERENT MAP'!$B$5=2021,'РЕЕСТР РИСКОВ_2023'!Y223,IF('INHERENT MAP'!$B$5=2022,#REF!,IF('INHERENT MAP'!$B$5=2023,#REF!,IF('INHERENT MAP'!$B$5=2024,#REF!,#REF!))))</f>
        <v>0</v>
      </c>
      <c r="U184">
        <f>IF('INHERENT MAP'!$B$5=2021,'РЕЕСТР РИСКОВ_2023'!Z223,IF('INHERENT MAP'!$B$5=2022,#REF!,IF('INHERENT MAP'!$B$5=2023,#REF!,IF('INHERENT MAP'!$B$5=2024,#REF!,#REF!))))</f>
        <v>0</v>
      </c>
      <c r="V184">
        <f>IF('INHERENT MAP'!$B$5=2021,'РЕЕСТР РИСКОВ_2023'!AA223,IF('INHERENT MAP'!$B$5=2022,#REF!,IF('INHERENT MAP'!$B$5=2023,#REF!,IF('INHERENT MAP'!$B$5=2024,#REF!,#REF!))))</f>
        <v>0</v>
      </c>
      <c r="W184">
        <f>IF('INHERENT MAP'!$B$5=2021,'РЕЕСТР РИСКОВ_2023'!AB223,IF('INHERENT MAP'!$B$5=2022,#REF!,IF('INHERENT MAP'!$B$5=2023,#REF!,IF('INHERENT MAP'!$B$5=2024,#REF!,#REF!))))</f>
        <v>0</v>
      </c>
      <c r="X184" s="94">
        <f>IF('INHERENT MAP'!$B$5=2021,'РЕЕСТР РИСКОВ_2023'!AC223,IF('INHERENT MAP'!$B$5=2022,#REF!,IF('INHERENT MAP'!$B$5=2023,#REF!,IF('INHERENT MAP'!$B$5=2024,#REF!,#REF!))))</f>
        <v>0</v>
      </c>
      <c r="Y184">
        <f>IF('INHERENT MAP'!$B$5=2021,'РЕЕСТР РИСКОВ_2023'!AD223,IF('INHERENT MAP'!$B$5=2022,#REF!,IF('INHERENT MAP'!$B$5=2023,#REF!,IF('INHERENT MAP'!$B$5=2024,#REF!,#REF!))))</f>
        <v>0</v>
      </c>
      <c r="Z184">
        <f>IF('INHERENT MAP'!$B$5=2021,'РЕЕСТР РИСКОВ_2023'!AE223,IF('INHERENT MAP'!$B$5=2022,#REF!,IF('INHERENT MAP'!$B$5=2023,#REF!,IF('INHERENT MAP'!$B$5=2024,#REF!,#REF!))))</f>
        <v>0</v>
      </c>
      <c r="AA184">
        <f>IF('INHERENT MAP'!$B$5=2021,'РЕЕСТР РИСКОВ_2023'!AF223,IF('INHERENT MAP'!$B$5=2022,#REF!,IF('INHERENT MAP'!$B$5=2023,#REF!,IF('INHERENT MAP'!$B$5=2024,#REF!,#REF!))))</f>
        <v>0</v>
      </c>
      <c r="AB184">
        <f>IF('INHERENT MAP'!$B$5=2021,'РЕЕСТР РИСКОВ_2023'!AG223,IF('INHERENT MAP'!$B$5=2022,#REF!,IF('INHERENT MAP'!$B$5=2023,#REF!,IF('INHERENT MAP'!$B$5=2024,#REF!,#REF!))))</f>
        <v>0</v>
      </c>
      <c r="AC184">
        <f>IF('INHERENT MAP'!$B$5=2021,'РЕЕСТР РИСКОВ_2023'!AH223,IF('INHERENT MAP'!$B$5=2022,#REF!,IF('INHERENT MAP'!$B$5=2023,#REF!,IF('INHERENT MAP'!$B$5=2024,#REF!,#REF!))))</f>
        <v>0</v>
      </c>
      <c r="AD184">
        <f>IF('INHERENT MAP'!$B$5=2021,'РЕЕСТР РИСКОВ_2023'!AI223,IF('INHERENT MAP'!$B$5=2022,#REF!,IF('INHERENT MAP'!$B$5=2023,#REF!,IF('INHERENT MAP'!$B$5=2024,#REF!,#REF!))))</f>
        <v>0</v>
      </c>
      <c r="AE184">
        <f>IF('INHERENT MAP'!$B$5=2021,'РЕЕСТР РИСКОВ_2023'!AK223,IF('INHERENT MAP'!$B$5=2022,#REF!,IF('INHERENT MAP'!$B$5=2023,#REF!,IF('INHERENT MAP'!$B$5=2024,#REF!,#REF!))))</f>
        <v>0</v>
      </c>
      <c r="AF184">
        <f>IF('INHERENT MAP'!$B$5=2021,'РЕЕСТР РИСКОВ_2023'!AL223,IF('INHERENT MAP'!$B$5=2022,#REF!,IF('INHERENT MAP'!$B$5=2023,#REF!,IF('INHERENT MAP'!$B$5=2024,#REF!,#REF!))))</f>
        <v>0</v>
      </c>
      <c r="AG184">
        <f>IF('INHERENT MAP'!$B$5=2021,'РЕЕСТР РИСКОВ_2023'!AM223,IF('INHERENT MAP'!$B$5=2022,#REF!,IF('INHERENT MAP'!$B$5=2023,#REF!,IF('INHERENT MAP'!$B$5=2024,#REF!,#REF!))))</f>
        <v>0</v>
      </c>
      <c r="AH184">
        <f>IF('INHERENT MAP'!$B$5=2021,'РЕЕСТР РИСКОВ_2023'!AN223,IF('INHERENT MAP'!$B$5=2022,#REF!,IF('INHERENT MAP'!$B$5=2023,#REF!,IF('INHERENT MAP'!$B$5=2024,#REF!,#REF!))))</f>
        <v>0</v>
      </c>
      <c r="AI184">
        <f>IF('INHERENT MAP'!$B$5=2021,'РЕЕСТР РИСКОВ_2023'!AO223,IF('INHERENT MAP'!$B$5=2022,#REF!,IF('INHERENT MAP'!$B$5=2023,#REF!,IF('INHERENT MAP'!$B$5=2024,#REF!,#REF!))))</f>
        <v>0</v>
      </c>
      <c r="AJ184">
        <f>IF('INHERENT MAP'!$B$5=2021,'РЕЕСТР РИСКОВ_2023'!AP223,IF('INHERENT MAP'!$B$5=2022,#REF!,IF('INHERENT MAP'!$B$5=2023,#REF!,IF('INHERENT MAP'!$B$5=2024,#REF!,#REF!))))</f>
        <v>0</v>
      </c>
      <c r="AK184">
        <f>IF('РЕЕСТР РИСКОВ_2023'!AQ223="",AK183,'РЕЕСТР РИСКОВ_2023'!AQ223)</f>
        <v>0</v>
      </c>
      <c r="AL184">
        <f>IF('РЕЕСТР РИСКОВ_2023'!AR223="",AL183,'РЕЕСТР РИСКОВ_2023'!AR223)</f>
        <v>1</v>
      </c>
      <c r="AM184">
        <f>IF('РЕЕСТР РИСКОВ_2023'!AS223="",AM183,'РЕЕСТР РИСКОВ_2023'!AS223)</f>
        <v>0</v>
      </c>
      <c r="AN184">
        <f>IF('РЕЕСТР РИСКОВ_2023'!AT223="",AN183,'РЕЕСТР РИСКОВ_2023'!AT223)</f>
        <v>0</v>
      </c>
      <c r="AO184" t="e">
        <f>IF('РЕЕСТР РИСКОВ_2023'!AU223="",AO183,'РЕЕСТР РИСКОВ_2023'!AU223)</f>
        <v>#REF!</v>
      </c>
    </row>
    <row r="185" spans="2:41">
      <c r="B185" t="str">
        <f>IF('INHERENT MAP'!$B$5=2021,IF('РЕЕСТР РИСКОВ_2023'!F224="",B184,'РЕЕСТР РИСКОВ_2023'!F224),IF('INHERENT MAP'!$B$5=2022,IF(#REF!="",B184,#REF!),IF('INHERENT MAP'!$B$5=2023,IF(#REF!="",B184,#REF!),IF('INHERENT MAP'!$B$5=2024,IF(#REF!="",B184,#REF!),IF('РЕЕСТР РИСКОВ_2023'!F224="",B184,'РЕЕСТР РИСКОВ_2023'!F224)))))</f>
        <v>КОМПЛАЕНС РИСК</v>
      </c>
      <c r="C185" t="e">
        <f>IF('INHERENT MAP'!$B$5=2021,IF('РЕЕСТР РИСКОВ_2023'!G224="",C184,'РЕЕСТР РИСКОВ_2023'!G224),IF('INHERENT MAP'!$B$5=2022,IF(#REF!="",C184,#REF!),IF('INHERENT MAP'!$B$5=2023,IF(#REF!="",C184,#REF!),IF('INHERENT MAP'!$B$5=2024,IF(#REF!="",C184,#REF!),IF('РЕЕСТР РИСКОВ_2023'!G224="",C184,'РЕЕСТР РИСКОВ_2023'!G224)))))</f>
        <v>#REF!</v>
      </c>
      <c r="D185" t="str">
        <f>IF('INHERENT MAP'!$B$5=2021,IF('РЕЕСТР РИСКОВ_2023'!H224="",D184,'РЕЕСТР РИСКОВ_2023'!H224),IF('INHERENT MAP'!$B$5=2022,IF(#REF!="",D184,#REF!),IF('INHERENT MAP'!$B$5=2023,IF(#REF!="",D184,#REF!),IF('INHERENT MAP'!$B$5=2024,IF(#REF!="",D184,#REF!),IF('РЕЕСТР РИСКОВ_2023'!H224="",D184,'РЕЕСТР РИСКОВ_2023'!H224)))))</f>
        <v>CRR-4</v>
      </c>
      <c r="E185" t="str">
        <f>IF('INHERENT MAP'!$B$5=2021,IF('РЕЕСТР РИСКОВ_2023'!I224="",E184,'РЕЕСТР РИСКОВ_2023'!I224),IF('INHERENT MAP'!$B$5=2022,IF(#REF!="",E184,#REF!),IF('INHERENT MAP'!$B$5=2023,IF(#REF!="",E184,#REF!),IF('INHERENT MAP'!$B$5=2024,IF(#REF!="",E184,#REF!),IF('РЕЕСТР РИСКОВ_2023'!I224="",E184,'РЕЕСТР РИСКОВ_2023'!I224)))))</f>
        <v>Ц</v>
      </c>
      <c r="F185" t="str">
        <f>IF('INHERENT MAP'!$B$5=2021,IF('РЕЕСТР РИСКОВ_2023'!J224="",F184,'РЕЕСТР РИСКОВ_2023'!J224),IF('INHERENT MAP'!$B$5=2022,IF(#REF!="",F184,#REF!),IF('INHERENT MAP'!$B$5=2023,IF(#REF!="",F184,#REF!),IF('INHERENT MAP'!$B$5=2024,IF(#REF!="",F184,#REF!),IF('РЕЕСТР РИСКОВ_2023'!J224="",F184,'РЕЕСТР РИСКОВ_2023'!J224)))))</f>
        <v>ЦКС, ЦКБ</v>
      </c>
      <c r="G185" t="str">
        <f>IF('INHERENT MAP'!$B$5=2021,IF('РЕЕСТР РИСКОВ_2023'!K224="",G184,'РЕЕСТР РИСКОВ_2023'!K224),IF('INHERENT MAP'!$B$5=2022,IF(#REF!="",G184,#REF!),IF('INHERENT MAP'!$B$5=2023,IF(#REF!="",G184,#REF!),IF('INHERENT MAP'!$B$5=2024,IF(#REF!="",G184,#REF!),IF('РЕЕСТР РИСКОВ_2023'!K224="",G184,'РЕЕСТР РИСКОВ_2023'!K224)))))</f>
        <v>Коррупционные риски в сфере дарения/принятия подарков, представительских расходов</v>
      </c>
      <c r="H185">
        <f>IF('INHERENT MAP'!$B$5=2021,'РЕЕСТР РИСКОВ_2023'!L224,IF('INHERENT MAP'!$B$5=2022,#REF!,IF('INHERENT MAP'!$B$5=2023,#REF!,IF('INHERENT MAP'!$B$5=2024,#REF!,#REF!))))</f>
        <v>0</v>
      </c>
      <c r="I185">
        <f>IF('INHERENT MAP'!$B$5=2021,'РЕЕСТР РИСКОВ_2023'!M224,IF('INHERENT MAP'!$B$5=2022,#REF!,IF('INHERENT MAP'!$B$5=2023,#REF!,IF('INHERENT MAP'!$B$5=2024,#REF!,#REF!))))</f>
        <v>0</v>
      </c>
      <c r="J185">
        <f>IF('INHERENT MAP'!$B$5=2021,'РЕЕСТР РИСКОВ_2023'!N224,IF('INHERENT MAP'!$B$5=2022,#REF!,IF('INHERENT MAP'!$B$5=2023,#REF!,IF('INHERENT MAP'!$B$5=2024,#REF!,#REF!))))</f>
        <v>0</v>
      </c>
      <c r="K185">
        <f>IF('INHERENT MAP'!$B$5=2021,'РЕЕСТР РИСКОВ_2023'!O224,IF('INHERENT MAP'!$B$5=2022,#REF!,IF('INHERENT MAP'!$B$5=2023,#REF!,IF('INHERENT MAP'!$B$5=2024,#REF!,#REF!))))</f>
        <v>0</v>
      </c>
      <c r="L185">
        <f>IF('INHERENT MAP'!$B$5=2021,'РЕЕСТР РИСКОВ_2023'!P224,IF('INHERENT MAP'!$B$5=2022,#REF!,IF('INHERENT MAP'!$B$5=2023,#REF!,IF('INHERENT MAP'!$B$5=2024,#REF!,#REF!))))</f>
        <v>0</v>
      </c>
      <c r="M185" t="str">
        <f>IF('INHERENT MAP'!$B$5=2021,IF('РЕЕСТР РИСКОВ_2023'!Q224="",M184,'РЕЕСТР РИСКОВ_2023'!Q224),IF('INHERENT MAP'!$B$5=2022,IF(#REF!="",M184,#REF!),IF('INHERENT MAP'!$B$5=2023,IF(#REF!="",M184,#REF!),IF('INHERENT MAP'!$B$5=2024,IF(#REF!="",M184,#REF!),IF('РЕЕСТР РИСКОВ_2023'!Q224="",M184,'РЕЕСТР РИСКОВ_2023'!Q224)))))</f>
        <v>Риск дарения / получения подарков, иных материальных знаков гостеприимства, которые передаются  для оказания влияния на принимаемые решения и достижение коммерческого и иного преимущества.</v>
      </c>
      <c r="N185" t="str">
        <f>IF('INHERENT MAP'!$B$5=2021,IF('РЕЕСТР РИСКОВ_2023'!R224="",N184,'РЕЕСТР РИСКОВ_2023'!R224),IF('INHERENT MAP'!$B$5=2022,IF(#REF!="",N184,#REF!),IF('INHERENT MAP'!$B$5=2023,IF(#REF!="",N184,#REF!),IF('INHERENT MAP'!$B$5=2024,IF(#REF!="",N184,#REF!),IF('РЕЕСТР РИСКОВ_2023'!R224="",N184,'РЕЕСТР РИСКОВ_2023'!R224)))))</f>
        <v>R3.1CS1. Предоставление работниками Компании в качестве подарка деловым партнерам, контрагентам, третьим лицам, включая государственных служащих, наличных денежных средств или иных видов подарков, запрещенных внутренними документами Компании с целью оказания влияния на принятие решения в пользу Компании.
R3.1CS2. Получение работниками Компании в качестве подарка от деловых партнеров, контрагентов, третьих лиц, наличных денежных средств или иных видов подарков, запрещенных внутренними документами Компании с целью оказания влияния на принятие решения в пользу дарителя.</v>
      </c>
      <c r="O185">
        <f>'РЕЕСТР РИСКОВ_2023'!T224</f>
        <v>0</v>
      </c>
      <c r="P185" t="e">
        <f>IF('РЕЕСТР РИСКОВ_2023'!U224="",P184,'РЕЕСТР РИСКОВ_2023'!U224)</f>
        <v>#REF!</v>
      </c>
      <c r="Q185" t="str">
        <f>IF('РЕЕСТР РИСКОВ_2023'!V224="",Q184,'РЕЕСТР РИСКОВ_2023'!V224)</f>
        <v>Угрозы</v>
      </c>
      <c r="R185" t="str">
        <f>IF('РЕЕСТР РИСКОВ_2023'!W224="",R184,'РЕЕСТР РИСКОВ_2023'!W224)</f>
        <v>Возможные индикаторы:
1) жалобы по «горячей линии»;
2) пронос подарков в офисные помещения.</v>
      </c>
      <c r="S185">
        <f>'РЕЕСТР РИСКОВ_2023'!X224</f>
        <v>0</v>
      </c>
      <c r="T185" s="94">
        <f>IF('INHERENT MAP'!$B$5=2021,'РЕЕСТР РИСКОВ_2023'!Y224,IF('INHERENT MAP'!$B$5=2022,#REF!,IF('INHERENT MAP'!$B$5=2023,#REF!,IF('INHERENT MAP'!$B$5=2024,#REF!,#REF!))))</f>
        <v>0</v>
      </c>
      <c r="U185">
        <f>IF('INHERENT MAP'!$B$5=2021,'РЕЕСТР РИСКОВ_2023'!Z224,IF('INHERENT MAP'!$B$5=2022,#REF!,IF('INHERENT MAP'!$B$5=2023,#REF!,IF('INHERENT MAP'!$B$5=2024,#REF!,#REF!))))</f>
        <v>0</v>
      </c>
      <c r="V185">
        <f>IF('INHERENT MAP'!$B$5=2021,'РЕЕСТР РИСКОВ_2023'!AA224,IF('INHERENT MAP'!$B$5=2022,#REF!,IF('INHERENT MAP'!$B$5=2023,#REF!,IF('INHERENT MAP'!$B$5=2024,#REF!,#REF!))))</f>
        <v>0</v>
      </c>
      <c r="W185">
        <f>IF('INHERENT MAP'!$B$5=2021,'РЕЕСТР РИСКОВ_2023'!AB224,IF('INHERENT MAP'!$B$5=2022,#REF!,IF('INHERENT MAP'!$B$5=2023,#REF!,IF('INHERENT MAP'!$B$5=2024,#REF!,#REF!))))</f>
        <v>0</v>
      </c>
      <c r="X185" s="94">
        <f>IF('INHERENT MAP'!$B$5=2021,'РЕЕСТР РИСКОВ_2023'!AC224,IF('INHERENT MAP'!$B$5=2022,#REF!,IF('INHERENT MAP'!$B$5=2023,#REF!,IF('INHERENT MAP'!$B$5=2024,#REF!,#REF!))))</f>
        <v>0</v>
      </c>
      <c r="Y185">
        <f>IF('INHERENT MAP'!$B$5=2021,'РЕЕСТР РИСКОВ_2023'!AD224,IF('INHERENT MAP'!$B$5=2022,#REF!,IF('INHERENT MAP'!$B$5=2023,#REF!,IF('INHERENT MAP'!$B$5=2024,#REF!,#REF!))))</f>
        <v>0</v>
      </c>
      <c r="Z185">
        <f>IF('INHERENT MAP'!$B$5=2021,'РЕЕСТР РИСКОВ_2023'!AE224,IF('INHERENT MAP'!$B$5=2022,#REF!,IF('INHERENT MAP'!$B$5=2023,#REF!,IF('INHERENT MAP'!$B$5=2024,#REF!,#REF!))))</f>
        <v>0</v>
      </c>
      <c r="AA185">
        <f>IF('INHERENT MAP'!$B$5=2021,'РЕЕСТР РИСКОВ_2023'!AF224,IF('INHERENT MAP'!$B$5=2022,#REF!,IF('INHERENT MAP'!$B$5=2023,#REF!,IF('INHERENT MAP'!$B$5=2024,#REF!,#REF!))))</f>
        <v>0</v>
      </c>
      <c r="AB185">
        <f>IF('INHERENT MAP'!$B$5=2021,'РЕЕСТР РИСКОВ_2023'!AG224,IF('INHERENT MAP'!$B$5=2022,#REF!,IF('INHERENT MAP'!$B$5=2023,#REF!,IF('INHERENT MAP'!$B$5=2024,#REF!,#REF!))))</f>
        <v>0</v>
      </c>
      <c r="AC185">
        <f>IF('INHERENT MAP'!$B$5=2021,'РЕЕСТР РИСКОВ_2023'!AH224,IF('INHERENT MAP'!$B$5=2022,#REF!,IF('INHERENT MAP'!$B$5=2023,#REF!,IF('INHERENT MAP'!$B$5=2024,#REF!,#REF!))))</f>
        <v>0</v>
      </c>
      <c r="AD185">
        <f>IF('INHERENT MAP'!$B$5=2021,'РЕЕСТР РИСКОВ_2023'!AI224,IF('INHERENT MAP'!$B$5=2022,#REF!,IF('INHERENT MAP'!$B$5=2023,#REF!,IF('INHERENT MAP'!$B$5=2024,#REF!,#REF!))))</f>
        <v>0</v>
      </c>
      <c r="AE185">
        <f>IF('INHERENT MAP'!$B$5=2021,'РЕЕСТР РИСКОВ_2023'!AK224,IF('INHERENT MAP'!$B$5=2022,#REF!,IF('INHERENT MAP'!$B$5=2023,#REF!,IF('INHERENT MAP'!$B$5=2024,#REF!,#REF!))))</f>
        <v>0</v>
      </c>
      <c r="AF185">
        <f>IF('INHERENT MAP'!$B$5=2021,'РЕЕСТР РИСКОВ_2023'!AL224,IF('INHERENT MAP'!$B$5=2022,#REF!,IF('INHERENT MAP'!$B$5=2023,#REF!,IF('INHERENT MAP'!$B$5=2024,#REF!,#REF!))))</f>
        <v>0</v>
      </c>
      <c r="AG185">
        <f>IF('INHERENT MAP'!$B$5=2021,'РЕЕСТР РИСКОВ_2023'!AM224,IF('INHERENT MAP'!$B$5=2022,#REF!,IF('INHERENT MAP'!$B$5=2023,#REF!,IF('INHERENT MAP'!$B$5=2024,#REF!,#REF!))))</f>
        <v>0</v>
      </c>
      <c r="AH185">
        <f>IF('INHERENT MAP'!$B$5=2021,'РЕЕСТР РИСКОВ_2023'!AN224,IF('INHERENT MAP'!$B$5=2022,#REF!,IF('INHERENT MAP'!$B$5=2023,#REF!,IF('INHERENT MAP'!$B$5=2024,#REF!,#REF!))))</f>
        <v>0</v>
      </c>
      <c r="AI185">
        <f>IF('INHERENT MAP'!$B$5=2021,'РЕЕСТР РИСКОВ_2023'!AO224,IF('INHERENT MAP'!$B$5=2022,#REF!,IF('INHERENT MAP'!$B$5=2023,#REF!,IF('INHERENT MAP'!$B$5=2024,#REF!,#REF!))))</f>
        <v>0</v>
      </c>
      <c r="AJ185">
        <f>IF('INHERENT MAP'!$B$5=2021,'РЕЕСТР РИСКОВ_2023'!AP224,IF('INHERENT MAP'!$B$5=2022,#REF!,IF('INHERENT MAP'!$B$5=2023,#REF!,IF('INHERENT MAP'!$B$5=2024,#REF!,#REF!))))</f>
        <v>0</v>
      </c>
      <c r="AK185">
        <f>IF('РЕЕСТР РИСКОВ_2023'!AQ224="",AK184,'РЕЕСТР РИСКОВ_2023'!AQ224)</f>
        <v>0</v>
      </c>
      <c r="AL185">
        <f>IF('РЕЕСТР РИСКОВ_2023'!AR224="",AL184,'РЕЕСТР РИСКОВ_2023'!AR224)</f>
        <v>1</v>
      </c>
      <c r="AM185">
        <f>IF('РЕЕСТР РИСКОВ_2023'!AS224="",AM184,'РЕЕСТР РИСКОВ_2023'!AS224)</f>
        <v>0</v>
      </c>
      <c r="AN185">
        <f>IF('РЕЕСТР РИСКОВ_2023'!AT224="",AN184,'РЕЕСТР РИСКОВ_2023'!AT224)</f>
        <v>0</v>
      </c>
      <c r="AO185" t="e">
        <f>IF('РЕЕСТР РИСКОВ_2023'!AU224="",AO184,'РЕЕСТР РИСКОВ_2023'!AU224)</f>
        <v>#REF!</v>
      </c>
    </row>
    <row r="186" spans="2:41">
      <c r="B186" t="str">
        <f>IF('INHERENT MAP'!$B$5=2021,IF('РЕЕСТР РИСКОВ_2023'!F225="",B185,'РЕЕСТР РИСКОВ_2023'!F225),IF('INHERENT MAP'!$B$5=2022,IF(#REF!="",B185,#REF!),IF('INHERENT MAP'!$B$5=2023,IF(#REF!="",B185,#REF!),IF('INHERENT MAP'!$B$5=2024,IF(#REF!="",B185,#REF!),IF('РЕЕСТР РИСКОВ_2023'!F225="",B185,'РЕЕСТР РИСКОВ_2023'!F225)))))</f>
        <v>КОМПЛАЕНС РИСК</v>
      </c>
      <c r="C186" t="e">
        <f>IF('INHERENT MAP'!$B$5=2021,IF('РЕЕСТР РИСКОВ_2023'!G225="",C185,'РЕЕСТР РИСКОВ_2023'!G225),IF('INHERENT MAP'!$B$5=2022,IF(#REF!="",C185,#REF!),IF('INHERENT MAP'!$B$5=2023,IF(#REF!="",C185,#REF!),IF('INHERENT MAP'!$B$5=2024,IF(#REF!="",C185,#REF!),IF('РЕЕСТР РИСКОВ_2023'!G225="",C185,'РЕЕСТР РИСКОВ_2023'!G225)))))</f>
        <v>#REF!</v>
      </c>
      <c r="D186" t="str">
        <f>IF('INHERENT MAP'!$B$5=2021,IF('РЕЕСТР РИСКОВ_2023'!H225="",D185,'РЕЕСТР РИСКОВ_2023'!H225),IF('INHERENT MAP'!$B$5=2022,IF(#REF!="",D185,#REF!),IF('INHERENT MAP'!$B$5=2023,IF(#REF!="",D185,#REF!),IF('INHERENT MAP'!$B$5=2024,IF(#REF!="",D185,#REF!),IF('РЕЕСТР РИСКОВ_2023'!H225="",D185,'РЕЕСТР РИСКОВ_2023'!H225)))))</f>
        <v>CRR-4</v>
      </c>
      <c r="E186" t="str">
        <f>IF('INHERENT MAP'!$B$5=2021,IF('РЕЕСТР РИСКОВ_2023'!I225="",E185,'РЕЕСТР РИСКОВ_2023'!I225),IF('INHERENT MAP'!$B$5=2022,IF(#REF!="",E185,#REF!),IF('INHERENT MAP'!$B$5=2023,IF(#REF!="",E185,#REF!),IF('INHERENT MAP'!$B$5=2024,IF(#REF!="",E185,#REF!),IF('РЕЕСТР РИСКОВ_2023'!I225="",E185,'РЕЕСТР РИСКОВ_2023'!I225)))))</f>
        <v>Ц</v>
      </c>
      <c r="F186" t="str">
        <f>IF('INHERENT MAP'!$B$5=2021,IF('РЕЕСТР РИСКОВ_2023'!J225="",F185,'РЕЕСТР РИСКОВ_2023'!J225),IF('INHERENT MAP'!$B$5=2022,IF(#REF!="",F185,#REF!),IF('INHERENT MAP'!$B$5=2023,IF(#REF!="",F185,#REF!),IF('INHERENT MAP'!$B$5=2024,IF(#REF!="",F185,#REF!),IF('РЕЕСТР РИСКОВ_2023'!J225="",F185,'РЕЕСТР РИСКОВ_2023'!J225)))))</f>
        <v>ЦКС, ЦКБ</v>
      </c>
      <c r="G186" t="str">
        <f>IF('INHERENT MAP'!$B$5=2021,IF('РЕЕСТР РИСКОВ_2023'!K225="",G185,'РЕЕСТР РИСКОВ_2023'!K225),IF('INHERENT MAP'!$B$5=2022,IF(#REF!="",G185,#REF!),IF('INHERENT MAP'!$B$5=2023,IF(#REF!="",G185,#REF!),IF('INHERENT MAP'!$B$5=2024,IF(#REF!="",G185,#REF!),IF('РЕЕСТР РИСКОВ_2023'!K225="",G185,'РЕЕСТР РИСКОВ_2023'!K225)))))</f>
        <v>Коррупционные риски в сфере дарения/принятия подарков, представительских расходов</v>
      </c>
      <c r="H186">
        <f>IF('INHERENT MAP'!$B$5=2021,'РЕЕСТР РИСКОВ_2023'!L225,IF('INHERENT MAP'!$B$5=2022,#REF!,IF('INHERENT MAP'!$B$5=2023,#REF!,IF('INHERENT MAP'!$B$5=2024,#REF!,#REF!))))</f>
        <v>0</v>
      </c>
      <c r="I186">
        <f>IF('INHERENT MAP'!$B$5=2021,'РЕЕСТР РИСКОВ_2023'!M225,IF('INHERENT MAP'!$B$5=2022,#REF!,IF('INHERENT MAP'!$B$5=2023,#REF!,IF('INHERENT MAP'!$B$5=2024,#REF!,#REF!))))</f>
        <v>0</v>
      </c>
      <c r="J186">
        <f>IF('INHERENT MAP'!$B$5=2021,'РЕЕСТР РИСКОВ_2023'!N225,IF('INHERENT MAP'!$B$5=2022,#REF!,IF('INHERENT MAP'!$B$5=2023,#REF!,IF('INHERENT MAP'!$B$5=2024,#REF!,#REF!))))</f>
        <v>0</v>
      </c>
      <c r="K186">
        <f>IF('INHERENT MAP'!$B$5=2021,'РЕЕСТР РИСКОВ_2023'!O225,IF('INHERENT MAP'!$B$5=2022,#REF!,IF('INHERENT MAP'!$B$5=2023,#REF!,IF('INHERENT MAP'!$B$5=2024,#REF!,#REF!))))</f>
        <v>0</v>
      </c>
      <c r="L186">
        <f>IF('INHERENT MAP'!$B$5=2021,'РЕЕСТР РИСКОВ_2023'!P225,IF('INHERENT MAP'!$B$5=2022,#REF!,IF('INHERENT MAP'!$B$5=2023,#REF!,IF('INHERENT MAP'!$B$5=2024,#REF!,#REF!))))</f>
        <v>0</v>
      </c>
      <c r="M186" t="str">
        <f>IF('INHERENT MAP'!$B$5=2021,IF('РЕЕСТР РИСКОВ_2023'!Q225="",M185,'РЕЕСТР РИСКОВ_2023'!Q225),IF('INHERENT MAP'!$B$5=2022,IF(#REF!="",M185,#REF!),IF('INHERENT MAP'!$B$5=2023,IF(#REF!="",M185,#REF!),IF('INHERENT MAP'!$B$5=2024,IF(#REF!="",M185,#REF!),IF('РЕЕСТР РИСКОВ_2023'!Q225="",M185,'РЕЕСТР РИСКОВ_2023'!Q225)))))</f>
        <v>Риск нецелевого использования представительских расходов, в том числе с целью оказания влияния на представителей государственных органов и других лиц</v>
      </c>
      <c r="N186" t="str">
        <f>IF('INHERENT MAP'!$B$5=2021,IF('РЕЕСТР РИСКОВ_2023'!R225="",N185,'РЕЕСТР РИСКОВ_2023'!R225),IF('INHERENT MAP'!$B$5=2022,IF(#REF!="",N185,#REF!),IF('INHERENT MAP'!$B$5=2023,IF(#REF!="",N185,#REF!),IF('INHERENT MAP'!$B$5=2024,IF(#REF!="",N185,#REF!),IF('РЕЕСТР РИСКОВ_2023'!R225="",N185,'РЕЕСТР РИСКОВ_2023'!R225)))))</f>
        <v>R3.2.CS1. Использование средств, выделенных на представительские расходы, работниками Компании, имеющими право распоряжения ими, в личных целях.
R3.2.CS2. Выделение Компанией средств на представительские расходы с целью воздействия на представителей государственных органов и других лиц, чтобы данные лица в силу занимаемой ими должности могли обеспечить Компании определенные выгоды или предоставить ей защиту.</v>
      </c>
      <c r="O186">
        <f>'РЕЕСТР РИСКОВ_2023'!T225</f>
        <v>0</v>
      </c>
      <c r="P186" t="e">
        <f>IF('РЕЕСТР РИСКОВ_2023'!U225="",P185,'РЕЕСТР РИСКОВ_2023'!U225)</f>
        <v>#REF!</v>
      </c>
      <c r="Q186" t="str">
        <f>IF('РЕЕСТР РИСКОВ_2023'!V225="",Q185,'РЕЕСТР РИСКОВ_2023'!V225)</f>
        <v>Угрозы</v>
      </c>
      <c r="R186" t="str">
        <f>IF('РЕЕСТР РИСКОВ_2023'!W225="",R185,'РЕЕСТР РИСКОВ_2023'!W225)</f>
        <v>Возможные индикаторы:                                                                                                                                                                                                                                                                                                                                                                                                                                                                  1) отсутствие лимитов и документального подтверждения расходов;
2) наличие в отчетных документах Компании расходов, которые нарушают нормы этичного ведения бизнеса или действующего законодательства; 
3) превышение плановой стоимости представительского мероприятия;
4) наличие запросов на возмещение расходов по представительскому мероприятию при отсутствии информации о целях и результатах мероприятия, а также точных данных об участниках данного мероприятия.</v>
      </c>
      <c r="S186">
        <f>'РЕЕСТР РИСКОВ_2023'!X225</f>
        <v>0</v>
      </c>
      <c r="T186" s="94">
        <f>IF('INHERENT MAP'!$B$5=2021,'РЕЕСТР РИСКОВ_2023'!Y225,IF('INHERENT MAP'!$B$5=2022,#REF!,IF('INHERENT MAP'!$B$5=2023,#REF!,IF('INHERENT MAP'!$B$5=2024,#REF!,#REF!))))</f>
        <v>0</v>
      </c>
      <c r="U186">
        <f>IF('INHERENT MAP'!$B$5=2021,'РЕЕСТР РИСКОВ_2023'!Z225,IF('INHERENT MAP'!$B$5=2022,#REF!,IF('INHERENT MAP'!$B$5=2023,#REF!,IF('INHERENT MAP'!$B$5=2024,#REF!,#REF!))))</f>
        <v>0</v>
      </c>
      <c r="V186">
        <f>IF('INHERENT MAP'!$B$5=2021,'РЕЕСТР РИСКОВ_2023'!AA225,IF('INHERENT MAP'!$B$5=2022,#REF!,IF('INHERENT MAP'!$B$5=2023,#REF!,IF('INHERENT MAP'!$B$5=2024,#REF!,#REF!))))</f>
        <v>0</v>
      </c>
      <c r="W186">
        <f>IF('INHERENT MAP'!$B$5=2021,'РЕЕСТР РИСКОВ_2023'!AB225,IF('INHERENT MAP'!$B$5=2022,#REF!,IF('INHERENT MAP'!$B$5=2023,#REF!,IF('INHERENT MAP'!$B$5=2024,#REF!,#REF!))))</f>
        <v>0</v>
      </c>
      <c r="X186" s="94">
        <f>IF('INHERENT MAP'!$B$5=2021,'РЕЕСТР РИСКОВ_2023'!AC225,IF('INHERENT MAP'!$B$5=2022,#REF!,IF('INHERENT MAP'!$B$5=2023,#REF!,IF('INHERENT MAP'!$B$5=2024,#REF!,#REF!))))</f>
        <v>0</v>
      </c>
      <c r="Y186">
        <f>IF('INHERENT MAP'!$B$5=2021,'РЕЕСТР РИСКОВ_2023'!AD225,IF('INHERENT MAP'!$B$5=2022,#REF!,IF('INHERENT MAP'!$B$5=2023,#REF!,IF('INHERENT MAP'!$B$5=2024,#REF!,#REF!))))</f>
        <v>0</v>
      </c>
      <c r="Z186">
        <f>IF('INHERENT MAP'!$B$5=2021,'РЕЕСТР РИСКОВ_2023'!AE225,IF('INHERENT MAP'!$B$5=2022,#REF!,IF('INHERENT MAP'!$B$5=2023,#REF!,IF('INHERENT MAP'!$B$5=2024,#REF!,#REF!))))</f>
        <v>0</v>
      </c>
      <c r="AA186">
        <f>IF('INHERENT MAP'!$B$5=2021,'РЕЕСТР РИСКОВ_2023'!AF225,IF('INHERENT MAP'!$B$5=2022,#REF!,IF('INHERENT MAP'!$B$5=2023,#REF!,IF('INHERENT MAP'!$B$5=2024,#REF!,#REF!))))</f>
        <v>0</v>
      </c>
      <c r="AB186">
        <f>IF('INHERENT MAP'!$B$5=2021,'РЕЕСТР РИСКОВ_2023'!AG225,IF('INHERENT MAP'!$B$5=2022,#REF!,IF('INHERENT MAP'!$B$5=2023,#REF!,IF('INHERENT MAP'!$B$5=2024,#REF!,#REF!))))</f>
        <v>0</v>
      </c>
      <c r="AC186">
        <f>IF('INHERENT MAP'!$B$5=2021,'РЕЕСТР РИСКОВ_2023'!AH225,IF('INHERENT MAP'!$B$5=2022,#REF!,IF('INHERENT MAP'!$B$5=2023,#REF!,IF('INHERENT MAP'!$B$5=2024,#REF!,#REF!))))</f>
        <v>0</v>
      </c>
      <c r="AD186">
        <f>IF('INHERENT MAP'!$B$5=2021,'РЕЕСТР РИСКОВ_2023'!AI225,IF('INHERENT MAP'!$B$5=2022,#REF!,IF('INHERENT MAP'!$B$5=2023,#REF!,IF('INHERENT MAP'!$B$5=2024,#REF!,#REF!))))</f>
        <v>0</v>
      </c>
      <c r="AE186">
        <f>IF('INHERENT MAP'!$B$5=2021,'РЕЕСТР РИСКОВ_2023'!AK225,IF('INHERENT MAP'!$B$5=2022,#REF!,IF('INHERENT MAP'!$B$5=2023,#REF!,IF('INHERENT MAP'!$B$5=2024,#REF!,#REF!))))</f>
        <v>0</v>
      </c>
      <c r="AF186">
        <f>IF('INHERENT MAP'!$B$5=2021,'РЕЕСТР РИСКОВ_2023'!AL225,IF('INHERENT MAP'!$B$5=2022,#REF!,IF('INHERENT MAP'!$B$5=2023,#REF!,IF('INHERENT MAP'!$B$5=2024,#REF!,#REF!))))</f>
        <v>0</v>
      </c>
      <c r="AG186">
        <f>IF('INHERENT MAP'!$B$5=2021,'РЕЕСТР РИСКОВ_2023'!AM225,IF('INHERENT MAP'!$B$5=2022,#REF!,IF('INHERENT MAP'!$B$5=2023,#REF!,IF('INHERENT MAP'!$B$5=2024,#REF!,#REF!))))</f>
        <v>0</v>
      </c>
      <c r="AH186">
        <f>IF('INHERENT MAP'!$B$5=2021,'РЕЕСТР РИСКОВ_2023'!AN225,IF('INHERENT MAP'!$B$5=2022,#REF!,IF('INHERENT MAP'!$B$5=2023,#REF!,IF('INHERENT MAP'!$B$5=2024,#REF!,#REF!))))</f>
        <v>0</v>
      </c>
      <c r="AI186">
        <f>IF('INHERENT MAP'!$B$5=2021,'РЕЕСТР РИСКОВ_2023'!AO225,IF('INHERENT MAP'!$B$5=2022,#REF!,IF('INHERENT MAP'!$B$5=2023,#REF!,IF('INHERENT MAP'!$B$5=2024,#REF!,#REF!))))</f>
        <v>0</v>
      </c>
      <c r="AJ186">
        <f>IF('INHERENT MAP'!$B$5=2021,'РЕЕСТР РИСКОВ_2023'!AP225,IF('INHERENT MAP'!$B$5=2022,#REF!,IF('INHERENT MAP'!$B$5=2023,#REF!,IF('INHERENT MAP'!$B$5=2024,#REF!,#REF!))))</f>
        <v>0</v>
      </c>
      <c r="AK186">
        <f>IF('РЕЕСТР РИСКОВ_2023'!AQ225="",AK185,'РЕЕСТР РИСКОВ_2023'!AQ225)</f>
        <v>0</v>
      </c>
      <c r="AL186">
        <f>IF('РЕЕСТР РИСКОВ_2023'!AR225="",AL185,'РЕЕСТР РИСКОВ_2023'!AR225)</f>
        <v>1</v>
      </c>
      <c r="AM186">
        <f>IF('РЕЕСТР РИСКОВ_2023'!AS225="",AM185,'РЕЕСТР РИСКОВ_2023'!AS225)</f>
        <v>0</v>
      </c>
      <c r="AN186">
        <f>IF('РЕЕСТР РИСКОВ_2023'!AT225="",AN185,'РЕЕСТР РИСКОВ_2023'!AT225)</f>
        <v>0</v>
      </c>
      <c r="AO186" t="e">
        <f>IF('РЕЕСТР РИСКОВ_2023'!AU225="",AO185,'РЕЕСТР РИСКОВ_2023'!AU225)</f>
        <v>#REF!</v>
      </c>
    </row>
    <row r="187" spans="2:41">
      <c r="B187" t="str">
        <f>IF('INHERENT MAP'!$B$5=2021,IF('РЕЕСТР РИСКОВ_2023'!F226="",B186,'РЕЕСТР РИСКОВ_2023'!F226),IF('INHERENT MAP'!$B$5=2022,IF(#REF!="",B186,#REF!),IF('INHERENT MAP'!$B$5=2023,IF(#REF!="",B186,#REF!),IF('INHERENT MAP'!$B$5=2024,IF(#REF!="",B186,#REF!),IF('РЕЕСТР РИСКОВ_2023'!F226="",B186,'РЕЕСТР РИСКОВ_2023'!F226)))))</f>
        <v>КОМПЛАЕНС РИСК</v>
      </c>
      <c r="C187" t="e">
        <f>IF('INHERENT MAP'!$B$5=2021,IF('РЕЕСТР РИСКОВ_2023'!G226="",C186,'РЕЕСТР РИСКОВ_2023'!G226),IF('INHERENT MAP'!$B$5=2022,IF(#REF!="",C186,#REF!),IF('INHERENT MAP'!$B$5=2023,IF(#REF!="",C186,#REF!),IF('INHERENT MAP'!$B$5=2024,IF(#REF!="",C186,#REF!),IF('РЕЕСТР РИСКОВ_2023'!G226="",C186,'РЕЕСТР РИСКОВ_2023'!G226)))))</f>
        <v>#REF!</v>
      </c>
      <c r="D187" t="str">
        <f>IF('INHERENT MAP'!$B$5=2021,IF('РЕЕСТР РИСКОВ_2023'!H226="",D186,'РЕЕСТР РИСКОВ_2023'!H226),IF('INHERENT MAP'!$B$5=2022,IF(#REF!="",D186,#REF!),IF('INHERENT MAP'!$B$5=2023,IF(#REF!="",D186,#REF!),IF('INHERENT MAP'!$B$5=2024,IF(#REF!="",D186,#REF!),IF('РЕЕСТР РИСКОВ_2023'!H226="",D186,'РЕЕСТР РИСКОВ_2023'!H226)))))</f>
        <v>CRR-5</v>
      </c>
      <c r="E187" t="str">
        <f>IF('INHERENT MAP'!$B$5=2021,IF('РЕЕСТР РИСКОВ_2023'!I226="",E186,'РЕЕСТР РИСКОВ_2023'!I226),IF('INHERENT MAP'!$B$5=2022,IF(#REF!="",E186,#REF!),IF('INHERENT MAP'!$B$5=2023,IF(#REF!="",E186,#REF!),IF('INHERENT MAP'!$B$5=2024,IF(#REF!="",E186,#REF!),IF('РЕЕСТР РИСКОВ_2023'!I226="",E186,'РЕЕСТР РИСКОВ_2023'!I226)))))</f>
        <v>Ц</v>
      </c>
      <c r="F187" t="str">
        <f>IF('INHERENT MAP'!$B$5=2021,IF('РЕЕСТР РИСКОВ_2023'!J226="",F186,'РЕЕСТР РИСКОВ_2023'!J226),IF('INHERENT MAP'!$B$5=2022,IF(#REF!="",F186,#REF!),IF('INHERENT MAP'!$B$5=2023,IF(#REF!="",F186,#REF!),IF('INHERENT MAP'!$B$5=2024,IF(#REF!="",F186,#REF!),IF('РЕЕСТР РИСКОВ_2023'!J226="",F186,'РЕЕСТР РИСКОВ_2023'!J226)))))</f>
        <v>ЦКС, ЦКБ</v>
      </c>
      <c r="G187" t="str">
        <f>IF('INHERENT MAP'!$B$5=2021,IF('РЕЕСТР РИСКОВ_2023'!K226="",G186,'РЕЕСТР РИСКОВ_2023'!K226),IF('INHERENT MAP'!$B$5=2022,IF(#REF!="",G186,#REF!),IF('INHERENT MAP'!$B$5=2023,IF(#REF!="",G186,#REF!),IF('INHERENT MAP'!$B$5=2024,IF(#REF!="",G186,#REF!),IF('РЕЕСТР РИСКОВ_2023'!K226="",G186,'РЕЕСТР РИСКОВ_2023'!K226)))))</f>
        <v>Коррупционные риски в сфере оказания услуг</v>
      </c>
      <c r="H187">
        <f>IF('INHERENT MAP'!$B$5=2021,'РЕЕСТР РИСКОВ_2023'!L226,IF('INHERENT MAP'!$B$5=2022,#REF!,IF('INHERENT MAP'!$B$5=2023,#REF!,IF('INHERENT MAP'!$B$5=2024,#REF!,#REF!))))</f>
        <v>0</v>
      </c>
      <c r="I187">
        <f>IF('INHERENT MAP'!$B$5=2021,'РЕЕСТР РИСКОВ_2023'!M226,IF('INHERENT MAP'!$B$5=2022,#REF!,IF('INHERENT MAP'!$B$5=2023,#REF!,IF('INHERENT MAP'!$B$5=2024,#REF!,#REF!))))</f>
        <v>0</v>
      </c>
      <c r="J187">
        <f>IF('INHERENT MAP'!$B$5=2021,'РЕЕСТР РИСКОВ_2023'!N226,IF('INHERENT MAP'!$B$5=2022,#REF!,IF('INHERENT MAP'!$B$5=2023,#REF!,IF('INHERENT MAP'!$B$5=2024,#REF!,#REF!))))</f>
        <v>0</v>
      </c>
      <c r="K187">
        <f>IF('INHERENT MAP'!$B$5=2021,'РЕЕСТР РИСКОВ_2023'!O226,IF('INHERENT MAP'!$B$5=2022,#REF!,IF('INHERENT MAP'!$B$5=2023,#REF!,IF('INHERENT MAP'!$B$5=2024,#REF!,#REF!))))</f>
        <v>0</v>
      </c>
      <c r="L187">
        <f>IF('INHERENT MAP'!$B$5=2021,'РЕЕСТР РИСКОВ_2023'!P226,IF('INHERENT MAP'!$B$5=2022,#REF!,IF('INHERENT MAP'!$B$5=2023,#REF!,IF('INHERENT MAP'!$B$5=2024,#REF!,#REF!))))</f>
        <v>0</v>
      </c>
      <c r="M187" t="str">
        <f>IF('INHERENT MAP'!$B$5=2021,IF('РЕЕСТР РИСКОВ_2023'!Q226="",M186,'РЕЕСТР РИСКОВ_2023'!Q226),IF('INHERENT MAP'!$B$5=2022,IF(#REF!="",M186,#REF!),IF('INHERENT MAP'!$B$5=2023,IF(#REF!="",M186,#REF!),IF('INHERENT MAP'!$B$5=2024,IF(#REF!="",M186,#REF!),IF('РЕЕСТР РИСКОВ_2023'!Q226="",M186,'РЕЕСТР РИСКОВ_2023'!Q226)))))</f>
        <v>Риск  коррупции при подаче и рассмотрении заявки для получения доступа к услугам МЖС</v>
      </c>
      <c r="N187" t="str">
        <f>IF('INHERENT MAP'!$B$5=2021,IF('РЕЕСТР РИСКОВ_2023'!R226="",N186,'РЕЕСТР РИСКОВ_2023'!R226),IF('INHERENT MAP'!$B$5=2022,IF(#REF!="",N186,#REF!),IF('INHERENT MAP'!$B$5=2023,IF(#REF!="",N186,#REF!),IF('INHERENT MAP'!$B$5=2024,IF(#REF!="",N186,#REF!),IF('РЕЕСТР РИСКОВ_2023'!R226="",N186,'РЕЕСТР РИСКОВ_2023'!R226)))))</f>
        <v xml:space="preserve">R4.1.CS1. В результате сговора с потребителями предоставляемых услуг с целью получения от них незаконного вознаграждения или иную выгоду, представители ЦЖС обеспечивают таким потребителям приоритетное положение перед другими участниками (оказываются услуги вне очереди и т.д.) при предоставлении доступа к МЖС.
R4.1.CS2. В результате сговора с потенциальными потребителями услуг (клиентами) с целью получения от них незаконного вознаграждения или иную выгоду, представителями ЦЖС предоставляется доступ на МЖС без заключения соответствующих договоров.  </v>
      </c>
      <c r="O187">
        <f>'РЕЕСТР РИСКОВ_2023'!T226</f>
        <v>0</v>
      </c>
      <c r="P187" t="e">
        <f>IF('РЕЕСТР РИСКОВ_2023'!U226="",P186,'РЕЕСТР РИСКОВ_2023'!U226)</f>
        <v>#REF!</v>
      </c>
      <c r="Q187" t="str">
        <f>IF('РЕЕСТР РИСКОВ_2023'!V226="",Q186,'РЕЕСТР РИСКОВ_2023'!V226)</f>
        <v>Угрозы</v>
      </c>
      <c r="R187" t="str">
        <f>IF('РЕЕСТР РИСКОВ_2023'!W226="",R186,'РЕЕСТР РИСКОВ_2023'!W226)</f>
        <v>Возможные индикаторы R4.1.CS1.:
1) наличие необоснованных согласований или необоснованных отказов в оказании услуги по предоставлению доступа на МЖС;
2) наличие жалоб от потребителей услуг по предоставлению доступа на МЖС;
3) отсутствие прозрачности процесса предоставления доступа на МЖС;
4) наличие аффилированности между представителями Компании и потребителем услуг по предоставлению доступа на МЖС;
5) отсутствие контрольных проверок за процессом предоставления доступа на МЖС (рассмотрения заявки для получения доступа к услугам магистральной железнодорожной сети и подъездных путей).
Возможные индикаторы R4.1.CS2.:   
1) отсутствие договоров с клиентами, которым оказаны услуги по предоставлению доступа на МЖС;
2) наличие расхождений между объемом услуг заключенных договоров и фактическим объемом предоставленных услуг по предоставлению доступа на МЖС; 
3) отсутствие первичных документов по оказанным услугам по предоставлению доступа на МЖС;
4) отсутствие контрольных проверок за процессом оказания услуг по предоставлению доступа на МЖС.</v>
      </c>
      <c r="S187">
        <f>'РЕЕСТР РИСКОВ_2023'!X226</f>
        <v>0</v>
      </c>
      <c r="T187" s="94">
        <f>IF('INHERENT MAP'!$B$5=2021,'РЕЕСТР РИСКОВ_2023'!Y226,IF('INHERENT MAP'!$B$5=2022,#REF!,IF('INHERENT MAP'!$B$5=2023,#REF!,IF('INHERENT MAP'!$B$5=2024,#REF!,#REF!))))</f>
        <v>0</v>
      </c>
      <c r="U187">
        <f>IF('INHERENT MAP'!$B$5=2021,'РЕЕСТР РИСКОВ_2023'!Z226,IF('INHERENT MAP'!$B$5=2022,#REF!,IF('INHERENT MAP'!$B$5=2023,#REF!,IF('INHERENT MAP'!$B$5=2024,#REF!,#REF!))))</f>
        <v>0</v>
      </c>
      <c r="V187">
        <f>IF('INHERENT MAP'!$B$5=2021,'РЕЕСТР РИСКОВ_2023'!AA226,IF('INHERENT MAP'!$B$5=2022,#REF!,IF('INHERENT MAP'!$B$5=2023,#REF!,IF('INHERENT MAP'!$B$5=2024,#REF!,#REF!))))</f>
        <v>0</v>
      </c>
      <c r="W187">
        <f>IF('INHERENT MAP'!$B$5=2021,'РЕЕСТР РИСКОВ_2023'!AB226,IF('INHERENT MAP'!$B$5=2022,#REF!,IF('INHERENT MAP'!$B$5=2023,#REF!,IF('INHERENT MAP'!$B$5=2024,#REF!,#REF!))))</f>
        <v>0</v>
      </c>
      <c r="X187" s="94">
        <f>IF('INHERENT MAP'!$B$5=2021,'РЕЕСТР РИСКОВ_2023'!AC226,IF('INHERENT MAP'!$B$5=2022,#REF!,IF('INHERENT MAP'!$B$5=2023,#REF!,IF('INHERENT MAP'!$B$5=2024,#REF!,#REF!))))</f>
        <v>0</v>
      </c>
      <c r="Y187">
        <f>IF('INHERENT MAP'!$B$5=2021,'РЕЕСТР РИСКОВ_2023'!AD226,IF('INHERENT MAP'!$B$5=2022,#REF!,IF('INHERENT MAP'!$B$5=2023,#REF!,IF('INHERENT MAP'!$B$5=2024,#REF!,#REF!))))</f>
        <v>0</v>
      </c>
      <c r="Z187">
        <f>IF('INHERENT MAP'!$B$5=2021,'РЕЕСТР РИСКОВ_2023'!AE226,IF('INHERENT MAP'!$B$5=2022,#REF!,IF('INHERENT MAP'!$B$5=2023,#REF!,IF('INHERENT MAP'!$B$5=2024,#REF!,#REF!))))</f>
        <v>0</v>
      </c>
      <c r="AA187">
        <f>IF('INHERENT MAP'!$B$5=2021,'РЕЕСТР РИСКОВ_2023'!AF226,IF('INHERENT MAP'!$B$5=2022,#REF!,IF('INHERENT MAP'!$B$5=2023,#REF!,IF('INHERENT MAP'!$B$5=2024,#REF!,#REF!))))</f>
        <v>0</v>
      </c>
      <c r="AB187">
        <f>IF('INHERENT MAP'!$B$5=2021,'РЕЕСТР РИСКОВ_2023'!AG226,IF('INHERENT MAP'!$B$5=2022,#REF!,IF('INHERENT MAP'!$B$5=2023,#REF!,IF('INHERENT MAP'!$B$5=2024,#REF!,#REF!))))</f>
        <v>0</v>
      </c>
      <c r="AC187">
        <f>IF('INHERENT MAP'!$B$5=2021,'РЕЕСТР РИСКОВ_2023'!AH226,IF('INHERENT MAP'!$B$5=2022,#REF!,IF('INHERENT MAP'!$B$5=2023,#REF!,IF('INHERENT MAP'!$B$5=2024,#REF!,#REF!))))</f>
        <v>0</v>
      </c>
      <c r="AD187">
        <f>IF('INHERENT MAP'!$B$5=2021,'РЕЕСТР РИСКОВ_2023'!AI226,IF('INHERENT MAP'!$B$5=2022,#REF!,IF('INHERENT MAP'!$B$5=2023,#REF!,IF('INHERENT MAP'!$B$5=2024,#REF!,#REF!))))</f>
        <v>0</v>
      </c>
      <c r="AE187">
        <f>IF('INHERENT MAP'!$B$5=2021,'РЕЕСТР РИСКОВ_2023'!AK226,IF('INHERENT MAP'!$B$5=2022,#REF!,IF('INHERENT MAP'!$B$5=2023,#REF!,IF('INHERENT MAP'!$B$5=2024,#REF!,#REF!))))</f>
        <v>0</v>
      </c>
      <c r="AF187">
        <f>IF('INHERENT MAP'!$B$5=2021,'РЕЕСТР РИСКОВ_2023'!AL226,IF('INHERENT MAP'!$B$5=2022,#REF!,IF('INHERENT MAP'!$B$5=2023,#REF!,IF('INHERENT MAP'!$B$5=2024,#REF!,#REF!))))</f>
        <v>0</v>
      </c>
      <c r="AG187">
        <f>IF('INHERENT MAP'!$B$5=2021,'РЕЕСТР РИСКОВ_2023'!AM226,IF('INHERENT MAP'!$B$5=2022,#REF!,IF('INHERENT MAP'!$B$5=2023,#REF!,IF('INHERENT MAP'!$B$5=2024,#REF!,#REF!))))</f>
        <v>0</v>
      </c>
      <c r="AH187">
        <f>IF('INHERENT MAP'!$B$5=2021,'РЕЕСТР РИСКОВ_2023'!AN226,IF('INHERENT MAP'!$B$5=2022,#REF!,IF('INHERENT MAP'!$B$5=2023,#REF!,IF('INHERENT MAP'!$B$5=2024,#REF!,#REF!))))</f>
        <v>0</v>
      </c>
      <c r="AI187">
        <f>IF('INHERENT MAP'!$B$5=2021,'РЕЕСТР РИСКОВ_2023'!AO226,IF('INHERENT MAP'!$B$5=2022,#REF!,IF('INHERENT MAP'!$B$5=2023,#REF!,IF('INHERENT MAP'!$B$5=2024,#REF!,#REF!))))</f>
        <v>0</v>
      </c>
      <c r="AJ187">
        <f>IF('INHERENT MAP'!$B$5=2021,'РЕЕСТР РИСКОВ_2023'!AP226,IF('INHERENT MAP'!$B$5=2022,#REF!,IF('INHERENT MAP'!$B$5=2023,#REF!,IF('INHERENT MAP'!$B$5=2024,#REF!,#REF!))))</f>
        <v>0</v>
      </c>
      <c r="AK187">
        <f>IF('РЕЕСТР РИСКОВ_2023'!AQ226="",AK186,'РЕЕСТР РИСКОВ_2023'!AQ226)</f>
        <v>0</v>
      </c>
      <c r="AL187">
        <f>IF('РЕЕСТР РИСКОВ_2023'!AR226="",AL186,'РЕЕСТР РИСКОВ_2023'!AR226)</f>
        <v>1</v>
      </c>
      <c r="AM187">
        <f>IF('РЕЕСТР РИСКОВ_2023'!AS226="",AM186,'РЕЕСТР РИСКОВ_2023'!AS226)</f>
        <v>0</v>
      </c>
      <c r="AN187">
        <f>IF('РЕЕСТР РИСКОВ_2023'!AT226="",AN186,'РЕЕСТР РИСКОВ_2023'!AT226)</f>
        <v>0</v>
      </c>
      <c r="AO187" t="e">
        <f>IF('РЕЕСТР РИСКОВ_2023'!AU226="",AO186,'РЕЕСТР РИСКОВ_2023'!AU226)</f>
        <v>#REF!</v>
      </c>
    </row>
    <row r="188" spans="2:41">
      <c r="B188" t="str">
        <f>IF('INHERENT MAP'!$B$5=2021,IF('РЕЕСТР РИСКОВ_2023'!F227="",B187,'РЕЕСТР РИСКОВ_2023'!F227),IF('INHERENT MAP'!$B$5=2022,IF(#REF!="",B187,#REF!),IF('INHERENT MAP'!$B$5=2023,IF(#REF!="",B187,#REF!),IF('INHERENT MAP'!$B$5=2024,IF(#REF!="",B187,#REF!),IF('РЕЕСТР РИСКОВ_2023'!F227="",B187,'РЕЕСТР РИСКОВ_2023'!F227)))))</f>
        <v>КОМПЛАЕНС РИСК</v>
      </c>
      <c r="C188" t="e">
        <f>IF('INHERENT MAP'!$B$5=2021,IF('РЕЕСТР РИСКОВ_2023'!G227="",C187,'РЕЕСТР РИСКОВ_2023'!G227),IF('INHERENT MAP'!$B$5=2022,IF(#REF!="",C187,#REF!),IF('INHERENT MAP'!$B$5=2023,IF(#REF!="",C187,#REF!),IF('INHERENT MAP'!$B$5=2024,IF(#REF!="",C187,#REF!),IF('РЕЕСТР РИСКОВ_2023'!G227="",C187,'РЕЕСТР РИСКОВ_2023'!G227)))))</f>
        <v>#REF!</v>
      </c>
      <c r="D188" t="str">
        <f>IF('INHERENT MAP'!$B$5=2021,IF('РЕЕСТР РИСКОВ_2023'!H227="",D187,'РЕЕСТР РИСКОВ_2023'!H227),IF('INHERENT MAP'!$B$5=2022,IF(#REF!="",D187,#REF!),IF('INHERENT MAP'!$B$5=2023,IF(#REF!="",D187,#REF!),IF('INHERENT MAP'!$B$5=2024,IF(#REF!="",D187,#REF!),IF('РЕЕСТР РИСКОВ_2023'!H227="",D187,'РЕЕСТР РИСКОВ_2023'!H227)))))</f>
        <v>CRR-5</v>
      </c>
      <c r="E188" t="str">
        <f>IF('INHERENT MAP'!$B$5=2021,IF('РЕЕСТР РИСКОВ_2023'!I227="",E187,'РЕЕСТР РИСКОВ_2023'!I227),IF('INHERENT MAP'!$B$5=2022,IF(#REF!="",E187,#REF!),IF('INHERENT MAP'!$B$5=2023,IF(#REF!="",E187,#REF!),IF('INHERENT MAP'!$B$5=2024,IF(#REF!="",E187,#REF!),IF('РЕЕСТР РИСКОВ_2023'!I227="",E187,'РЕЕСТР РИСКОВ_2023'!I227)))))</f>
        <v>Ц</v>
      </c>
      <c r="F188" t="str">
        <f>IF('INHERENT MAP'!$B$5=2021,IF('РЕЕСТР РИСКОВ_2023'!J227="",F187,'РЕЕСТР РИСКОВ_2023'!J227),IF('INHERENT MAP'!$B$5=2022,IF(#REF!="",F187,#REF!),IF('INHERENT MAP'!$B$5=2023,IF(#REF!="",F187,#REF!),IF('INHERENT MAP'!$B$5=2024,IF(#REF!="",F187,#REF!),IF('РЕЕСТР РИСКОВ_2023'!J227="",F187,'РЕЕСТР РИСКОВ_2023'!J227)))))</f>
        <v>ЦКС, ЦКБ</v>
      </c>
      <c r="G188" t="str">
        <f>IF('INHERENT MAP'!$B$5=2021,IF('РЕЕСТР РИСКОВ_2023'!K227="",G187,'РЕЕСТР РИСКОВ_2023'!K227),IF('INHERENT MAP'!$B$5=2022,IF(#REF!="",G187,#REF!),IF('INHERENT MAP'!$B$5=2023,IF(#REF!="",G187,#REF!),IF('INHERENT MAP'!$B$5=2024,IF(#REF!="",G187,#REF!),IF('РЕЕСТР РИСКОВ_2023'!K227="",G187,'РЕЕСТР РИСКОВ_2023'!K227)))))</f>
        <v>Коррупционные риски в сфере оказания услуг</v>
      </c>
      <c r="H188">
        <f>IF('INHERENT MAP'!$B$5=2021,'РЕЕСТР РИСКОВ_2023'!L227,IF('INHERENT MAP'!$B$5=2022,#REF!,IF('INHERENT MAP'!$B$5=2023,#REF!,IF('INHERENT MAP'!$B$5=2024,#REF!,#REF!))))</f>
        <v>0</v>
      </c>
      <c r="I188">
        <f>IF('INHERENT MAP'!$B$5=2021,'РЕЕСТР РИСКОВ_2023'!M227,IF('INHERENT MAP'!$B$5=2022,#REF!,IF('INHERENT MAP'!$B$5=2023,#REF!,IF('INHERENT MAP'!$B$5=2024,#REF!,#REF!))))</f>
        <v>0</v>
      </c>
      <c r="J188">
        <f>IF('INHERENT MAP'!$B$5=2021,'РЕЕСТР РИСКОВ_2023'!N227,IF('INHERENT MAP'!$B$5=2022,#REF!,IF('INHERENT MAP'!$B$5=2023,#REF!,IF('INHERENT MAP'!$B$5=2024,#REF!,#REF!))))</f>
        <v>0</v>
      </c>
      <c r="K188">
        <f>IF('INHERENT MAP'!$B$5=2021,'РЕЕСТР РИСКОВ_2023'!O227,IF('INHERENT MAP'!$B$5=2022,#REF!,IF('INHERENT MAP'!$B$5=2023,#REF!,IF('INHERENT MAP'!$B$5=2024,#REF!,#REF!))))</f>
        <v>0</v>
      </c>
      <c r="L188">
        <f>IF('INHERENT MAP'!$B$5=2021,'РЕЕСТР РИСКОВ_2023'!P227,IF('INHERENT MAP'!$B$5=2022,#REF!,IF('INHERENT MAP'!$B$5=2023,#REF!,IF('INHERENT MAP'!$B$5=2024,#REF!,#REF!))))</f>
        <v>0</v>
      </c>
      <c r="M188" t="str">
        <f>IF('INHERENT MAP'!$B$5=2021,IF('РЕЕСТР РИСКОВ_2023'!Q227="",M187,'РЕЕСТР РИСКОВ_2023'!Q227),IF('INHERENT MAP'!$B$5=2022,IF(#REF!="",M187,#REF!),IF('INHERENT MAP'!$B$5=2023,IF(#REF!="",M187,#REF!),IF('INHERENT MAP'!$B$5=2024,IF(#REF!="",M187,#REF!),IF('РЕЕСТР РИСКОВ_2023'!Q227="",M187,'РЕЕСТР РИСКОВ_2023'!Q227)))))</f>
        <v>Риск коррупции в части выдачи разрешительных документов на примыкание подъездных путей к магистральным и станционным путям</v>
      </c>
      <c r="N188" t="str">
        <f>IF('INHERENT MAP'!$B$5=2021,IF('РЕЕСТР РИСКОВ_2023'!R227="",N187,'РЕЕСТР РИСКОВ_2023'!R227),IF('INHERENT MAP'!$B$5=2022,IF(#REF!="",N187,#REF!),IF('INHERENT MAP'!$B$5=2023,IF(#REF!="",N187,#REF!),IF('INHERENT MAP'!$B$5=2024,IF(#REF!="",N187,#REF!),IF('РЕЕСТР РИСКОВ_2023'!R227="",N187,'РЕЕСТР РИСКОВ_2023'!R227)))))</f>
        <v xml:space="preserve">R4.2CS1. Представители ЦЖС при рассмотрении материалов на выдачу технических условий на примыкание подъездных путей к магистральным и станционным путям, предоставляют необоснованные технические условия или отдают предпочтения таким лицам, от которых получают незаконное вознаграждение / иную выгоду, либо наоборот необоснованно затягивают сроки рассмотрения или отказывают лицам, с которыми они не вступали в сговор, принуждают к заключению договоров на проектирование с аффилированными лицами.           </v>
      </c>
      <c r="O188">
        <f>'РЕЕСТР РИСКОВ_2023'!T227</f>
        <v>0</v>
      </c>
      <c r="P188" t="e">
        <f>IF('РЕЕСТР РИСКОВ_2023'!U227="",P187,'РЕЕСТР РИСКОВ_2023'!U227)</f>
        <v>#REF!</v>
      </c>
      <c r="Q188" t="str">
        <f>IF('РЕЕСТР РИСКОВ_2023'!V227="",Q187,'РЕЕСТР РИСКОВ_2023'!V227)</f>
        <v>Угрозы</v>
      </c>
      <c r="R188" t="str">
        <f>IF('РЕЕСТР РИСКОВ_2023'!W227="",R187,'РЕЕСТР РИСКОВ_2023'!W227)</f>
        <v>Возможные индикаторы:
1) наличие нарушений установленного порядка выдачи технических условий на примыкание подъездных путей;
2) отсутствие прозрачности процесса выдачи технических условий на примыкание подъездных путей;
3) наличие аффилированности между представителями ЦЖС и получателем разрешения;
4) отсутствие контрольных проверок за процессом выдачи технических условий на примыкание подъездных путей.</v>
      </c>
      <c r="S188">
        <f>'РЕЕСТР РИСКОВ_2023'!X227</f>
        <v>0</v>
      </c>
      <c r="T188" s="94">
        <f>IF('INHERENT MAP'!$B$5=2021,'РЕЕСТР РИСКОВ_2023'!Y227,IF('INHERENT MAP'!$B$5=2022,#REF!,IF('INHERENT MAP'!$B$5=2023,#REF!,IF('INHERENT MAP'!$B$5=2024,#REF!,#REF!))))</f>
        <v>0</v>
      </c>
      <c r="U188">
        <f>IF('INHERENT MAP'!$B$5=2021,'РЕЕСТР РИСКОВ_2023'!Z227,IF('INHERENT MAP'!$B$5=2022,#REF!,IF('INHERENT MAP'!$B$5=2023,#REF!,IF('INHERENT MAP'!$B$5=2024,#REF!,#REF!))))</f>
        <v>0</v>
      </c>
      <c r="V188">
        <f>IF('INHERENT MAP'!$B$5=2021,'РЕЕСТР РИСКОВ_2023'!AA227,IF('INHERENT MAP'!$B$5=2022,#REF!,IF('INHERENT MAP'!$B$5=2023,#REF!,IF('INHERENT MAP'!$B$5=2024,#REF!,#REF!))))</f>
        <v>0</v>
      </c>
      <c r="W188">
        <f>IF('INHERENT MAP'!$B$5=2021,'РЕЕСТР РИСКОВ_2023'!AB227,IF('INHERENT MAP'!$B$5=2022,#REF!,IF('INHERENT MAP'!$B$5=2023,#REF!,IF('INHERENT MAP'!$B$5=2024,#REF!,#REF!))))</f>
        <v>0</v>
      </c>
      <c r="X188" s="94">
        <f>IF('INHERENT MAP'!$B$5=2021,'РЕЕСТР РИСКОВ_2023'!AC227,IF('INHERENT MAP'!$B$5=2022,#REF!,IF('INHERENT MAP'!$B$5=2023,#REF!,IF('INHERENT MAP'!$B$5=2024,#REF!,#REF!))))</f>
        <v>0</v>
      </c>
      <c r="Y188">
        <f>IF('INHERENT MAP'!$B$5=2021,'РЕЕСТР РИСКОВ_2023'!AD227,IF('INHERENT MAP'!$B$5=2022,#REF!,IF('INHERENT MAP'!$B$5=2023,#REF!,IF('INHERENT MAP'!$B$5=2024,#REF!,#REF!))))</f>
        <v>0</v>
      </c>
      <c r="Z188">
        <f>IF('INHERENT MAP'!$B$5=2021,'РЕЕСТР РИСКОВ_2023'!AE227,IF('INHERENT MAP'!$B$5=2022,#REF!,IF('INHERENT MAP'!$B$5=2023,#REF!,IF('INHERENT MAP'!$B$5=2024,#REF!,#REF!))))</f>
        <v>0</v>
      </c>
      <c r="AA188">
        <f>IF('INHERENT MAP'!$B$5=2021,'РЕЕСТР РИСКОВ_2023'!AF227,IF('INHERENT MAP'!$B$5=2022,#REF!,IF('INHERENT MAP'!$B$5=2023,#REF!,IF('INHERENT MAP'!$B$5=2024,#REF!,#REF!))))</f>
        <v>0</v>
      </c>
      <c r="AB188">
        <f>IF('INHERENT MAP'!$B$5=2021,'РЕЕСТР РИСКОВ_2023'!AG227,IF('INHERENT MAP'!$B$5=2022,#REF!,IF('INHERENT MAP'!$B$5=2023,#REF!,IF('INHERENT MAP'!$B$5=2024,#REF!,#REF!))))</f>
        <v>0</v>
      </c>
      <c r="AC188">
        <f>IF('INHERENT MAP'!$B$5=2021,'РЕЕСТР РИСКОВ_2023'!AH227,IF('INHERENT MAP'!$B$5=2022,#REF!,IF('INHERENT MAP'!$B$5=2023,#REF!,IF('INHERENT MAP'!$B$5=2024,#REF!,#REF!))))</f>
        <v>0</v>
      </c>
      <c r="AD188">
        <f>IF('INHERENT MAP'!$B$5=2021,'РЕЕСТР РИСКОВ_2023'!AI227,IF('INHERENT MAP'!$B$5=2022,#REF!,IF('INHERENT MAP'!$B$5=2023,#REF!,IF('INHERENT MAP'!$B$5=2024,#REF!,#REF!))))</f>
        <v>0</v>
      </c>
      <c r="AE188">
        <f>IF('INHERENT MAP'!$B$5=2021,'РЕЕСТР РИСКОВ_2023'!AK227,IF('INHERENT MAP'!$B$5=2022,#REF!,IF('INHERENT MAP'!$B$5=2023,#REF!,IF('INHERENT MAP'!$B$5=2024,#REF!,#REF!))))</f>
        <v>0</v>
      </c>
      <c r="AF188">
        <f>IF('INHERENT MAP'!$B$5=2021,'РЕЕСТР РИСКОВ_2023'!AL227,IF('INHERENT MAP'!$B$5=2022,#REF!,IF('INHERENT MAP'!$B$5=2023,#REF!,IF('INHERENT MAP'!$B$5=2024,#REF!,#REF!))))</f>
        <v>0</v>
      </c>
      <c r="AG188">
        <f>IF('INHERENT MAP'!$B$5=2021,'РЕЕСТР РИСКОВ_2023'!AM227,IF('INHERENT MAP'!$B$5=2022,#REF!,IF('INHERENT MAP'!$B$5=2023,#REF!,IF('INHERENT MAP'!$B$5=2024,#REF!,#REF!))))</f>
        <v>0</v>
      </c>
      <c r="AH188">
        <f>IF('INHERENT MAP'!$B$5=2021,'РЕЕСТР РИСКОВ_2023'!AN227,IF('INHERENT MAP'!$B$5=2022,#REF!,IF('INHERENT MAP'!$B$5=2023,#REF!,IF('INHERENT MAP'!$B$5=2024,#REF!,#REF!))))</f>
        <v>0</v>
      </c>
      <c r="AI188">
        <f>IF('INHERENT MAP'!$B$5=2021,'РЕЕСТР РИСКОВ_2023'!AO227,IF('INHERENT MAP'!$B$5=2022,#REF!,IF('INHERENT MAP'!$B$5=2023,#REF!,IF('INHERENT MAP'!$B$5=2024,#REF!,#REF!))))</f>
        <v>0</v>
      </c>
      <c r="AJ188">
        <f>IF('INHERENT MAP'!$B$5=2021,'РЕЕСТР РИСКОВ_2023'!AP227,IF('INHERENT MAP'!$B$5=2022,#REF!,IF('INHERENT MAP'!$B$5=2023,#REF!,IF('INHERENT MAP'!$B$5=2024,#REF!,#REF!))))</f>
        <v>0</v>
      </c>
      <c r="AK188">
        <f>IF('РЕЕСТР РИСКОВ_2023'!AQ227="",AK187,'РЕЕСТР РИСКОВ_2023'!AQ227)</f>
        <v>0</v>
      </c>
      <c r="AL188">
        <f>IF('РЕЕСТР РИСКОВ_2023'!AR227="",AL187,'РЕЕСТР РИСКОВ_2023'!AR227)</f>
        <v>1</v>
      </c>
      <c r="AM188">
        <f>IF('РЕЕСТР РИСКОВ_2023'!AS227="",AM187,'РЕЕСТР РИСКОВ_2023'!AS227)</f>
        <v>0</v>
      </c>
      <c r="AN188">
        <f>IF('РЕЕСТР РИСКОВ_2023'!AT227="",AN187,'РЕЕСТР РИСКОВ_2023'!AT227)</f>
        <v>0</v>
      </c>
      <c r="AO188" t="e">
        <f>IF('РЕЕСТР РИСКОВ_2023'!AU227="",AO187,'РЕЕСТР РИСКОВ_2023'!AU227)</f>
        <v>#REF!</v>
      </c>
    </row>
    <row r="189" spans="2:41">
      <c r="B189" t="str">
        <f>IF('INHERENT MAP'!$B$5=2021,IF('РЕЕСТР РИСКОВ_2023'!F228="",B188,'РЕЕСТР РИСКОВ_2023'!F228),IF('INHERENT MAP'!$B$5=2022,IF(#REF!="",B188,#REF!),IF('INHERENT MAP'!$B$5=2023,IF(#REF!="",B188,#REF!),IF('INHERENT MAP'!$B$5=2024,IF(#REF!="",B188,#REF!),IF('РЕЕСТР РИСКОВ_2023'!F228="",B188,'РЕЕСТР РИСКОВ_2023'!F228)))))</f>
        <v>КОМПЛАЕНС РИСК</v>
      </c>
      <c r="C189" t="e">
        <f>IF('INHERENT MAP'!$B$5=2021,IF('РЕЕСТР РИСКОВ_2023'!G228="",C188,'РЕЕСТР РИСКОВ_2023'!G228),IF('INHERENT MAP'!$B$5=2022,IF(#REF!="",C188,#REF!),IF('INHERENT MAP'!$B$5=2023,IF(#REF!="",C188,#REF!),IF('INHERENT MAP'!$B$5=2024,IF(#REF!="",C188,#REF!),IF('РЕЕСТР РИСКОВ_2023'!G228="",C188,'РЕЕСТР РИСКОВ_2023'!G228)))))</f>
        <v>#REF!</v>
      </c>
      <c r="D189" t="str">
        <f>IF('INHERENT MAP'!$B$5=2021,IF('РЕЕСТР РИСКОВ_2023'!H228="",D188,'РЕЕСТР РИСКОВ_2023'!H228),IF('INHERENT MAP'!$B$5=2022,IF(#REF!="",D188,#REF!),IF('INHERENT MAP'!$B$5=2023,IF(#REF!="",D188,#REF!),IF('INHERENT MAP'!$B$5=2024,IF(#REF!="",D188,#REF!),IF('РЕЕСТР РИСКОВ_2023'!H228="",D188,'РЕЕСТР РИСКОВ_2023'!H228)))))</f>
        <v>CRR-5</v>
      </c>
      <c r="E189" t="str">
        <f>IF('INHERENT MAP'!$B$5=2021,IF('РЕЕСТР РИСКОВ_2023'!I228="",E188,'РЕЕСТР РИСКОВ_2023'!I228),IF('INHERENT MAP'!$B$5=2022,IF(#REF!="",E188,#REF!),IF('INHERENT MAP'!$B$5=2023,IF(#REF!="",E188,#REF!),IF('INHERENT MAP'!$B$5=2024,IF(#REF!="",E188,#REF!),IF('РЕЕСТР РИСКОВ_2023'!I228="",E188,'РЕЕСТР РИСКОВ_2023'!I228)))))</f>
        <v>Ц</v>
      </c>
      <c r="F189" t="str">
        <f>IF('INHERENT MAP'!$B$5=2021,IF('РЕЕСТР РИСКОВ_2023'!J228="",F188,'РЕЕСТР РИСКОВ_2023'!J228),IF('INHERENT MAP'!$B$5=2022,IF(#REF!="",F188,#REF!),IF('INHERENT MAP'!$B$5=2023,IF(#REF!="",F188,#REF!),IF('INHERENT MAP'!$B$5=2024,IF(#REF!="",F188,#REF!),IF('РЕЕСТР РИСКОВ_2023'!J228="",F188,'РЕЕСТР РИСКОВ_2023'!J228)))))</f>
        <v>ЦКС, ЦКБ</v>
      </c>
      <c r="G189" t="str">
        <f>IF('INHERENT MAP'!$B$5=2021,IF('РЕЕСТР РИСКОВ_2023'!K228="",G188,'РЕЕСТР РИСКОВ_2023'!K228),IF('INHERENT MAP'!$B$5=2022,IF(#REF!="",G188,#REF!),IF('INHERENT MAP'!$B$5=2023,IF(#REF!="",G188,#REF!),IF('INHERENT MAP'!$B$5=2024,IF(#REF!="",G188,#REF!),IF('РЕЕСТР РИСКОВ_2023'!K228="",G188,'РЕЕСТР РИСКОВ_2023'!K228)))))</f>
        <v>Коррупционные риски в сфере оказания услуг</v>
      </c>
      <c r="H189">
        <f>IF('INHERENT MAP'!$B$5=2021,'РЕЕСТР РИСКОВ_2023'!L228,IF('INHERENT MAP'!$B$5=2022,#REF!,IF('INHERENT MAP'!$B$5=2023,#REF!,IF('INHERENT MAP'!$B$5=2024,#REF!,#REF!))))</f>
        <v>0</v>
      </c>
      <c r="I189">
        <f>IF('INHERENT MAP'!$B$5=2021,'РЕЕСТР РИСКОВ_2023'!M228,IF('INHERENT MAP'!$B$5=2022,#REF!,IF('INHERENT MAP'!$B$5=2023,#REF!,IF('INHERENT MAP'!$B$5=2024,#REF!,#REF!))))</f>
        <v>0</v>
      </c>
      <c r="J189">
        <f>IF('INHERENT MAP'!$B$5=2021,'РЕЕСТР РИСКОВ_2023'!N228,IF('INHERENT MAP'!$B$5=2022,#REF!,IF('INHERENT MAP'!$B$5=2023,#REF!,IF('INHERENT MAP'!$B$5=2024,#REF!,#REF!))))</f>
        <v>0</v>
      </c>
      <c r="K189">
        <f>IF('INHERENT MAP'!$B$5=2021,'РЕЕСТР РИСКОВ_2023'!O228,IF('INHERENT MAP'!$B$5=2022,#REF!,IF('INHERENT MAP'!$B$5=2023,#REF!,IF('INHERENT MAP'!$B$5=2024,#REF!,#REF!))))</f>
        <v>0</v>
      </c>
      <c r="L189">
        <f>IF('INHERENT MAP'!$B$5=2021,'РЕЕСТР РИСКОВ_2023'!P228,IF('INHERENT MAP'!$B$5=2022,#REF!,IF('INHERENT MAP'!$B$5=2023,#REF!,IF('INHERENT MAP'!$B$5=2024,#REF!,#REF!))))</f>
        <v>0</v>
      </c>
      <c r="M189" t="str">
        <f>IF('INHERENT MAP'!$B$5=2021,IF('РЕЕСТР РИСКОВ_2023'!Q228="",M188,'РЕЕСТР РИСКОВ_2023'!Q228),IF('INHERENT MAP'!$B$5=2022,IF(#REF!="",M188,#REF!),IF('INHERENT MAP'!$B$5=2023,IF(#REF!="",M188,#REF!),IF('INHERENT MAP'!$B$5=2024,IF(#REF!="",M188,#REF!),IF('РЕЕСТР РИСКОВ_2023'!Q228="",M188,'РЕЕСТР РИСКОВ_2023'!Q228)))))</f>
        <v>Риск коррупции при согласовании предоставления местными исполнительными органами РК физическим и юридическим лицам земельных участков, граничащих с полосой отвода земель для нужд ж/д транспорта</v>
      </c>
      <c r="N189" t="str">
        <f>IF('INHERENT MAP'!$B$5=2021,IF('РЕЕСТР РИСКОВ_2023'!R228="",N188,'РЕЕСТР РИСКОВ_2023'!R228),IF('INHERENT MAP'!$B$5=2022,IF(#REF!="",N188,#REF!),IF('INHERENT MAP'!$B$5=2023,IF(#REF!="",N188,#REF!),IF('INHERENT MAP'!$B$5=2024,IF(#REF!="",N188,#REF!),IF('РЕЕСТР РИСКОВ_2023'!R228="",N188,'РЕЕСТР РИСКОВ_2023'!R228)))))</f>
        <v>R4.3CS1. Представители ЦЖС при рассмотрении материалов на предоставление местными исполнительными органами РК физическим и юридическим лицам земельных участков, граничащих с полосой отвода, выдают необоснованные согласования и отдают предпочтение таким лицам, от которых они получают незаконное вознаграждение или иную выгоду, либо наоборот необоснованно отказывают лицам, с которыми они в сговор не вступили.</v>
      </c>
      <c r="O189">
        <f>'РЕЕСТР РИСКОВ_2023'!T228</f>
        <v>0</v>
      </c>
      <c r="P189" t="e">
        <f>IF('РЕЕСТР РИСКОВ_2023'!U228="",P188,'РЕЕСТР РИСКОВ_2023'!U228)</f>
        <v>#REF!</v>
      </c>
      <c r="Q189" t="str">
        <f>IF('РЕЕСТР РИСКОВ_2023'!V228="",Q188,'РЕЕСТР РИСКОВ_2023'!V228)</f>
        <v>Угрозы</v>
      </c>
      <c r="R189" t="str">
        <f>IF('РЕЕСТР РИСКОВ_2023'!W228="",R188,'РЕЕСТР РИСКОВ_2023'!W228)</f>
        <v>Возможные индикаторы:
1) наличие нарушений установленного порядка согласования ЦЖС предоставления земельных участков, граничащих с полосой отвода земель для нужд ж/д транспорта;
2) наличие необоснованного заключения ЦЖС, направленного в местный исполнительный орган о согласовании или необоснованного отказа в согласовании предоставления земельных участков, граничащих с полосой отвода земель для нужд ж/д транспорта;
3) отсутствие контрольных проверок за процессом согласования предоставлений земельных участков, граничащих с полосой отвода земель для нужд железнодорожного транспорта.</v>
      </c>
      <c r="S189">
        <f>'РЕЕСТР РИСКОВ_2023'!X228</f>
        <v>0</v>
      </c>
      <c r="T189" s="94">
        <f>IF('INHERENT MAP'!$B$5=2021,'РЕЕСТР РИСКОВ_2023'!Y228,IF('INHERENT MAP'!$B$5=2022,#REF!,IF('INHERENT MAP'!$B$5=2023,#REF!,IF('INHERENT MAP'!$B$5=2024,#REF!,#REF!))))</f>
        <v>0</v>
      </c>
      <c r="U189">
        <f>IF('INHERENT MAP'!$B$5=2021,'РЕЕСТР РИСКОВ_2023'!Z228,IF('INHERENT MAP'!$B$5=2022,#REF!,IF('INHERENT MAP'!$B$5=2023,#REF!,IF('INHERENT MAP'!$B$5=2024,#REF!,#REF!))))</f>
        <v>0</v>
      </c>
      <c r="V189">
        <f>IF('INHERENT MAP'!$B$5=2021,'РЕЕСТР РИСКОВ_2023'!AA228,IF('INHERENT MAP'!$B$5=2022,#REF!,IF('INHERENT MAP'!$B$5=2023,#REF!,IF('INHERENT MAP'!$B$5=2024,#REF!,#REF!))))</f>
        <v>0</v>
      </c>
      <c r="W189">
        <f>IF('INHERENT MAP'!$B$5=2021,'РЕЕСТР РИСКОВ_2023'!AB228,IF('INHERENT MAP'!$B$5=2022,#REF!,IF('INHERENT MAP'!$B$5=2023,#REF!,IF('INHERENT MAP'!$B$5=2024,#REF!,#REF!))))</f>
        <v>0</v>
      </c>
      <c r="X189" s="94">
        <f>IF('INHERENT MAP'!$B$5=2021,'РЕЕСТР РИСКОВ_2023'!AC228,IF('INHERENT MAP'!$B$5=2022,#REF!,IF('INHERENT MAP'!$B$5=2023,#REF!,IF('INHERENT MAP'!$B$5=2024,#REF!,#REF!))))</f>
        <v>0</v>
      </c>
      <c r="Y189">
        <f>IF('INHERENT MAP'!$B$5=2021,'РЕЕСТР РИСКОВ_2023'!AD228,IF('INHERENT MAP'!$B$5=2022,#REF!,IF('INHERENT MAP'!$B$5=2023,#REF!,IF('INHERENT MAP'!$B$5=2024,#REF!,#REF!))))</f>
        <v>0</v>
      </c>
      <c r="Z189">
        <f>IF('INHERENT MAP'!$B$5=2021,'РЕЕСТР РИСКОВ_2023'!AE228,IF('INHERENT MAP'!$B$5=2022,#REF!,IF('INHERENT MAP'!$B$5=2023,#REF!,IF('INHERENT MAP'!$B$5=2024,#REF!,#REF!))))</f>
        <v>0</v>
      </c>
      <c r="AA189">
        <f>IF('INHERENT MAP'!$B$5=2021,'РЕЕСТР РИСКОВ_2023'!AF228,IF('INHERENT MAP'!$B$5=2022,#REF!,IF('INHERENT MAP'!$B$5=2023,#REF!,IF('INHERENT MAP'!$B$5=2024,#REF!,#REF!))))</f>
        <v>0</v>
      </c>
      <c r="AB189">
        <f>IF('INHERENT MAP'!$B$5=2021,'РЕЕСТР РИСКОВ_2023'!AG228,IF('INHERENT MAP'!$B$5=2022,#REF!,IF('INHERENT MAP'!$B$5=2023,#REF!,IF('INHERENT MAP'!$B$5=2024,#REF!,#REF!))))</f>
        <v>0</v>
      </c>
      <c r="AC189">
        <f>IF('INHERENT MAP'!$B$5=2021,'РЕЕСТР РИСКОВ_2023'!AH228,IF('INHERENT MAP'!$B$5=2022,#REF!,IF('INHERENT MAP'!$B$5=2023,#REF!,IF('INHERENT MAP'!$B$5=2024,#REF!,#REF!))))</f>
        <v>0</v>
      </c>
      <c r="AD189">
        <f>IF('INHERENT MAP'!$B$5=2021,'РЕЕСТР РИСКОВ_2023'!AI228,IF('INHERENT MAP'!$B$5=2022,#REF!,IF('INHERENT MAP'!$B$5=2023,#REF!,IF('INHERENT MAP'!$B$5=2024,#REF!,#REF!))))</f>
        <v>0</v>
      </c>
      <c r="AE189">
        <f>IF('INHERENT MAP'!$B$5=2021,'РЕЕСТР РИСКОВ_2023'!AK228,IF('INHERENT MAP'!$B$5=2022,#REF!,IF('INHERENT MAP'!$B$5=2023,#REF!,IF('INHERENT MAP'!$B$5=2024,#REF!,#REF!))))</f>
        <v>0</v>
      </c>
      <c r="AF189">
        <f>IF('INHERENT MAP'!$B$5=2021,'РЕЕСТР РИСКОВ_2023'!AL228,IF('INHERENT MAP'!$B$5=2022,#REF!,IF('INHERENT MAP'!$B$5=2023,#REF!,IF('INHERENT MAP'!$B$5=2024,#REF!,#REF!))))</f>
        <v>0</v>
      </c>
      <c r="AG189">
        <f>IF('INHERENT MAP'!$B$5=2021,'РЕЕСТР РИСКОВ_2023'!AM228,IF('INHERENT MAP'!$B$5=2022,#REF!,IF('INHERENT MAP'!$B$5=2023,#REF!,IF('INHERENT MAP'!$B$5=2024,#REF!,#REF!))))</f>
        <v>0</v>
      </c>
      <c r="AH189">
        <f>IF('INHERENT MAP'!$B$5=2021,'РЕЕСТР РИСКОВ_2023'!AN228,IF('INHERENT MAP'!$B$5=2022,#REF!,IF('INHERENT MAP'!$B$5=2023,#REF!,IF('INHERENT MAP'!$B$5=2024,#REF!,#REF!))))</f>
        <v>0</v>
      </c>
      <c r="AI189">
        <f>IF('INHERENT MAP'!$B$5=2021,'РЕЕСТР РИСКОВ_2023'!AO228,IF('INHERENT MAP'!$B$5=2022,#REF!,IF('INHERENT MAP'!$B$5=2023,#REF!,IF('INHERENT MAP'!$B$5=2024,#REF!,#REF!))))</f>
        <v>0</v>
      </c>
      <c r="AJ189">
        <f>IF('INHERENT MAP'!$B$5=2021,'РЕЕСТР РИСКОВ_2023'!AP228,IF('INHERENT MAP'!$B$5=2022,#REF!,IF('INHERENT MAP'!$B$5=2023,#REF!,IF('INHERENT MAP'!$B$5=2024,#REF!,#REF!))))</f>
        <v>0</v>
      </c>
      <c r="AK189">
        <f>IF('РЕЕСТР РИСКОВ_2023'!AQ228="",AK188,'РЕЕСТР РИСКОВ_2023'!AQ228)</f>
        <v>0</v>
      </c>
      <c r="AL189">
        <f>IF('РЕЕСТР РИСКОВ_2023'!AR228="",AL188,'РЕЕСТР РИСКОВ_2023'!AR228)</f>
        <v>1</v>
      </c>
      <c r="AM189">
        <f>IF('РЕЕСТР РИСКОВ_2023'!AS228="",AM188,'РЕЕСТР РИСКОВ_2023'!AS228)</f>
        <v>0</v>
      </c>
      <c r="AN189">
        <f>IF('РЕЕСТР РИСКОВ_2023'!AT228="",AN188,'РЕЕСТР РИСКОВ_2023'!AT228)</f>
        <v>0</v>
      </c>
      <c r="AO189" t="e">
        <f>IF('РЕЕСТР РИСКОВ_2023'!AU228="",AO188,'РЕЕСТР РИСКОВ_2023'!AU228)</f>
        <v>#REF!</v>
      </c>
    </row>
    <row r="190" spans="2:41">
      <c r="B190" t="str">
        <f>IF('INHERENT MAP'!$B$5=2021,IF('РЕЕСТР РИСКОВ_2023'!F229="",B189,'РЕЕСТР РИСКОВ_2023'!F229),IF('INHERENT MAP'!$B$5=2022,IF(#REF!="",B189,#REF!),IF('INHERENT MAP'!$B$5=2023,IF(#REF!="",B189,#REF!),IF('INHERENT MAP'!$B$5=2024,IF(#REF!="",B189,#REF!),IF('РЕЕСТР РИСКОВ_2023'!F229="",B189,'РЕЕСТР РИСКОВ_2023'!F229)))))</f>
        <v>КОМПЛАЕНС РИСК</v>
      </c>
      <c r="C190" t="e">
        <f>IF('INHERENT MAP'!$B$5=2021,IF('РЕЕСТР РИСКОВ_2023'!G229="",C189,'РЕЕСТР РИСКОВ_2023'!G229),IF('INHERENT MAP'!$B$5=2022,IF(#REF!="",C189,#REF!),IF('INHERENT MAP'!$B$5=2023,IF(#REF!="",C189,#REF!),IF('INHERENT MAP'!$B$5=2024,IF(#REF!="",C189,#REF!),IF('РЕЕСТР РИСКОВ_2023'!G229="",C189,'РЕЕСТР РИСКОВ_2023'!G229)))))</f>
        <v>#REF!</v>
      </c>
      <c r="D190" t="str">
        <f>IF('INHERENT MAP'!$B$5=2021,IF('РЕЕСТР РИСКОВ_2023'!H229="",D189,'РЕЕСТР РИСКОВ_2023'!H229),IF('INHERENT MAP'!$B$5=2022,IF(#REF!="",D189,#REF!),IF('INHERENT MAP'!$B$5=2023,IF(#REF!="",D189,#REF!),IF('INHERENT MAP'!$B$5=2024,IF(#REF!="",D189,#REF!),IF('РЕЕСТР РИСКОВ_2023'!H229="",D189,'РЕЕСТР РИСКОВ_2023'!H229)))))</f>
        <v>CRR-5</v>
      </c>
      <c r="E190" t="str">
        <f>IF('INHERENT MAP'!$B$5=2021,IF('РЕЕСТР РИСКОВ_2023'!I229="",E189,'РЕЕСТР РИСКОВ_2023'!I229),IF('INHERENT MAP'!$B$5=2022,IF(#REF!="",E189,#REF!),IF('INHERENT MAP'!$B$5=2023,IF(#REF!="",E189,#REF!),IF('INHERENT MAP'!$B$5=2024,IF(#REF!="",E189,#REF!),IF('РЕЕСТР РИСКОВ_2023'!I229="",E189,'РЕЕСТР РИСКОВ_2023'!I229)))))</f>
        <v>Ц</v>
      </c>
      <c r="F190" t="str">
        <f>IF('INHERENT MAP'!$B$5=2021,IF('РЕЕСТР РИСКОВ_2023'!J229="",F189,'РЕЕСТР РИСКОВ_2023'!J229),IF('INHERENT MAP'!$B$5=2022,IF(#REF!="",F189,#REF!),IF('INHERENT MAP'!$B$5=2023,IF(#REF!="",F189,#REF!),IF('INHERENT MAP'!$B$5=2024,IF(#REF!="",F189,#REF!),IF('РЕЕСТР РИСКОВ_2023'!J229="",F189,'РЕЕСТР РИСКОВ_2023'!J229)))))</f>
        <v>ЦКС, ЦКБ</v>
      </c>
      <c r="G190" t="str">
        <f>IF('INHERENT MAP'!$B$5=2021,IF('РЕЕСТР РИСКОВ_2023'!K229="",G189,'РЕЕСТР РИСКОВ_2023'!K229),IF('INHERENT MAP'!$B$5=2022,IF(#REF!="",G189,#REF!),IF('INHERENT MAP'!$B$5=2023,IF(#REF!="",G189,#REF!),IF('INHERENT MAP'!$B$5=2024,IF(#REF!="",G189,#REF!),IF('РЕЕСТР РИСКОВ_2023'!K229="",G189,'РЕЕСТР РИСКОВ_2023'!K229)))))</f>
        <v>Коррупционные риски в сфере оказания услуг</v>
      </c>
      <c r="H190">
        <f>IF('INHERENT MAP'!$B$5=2021,'РЕЕСТР РИСКОВ_2023'!L229,IF('INHERENT MAP'!$B$5=2022,#REF!,IF('INHERENT MAP'!$B$5=2023,#REF!,IF('INHERENT MAP'!$B$5=2024,#REF!,#REF!))))</f>
        <v>0</v>
      </c>
      <c r="I190">
        <f>IF('INHERENT MAP'!$B$5=2021,'РЕЕСТР РИСКОВ_2023'!M229,IF('INHERENT MAP'!$B$5=2022,#REF!,IF('INHERENT MAP'!$B$5=2023,#REF!,IF('INHERENT MAP'!$B$5=2024,#REF!,#REF!))))</f>
        <v>0</v>
      </c>
      <c r="J190">
        <f>IF('INHERENT MAP'!$B$5=2021,'РЕЕСТР РИСКОВ_2023'!N229,IF('INHERENT MAP'!$B$5=2022,#REF!,IF('INHERENT MAP'!$B$5=2023,#REF!,IF('INHERENT MAP'!$B$5=2024,#REF!,#REF!))))</f>
        <v>0</v>
      </c>
      <c r="K190">
        <f>IF('INHERENT MAP'!$B$5=2021,'РЕЕСТР РИСКОВ_2023'!O229,IF('INHERENT MAP'!$B$5=2022,#REF!,IF('INHERENT MAP'!$B$5=2023,#REF!,IF('INHERENT MAP'!$B$5=2024,#REF!,#REF!))))</f>
        <v>0</v>
      </c>
      <c r="L190">
        <f>IF('INHERENT MAP'!$B$5=2021,'РЕЕСТР РИСКОВ_2023'!P229,IF('INHERENT MAP'!$B$5=2022,#REF!,IF('INHERENT MAP'!$B$5=2023,#REF!,IF('INHERENT MAP'!$B$5=2024,#REF!,#REF!))))</f>
        <v>0</v>
      </c>
      <c r="M190" t="str">
        <f>IF('INHERENT MAP'!$B$5=2021,IF('РЕЕСТР РИСКОВ_2023'!Q229="",M189,'РЕЕСТР РИСКОВ_2023'!Q229),IF('INHERENT MAP'!$B$5=2022,IF(#REF!="",M189,#REF!),IF('INHERENT MAP'!$B$5=2023,IF(#REF!="",M189,#REF!),IF('INHERENT MAP'!$B$5=2024,IF(#REF!="",M189,#REF!),IF('РЕЕСТР РИСКОВ_2023'!Q229="",M189,'РЕЕСТР РИСКОВ_2023'!Q229)))))</f>
        <v>Риск коррупции при оказании услуг подачи-уборки грузовых вагонов</v>
      </c>
      <c r="N190" t="str">
        <f>IF('INHERENT MAP'!$B$5=2021,IF('РЕЕСТР РИСКОВ_2023'!R229="",N189,'РЕЕСТР РИСКОВ_2023'!R229),IF('INHERENT MAP'!$B$5=2022,IF(#REF!="",N189,#REF!),IF('INHERENT MAP'!$B$5=2023,IF(#REF!="",N189,#REF!),IF('INHERENT MAP'!$B$5=2024,IF(#REF!="",N189,#REF!),IF('РЕЕСТР РИСКОВ_2023'!R229="",N189,'РЕЕСТР РИСКОВ_2023'!R229)))))</f>
        <v>R4.4CS1. Представители ГП при рассмотрении заявки на подачу-уборку грузовых вагонов выделяют маневровые локомотивы и отдают предпочтение таким грузоотправителям / грузополучателям, от которых они получают незаконное вознаграждение или иную выгоду за ускорение, либо наоборот необоснованно отказывают грузоотправителям/ грузополучателям, с которыми в сговор не вступили.
R4.4CS2. Представители ГП при рассмотрении трехсторонних соглашений между ГП, грузополучателем и ветвевладельцем на подачу-уборку грузовых вагонов, необоснованно отказывают в подписании грузополучателям, не имеющим свои подъездные пути и складские помещения в подписании указанного трехстороннего Соглашения на подачу-уборку грузовых вагонов на подъездной путь ветвевладельца, выбранного грузоотправителем / грузополучателем с целью принуждения заключения соглашения с ветвевладельцем, с которым они вступили в сговор и получают незаконное вознаграждение или иную выгоду.
R4.4.CS3. В результате сговора с потенциальными потребителями услуг (клиентами) с целью получения от них незаконного вознаграждения или иную выгоду, представителями ГП организуется предоставление услуг на подачу-уборку грузовых вагонов без заключения соответствующих договоров.</v>
      </c>
      <c r="O190">
        <f>'РЕЕСТР РИСКОВ_2023'!T229</f>
        <v>0</v>
      </c>
      <c r="P190" t="e">
        <f>IF('РЕЕСТР РИСКОВ_2023'!U229="",P189,'РЕЕСТР РИСКОВ_2023'!U229)</f>
        <v>#REF!</v>
      </c>
      <c r="Q190" t="str">
        <f>IF('РЕЕСТР РИСКОВ_2023'!V229="",Q189,'РЕЕСТР РИСКОВ_2023'!V229)</f>
        <v>Угрозы</v>
      </c>
      <c r="R190" t="str">
        <f>IF('РЕЕСТР РИСКОВ_2023'!W229="",R189,'РЕЕСТР РИСКОВ_2023'!W229)</f>
        <v>Возможные индикаторы R4.4CS1., R4.4CS2.:
1) наличие жалоб от потребителей услуг по подаче-уборке грузовых вагонов;
2) наличие простоев вагонов на станционных и подъездных путях в ожидании подачи-уборки грузовых вагонов.
Возможные индикаторы R4.4.CS3.:
1) отсутствие договоров с клиентами, которым оказаны услуги по подаче-уборке грузовых вагонов;
2) наличие расхождений между объемом услуг заключенных договоров и фактическим объемом предоставленных услуг по подаче-уборке грузовых вагонов;
3) отсутствие первичных документов по оказанным услугам по подаче-уборке грузовых вагонов.</v>
      </c>
      <c r="S190">
        <f>'РЕЕСТР РИСКОВ_2023'!X229</f>
        <v>0</v>
      </c>
      <c r="T190" s="94">
        <f>IF('INHERENT MAP'!$B$5=2021,'РЕЕСТР РИСКОВ_2023'!Y229,IF('INHERENT MAP'!$B$5=2022,#REF!,IF('INHERENT MAP'!$B$5=2023,#REF!,IF('INHERENT MAP'!$B$5=2024,#REF!,#REF!))))</f>
        <v>0</v>
      </c>
      <c r="U190">
        <f>IF('INHERENT MAP'!$B$5=2021,'РЕЕСТР РИСКОВ_2023'!Z229,IF('INHERENT MAP'!$B$5=2022,#REF!,IF('INHERENT MAP'!$B$5=2023,#REF!,IF('INHERENT MAP'!$B$5=2024,#REF!,#REF!))))</f>
        <v>0</v>
      </c>
      <c r="V190">
        <f>IF('INHERENT MAP'!$B$5=2021,'РЕЕСТР РИСКОВ_2023'!AA229,IF('INHERENT MAP'!$B$5=2022,#REF!,IF('INHERENT MAP'!$B$5=2023,#REF!,IF('INHERENT MAP'!$B$5=2024,#REF!,#REF!))))</f>
        <v>0</v>
      </c>
      <c r="W190">
        <f>IF('INHERENT MAP'!$B$5=2021,'РЕЕСТР РИСКОВ_2023'!AB229,IF('INHERENT MAP'!$B$5=2022,#REF!,IF('INHERENT MAP'!$B$5=2023,#REF!,IF('INHERENT MAP'!$B$5=2024,#REF!,#REF!))))</f>
        <v>0</v>
      </c>
      <c r="X190" s="94">
        <f>IF('INHERENT MAP'!$B$5=2021,'РЕЕСТР РИСКОВ_2023'!AC229,IF('INHERENT MAP'!$B$5=2022,#REF!,IF('INHERENT MAP'!$B$5=2023,#REF!,IF('INHERENT MAP'!$B$5=2024,#REF!,#REF!))))</f>
        <v>0</v>
      </c>
      <c r="Y190">
        <f>IF('INHERENT MAP'!$B$5=2021,'РЕЕСТР РИСКОВ_2023'!AD229,IF('INHERENT MAP'!$B$5=2022,#REF!,IF('INHERENT MAP'!$B$5=2023,#REF!,IF('INHERENT MAP'!$B$5=2024,#REF!,#REF!))))</f>
        <v>0</v>
      </c>
      <c r="Z190">
        <f>IF('INHERENT MAP'!$B$5=2021,'РЕЕСТР РИСКОВ_2023'!AE229,IF('INHERENT MAP'!$B$5=2022,#REF!,IF('INHERENT MAP'!$B$5=2023,#REF!,IF('INHERENT MAP'!$B$5=2024,#REF!,#REF!))))</f>
        <v>0</v>
      </c>
      <c r="AA190">
        <f>IF('INHERENT MAP'!$B$5=2021,'РЕЕСТР РИСКОВ_2023'!AF229,IF('INHERENT MAP'!$B$5=2022,#REF!,IF('INHERENT MAP'!$B$5=2023,#REF!,IF('INHERENT MAP'!$B$5=2024,#REF!,#REF!))))</f>
        <v>0</v>
      </c>
      <c r="AB190">
        <f>IF('INHERENT MAP'!$B$5=2021,'РЕЕСТР РИСКОВ_2023'!AG229,IF('INHERENT MAP'!$B$5=2022,#REF!,IF('INHERENT MAP'!$B$5=2023,#REF!,IF('INHERENT MAP'!$B$5=2024,#REF!,#REF!))))</f>
        <v>0</v>
      </c>
      <c r="AC190">
        <f>IF('INHERENT MAP'!$B$5=2021,'РЕЕСТР РИСКОВ_2023'!AH229,IF('INHERENT MAP'!$B$5=2022,#REF!,IF('INHERENT MAP'!$B$5=2023,#REF!,IF('INHERENT MAP'!$B$5=2024,#REF!,#REF!))))</f>
        <v>0</v>
      </c>
      <c r="AD190">
        <f>IF('INHERENT MAP'!$B$5=2021,'РЕЕСТР РИСКОВ_2023'!AI229,IF('INHERENT MAP'!$B$5=2022,#REF!,IF('INHERENT MAP'!$B$5=2023,#REF!,IF('INHERENT MAP'!$B$5=2024,#REF!,#REF!))))</f>
        <v>0</v>
      </c>
      <c r="AE190">
        <f>IF('INHERENT MAP'!$B$5=2021,'РЕЕСТР РИСКОВ_2023'!AK229,IF('INHERENT MAP'!$B$5=2022,#REF!,IF('INHERENT MAP'!$B$5=2023,#REF!,IF('INHERENT MAP'!$B$5=2024,#REF!,#REF!))))</f>
        <v>0</v>
      </c>
      <c r="AF190">
        <f>IF('INHERENT MAP'!$B$5=2021,'РЕЕСТР РИСКОВ_2023'!AL229,IF('INHERENT MAP'!$B$5=2022,#REF!,IF('INHERENT MAP'!$B$5=2023,#REF!,IF('INHERENT MAP'!$B$5=2024,#REF!,#REF!))))</f>
        <v>0</v>
      </c>
      <c r="AG190">
        <f>IF('INHERENT MAP'!$B$5=2021,'РЕЕСТР РИСКОВ_2023'!AM229,IF('INHERENT MAP'!$B$5=2022,#REF!,IF('INHERENT MAP'!$B$5=2023,#REF!,IF('INHERENT MAP'!$B$5=2024,#REF!,#REF!))))</f>
        <v>0</v>
      </c>
      <c r="AH190">
        <f>IF('INHERENT MAP'!$B$5=2021,'РЕЕСТР РИСКОВ_2023'!AN229,IF('INHERENT MAP'!$B$5=2022,#REF!,IF('INHERENT MAP'!$B$5=2023,#REF!,IF('INHERENT MAP'!$B$5=2024,#REF!,#REF!))))</f>
        <v>0</v>
      </c>
      <c r="AI190">
        <f>IF('INHERENT MAP'!$B$5=2021,'РЕЕСТР РИСКОВ_2023'!AO229,IF('INHERENT MAP'!$B$5=2022,#REF!,IF('INHERENT MAP'!$B$5=2023,#REF!,IF('INHERENT MAP'!$B$5=2024,#REF!,#REF!))))</f>
        <v>0</v>
      </c>
      <c r="AJ190">
        <f>IF('INHERENT MAP'!$B$5=2021,'РЕЕСТР РИСКОВ_2023'!AP229,IF('INHERENT MAP'!$B$5=2022,#REF!,IF('INHERENT MAP'!$B$5=2023,#REF!,IF('INHERENT MAP'!$B$5=2024,#REF!,#REF!))))</f>
        <v>0</v>
      </c>
      <c r="AK190">
        <f>IF('РЕЕСТР РИСКОВ_2023'!AQ229="",AK189,'РЕЕСТР РИСКОВ_2023'!AQ229)</f>
        <v>0</v>
      </c>
      <c r="AL190">
        <f>IF('РЕЕСТР РИСКОВ_2023'!AR229="",AL189,'РЕЕСТР РИСКОВ_2023'!AR229)</f>
        <v>1</v>
      </c>
      <c r="AM190">
        <f>IF('РЕЕСТР РИСКОВ_2023'!AS229="",AM189,'РЕЕСТР РИСКОВ_2023'!AS229)</f>
        <v>0</v>
      </c>
      <c r="AN190">
        <f>IF('РЕЕСТР РИСКОВ_2023'!AT229="",AN189,'РЕЕСТР РИСКОВ_2023'!AT229)</f>
        <v>0</v>
      </c>
      <c r="AO190" t="e">
        <f>IF('РЕЕСТР РИСКОВ_2023'!AU229="",AO189,'РЕЕСТР РИСКОВ_2023'!AU229)</f>
        <v>#REF!</v>
      </c>
    </row>
    <row r="191" spans="2:41">
      <c r="B191" t="str">
        <f>IF('INHERENT MAP'!$B$5=2021,IF('РЕЕСТР РИСКОВ_2023'!F230="",B190,'РЕЕСТР РИСКОВ_2023'!F230),IF('INHERENT MAP'!$B$5=2022,IF(#REF!="",B190,#REF!),IF('INHERENT MAP'!$B$5=2023,IF(#REF!="",B190,#REF!),IF('INHERENT MAP'!$B$5=2024,IF(#REF!="",B190,#REF!),IF('РЕЕСТР РИСКОВ_2023'!F230="",B190,'РЕЕСТР РИСКОВ_2023'!F230)))))</f>
        <v>КОМПЛАЕНС РИСК</v>
      </c>
      <c r="C191" t="e">
        <f>IF('INHERENT MAP'!$B$5=2021,IF('РЕЕСТР РИСКОВ_2023'!G230="",C190,'РЕЕСТР РИСКОВ_2023'!G230),IF('INHERENT MAP'!$B$5=2022,IF(#REF!="",C190,#REF!),IF('INHERENT MAP'!$B$5=2023,IF(#REF!="",C190,#REF!),IF('INHERENT MAP'!$B$5=2024,IF(#REF!="",C190,#REF!),IF('РЕЕСТР РИСКОВ_2023'!G230="",C190,'РЕЕСТР РИСКОВ_2023'!G230)))))</f>
        <v>#REF!</v>
      </c>
      <c r="D191" t="str">
        <f>IF('INHERENT MAP'!$B$5=2021,IF('РЕЕСТР РИСКОВ_2023'!H230="",D190,'РЕЕСТР РИСКОВ_2023'!H230),IF('INHERENT MAP'!$B$5=2022,IF(#REF!="",D190,#REF!),IF('INHERENT MAP'!$B$5=2023,IF(#REF!="",D190,#REF!),IF('INHERENT MAP'!$B$5=2024,IF(#REF!="",D190,#REF!),IF('РЕЕСТР РИСКОВ_2023'!H230="",D190,'РЕЕСТР РИСКОВ_2023'!H230)))))</f>
        <v>CRR-5</v>
      </c>
      <c r="E191" t="str">
        <f>IF('INHERENT MAP'!$B$5=2021,IF('РЕЕСТР РИСКОВ_2023'!I230="",E190,'РЕЕСТР РИСКОВ_2023'!I230),IF('INHERENT MAP'!$B$5=2022,IF(#REF!="",E190,#REF!),IF('INHERENT MAP'!$B$5=2023,IF(#REF!="",E190,#REF!),IF('INHERENT MAP'!$B$5=2024,IF(#REF!="",E190,#REF!),IF('РЕЕСТР РИСКОВ_2023'!I230="",E190,'РЕЕСТР РИСКОВ_2023'!I230)))))</f>
        <v>Ц</v>
      </c>
      <c r="F191" t="str">
        <f>IF('INHERENT MAP'!$B$5=2021,IF('РЕЕСТР РИСКОВ_2023'!J230="",F190,'РЕЕСТР РИСКОВ_2023'!J230),IF('INHERENT MAP'!$B$5=2022,IF(#REF!="",F190,#REF!),IF('INHERENT MAP'!$B$5=2023,IF(#REF!="",F190,#REF!),IF('INHERENT MAP'!$B$5=2024,IF(#REF!="",F190,#REF!),IF('РЕЕСТР РИСКОВ_2023'!J230="",F190,'РЕЕСТР РИСКОВ_2023'!J230)))))</f>
        <v>ЦКС, ЦКБ</v>
      </c>
      <c r="G191" t="str">
        <f>IF('INHERENT MAP'!$B$5=2021,IF('РЕЕСТР РИСКОВ_2023'!K230="",G190,'РЕЕСТР РИСКОВ_2023'!K230),IF('INHERENT MAP'!$B$5=2022,IF(#REF!="",G190,#REF!),IF('INHERENT MAP'!$B$5=2023,IF(#REF!="",G190,#REF!),IF('INHERENT MAP'!$B$5=2024,IF(#REF!="",G190,#REF!),IF('РЕЕСТР РИСКОВ_2023'!K230="",G190,'РЕЕСТР РИСКОВ_2023'!K230)))))</f>
        <v>Коррупционные риски в сфере оказания услуг</v>
      </c>
      <c r="H191">
        <f>IF('INHERENT MAP'!$B$5=2021,'РЕЕСТР РИСКОВ_2023'!L230,IF('INHERENT MAP'!$B$5=2022,#REF!,IF('INHERENT MAP'!$B$5=2023,#REF!,IF('INHERENT MAP'!$B$5=2024,#REF!,#REF!))))</f>
        <v>0</v>
      </c>
      <c r="I191">
        <f>IF('INHERENT MAP'!$B$5=2021,'РЕЕСТР РИСКОВ_2023'!M230,IF('INHERENT MAP'!$B$5=2022,#REF!,IF('INHERENT MAP'!$B$5=2023,#REF!,IF('INHERENT MAP'!$B$5=2024,#REF!,#REF!))))</f>
        <v>0</v>
      </c>
      <c r="J191">
        <f>IF('INHERENT MAP'!$B$5=2021,'РЕЕСТР РИСКОВ_2023'!N230,IF('INHERENT MAP'!$B$5=2022,#REF!,IF('INHERENT MAP'!$B$5=2023,#REF!,IF('INHERENT MAP'!$B$5=2024,#REF!,#REF!))))</f>
        <v>0</v>
      </c>
      <c r="K191">
        <f>IF('INHERENT MAP'!$B$5=2021,'РЕЕСТР РИСКОВ_2023'!O230,IF('INHERENT MAP'!$B$5=2022,#REF!,IF('INHERENT MAP'!$B$5=2023,#REF!,IF('INHERENT MAP'!$B$5=2024,#REF!,#REF!))))</f>
        <v>0</v>
      </c>
      <c r="L191">
        <f>IF('INHERENT MAP'!$B$5=2021,'РЕЕСТР РИСКОВ_2023'!P230,IF('INHERENT MAP'!$B$5=2022,#REF!,IF('INHERENT MAP'!$B$5=2023,#REF!,IF('INHERENT MAP'!$B$5=2024,#REF!,#REF!))))</f>
        <v>0</v>
      </c>
      <c r="M191" t="str">
        <f>IF('INHERENT MAP'!$B$5=2021,IF('РЕЕСТР РИСКОВ_2023'!Q230="",M190,'РЕЕСТР РИСКОВ_2023'!Q230),IF('INHERENT MAP'!$B$5=2022,IF(#REF!="",M190,#REF!),IF('INHERENT MAP'!$B$5=2023,IF(#REF!="",M190,#REF!),IF('INHERENT MAP'!$B$5=2024,IF(#REF!="",M190,#REF!),IF('РЕЕСТР РИСКОВ_2023'!Q230="",M190,'РЕЕСТР РИСКОВ_2023'!Q230)))))</f>
        <v>Риск коррупции при реализация услуг пассажирских перевозок железнодорожным транспортом (бытовая коррупция при перевозке пассажиров, багажа, грузобагажа)</v>
      </c>
      <c r="N191" t="str">
        <f>IF('INHERENT MAP'!$B$5=2021,IF('РЕЕСТР РИСКОВ_2023'!R230="",N190,'РЕЕСТР РИСКОВ_2023'!R230),IF('INHERENT MAP'!$B$5=2022,IF(#REF!="",N190,#REF!),IF('INHERENT MAP'!$B$5=2023,IF(#REF!="",N190,#REF!),IF('INHERENT MAP'!$B$5=2024,IF(#REF!="",N190,#REF!),IF('РЕЕСТР РИСКОВ_2023'!R230="",N190,'РЕЕСТР РИСКОВ_2023'!R230)))))</f>
        <v>R4.5CS1. В результате сговора с потенциальными пассажирами и с целью получения от них незаконного вознаграждения, работники поездных бригад (проводники, начальники поездов) осуществляют безбилетный провоз пассажиров.
R4.5CS2. В результате сговора с лицом, желающим отправить неоформленный багаж, грузобагаж,  работник поездной бригады с целью получения незаконного вознаграждения осуществляет приемку и провоз неоформленного багажа, грузобагажа.
R4.5.CS2. В результате сговора между нарядчиком и проводником за определенное вознаграждение, нарядчиком регулируется норма работы проводников путем внесения в журнал часов работы (выезда по маршруту) проводника по собственному усмотрению в нарушение утвержденного графика выезда проводников.</v>
      </c>
      <c r="O191">
        <f>'РЕЕСТР РИСКОВ_2023'!T230</f>
        <v>0</v>
      </c>
      <c r="P191" t="e">
        <f>IF('РЕЕСТР РИСКОВ_2023'!U230="",P190,'РЕЕСТР РИСКОВ_2023'!U230)</f>
        <v>#REF!</v>
      </c>
      <c r="Q191" t="str">
        <f>IF('РЕЕСТР РИСКОВ_2023'!V230="",Q190,'РЕЕСТР РИСКОВ_2023'!V230)</f>
        <v>Угрозы</v>
      </c>
      <c r="R191" t="str">
        <f>IF('РЕЕСТР РИСКОВ_2023'!W230="",R190,'РЕЕСТР РИСКОВ_2023'!W230)</f>
        <v>Возможные индикаторы R4.5CS1., R4.5CS2.:                                                                                                                                                                                                                                                                                                                                                                                                                                                                 1) отсутствие в свободной продаже проездных документов (билетов);
2) наличие жалоб от потребителей услуг;
3) наличие актов о нарушениях порядка перевозки пассажиров.
Возможные индикаторы R4.5CS3.:
1) недоработка/переработка часов;
2) нарушения утвержденного графика работы и отдыха поездных бригад;
3) отсутствие рапорта за прогул, листов по временной нетрудоспособности, о трудовом отпуске и отпуске без сохранения заработной платы.</v>
      </c>
      <c r="S191">
        <f>'РЕЕСТР РИСКОВ_2023'!X230</f>
        <v>0</v>
      </c>
      <c r="T191" s="94">
        <f>IF('INHERENT MAP'!$B$5=2021,'РЕЕСТР РИСКОВ_2023'!Y230,IF('INHERENT MAP'!$B$5=2022,#REF!,IF('INHERENT MAP'!$B$5=2023,#REF!,IF('INHERENT MAP'!$B$5=2024,#REF!,#REF!))))</f>
        <v>0</v>
      </c>
      <c r="U191">
        <f>IF('INHERENT MAP'!$B$5=2021,'РЕЕСТР РИСКОВ_2023'!Z230,IF('INHERENT MAP'!$B$5=2022,#REF!,IF('INHERENT MAP'!$B$5=2023,#REF!,IF('INHERENT MAP'!$B$5=2024,#REF!,#REF!))))</f>
        <v>0</v>
      </c>
      <c r="V191">
        <f>IF('INHERENT MAP'!$B$5=2021,'РЕЕСТР РИСКОВ_2023'!AA230,IF('INHERENT MAP'!$B$5=2022,#REF!,IF('INHERENT MAP'!$B$5=2023,#REF!,IF('INHERENT MAP'!$B$5=2024,#REF!,#REF!))))</f>
        <v>0</v>
      </c>
      <c r="W191">
        <f>IF('INHERENT MAP'!$B$5=2021,'РЕЕСТР РИСКОВ_2023'!AB230,IF('INHERENT MAP'!$B$5=2022,#REF!,IF('INHERENT MAP'!$B$5=2023,#REF!,IF('INHERENT MAP'!$B$5=2024,#REF!,#REF!))))</f>
        <v>0</v>
      </c>
      <c r="X191" s="94">
        <f>IF('INHERENT MAP'!$B$5=2021,'РЕЕСТР РИСКОВ_2023'!AC230,IF('INHERENT MAP'!$B$5=2022,#REF!,IF('INHERENT MAP'!$B$5=2023,#REF!,IF('INHERENT MAP'!$B$5=2024,#REF!,#REF!))))</f>
        <v>0</v>
      </c>
      <c r="Y191">
        <f>IF('INHERENT MAP'!$B$5=2021,'РЕЕСТР РИСКОВ_2023'!AD230,IF('INHERENT MAP'!$B$5=2022,#REF!,IF('INHERENT MAP'!$B$5=2023,#REF!,IF('INHERENT MAP'!$B$5=2024,#REF!,#REF!))))</f>
        <v>0</v>
      </c>
      <c r="Z191">
        <f>IF('INHERENT MAP'!$B$5=2021,'РЕЕСТР РИСКОВ_2023'!AE230,IF('INHERENT MAP'!$B$5=2022,#REF!,IF('INHERENT MAP'!$B$5=2023,#REF!,IF('INHERENT MAP'!$B$5=2024,#REF!,#REF!))))</f>
        <v>0</v>
      </c>
      <c r="AA191">
        <f>IF('INHERENT MAP'!$B$5=2021,'РЕЕСТР РИСКОВ_2023'!AF230,IF('INHERENT MAP'!$B$5=2022,#REF!,IF('INHERENT MAP'!$B$5=2023,#REF!,IF('INHERENT MAP'!$B$5=2024,#REF!,#REF!))))</f>
        <v>0</v>
      </c>
      <c r="AB191">
        <f>IF('INHERENT MAP'!$B$5=2021,'РЕЕСТР РИСКОВ_2023'!AG230,IF('INHERENT MAP'!$B$5=2022,#REF!,IF('INHERENT MAP'!$B$5=2023,#REF!,IF('INHERENT MAP'!$B$5=2024,#REF!,#REF!))))</f>
        <v>0</v>
      </c>
      <c r="AC191">
        <f>IF('INHERENT MAP'!$B$5=2021,'РЕЕСТР РИСКОВ_2023'!AH230,IF('INHERENT MAP'!$B$5=2022,#REF!,IF('INHERENT MAP'!$B$5=2023,#REF!,IF('INHERENT MAP'!$B$5=2024,#REF!,#REF!))))</f>
        <v>0</v>
      </c>
      <c r="AD191">
        <f>IF('INHERENT MAP'!$B$5=2021,'РЕЕСТР РИСКОВ_2023'!AI230,IF('INHERENT MAP'!$B$5=2022,#REF!,IF('INHERENT MAP'!$B$5=2023,#REF!,IF('INHERENT MAP'!$B$5=2024,#REF!,#REF!))))</f>
        <v>0</v>
      </c>
      <c r="AE191">
        <f>IF('INHERENT MAP'!$B$5=2021,'РЕЕСТР РИСКОВ_2023'!AK230,IF('INHERENT MAP'!$B$5=2022,#REF!,IF('INHERENT MAP'!$B$5=2023,#REF!,IF('INHERENT MAP'!$B$5=2024,#REF!,#REF!))))</f>
        <v>0</v>
      </c>
      <c r="AF191">
        <f>IF('INHERENT MAP'!$B$5=2021,'РЕЕСТР РИСКОВ_2023'!AL230,IF('INHERENT MAP'!$B$5=2022,#REF!,IF('INHERENT MAP'!$B$5=2023,#REF!,IF('INHERENT MAP'!$B$5=2024,#REF!,#REF!))))</f>
        <v>0</v>
      </c>
      <c r="AG191">
        <f>IF('INHERENT MAP'!$B$5=2021,'РЕЕСТР РИСКОВ_2023'!AM230,IF('INHERENT MAP'!$B$5=2022,#REF!,IF('INHERENT MAP'!$B$5=2023,#REF!,IF('INHERENT MAP'!$B$5=2024,#REF!,#REF!))))</f>
        <v>0</v>
      </c>
      <c r="AH191">
        <f>IF('INHERENT MAP'!$B$5=2021,'РЕЕСТР РИСКОВ_2023'!AN230,IF('INHERENT MAP'!$B$5=2022,#REF!,IF('INHERENT MAP'!$B$5=2023,#REF!,IF('INHERENT MAP'!$B$5=2024,#REF!,#REF!))))</f>
        <v>0</v>
      </c>
      <c r="AI191">
        <f>IF('INHERENT MAP'!$B$5=2021,'РЕЕСТР РИСКОВ_2023'!AO230,IF('INHERENT MAP'!$B$5=2022,#REF!,IF('INHERENT MAP'!$B$5=2023,#REF!,IF('INHERENT MAP'!$B$5=2024,#REF!,#REF!))))</f>
        <v>0</v>
      </c>
      <c r="AJ191">
        <f>IF('INHERENT MAP'!$B$5=2021,'РЕЕСТР РИСКОВ_2023'!AP230,IF('INHERENT MAP'!$B$5=2022,#REF!,IF('INHERENT MAP'!$B$5=2023,#REF!,IF('INHERENT MAP'!$B$5=2024,#REF!,#REF!))))</f>
        <v>0</v>
      </c>
      <c r="AK191">
        <f>IF('РЕЕСТР РИСКОВ_2023'!AQ230="",AK190,'РЕЕСТР РИСКОВ_2023'!AQ230)</f>
        <v>0</v>
      </c>
      <c r="AL191">
        <f>IF('РЕЕСТР РИСКОВ_2023'!AR230="",AL190,'РЕЕСТР РИСКОВ_2023'!AR230)</f>
        <v>1</v>
      </c>
      <c r="AM191">
        <f>IF('РЕЕСТР РИСКОВ_2023'!AS230="",AM190,'РЕЕСТР РИСКОВ_2023'!AS230)</f>
        <v>0</v>
      </c>
      <c r="AN191">
        <f>IF('РЕЕСТР РИСКОВ_2023'!AT230="",AN190,'РЕЕСТР РИСКОВ_2023'!AT230)</f>
        <v>0</v>
      </c>
      <c r="AO191" t="e">
        <f>IF('РЕЕСТР РИСКОВ_2023'!AU230="",AO190,'РЕЕСТР РИСКОВ_2023'!AU230)</f>
        <v>#REF!</v>
      </c>
    </row>
    <row r="192" spans="2:41">
      <c r="B192" t="str">
        <f>IF('INHERENT MAP'!$B$5=2021,IF('РЕЕСТР РИСКОВ_2023'!F231="",B191,'РЕЕСТР РИСКОВ_2023'!F231),IF('INHERENT MAP'!$B$5=2022,IF(#REF!="",B191,#REF!),IF('INHERENT MAP'!$B$5=2023,IF(#REF!="",B191,#REF!),IF('INHERENT MAP'!$B$5=2024,IF(#REF!="",B191,#REF!),IF('РЕЕСТР РИСКОВ_2023'!F231="",B191,'РЕЕСТР РИСКОВ_2023'!F231)))))</f>
        <v>КОМПЛАЕНС РИСК</v>
      </c>
      <c r="C192" t="e">
        <f>IF('INHERENT MAP'!$B$5=2021,IF('РЕЕСТР РИСКОВ_2023'!G231="",C191,'РЕЕСТР РИСКОВ_2023'!G231),IF('INHERENT MAP'!$B$5=2022,IF(#REF!="",C191,#REF!),IF('INHERENT MAP'!$B$5=2023,IF(#REF!="",C191,#REF!),IF('INHERENT MAP'!$B$5=2024,IF(#REF!="",C191,#REF!),IF('РЕЕСТР РИСКОВ_2023'!G231="",C191,'РЕЕСТР РИСКОВ_2023'!G231)))))</f>
        <v>#REF!</v>
      </c>
      <c r="D192" t="str">
        <f>IF('INHERENT MAP'!$B$5=2021,IF('РЕЕСТР РИСКОВ_2023'!H231="",D191,'РЕЕСТР РИСКОВ_2023'!H231),IF('INHERENT MAP'!$B$5=2022,IF(#REF!="",D191,#REF!),IF('INHERENT MAP'!$B$5=2023,IF(#REF!="",D191,#REF!),IF('INHERENT MAP'!$B$5=2024,IF(#REF!="",D191,#REF!),IF('РЕЕСТР РИСКОВ_2023'!H231="",D191,'РЕЕСТР РИСКОВ_2023'!H231)))))</f>
        <v>CRR-5</v>
      </c>
      <c r="E192" t="str">
        <f>IF('INHERENT MAP'!$B$5=2021,IF('РЕЕСТР РИСКОВ_2023'!I231="",E191,'РЕЕСТР РИСКОВ_2023'!I231),IF('INHERENT MAP'!$B$5=2022,IF(#REF!="",E191,#REF!),IF('INHERENT MAP'!$B$5=2023,IF(#REF!="",E191,#REF!),IF('INHERENT MAP'!$B$5=2024,IF(#REF!="",E191,#REF!),IF('РЕЕСТР РИСКОВ_2023'!I231="",E191,'РЕЕСТР РИСКОВ_2023'!I231)))))</f>
        <v>Ц</v>
      </c>
      <c r="F192" t="str">
        <f>IF('INHERENT MAP'!$B$5=2021,IF('РЕЕСТР РИСКОВ_2023'!J231="",F191,'РЕЕСТР РИСКОВ_2023'!J231),IF('INHERENT MAP'!$B$5=2022,IF(#REF!="",F191,#REF!),IF('INHERENT MAP'!$B$5=2023,IF(#REF!="",F191,#REF!),IF('INHERENT MAP'!$B$5=2024,IF(#REF!="",F191,#REF!),IF('РЕЕСТР РИСКОВ_2023'!J231="",F191,'РЕЕСТР РИСКОВ_2023'!J231)))))</f>
        <v>ЦКС, ЦКБ</v>
      </c>
      <c r="G192" t="str">
        <f>IF('INHERENT MAP'!$B$5=2021,IF('РЕЕСТР РИСКОВ_2023'!K231="",G191,'РЕЕСТР РИСКОВ_2023'!K231),IF('INHERENT MAP'!$B$5=2022,IF(#REF!="",G191,#REF!),IF('INHERENT MAP'!$B$5=2023,IF(#REF!="",G191,#REF!),IF('INHERENT MAP'!$B$5=2024,IF(#REF!="",G191,#REF!),IF('РЕЕСТР РИСКОВ_2023'!K231="",G191,'РЕЕСТР РИСКОВ_2023'!K231)))))</f>
        <v>Коррупционные риски в сфере оказания услуг</v>
      </c>
      <c r="H192">
        <f>IF('INHERENT MAP'!$B$5=2021,'РЕЕСТР РИСКОВ_2023'!L231,IF('INHERENT MAP'!$B$5=2022,#REF!,IF('INHERENT MAP'!$B$5=2023,#REF!,IF('INHERENT MAP'!$B$5=2024,#REF!,#REF!))))</f>
        <v>0</v>
      </c>
      <c r="I192">
        <f>IF('INHERENT MAP'!$B$5=2021,'РЕЕСТР РИСКОВ_2023'!M231,IF('INHERENT MAP'!$B$5=2022,#REF!,IF('INHERENT MAP'!$B$5=2023,#REF!,IF('INHERENT MAP'!$B$5=2024,#REF!,#REF!))))</f>
        <v>0</v>
      </c>
      <c r="J192">
        <f>IF('INHERENT MAP'!$B$5=2021,'РЕЕСТР РИСКОВ_2023'!N231,IF('INHERENT MAP'!$B$5=2022,#REF!,IF('INHERENT MAP'!$B$5=2023,#REF!,IF('INHERENT MAP'!$B$5=2024,#REF!,#REF!))))</f>
        <v>0</v>
      </c>
      <c r="K192">
        <f>IF('INHERENT MAP'!$B$5=2021,'РЕЕСТР РИСКОВ_2023'!O231,IF('INHERENT MAP'!$B$5=2022,#REF!,IF('INHERENT MAP'!$B$5=2023,#REF!,IF('INHERENT MAP'!$B$5=2024,#REF!,#REF!))))</f>
        <v>0</v>
      </c>
      <c r="L192">
        <f>IF('INHERENT MAP'!$B$5=2021,'РЕЕСТР РИСКОВ_2023'!P231,IF('INHERENT MAP'!$B$5=2022,#REF!,IF('INHERENT MAP'!$B$5=2023,#REF!,IF('INHERENT MAP'!$B$5=2024,#REF!,#REF!))))</f>
        <v>0</v>
      </c>
      <c r="M192" t="str">
        <f>IF('INHERENT MAP'!$B$5=2021,IF('РЕЕСТР РИСКОВ_2023'!Q231="",M191,'РЕЕСТР РИСКОВ_2023'!Q231),IF('INHERENT MAP'!$B$5=2022,IF(#REF!="",M191,#REF!),IF('INHERENT MAP'!$B$5=2023,IF(#REF!="",M191,#REF!),IF('INHERENT MAP'!$B$5=2024,IF(#REF!="",M191,#REF!),IF('РЕЕСТР РИСКОВ_2023'!Q231="",M191,'РЕЕСТР РИСКОВ_2023'!Q231)))))</f>
        <v xml:space="preserve">Риск  коррупции и/или мошенничества при реализации проездных документов (билетов на железнодорожный транспорт) </v>
      </c>
      <c r="N192" t="str">
        <f>IF('INHERENT MAP'!$B$5=2021,IF('РЕЕСТР РИСКОВ_2023'!R231="",N191,'РЕЕСТР РИСКОВ_2023'!R231),IF('INHERENT MAP'!$B$5=2022,IF(#REF!="",N191,#REF!),IF('INHERENT MAP'!$B$5=2023,IF(#REF!="",N191,#REF!),IF('INHERENT MAP'!$B$5=2024,IF(#REF!="",N191,#REF!),IF('РЕЕСТР РИСКОВ_2023'!R231="",N191,'РЕЕСТР РИСКОВ_2023'!R231)))))</f>
        <v>R4.6CS1. В результате сговора с перекупщиками билетов с целью получения от них незаконного вознаграждения или иную выгоду, представители ПП (билетные кассиры) обеспечивают дефицит билетов в билетных кассах/электронных ресурсах, в результате чего перекупщик получает возможность осуществить перепродажу ж/д билетов третьим лицам по завышенной цене.  
Перекупщики заранее выкупают билеты на фиктивных пассажиров или билеты на группу лиц. Далее перекупщики ищут на ж/д вокзале клиентов и договариваются о цене (гораздо выше номинальной стоимости). Затем осуществляется возврат заранее выкупленных билетов и оформляется билет на реального пассажира. При возврате билета в системе «АСУ-Экспресс» открывается доступ к покупке билета на освободившееся место, билет на которое с помощью работника билетных касс приобретается перекупщиком. Для этого нужна согласованная работа двух касс: первый кассир осуществляет возврат билета, второй кассир «ловит» освободившееся место.</v>
      </c>
      <c r="O192">
        <f>'РЕЕСТР РИСКОВ_2023'!T231</f>
        <v>0</v>
      </c>
      <c r="P192" t="e">
        <f>IF('РЕЕСТР РИСКОВ_2023'!U231="",P191,'РЕЕСТР РИСКОВ_2023'!U231)</f>
        <v>#REF!</v>
      </c>
      <c r="Q192" t="str">
        <f>IF('РЕЕСТР РИСКОВ_2023'!V231="",Q191,'РЕЕСТР РИСКОВ_2023'!V231)</f>
        <v>Угрозы</v>
      </c>
      <c r="R192" t="str">
        <f>IF('РЕЕСТР РИСКОВ_2023'!W231="",R191,'РЕЕСТР РИСКОВ_2023'!W231)</f>
        <v>Возможные индикаторы:
1) отсутствие в свободной продаже проездных документов (билетов);
2) наличие жалоб от потребителей услуг  по вопросу перепродажи билетов;
3) наличие актов о нарушениях порядка реализации билетов на ж/д транспорт.</v>
      </c>
      <c r="S192">
        <f>'РЕЕСТР РИСКОВ_2023'!X231</f>
        <v>0</v>
      </c>
      <c r="T192" s="94">
        <f>IF('INHERENT MAP'!$B$5=2021,'РЕЕСТР РИСКОВ_2023'!Y231,IF('INHERENT MAP'!$B$5=2022,#REF!,IF('INHERENT MAP'!$B$5=2023,#REF!,IF('INHERENT MAP'!$B$5=2024,#REF!,#REF!))))</f>
        <v>0</v>
      </c>
      <c r="U192">
        <f>IF('INHERENT MAP'!$B$5=2021,'РЕЕСТР РИСКОВ_2023'!Z231,IF('INHERENT MAP'!$B$5=2022,#REF!,IF('INHERENT MAP'!$B$5=2023,#REF!,IF('INHERENT MAP'!$B$5=2024,#REF!,#REF!))))</f>
        <v>0</v>
      </c>
      <c r="V192">
        <f>IF('INHERENT MAP'!$B$5=2021,'РЕЕСТР РИСКОВ_2023'!AA231,IF('INHERENT MAP'!$B$5=2022,#REF!,IF('INHERENT MAP'!$B$5=2023,#REF!,IF('INHERENT MAP'!$B$5=2024,#REF!,#REF!))))</f>
        <v>0</v>
      </c>
      <c r="W192">
        <f>IF('INHERENT MAP'!$B$5=2021,'РЕЕСТР РИСКОВ_2023'!AB231,IF('INHERENT MAP'!$B$5=2022,#REF!,IF('INHERENT MAP'!$B$5=2023,#REF!,IF('INHERENT MAP'!$B$5=2024,#REF!,#REF!))))</f>
        <v>0</v>
      </c>
      <c r="X192" s="94">
        <f>IF('INHERENT MAP'!$B$5=2021,'РЕЕСТР РИСКОВ_2023'!AC231,IF('INHERENT MAP'!$B$5=2022,#REF!,IF('INHERENT MAP'!$B$5=2023,#REF!,IF('INHERENT MAP'!$B$5=2024,#REF!,#REF!))))</f>
        <v>0</v>
      </c>
      <c r="Y192">
        <f>IF('INHERENT MAP'!$B$5=2021,'РЕЕСТР РИСКОВ_2023'!AD231,IF('INHERENT MAP'!$B$5=2022,#REF!,IF('INHERENT MAP'!$B$5=2023,#REF!,IF('INHERENT MAP'!$B$5=2024,#REF!,#REF!))))</f>
        <v>0</v>
      </c>
      <c r="Z192">
        <f>IF('INHERENT MAP'!$B$5=2021,'РЕЕСТР РИСКОВ_2023'!AE231,IF('INHERENT MAP'!$B$5=2022,#REF!,IF('INHERENT MAP'!$B$5=2023,#REF!,IF('INHERENT MAP'!$B$5=2024,#REF!,#REF!))))</f>
        <v>0</v>
      </c>
      <c r="AA192">
        <f>IF('INHERENT MAP'!$B$5=2021,'РЕЕСТР РИСКОВ_2023'!AF231,IF('INHERENT MAP'!$B$5=2022,#REF!,IF('INHERENT MAP'!$B$5=2023,#REF!,IF('INHERENT MAP'!$B$5=2024,#REF!,#REF!))))</f>
        <v>0</v>
      </c>
      <c r="AB192">
        <f>IF('INHERENT MAP'!$B$5=2021,'РЕЕСТР РИСКОВ_2023'!AG231,IF('INHERENT MAP'!$B$5=2022,#REF!,IF('INHERENT MAP'!$B$5=2023,#REF!,IF('INHERENT MAP'!$B$5=2024,#REF!,#REF!))))</f>
        <v>0</v>
      </c>
      <c r="AC192">
        <f>IF('INHERENT MAP'!$B$5=2021,'РЕЕСТР РИСКОВ_2023'!AH231,IF('INHERENT MAP'!$B$5=2022,#REF!,IF('INHERENT MAP'!$B$5=2023,#REF!,IF('INHERENT MAP'!$B$5=2024,#REF!,#REF!))))</f>
        <v>0</v>
      </c>
      <c r="AD192">
        <f>IF('INHERENT MAP'!$B$5=2021,'РЕЕСТР РИСКОВ_2023'!AI231,IF('INHERENT MAP'!$B$5=2022,#REF!,IF('INHERENT MAP'!$B$5=2023,#REF!,IF('INHERENT MAP'!$B$5=2024,#REF!,#REF!))))</f>
        <v>0</v>
      </c>
      <c r="AE192">
        <f>IF('INHERENT MAP'!$B$5=2021,'РЕЕСТР РИСКОВ_2023'!AK231,IF('INHERENT MAP'!$B$5=2022,#REF!,IF('INHERENT MAP'!$B$5=2023,#REF!,IF('INHERENT MAP'!$B$5=2024,#REF!,#REF!))))</f>
        <v>0</v>
      </c>
      <c r="AF192">
        <f>IF('INHERENT MAP'!$B$5=2021,'РЕЕСТР РИСКОВ_2023'!AL231,IF('INHERENT MAP'!$B$5=2022,#REF!,IF('INHERENT MAP'!$B$5=2023,#REF!,IF('INHERENT MAP'!$B$5=2024,#REF!,#REF!))))</f>
        <v>0</v>
      </c>
      <c r="AG192">
        <f>IF('INHERENT MAP'!$B$5=2021,'РЕЕСТР РИСКОВ_2023'!AM231,IF('INHERENT MAP'!$B$5=2022,#REF!,IF('INHERENT MAP'!$B$5=2023,#REF!,IF('INHERENT MAP'!$B$5=2024,#REF!,#REF!))))</f>
        <v>0</v>
      </c>
      <c r="AH192">
        <f>IF('INHERENT MAP'!$B$5=2021,'РЕЕСТР РИСКОВ_2023'!AN231,IF('INHERENT MAP'!$B$5=2022,#REF!,IF('INHERENT MAP'!$B$5=2023,#REF!,IF('INHERENT MAP'!$B$5=2024,#REF!,#REF!))))</f>
        <v>0</v>
      </c>
      <c r="AI192">
        <f>IF('INHERENT MAP'!$B$5=2021,'РЕЕСТР РИСКОВ_2023'!AO231,IF('INHERENT MAP'!$B$5=2022,#REF!,IF('INHERENT MAP'!$B$5=2023,#REF!,IF('INHERENT MAP'!$B$5=2024,#REF!,#REF!))))</f>
        <v>0</v>
      </c>
      <c r="AJ192">
        <f>IF('INHERENT MAP'!$B$5=2021,'РЕЕСТР РИСКОВ_2023'!AP231,IF('INHERENT MAP'!$B$5=2022,#REF!,IF('INHERENT MAP'!$B$5=2023,#REF!,IF('INHERENT MAP'!$B$5=2024,#REF!,#REF!))))</f>
        <v>0</v>
      </c>
      <c r="AK192">
        <f>IF('РЕЕСТР РИСКОВ_2023'!AQ231="",AK191,'РЕЕСТР РИСКОВ_2023'!AQ231)</f>
        <v>0</v>
      </c>
      <c r="AL192">
        <f>IF('РЕЕСТР РИСКОВ_2023'!AR231="",AL191,'РЕЕСТР РИСКОВ_2023'!AR231)</f>
        <v>1</v>
      </c>
      <c r="AM192">
        <f>IF('РЕЕСТР РИСКОВ_2023'!AS231="",AM191,'РЕЕСТР РИСКОВ_2023'!AS231)</f>
        <v>0</v>
      </c>
      <c r="AN192">
        <f>IF('РЕЕСТР РИСКОВ_2023'!AT231="",AN191,'РЕЕСТР РИСКОВ_2023'!AT231)</f>
        <v>0</v>
      </c>
      <c r="AO192" t="e">
        <f>IF('РЕЕСТР РИСКОВ_2023'!AU231="",AO191,'РЕЕСТР РИСКОВ_2023'!AU231)</f>
        <v>#REF!</v>
      </c>
    </row>
    <row r="193" spans="2:41">
      <c r="B193" t="str">
        <f>IF('INHERENT MAP'!$B$5=2021,IF('РЕЕСТР РИСКОВ_2023'!F232="",B192,'РЕЕСТР РИСКОВ_2023'!F232),IF('INHERENT MAP'!$B$5=2022,IF(#REF!="",B192,#REF!),IF('INHERENT MAP'!$B$5=2023,IF(#REF!="",B192,#REF!),IF('INHERENT MAP'!$B$5=2024,IF(#REF!="",B192,#REF!),IF('РЕЕСТР РИСКОВ_2023'!F232="",B192,'РЕЕСТР РИСКОВ_2023'!F232)))))</f>
        <v>КОМПЛАЕНС РИСК</v>
      </c>
      <c r="C193" t="e">
        <f>IF('INHERENT MAP'!$B$5=2021,IF('РЕЕСТР РИСКОВ_2023'!G232="",C192,'РЕЕСТР РИСКОВ_2023'!G232),IF('INHERENT MAP'!$B$5=2022,IF(#REF!="",C192,#REF!),IF('INHERENT MAP'!$B$5=2023,IF(#REF!="",C192,#REF!),IF('INHERENT MAP'!$B$5=2024,IF(#REF!="",C192,#REF!),IF('РЕЕСТР РИСКОВ_2023'!G232="",C192,'РЕЕСТР РИСКОВ_2023'!G232)))))</f>
        <v>#REF!</v>
      </c>
      <c r="D193" t="str">
        <f>IF('INHERENT MAP'!$B$5=2021,IF('РЕЕСТР РИСКОВ_2023'!H232="",D192,'РЕЕСТР РИСКОВ_2023'!H232),IF('INHERENT MAP'!$B$5=2022,IF(#REF!="",D192,#REF!),IF('INHERENT MAP'!$B$5=2023,IF(#REF!="",D192,#REF!),IF('INHERENT MAP'!$B$5=2024,IF(#REF!="",D192,#REF!),IF('РЕЕСТР РИСКОВ_2023'!H232="",D192,'РЕЕСТР РИСКОВ_2023'!H232)))))</f>
        <v>CRR-5</v>
      </c>
      <c r="E193" t="str">
        <f>IF('INHERENT MAP'!$B$5=2021,IF('РЕЕСТР РИСКОВ_2023'!I232="",E192,'РЕЕСТР РИСКОВ_2023'!I232),IF('INHERENT MAP'!$B$5=2022,IF(#REF!="",E192,#REF!),IF('INHERENT MAP'!$B$5=2023,IF(#REF!="",E192,#REF!),IF('INHERENT MAP'!$B$5=2024,IF(#REF!="",E192,#REF!),IF('РЕЕСТР РИСКОВ_2023'!I232="",E192,'РЕЕСТР РИСКОВ_2023'!I232)))))</f>
        <v>Ц</v>
      </c>
      <c r="F193" t="str">
        <f>IF('INHERENT MAP'!$B$5=2021,IF('РЕЕСТР РИСКОВ_2023'!J232="",F192,'РЕЕСТР РИСКОВ_2023'!J232),IF('INHERENT MAP'!$B$5=2022,IF(#REF!="",F192,#REF!),IF('INHERENT MAP'!$B$5=2023,IF(#REF!="",F192,#REF!),IF('INHERENT MAP'!$B$5=2024,IF(#REF!="",F192,#REF!),IF('РЕЕСТР РИСКОВ_2023'!J232="",F192,'РЕЕСТР РИСКОВ_2023'!J232)))))</f>
        <v>ЦКС, ЦКБ</v>
      </c>
      <c r="G193" t="str">
        <f>IF('INHERENT MAP'!$B$5=2021,IF('РЕЕСТР РИСКОВ_2023'!K232="",G192,'РЕЕСТР РИСКОВ_2023'!K232),IF('INHERENT MAP'!$B$5=2022,IF(#REF!="",G192,#REF!),IF('INHERENT MAP'!$B$5=2023,IF(#REF!="",G192,#REF!),IF('INHERENT MAP'!$B$5=2024,IF(#REF!="",G192,#REF!),IF('РЕЕСТР РИСКОВ_2023'!K232="",G192,'РЕЕСТР РИСКОВ_2023'!K232)))))</f>
        <v>Коррупционные риски в сфере оказания услуг</v>
      </c>
      <c r="H193">
        <f>IF('INHERENT MAP'!$B$5=2021,'РЕЕСТР РИСКОВ_2023'!L232,IF('INHERENT MAP'!$B$5=2022,#REF!,IF('INHERENT MAP'!$B$5=2023,#REF!,IF('INHERENT MAP'!$B$5=2024,#REF!,#REF!))))</f>
        <v>0</v>
      </c>
      <c r="I193">
        <f>IF('INHERENT MAP'!$B$5=2021,'РЕЕСТР РИСКОВ_2023'!M232,IF('INHERENT MAP'!$B$5=2022,#REF!,IF('INHERENT MAP'!$B$5=2023,#REF!,IF('INHERENT MAP'!$B$5=2024,#REF!,#REF!))))</f>
        <v>0</v>
      </c>
      <c r="J193">
        <f>IF('INHERENT MAP'!$B$5=2021,'РЕЕСТР РИСКОВ_2023'!N232,IF('INHERENT MAP'!$B$5=2022,#REF!,IF('INHERENT MAP'!$B$5=2023,#REF!,IF('INHERENT MAP'!$B$5=2024,#REF!,#REF!))))</f>
        <v>0</v>
      </c>
      <c r="K193">
        <f>IF('INHERENT MAP'!$B$5=2021,'РЕЕСТР РИСКОВ_2023'!O232,IF('INHERENT MAP'!$B$5=2022,#REF!,IF('INHERENT MAP'!$B$5=2023,#REF!,IF('INHERENT MAP'!$B$5=2024,#REF!,#REF!))))</f>
        <v>0</v>
      </c>
      <c r="L193">
        <f>IF('INHERENT MAP'!$B$5=2021,'РЕЕСТР РИСКОВ_2023'!P232,IF('INHERENT MAP'!$B$5=2022,#REF!,IF('INHERENT MAP'!$B$5=2023,#REF!,IF('INHERENT MAP'!$B$5=2024,#REF!,#REF!))))</f>
        <v>0</v>
      </c>
      <c r="M193" t="str">
        <f>IF('INHERENT MAP'!$B$5=2021,IF('РЕЕСТР РИСКОВ_2023'!Q232="",M192,'РЕЕСТР РИСКОВ_2023'!Q232),IF('INHERENT MAP'!$B$5=2022,IF(#REF!="",M192,#REF!),IF('INHERENT MAP'!$B$5=2023,IF(#REF!="",M192,#REF!),IF('INHERENT MAP'!$B$5=2024,IF(#REF!="",M192,#REF!),IF('РЕЕСТР РИСКОВ_2023'!Q232="",M192,'РЕЕСТР РИСКОВ_2023'!Q232)))))</f>
        <v xml:space="preserve"> Риск коррупции и/или мошенничества при реализация услуг контейнерных перевозок грузов железнодорожным транспортом и транспортно-экспедиторское обслуживание</v>
      </c>
      <c r="N193" t="str">
        <f>IF('INHERENT MAP'!$B$5=2021,IF('РЕЕСТР РИСКОВ_2023'!R232="",N192,'РЕЕСТР РИСКОВ_2023'!R232),IF('INHERENT MAP'!$B$5=2022,IF(#REF!="",N192,#REF!),IF('INHERENT MAP'!$B$5=2023,IF(#REF!="",N192,#REF!),IF('INHERENT MAP'!$B$5=2024,IF(#REF!="",N192,#REF!),IF('РЕЕСТР РИСКОВ_2023'!R232="",N192,'РЕЕСТР РИСКОВ_2023'!R232)))))</f>
        <v>R4.7CS1. В результате сговора с потребителями предоставляемых АО «KTZE» услуг (клиентами) с целью получения от них незаконного вознаграждения или иной выгоды, представители АО «KTZE» при организации контейнерных перевозок умышленно занижают стоимость оказываемых услуг (устанавливают минимальный тариф).
R4.7CS2. Вопреки условиям договора работники KTZE организуют оказание услуг без получения предоплаты от потребителей предоставляемых услуг (клиентов), аффилированных с должностными лицами и работниками KTZE, и/или выплачивающих им незаконные вознаграждения и/или иную выгоду.
R4.7.CS3. В результате сговора с потенциальными потребителями услуг (клиентами) с целью получения от них незаконного вознаграждения или иную выгоду, представителями KTZE организуется предоставление услуг контейнерных перевозок грузов ж/д  транспортом  и транспортно-экспедиторское обслуживание без заключения соответствующих договоров.</v>
      </c>
      <c r="O193">
        <f>'РЕЕСТР РИСКОВ_2023'!T232</f>
        <v>0</v>
      </c>
      <c r="P193" t="e">
        <f>IF('РЕЕСТР РИСКОВ_2023'!U232="",P192,'РЕЕСТР РИСКОВ_2023'!U232)</f>
        <v>#REF!</v>
      </c>
      <c r="Q193" t="str">
        <f>IF('РЕЕСТР РИСКОВ_2023'!V232="",Q192,'РЕЕСТР РИСКОВ_2023'!V232)</f>
        <v>Угрозы</v>
      </c>
      <c r="R193" t="str">
        <f>IF('РЕЕСТР РИСКОВ_2023'!W232="",R192,'РЕЕСТР РИСКОВ_2023'!W232)</f>
        <v>Возможные индикаторы R4.7CS1.:
1) наличие большого количества договоров с одним клиентом;
2) наличие договоров, в которых установлен минимальный тариф;
3) отсутствие оригиналов документов по исполнению договора;
4) наличие аффилированности между представителями KTZE и клиентом;
5) необоснованный рост дебиторской задолженности.
Возможные индикаторы R4.7CS2.:
1) наличие дополнительных соглашений  к Договору  с  изменениями условий договора в пользу клиента;
2) оказание услуг без предоплаты, предусмотренной договором;
3) оказание услуг клиентам при  наличии у них непогашенной задолженности за ранее оказанные услуги;
4) несвоевременное оформление и подписание первичных документов по исполнению договора;
5)  отсутствие оригиналов документов по исполнению договора;
6) необоснованный рост дебиторской задолженности.
Возможные индикаторы R4.7CS3.:
1) отсутствие договоров с клиентами, которым оказаны услуги контейнерных перевозок грузов ж/д транспортом и транспортно-экспедиторское обслуживание;
2) необоснованный рост дебиторской задолженности.</v>
      </c>
      <c r="S193">
        <f>'РЕЕСТР РИСКОВ_2023'!X232</f>
        <v>0</v>
      </c>
      <c r="T193" s="94">
        <f>IF('INHERENT MAP'!$B$5=2021,'РЕЕСТР РИСКОВ_2023'!Y232,IF('INHERENT MAP'!$B$5=2022,#REF!,IF('INHERENT MAP'!$B$5=2023,#REF!,IF('INHERENT MAP'!$B$5=2024,#REF!,#REF!))))</f>
        <v>0</v>
      </c>
      <c r="U193">
        <f>IF('INHERENT MAP'!$B$5=2021,'РЕЕСТР РИСКОВ_2023'!Z232,IF('INHERENT MAP'!$B$5=2022,#REF!,IF('INHERENT MAP'!$B$5=2023,#REF!,IF('INHERENT MAP'!$B$5=2024,#REF!,#REF!))))</f>
        <v>0</v>
      </c>
      <c r="V193">
        <f>IF('INHERENT MAP'!$B$5=2021,'РЕЕСТР РИСКОВ_2023'!AA232,IF('INHERENT MAP'!$B$5=2022,#REF!,IF('INHERENT MAP'!$B$5=2023,#REF!,IF('INHERENT MAP'!$B$5=2024,#REF!,#REF!))))</f>
        <v>0</v>
      </c>
      <c r="W193">
        <f>IF('INHERENT MAP'!$B$5=2021,'РЕЕСТР РИСКОВ_2023'!AB232,IF('INHERENT MAP'!$B$5=2022,#REF!,IF('INHERENT MAP'!$B$5=2023,#REF!,IF('INHERENT MAP'!$B$5=2024,#REF!,#REF!))))</f>
        <v>0</v>
      </c>
      <c r="X193" s="94">
        <f>IF('INHERENT MAP'!$B$5=2021,'РЕЕСТР РИСКОВ_2023'!AC232,IF('INHERENT MAP'!$B$5=2022,#REF!,IF('INHERENT MAP'!$B$5=2023,#REF!,IF('INHERENT MAP'!$B$5=2024,#REF!,#REF!))))</f>
        <v>0</v>
      </c>
      <c r="Y193">
        <f>IF('INHERENT MAP'!$B$5=2021,'РЕЕСТР РИСКОВ_2023'!AD232,IF('INHERENT MAP'!$B$5=2022,#REF!,IF('INHERENT MAP'!$B$5=2023,#REF!,IF('INHERENT MAP'!$B$5=2024,#REF!,#REF!))))</f>
        <v>0</v>
      </c>
      <c r="Z193">
        <f>IF('INHERENT MAP'!$B$5=2021,'РЕЕСТР РИСКОВ_2023'!AE232,IF('INHERENT MAP'!$B$5=2022,#REF!,IF('INHERENT MAP'!$B$5=2023,#REF!,IF('INHERENT MAP'!$B$5=2024,#REF!,#REF!))))</f>
        <v>0</v>
      </c>
      <c r="AA193">
        <f>IF('INHERENT MAP'!$B$5=2021,'РЕЕСТР РИСКОВ_2023'!AF232,IF('INHERENT MAP'!$B$5=2022,#REF!,IF('INHERENT MAP'!$B$5=2023,#REF!,IF('INHERENT MAP'!$B$5=2024,#REF!,#REF!))))</f>
        <v>0</v>
      </c>
      <c r="AB193">
        <f>IF('INHERENT MAP'!$B$5=2021,'РЕЕСТР РИСКОВ_2023'!AG232,IF('INHERENT MAP'!$B$5=2022,#REF!,IF('INHERENT MAP'!$B$5=2023,#REF!,IF('INHERENT MAP'!$B$5=2024,#REF!,#REF!))))</f>
        <v>0</v>
      </c>
      <c r="AC193">
        <f>IF('INHERENT MAP'!$B$5=2021,'РЕЕСТР РИСКОВ_2023'!AH232,IF('INHERENT MAP'!$B$5=2022,#REF!,IF('INHERENT MAP'!$B$5=2023,#REF!,IF('INHERENT MAP'!$B$5=2024,#REF!,#REF!))))</f>
        <v>0</v>
      </c>
      <c r="AD193">
        <f>IF('INHERENT MAP'!$B$5=2021,'РЕЕСТР РИСКОВ_2023'!AI232,IF('INHERENT MAP'!$B$5=2022,#REF!,IF('INHERENT MAP'!$B$5=2023,#REF!,IF('INHERENT MAP'!$B$5=2024,#REF!,#REF!))))</f>
        <v>0</v>
      </c>
      <c r="AE193">
        <f>IF('INHERENT MAP'!$B$5=2021,'РЕЕСТР РИСКОВ_2023'!AK232,IF('INHERENT MAP'!$B$5=2022,#REF!,IF('INHERENT MAP'!$B$5=2023,#REF!,IF('INHERENT MAP'!$B$5=2024,#REF!,#REF!))))</f>
        <v>0</v>
      </c>
      <c r="AF193">
        <f>IF('INHERENT MAP'!$B$5=2021,'РЕЕСТР РИСКОВ_2023'!AL232,IF('INHERENT MAP'!$B$5=2022,#REF!,IF('INHERENT MAP'!$B$5=2023,#REF!,IF('INHERENT MAP'!$B$5=2024,#REF!,#REF!))))</f>
        <v>0</v>
      </c>
      <c r="AG193">
        <f>IF('INHERENT MAP'!$B$5=2021,'РЕЕСТР РИСКОВ_2023'!AM232,IF('INHERENT MAP'!$B$5=2022,#REF!,IF('INHERENT MAP'!$B$5=2023,#REF!,IF('INHERENT MAP'!$B$5=2024,#REF!,#REF!))))</f>
        <v>0</v>
      </c>
      <c r="AH193">
        <f>IF('INHERENT MAP'!$B$5=2021,'РЕЕСТР РИСКОВ_2023'!AN232,IF('INHERENT MAP'!$B$5=2022,#REF!,IF('INHERENT MAP'!$B$5=2023,#REF!,IF('INHERENT MAP'!$B$5=2024,#REF!,#REF!))))</f>
        <v>0</v>
      </c>
      <c r="AI193">
        <f>IF('INHERENT MAP'!$B$5=2021,'РЕЕСТР РИСКОВ_2023'!AO232,IF('INHERENT MAP'!$B$5=2022,#REF!,IF('INHERENT MAP'!$B$5=2023,#REF!,IF('INHERENT MAP'!$B$5=2024,#REF!,#REF!))))</f>
        <v>0</v>
      </c>
      <c r="AJ193">
        <f>IF('INHERENT MAP'!$B$5=2021,'РЕЕСТР РИСКОВ_2023'!AP232,IF('INHERENT MAP'!$B$5=2022,#REF!,IF('INHERENT MAP'!$B$5=2023,#REF!,IF('INHERENT MAP'!$B$5=2024,#REF!,#REF!))))</f>
        <v>0</v>
      </c>
      <c r="AK193">
        <f>IF('РЕЕСТР РИСКОВ_2023'!AQ232="",AK192,'РЕЕСТР РИСКОВ_2023'!AQ232)</f>
        <v>0</v>
      </c>
      <c r="AL193">
        <f>IF('РЕЕСТР РИСКОВ_2023'!AR232="",AL192,'РЕЕСТР РИСКОВ_2023'!AR232)</f>
        <v>1</v>
      </c>
      <c r="AM193">
        <f>IF('РЕЕСТР РИСКОВ_2023'!AS232="",AM192,'РЕЕСТР РИСКОВ_2023'!AS232)</f>
        <v>0</v>
      </c>
      <c r="AN193">
        <f>IF('РЕЕСТР РИСКОВ_2023'!AT232="",AN192,'РЕЕСТР РИСКОВ_2023'!AT232)</f>
        <v>0</v>
      </c>
      <c r="AO193" t="e">
        <f>IF('РЕЕСТР РИСКОВ_2023'!AU232="",AO192,'РЕЕСТР РИСКОВ_2023'!AU232)</f>
        <v>#REF!</v>
      </c>
    </row>
    <row r="194" spans="2:41">
      <c r="B194" t="str">
        <f>IF('INHERENT MAP'!$B$5=2021,IF('РЕЕСТР РИСКОВ_2023'!F233="",B193,'РЕЕСТР РИСКОВ_2023'!F233),IF('INHERENT MAP'!$B$5=2022,IF(#REF!="",B193,#REF!),IF('INHERENT MAP'!$B$5=2023,IF(#REF!="",B193,#REF!),IF('INHERENT MAP'!$B$5=2024,IF(#REF!="",B193,#REF!),IF('РЕЕСТР РИСКОВ_2023'!F233="",B193,'РЕЕСТР РИСКОВ_2023'!F233)))))</f>
        <v>КОМПЛАЕНС РИСК</v>
      </c>
      <c r="C194" t="e">
        <f>IF('INHERENT MAP'!$B$5=2021,IF('РЕЕСТР РИСКОВ_2023'!G233="",C193,'РЕЕСТР РИСКОВ_2023'!G233),IF('INHERENT MAP'!$B$5=2022,IF(#REF!="",C193,#REF!),IF('INHERENT MAP'!$B$5=2023,IF(#REF!="",C193,#REF!),IF('INHERENT MAP'!$B$5=2024,IF(#REF!="",C193,#REF!),IF('РЕЕСТР РИСКОВ_2023'!G233="",C193,'РЕЕСТР РИСКОВ_2023'!G233)))))</f>
        <v>#REF!</v>
      </c>
      <c r="D194" t="str">
        <f>IF('INHERENT MAP'!$B$5=2021,IF('РЕЕСТР РИСКОВ_2023'!H233="",D193,'РЕЕСТР РИСКОВ_2023'!H233),IF('INHERENT MAP'!$B$5=2022,IF(#REF!="",D193,#REF!),IF('INHERENT MAP'!$B$5=2023,IF(#REF!="",D193,#REF!),IF('INHERENT MAP'!$B$5=2024,IF(#REF!="",D193,#REF!),IF('РЕЕСТР РИСКОВ_2023'!H233="",D193,'РЕЕСТР РИСКОВ_2023'!H233)))))</f>
        <v>CRR-5</v>
      </c>
      <c r="E194" t="str">
        <f>IF('INHERENT MAP'!$B$5=2021,IF('РЕЕСТР РИСКОВ_2023'!I233="",E193,'РЕЕСТР РИСКОВ_2023'!I233),IF('INHERENT MAP'!$B$5=2022,IF(#REF!="",E193,#REF!),IF('INHERENT MAP'!$B$5=2023,IF(#REF!="",E193,#REF!),IF('INHERENT MAP'!$B$5=2024,IF(#REF!="",E193,#REF!),IF('РЕЕСТР РИСКОВ_2023'!I233="",E193,'РЕЕСТР РИСКОВ_2023'!I233)))))</f>
        <v>Ц</v>
      </c>
      <c r="F194" t="str">
        <f>IF('INHERENT MAP'!$B$5=2021,IF('РЕЕСТР РИСКОВ_2023'!J233="",F193,'РЕЕСТР РИСКОВ_2023'!J233),IF('INHERENT MAP'!$B$5=2022,IF(#REF!="",F193,#REF!),IF('INHERENT MAP'!$B$5=2023,IF(#REF!="",F193,#REF!),IF('INHERENT MAP'!$B$5=2024,IF(#REF!="",F193,#REF!),IF('РЕЕСТР РИСКОВ_2023'!J233="",F193,'РЕЕСТР РИСКОВ_2023'!J233)))))</f>
        <v>ЦКС, ЦКБ</v>
      </c>
      <c r="G194" t="str">
        <f>IF('INHERENT MAP'!$B$5=2021,IF('РЕЕСТР РИСКОВ_2023'!K233="",G193,'РЕЕСТР РИСКОВ_2023'!K233),IF('INHERENT MAP'!$B$5=2022,IF(#REF!="",G193,#REF!),IF('INHERENT MAP'!$B$5=2023,IF(#REF!="",G193,#REF!),IF('INHERENT MAP'!$B$5=2024,IF(#REF!="",G193,#REF!),IF('РЕЕСТР РИСКОВ_2023'!K233="",G193,'РЕЕСТР РИСКОВ_2023'!K233)))))</f>
        <v>Коррупционные риски в сфере оказания услуг</v>
      </c>
      <c r="H194">
        <f>IF('INHERENT MAP'!$B$5=2021,'РЕЕСТР РИСКОВ_2023'!L233,IF('INHERENT MAP'!$B$5=2022,#REF!,IF('INHERENT MAP'!$B$5=2023,#REF!,IF('INHERENT MAP'!$B$5=2024,#REF!,#REF!))))</f>
        <v>0</v>
      </c>
      <c r="I194">
        <f>IF('INHERENT MAP'!$B$5=2021,'РЕЕСТР РИСКОВ_2023'!M233,IF('INHERENT MAP'!$B$5=2022,#REF!,IF('INHERENT MAP'!$B$5=2023,#REF!,IF('INHERENT MAP'!$B$5=2024,#REF!,#REF!))))</f>
        <v>0</v>
      </c>
      <c r="J194">
        <f>IF('INHERENT MAP'!$B$5=2021,'РЕЕСТР РИСКОВ_2023'!N233,IF('INHERENT MAP'!$B$5=2022,#REF!,IF('INHERENT MAP'!$B$5=2023,#REF!,IF('INHERENT MAP'!$B$5=2024,#REF!,#REF!))))</f>
        <v>0</v>
      </c>
      <c r="K194">
        <f>IF('INHERENT MAP'!$B$5=2021,'РЕЕСТР РИСКОВ_2023'!O233,IF('INHERENT MAP'!$B$5=2022,#REF!,IF('INHERENT MAP'!$B$5=2023,#REF!,IF('INHERENT MAP'!$B$5=2024,#REF!,#REF!))))</f>
        <v>0</v>
      </c>
      <c r="L194">
        <f>IF('INHERENT MAP'!$B$5=2021,'РЕЕСТР РИСКОВ_2023'!P233,IF('INHERENT MAP'!$B$5=2022,#REF!,IF('INHERENT MAP'!$B$5=2023,#REF!,IF('INHERENT MAP'!$B$5=2024,#REF!,#REF!))))</f>
        <v>0</v>
      </c>
      <c r="M194" t="str">
        <f>IF('INHERENT MAP'!$B$5=2021,IF('РЕЕСТР РИСКОВ_2023'!Q233="",M193,'РЕЕСТР РИСКОВ_2023'!Q233),IF('INHERENT MAP'!$B$5=2022,IF(#REF!="",M193,#REF!),IF('INHERENT MAP'!$B$5=2023,IF(#REF!="",M193,#REF!),IF('INHERENT MAP'!$B$5=2024,IF(#REF!="",M193,#REF!),IF('РЕЕСТР РИСКОВ_2023'!Q233="",M193,'РЕЕСТР РИСКОВ_2023'!Q233)))))</f>
        <v>Риск коррупции и/или мошенничества при реализации услуг оперирования грузовыми вагонами</v>
      </c>
      <c r="N194" t="str">
        <f>IF('INHERENT MAP'!$B$5=2021,IF('РЕЕСТР РИСКОВ_2023'!R233="",N193,'РЕЕСТР РИСКОВ_2023'!R233),IF('INHERENT MAP'!$B$5=2022,IF(#REF!="",N193,#REF!),IF('INHERENT MAP'!$B$5=2023,IF(#REF!="",N193,#REF!),IF('INHERENT MAP'!$B$5=2024,IF(#REF!="",N193,#REF!),IF('РЕЕСТР РИСКОВ_2023'!R233="",N193,'РЕЕСТР РИСКОВ_2023'!R233)))))</f>
        <v>R4.8CS1. В результате сговора с потребителями предоставляемых КТТ услуг (клиентами) с целью получения от них незаконного вознаграждения или иную выгоду, представители КТТ при организации ж/д перевозок умышленно занижают стоимость оказываемых услуг (устанавливают минимальный тариф).
R4.8CS2. В результате сговора с потребителями предоставляемых КТТ услуг (клиентами) с целью получения от них незаконного вознаграждения или иную выгоду, оказание услуг осуществляется без получения 100% предоплаты.
R4.8.CS3. В результате сговора с потенциальными потребителями услуг (клиентами) с целью получения от них незаконного вознаграждения или иную выгоду, представителями KTТ организуется предоставление услуг по оперированию грузовыми вагонами без заключения договоров.</v>
      </c>
      <c r="O194">
        <f>'РЕЕСТР РИСКОВ_2023'!T233</f>
        <v>0</v>
      </c>
      <c r="P194" t="e">
        <f>IF('РЕЕСТР РИСКОВ_2023'!U233="",P193,'РЕЕСТР РИСКОВ_2023'!U233)</f>
        <v>#REF!</v>
      </c>
      <c r="Q194" t="str">
        <f>IF('РЕЕСТР РИСКОВ_2023'!V233="",Q193,'РЕЕСТР РИСКОВ_2023'!V233)</f>
        <v>Угрозы</v>
      </c>
      <c r="R194" t="str">
        <f>IF('РЕЕСТР РИСКОВ_2023'!W233="",R193,'РЕЕСТР РИСКОВ_2023'!W233)</f>
        <v>Возможные индикаторы R4.8CS1.:
1) наличие большого количества договоров с одним клиентом, в которых установлен минимальный тариф;
2) наличие договоров, в которых установлен минимальный тариф;
3) отсутствие оригиналов документов по исполнению договора;
4) необоснованный рост дебиторской задолженности.
Возможные индикаторы R4.8CS2.:
1) оказание услуг осуществляется без предоплаты, предусмотренной договором;
2) оказание услуг клиентам при наличии у них непогашенной задолженности за ранее оказанные услуги;
3) несвоевременное оформление и подписание первичных документов по исполнению договора;
4) отсутствие оригиналов документов по исполнению договора;
5) необоснованный рост дебиторской задолженности.
Возможные индикаторы R4.8CS3.:
1) отсутствие договоров с клиентами, которым оказаны услуги по оперированию грузовыми вагонами;
2) необоснованный рост дебиторской задолженности.</v>
      </c>
      <c r="S194">
        <f>'РЕЕСТР РИСКОВ_2023'!X233</f>
        <v>0</v>
      </c>
      <c r="T194" s="94">
        <f>IF('INHERENT MAP'!$B$5=2021,'РЕЕСТР РИСКОВ_2023'!Y233,IF('INHERENT MAP'!$B$5=2022,#REF!,IF('INHERENT MAP'!$B$5=2023,#REF!,IF('INHERENT MAP'!$B$5=2024,#REF!,#REF!))))</f>
        <v>0</v>
      </c>
      <c r="U194">
        <f>IF('INHERENT MAP'!$B$5=2021,'РЕЕСТР РИСКОВ_2023'!Z233,IF('INHERENT MAP'!$B$5=2022,#REF!,IF('INHERENT MAP'!$B$5=2023,#REF!,IF('INHERENT MAP'!$B$5=2024,#REF!,#REF!))))</f>
        <v>0</v>
      </c>
      <c r="V194">
        <f>IF('INHERENT MAP'!$B$5=2021,'РЕЕСТР РИСКОВ_2023'!AA233,IF('INHERENT MAP'!$B$5=2022,#REF!,IF('INHERENT MAP'!$B$5=2023,#REF!,IF('INHERENT MAP'!$B$5=2024,#REF!,#REF!))))</f>
        <v>0</v>
      </c>
      <c r="W194">
        <f>IF('INHERENT MAP'!$B$5=2021,'РЕЕСТР РИСКОВ_2023'!AB233,IF('INHERENT MAP'!$B$5=2022,#REF!,IF('INHERENT MAP'!$B$5=2023,#REF!,IF('INHERENT MAP'!$B$5=2024,#REF!,#REF!))))</f>
        <v>0</v>
      </c>
      <c r="X194" s="94">
        <f>IF('INHERENT MAP'!$B$5=2021,'РЕЕСТР РИСКОВ_2023'!AC233,IF('INHERENT MAP'!$B$5=2022,#REF!,IF('INHERENT MAP'!$B$5=2023,#REF!,IF('INHERENT MAP'!$B$5=2024,#REF!,#REF!))))</f>
        <v>0</v>
      </c>
      <c r="Y194">
        <f>IF('INHERENT MAP'!$B$5=2021,'РЕЕСТР РИСКОВ_2023'!AD233,IF('INHERENT MAP'!$B$5=2022,#REF!,IF('INHERENT MAP'!$B$5=2023,#REF!,IF('INHERENT MAP'!$B$5=2024,#REF!,#REF!))))</f>
        <v>0</v>
      </c>
      <c r="Z194">
        <f>IF('INHERENT MAP'!$B$5=2021,'РЕЕСТР РИСКОВ_2023'!AE233,IF('INHERENT MAP'!$B$5=2022,#REF!,IF('INHERENT MAP'!$B$5=2023,#REF!,IF('INHERENT MAP'!$B$5=2024,#REF!,#REF!))))</f>
        <v>0</v>
      </c>
      <c r="AA194">
        <f>IF('INHERENT MAP'!$B$5=2021,'РЕЕСТР РИСКОВ_2023'!AF233,IF('INHERENT MAP'!$B$5=2022,#REF!,IF('INHERENT MAP'!$B$5=2023,#REF!,IF('INHERENT MAP'!$B$5=2024,#REF!,#REF!))))</f>
        <v>0</v>
      </c>
      <c r="AB194">
        <f>IF('INHERENT MAP'!$B$5=2021,'РЕЕСТР РИСКОВ_2023'!AG233,IF('INHERENT MAP'!$B$5=2022,#REF!,IF('INHERENT MAP'!$B$5=2023,#REF!,IF('INHERENT MAP'!$B$5=2024,#REF!,#REF!))))</f>
        <v>0</v>
      </c>
      <c r="AC194">
        <f>IF('INHERENT MAP'!$B$5=2021,'РЕЕСТР РИСКОВ_2023'!AH233,IF('INHERENT MAP'!$B$5=2022,#REF!,IF('INHERENT MAP'!$B$5=2023,#REF!,IF('INHERENT MAP'!$B$5=2024,#REF!,#REF!))))</f>
        <v>0</v>
      </c>
      <c r="AD194">
        <f>IF('INHERENT MAP'!$B$5=2021,'РЕЕСТР РИСКОВ_2023'!AI233,IF('INHERENT MAP'!$B$5=2022,#REF!,IF('INHERENT MAP'!$B$5=2023,#REF!,IF('INHERENT MAP'!$B$5=2024,#REF!,#REF!))))</f>
        <v>0</v>
      </c>
      <c r="AE194">
        <f>IF('INHERENT MAP'!$B$5=2021,'РЕЕСТР РИСКОВ_2023'!AK233,IF('INHERENT MAP'!$B$5=2022,#REF!,IF('INHERENT MAP'!$B$5=2023,#REF!,IF('INHERENT MAP'!$B$5=2024,#REF!,#REF!))))</f>
        <v>0</v>
      </c>
      <c r="AF194">
        <f>IF('INHERENT MAP'!$B$5=2021,'РЕЕСТР РИСКОВ_2023'!AL233,IF('INHERENT MAP'!$B$5=2022,#REF!,IF('INHERENT MAP'!$B$5=2023,#REF!,IF('INHERENT MAP'!$B$5=2024,#REF!,#REF!))))</f>
        <v>0</v>
      </c>
      <c r="AG194">
        <f>IF('INHERENT MAP'!$B$5=2021,'РЕЕСТР РИСКОВ_2023'!AM233,IF('INHERENT MAP'!$B$5=2022,#REF!,IF('INHERENT MAP'!$B$5=2023,#REF!,IF('INHERENT MAP'!$B$5=2024,#REF!,#REF!))))</f>
        <v>0</v>
      </c>
      <c r="AH194">
        <f>IF('INHERENT MAP'!$B$5=2021,'РЕЕСТР РИСКОВ_2023'!AN233,IF('INHERENT MAP'!$B$5=2022,#REF!,IF('INHERENT MAP'!$B$5=2023,#REF!,IF('INHERENT MAP'!$B$5=2024,#REF!,#REF!))))</f>
        <v>0</v>
      </c>
      <c r="AI194">
        <f>IF('INHERENT MAP'!$B$5=2021,'РЕЕСТР РИСКОВ_2023'!AO233,IF('INHERENT MAP'!$B$5=2022,#REF!,IF('INHERENT MAP'!$B$5=2023,#REF!,IF('INHERENT MAP'!$B$5=2024,#REF!,#REF!))))</f>
        <v>0</v>
      </c>
      <c r="AJ194">
        <f>IF('INHERENT MAP'!$B$5=2021,'РЕЕСТР РИСКОВ_2023'!AP233,IF('INHERENT MAP'!$B$5=2022,#REF!,IF('INHERENT MAP'!$B$5=2023,#REF!,IF('INHERENT MAP'!$B$5=2024,#REF!,#REF!))))</f>
        <v>0</v>
      </c>
      <c r="AK194">
        <f>IF('РЕЕСТР РИСКОВ_2023'!AQ233="",AK193,'РЕЕСТР РИСКОВ_2023'!AQ233)</f>
        <v>0</v>
      </c>
      <c r="AL194">
        <f>IF('РЕЕСТР РИСКОВ_2023'!AR233="",AL193,'РЕЕСТР РИСКОВ_2023'!AR233)</f>
        <v>1</v>
      </c>
      <c r="AM194">
        <f>IF('РЕЕСТР РИСКОВ_2023'!AS233="",AM193,'РЕЕСТР РИСКОВ_2023'!AS233)</f>
        <v>0</v>
      </c>
      <c r="AN194">
        <f>IF('РЕЕСТР РИСКОВ_2023'!AT233="",AN193,'РЕЕСТР РИСКОВ_2023'!AT233)</f>
        <v>0</v>
      </c>
      <c r="AO194" t="e">
        <f>IF('РЕЕСТР РИСКОВ_2023'!AU233="",AO193,'РЕЕСТР РИСКОВ_2023'!AU233)</f>
        <v>#REF!</v>
      </c>
    </row>
    <row r="195" spans="2:41">
      <c r="B195" t="str">
        <f>IF('INHERENT MAP'!$B$5=2021,IF('РЕЕСТР РИСКОВ_2023'!F234="",B194,'РЕЕСТР РИСКОВ_2023'!F234),IF('INHERENT MAP'!$B$5=2022,IF(#REF!="",B194,#REF!),IF('INHERENT MAP'!$B$5=2023,IF(#REF!="",B194,#REF!),IF('INHERENT MAP'!$B$5=2024,IF(#REF!="",B194,#REF!),IF('РЕЕСТР РИСКОВ_2023'!F234="",B194,'РЕЕСТР РИСКОВ_2023'!F234)))))</f>
        <v>КОМПЛАЕНС РИСК</v>
      </c>
      <c r="C195" t="e">
        <f>IF('INHERENT MAP'!$B$5=2021,IF('РЕЕСТР РИСКОВ_2023'!G234="",C194,'РЕЕСТР РИСКОВ_2023'!G234),IF('INHERENT MAP'!$B$5=2022,IF(#REF!="",C194,#REF!),IF('INHERENT MAP'!$B$5=2023,IF(#REF!="",C194,#REF!),IF('INHERENT MAP'!$B$5=2024,IF(#REF!="",C194,#REF!),IF('РЕЕСТР РИСКОВ_2023'!G234="",C194,'РЕЕСТР РИСКОВ_2023'!G234)))))</f>
        <v>#REF!</v>
      </c>
      <c r="D195" t="str">
        <f>IF('INHERENT MAP'!$B$5=2021,IF('РЕЕСТР РИСКОВ_2023'!H234="",D194,'РЕЕСТР РИСКОВ_2023'!H234),IF('INHERENT MAP'!$B$5=2022,IF(#REF!="",D194,#REF!),IF('INHERENT MAP'!$B$5=2023,IF(#REF!="",D194,#REF!),IF('INHERENT MAP'!$B$5=2024,IF(#REF!="",D194,#REF!),IF('РЕЕСТР РИСКОВ_2023'!H234="",D194,'РЕЕСТР РИСКОВ_2023'!H234)))))</f>
        <v>CRR-5</v>
      </c>
      <c r="E195" t="str">
        <f>IF('INHERENT MAP'!$B$5=2021,IF('РЕЕСТР РИСКОВ_2023'!I234="",E194,'РЕЕСТР РИСКОВ_2023'!I234),IF('INHERENT MAP'!$B$5=2022,IF(#REF!="",E194,#REF!),IF('INHERENT MAP'!$B$5=2023,IF(#REF!="",E194,#REF!),IF('INHERENT MAP'!$B$5=2024,IF(#REF!="",E194,#REF!),IF('РЕЕСТР РИСКОВ_2023'!I234="",E194,'РЕЕСТР РИСКОВ_2023'!I234)))))</f>
        <v>Ц</v>
      </c>
      <c r="F195" t="str">
        <f>IF('INHERENT MAP'!$B$5=2021,IF('РЕЕСТР РИСКОВ_2023'!J234="",F194,'РЕЕСТР РИСКОВ_2023'!J234),IF('INHERENT MAP'!$B$5=2022,IF(#REF!="",F194,#REF!),IF('INHERENT MAP'!$B$5=2023,IF(#REF!="",F194,#REF!),IF('INHERENT MAP'!$B$5=2024,IF(#REF!="",F194,#REF!),IF('РЕЕСТР РИСКОВ_2023'!J234="",F194,'РЕЕСТР РИСКОВ_2023'!J234)))))</f>
        <v>ЦКС, ЦКБ</v>
      </c>
      <c r="G195" t="str">
        <f>IF('INHERENT MAP'!$B$5=2021,IF('РЕЕСТР РИСКОВ_2023'!K234="",G194,'РЕЕСТР РИСКОВ_2023'!K234),IF('INHERENT MAP'!$B$5=2022,IF(#REF!="",G194,#REF!),IF('INHERENT MAP'!$B$5=2023,IF(#REF!="",G194,#REF!),IF('INHERENT MAP'!$B$5=2024,IF(#REF!="",G194,#REF!),IF('РЕЕСТР РИСКОВ_2023'!K234="",G194,'РЕЕСТР РИСКОВ_2023'!K234)))))</f>
        <v>Коррупционные риски в сфере оказания услуг</v>
      </c>
      <c r="H195">
        <f>IF('INHERENT MAP'!$B$5=2021,'РЕЕСТР РИСКОВ_2023'!L234,IF('INHERENT MAP'!$B$5=2022,#REF!,IF('INHERENT MAP'!$B$5=2023,#REF!,IF('INHERENT MAP'!$B$5=2024,#REF!,#REF!))))</f>
        <v>0</v>
      </c>
      <c r="I195">
        <f>IF('INHERENT MAP'!$B$5=2021,'РЕЕСТР РИСКОВ_2023'!M234,IF('INHERENT MAP'!$B$5=2022,#REF!,IF('INHERENT MAP'!$B$5=2023,#REF!,IF('INHERENT MAP'!$B$5=2024,#REF!,#REF!))))</f>
        <v>0</v>
      </c>
      <c r="J195">
        <f>IF('INHERENT MAP'!$B$5=2021,'РЕЕСТР РИСКОВ_2023'!N234,IF('INHERENT MAP'!$B$5=2022,#REF!,IF('INHERENT MAP'!$B$5=2023,#REF!,IF('INHERENT MAP'!$B$5=2024,#REF!,#REF!))))</f>
        <v>0</v>
      </c>
      <c r="K195">
        <f>IF('INHERENT MAP'!$B$5=2021,'РЕЕСТР РИСКОВ_2023'!O234,IF('INHERENT MAP'!$B$5=2022,#REF!,IF('INHERENT MAP'!$B$5=2023,#REF!,IF('INHERENT MAP'!$B$5=2024,#REF!,#REF!))))</f>
        <v>0</v>
      </c>
      <c r="L195">
        <f>IF('INHERENT MAP'!$B$5=2021,'РЕЕСТР РИСКОВ_2023'!P234,IF('INHERENT MAP'!$B$5=2022,#REF!,IF('INHERENT MAP'!$B$5=2023,#REF!,IF('INHERENT MAP'!$B$5=2024,#REF!,#REF!))))</f>
        <v>0</v>
      </c>
      <c r="M195" t="str">
        <f>IF('INHERENT MAP'!$B$5=2021,IF('РЕЕСТР РИСКОВ_2023'!Q234="",M194,'РЕЕСТР РИСКОВ_2023'!Q234),IF('INHERENT MAP'!$B$5=2022,IF(#REF!="",M194,#REF!),IF('INHERENT MAP'!$B$5=2023,IF(#REF!="",M194,#REF!),IF('INHERENT MAP'!$B$5=2024,IF(#REF!="",M194,#REF!),IF('РЕЕСТР РИСКОВ_2023'!Q234="",M194,'РЕЕСТР РИСКОВ_2023'!Q234)))))</f>
        <v>Риск коррупции при передаче в имущественный найм (аренду) ж/д путей, неиспользуемых при предоставлении регулируемых услуг</v>
      </c>
      <c r="N195" t="str">
        <f>IF('INHERENT MAP'!$B$5=2021,IF('РЕЕСТР РИСКОВ_2023'!R234="",N194,'РЕЕСТР РИСКОВ_2023'!R234),IF('INHERENT MAP'!$B$5=2022,IF(#REF!="",N194,#REF!),IF('INHERENT MAP'!$B$5=2023,IF(#REF!="",N194,#REF!),IF('INHERENT MAP'!$B$5=2024,IF(#REF!="",N194,#REF!),IF('РЕЕСТР РИСКОВ_2023'!R234="",N194,'РЕЕСТР РИСКОВ_2023'!R234)))))</f>
        <v xml:space="preserve">R4.9.CS1. Представители ЦЖС/ГП при предоставлении в аренду подъездных путей, неиспользуемых при предоставлении регулируемых услуг отдают неправомерное предпочтение таким лицам, от которых они получают незаконное вознаграждение / иную выгоду, либо наоборот необоснованно затягивают сроки рассмотрения заявки или отказывают лицам, с которыми они в сговор не вступали.   </v>
      </c>
      <c r="O195">
        <f>'РЕЕСТР РИСКОВ_2023'!T234</f>
        <v>0</v>
      </c>
      <c r="P195" t="e">
        <f>IF('РЕЕСТР РИСКОВ_2023'!U234="",P194,'РЕЕСТР РИСКОВ_2023'!U234)</f>
        <v>#REF!</v>
      </c>
      <c r="Q195" t="str">
        <f>IF('РЕЕСТР РИСКОВ_2023'!V234="",Q194,'РЕЕСТР РИСКОВ_2023'!V234)</f>
        <v>Угрозы</v>
      </c>
      <c r="R195" t="str">
        <f>IF('РЕЕСТР РИСКОВ_2023'!W234="",R194,'РЕЕСТР РИСКОВ_2023'!W234)</f>
        <v>Возможные индикаторы:
1) наличие нарушений установленного порядка передачи  в аренду подъездных путей, неиспользуемых при предоставлении регулируемых услуг;
2) отсутствие прозрачности процесса предоставления в аренду подъездных путей, неиспользуемых при предоставлении регулируемых услуг;
3) отсутствие контрольных проверок за процессом передачи в аренду подъездных путей, неиспользуемых при предоставлении регулируемых услуг.</v>
      </c>
      <c r="S195">
        <f>'РЕЕСТР РИСКОВ_2023'!X234</f>
        <v>0</v>
      </c>
      <c r="T195" s="94">
        <f>IF('INHERENT MAP'!$B$5=2021,'РЕЕСТР РИСКОВ_2023'!Y234,IF('INHERENT MAP'!$B$5=2022,#REF!,IF('INHERENT MAP'!$B$5=2023,#REF!,IF('INHERENT MAP'!$B$5=2024,#REF!,#REF!))))</f>
        <v>0</v>
      </c>
      <c r="U195">
        <f>IF('INHERENT MAP'!$B$5=2021,'РЕЕСТР РИСКОВ_2023'!Z234,IF('INHERENT MAP'!$B$5=2022,#REF!,IF('INHERENT MAP'!$B$5=2023,#REF!,IF('INHERENT MAP'!$B$5=2024,#REF!,#REF!))))</f>
        <v>0</v>
      </c>
      <c r="V195">
        <f>IF('INHERENT MAP'!$B$5=2021,'РЕЕСТР РИСКОВ_2023'!AA234,IF('INHERENT MAP'!$B$5=2022,#REF!,IF('INHERENT MAP'!$B$5=2023,#REF!,IF('INHERENT MAP'!$B$5=2024,#REF!,#REF!))))</f>
        <v>0</v>
      </c>
      <c r="W195">
        <f>IF('INHERENT MAP'!$B$5=2021,'РЕЕСТР РИСКОВ_2023'!AB234,IF('INHERENT MAP'!$B$5=2022,#REF!,IF('INHERENT MAP'!$B$5=2023,#REF!,IF('INHERENT MAP'!$B$5=2024,#REF!,#REF!))))</f>
        <v>0</v>
      </c>
      <c r="X195" s="94">
        <f>IF('INHERENT MAP'!$B$5=2021,'РЕЕСТР РИСКОВ_2023'!AC234,IF('INHERENT MAP'!$B$5=2022,#REF!,IF('INHERENT MAP'!$B$5=2023,#REF!,IF('INHERENT MAP'!$B$5=2024,#REF!,#REF!))))</f>
        <v>0</v>
      </c>
      <c r="Y195">
        <f>IF('INHERENT MAP'!$B$5=2021,'РЕЕСТР РИСКОВ_2023'!AD234,IF('INHERENT MAP'!$B$5=2022,#REF!,IF('INHERENT MAP'!$B$5=2023,#REF!,IF('INHERENT MAP'!$B$5=2024,#REF!,#REF!))))</f>
        <v>0</v>
      </c>
      <c r="Z195">
        <f>IF('INHERENT MAP'!$B$5=2021,'РЕЕСТР РИСКОВ_2023'!AE234,IF('INHERENT MAP'!$B$5=2022,#REF!,IF('INHERENT MAP'!$B$5=2023,#REF!,IF('INHERENT MAP'!$B$5=2024,#REF!,#REF!))))</f>
        <v>0</v>
      </c>
      <c r="AA195">
        <f>IF('INHERENT MAP'!$B$5=2021,'РЕЕСТР РИСКОВ_2023'!AF234,IF('INHERENT MAP'!$B$5=2022,#REF!,IF('INHERENT MAP'!$B$5=2023,#REF!,IF('INHERENT MAP'!$B$5=2024,#REF!,#REF!))))</f>
        <v>0</v>
      </c>
      <c r="AB195">
        <f>IF('INHERENT MAP'!$B$5=2021,'РЕЕСТР РИСКОВ_2023'!AG234,IF('INHERENT MAP'!$B$5=2022,#REF!,IF('INHERENT MAP'!$B$5=2023,#REF!,IF('INHERENT MAP'!$B$5=2024,#REF!,#REF!))))</f>
        <v>0</v>
      </c>
      <c r="AC195">
        <f>IF('INHERENT MAP'!$B$5=2021,'РЕЕСТР РИСКОВ_2023'!AH234,IF('INHERENT MAP'!$B$5=2022,#REF!,IF('INHERENT MAP'!$B$5=2023,#REF!,IF('INHERENT MAP'!$B$5=2024,#REF!,#REF!))))</f>
        <v>0</v>
      </c>
      <c r="AD195">
        <f>IF('INHERENT MAP'!$B$5=2021,'РЕЕСТР РИСКОВ_2023'!AI234,IF('INHERENT MAP'!$B$5=2022,#REF!,IF('INHERENT MAP'!$B$5=2023,#REF!,IF('INHERENT MAP'!$B$5=2024,#REF!,#REF!))))</f>
        <v>0</v>
      </c>
      <c r="AE195">
        <f>IF('INHERENT MAP'!$B$5=2021,'РЕЕСТР РИСКОВ_2023'!AK234,IF('INHERENT MAP'!$B$5=2022,#REF!,IF('INHERENT MAP'!$B$5=2023,#REF!,IF('INHERENT MAP'!$B$5=2024,#REF!,#REF!))))</f>
        <v>0</v>
      </c>
      <c r="AF195">
        <f>IF('INHERENT MAP'!$B$5=2021,'РЕЕСТР РИСКОВ_2023'!AL234,IF('INHERENT MAP'!$B$5=2022,#REF!,IF('INHERENT MAP'!$B$5=2023,#REF!,IF('INHERENT MAP'!$B$5=2024,#REF!,#REF!))))</f>
        <v>0</v>
      </c>
      <c r="AG195">
        <f>IF('INHERENT MAP'!$B$5=2021,'РЕЕСТР РИСКОВ_2023'!AM234,IF('INHERENT MAP'!$B$5=2022,#REF!,IF('INHERENT MAP'!$B$5=2023,#REF!,IF('INHERENT MAP'!$B$5=2024,#REF!,#REF!))))</f>
        <v>0</v>
      </c>
      <c r="AH195">
        <f>IF('INHERENT MAP'!$B$5=2021,'РЕЕСТР РИСКОВ_2023'!AN234,IF('INHERENT MAP'!$B$5=2022,#REF!,IF('INHERENT MAP'!$B$5=2023,#REF!,IF('INHERENT MAP'!$B$5=2024,#REF!,#REF!))))</f>
        <v>0</v>
      </c>
      <c r="AI195">
        <f>IF('INHERENT MAP'!$B$5=2021,'РЕЕСТР РИСКОВ_2023'!AO234,IF('INHERENT MAP'!$B$5=2022,#REF!,IF('INHERENT MAP'!$B$5=2023,#REF!,IF('INHERENT MAP'!$B$5=2024,#REF!,#REF!))))</f>
        <v>0</v>
      </c>
      <c r="AJ195">
        <f>IF('INHERENT MAP'!$B$5=2021,'РЕЕСТР РИСКОВ_2023'!AP234,IF('INHERENT MAP'!$B$5=2022,#REF!,IF('INHERENT MAP'!$B$5=2023,#REF!,IF('INHERENT MAP'!$B$5=2024,#REF!,#REF!))))</f>
        <v>0</v>
      </c>
      <c r="AK195">
        <f>IF('РЕЕСТР РИСКОВ_2023'!AQ234="",AK194,'РЕЕСТР РИСКОВ_2023'!AQ234)</f>
        <v>0</v>
      </c>
      <c r="AL195">
        <f>IF('РЕЕСТР РИСКОВ_2023'!AR234="",AL194,'РЕЕСТР РИСКОВ_2023'!AR234)</f>
        <v>1</v>
      </c>
      <c r="AM195">
        <f>IF('РЕЕСТР РИСКОВ_2023'!AS234="",AM194,'РЕЕСТР РИСКОВ_2023'!AS234)</f>
        <v>0</v>
      </c>
      <c r="AN195">
        <f>IF('РЕЕСТР РИСКОВ_2023'!AT234="",AN194,'РЕЕСТР РИСКОВ_2023'!AT234)</f>
        <v>0</v>
      </c>
      <c r="AO195" t="e">
        <f>IF('РЕЕСТР РИСКОВ_2023'!AU234="",AO194,'РЕЕСТР РИСКОВ_2023'!AU234)</f>
        <v>#REF!</v>
      </c>
    </row>
    <row r="196" spans="2:41">
      <c r="B196" t="str">
        <f>IF('INHERENT MAP'!$B$5=2021,IF('РЕЕСТР РИСКОВ_2023'!F235="",B195,'РЕЕСТР РИСКОВ_2023'!F235),IF('INHERENT MAP'!$B$5=2022,IF(#REF!="",B195,#REF!),IF('INHERENT MAP'!$B$5=2023,IF(#REF!="",B195,#REF!),IF('INHERENT MAP'!$B$5=2024,IF(#REF!="",B195,#REF!),IF('РЕЕСТР РИСКОВ_2023'!F235="",B195,'РЕЕСТР РИСКОВ_2023'!F235)))))</f>
        <v>КОМПЛАЕНС РИСК</v>
      </c>
      <c r="C196" t="e">
        <f>IF('INHERENT MAP'!$B$5=2021,IF('РЕЕСТР РИСКОВ_2023'!G235="",C195,'РЕЕСТР РИСКОВ_2023'!G235),IF('INHERENT MAP'!$B$5=2022,IF(#REF!="",C195,#REF!),IF('INHERENT MAP'!$B$5=2023,IF(#REF!="",C195,#REF!),IF('INHERENT MAP'!$B$5=2024,IF(#REF!="",C195,#REF!),IF('РЕЕСТР РИСКОВ_2023'!G235="",C195,'РЕЕСТР РИСКОВ_2023'!G235)))))</f>
        <v>#REF!</v>
      </c>
      <c r="D196" t="str">
        <f>IF('INHERENT MAP'!$B$5=2021,IF('РЕЕСТР РИСКОВ_2023'!H235="",D195,'РЕЕСТР РИСКОВ_2023'!H235),IF('INHERENT MAP'!$B$5=2022,IF(#REF!="",D195,#REF!),IF('INHERENT MAP'!$B$5=2023,IF(#REF!="",D195,#REF!),IF('INHERENT MAP'!$B$5=2024,IF(#REF!="",D195,#REF!),IF('РЕЕСТР РИСКОВ_2023'!H235="",D195,'РЕЕСТР РИСКОВ_2023'!H235)))))</f>
        <v>CRR-5</v>
      </c>
      <c r="E196" t="str">
        <f>IF('INHERENT MAP'!$B$5=2021,IF('РЕЕСТР РИСКОВ_2023'!I235="",E195,'РЕЕСТР РИСКОВ_2023'!I235),IF('INHERENT MAP'!$B$5=2022,IF(#REF!="",E195,#REF!),IF('INHERENT MAP'!$B$5=2023,IF(#REF!="",E195,#REF!),IF('INHERENT MAP'!$B$5=2024,IF(#REF!="",E195,#REF!),IF('РЕЕСТР РИСКОВ_2023'!I235="",E195,'РЕЕСТР РИСКОВ_2023'!I235)))))</f>
        <v>Ц</v>
      </c>
      <c r="F196" t="str">
        <f>IF('INHERENT MAP'!$B$5=2021,IF('РЕЕСТР РИСКОВ_2023'!J235="",F195,'РЕЕСТР РИСКОВ_2023'!J235),IF('INHERENT MAP'!$B$5=2022,IF(#REF!="",F195,#REF!),IF('INHERENT MAP'!$B$5=2023,IF(#REF!="",F195,#REF!),IF('INHERENT MAP'!$B$5=2024,IF(#REF!="",F195,#REF!),IF('РЕЕСТР РИСКОВ_2023'!J235="",F195,'РЕЕСТР РИСКОВ_2023'!J235)))))</f>
        <v>ЦКС, ЦКБ</v>
      </c>
      <c r="G196" t="str">
        <f>IF('INHERENT MAP'!$B$5=2021,IF('РЕЕСТР РИСКОВ_2023'!K235="",G195,'РЕЕСТР РИСКОВ_2023'!K235),IF('INHERENT MAP'!$B$5=2022,IF(#REF!="",G195,#REF!),IF('INHERENT MAP'!$B$5=2023,IF(#REF!="",G195,#REF!),IF('INHERENT MAP'!$B$5=2024,IF(#REF!="",G195,#REF!),IF('РЕЕСТР РИСКОВ_2023'!K235="",G195,'РЕЕСТР РИСКОВ_2023'!K235)))))</f>
        <v>Коррупционные риски в сфере оказания услуг</v>
      </c>
      <c r="H196">
        <f>IF('INHERENT MAP'!$B$5=2021,'РЕЕСТР РИСКОВ_2023'!L235,IF('INHERENT MAP'!$B$5=2022,#REF!,IF('INHERENT MAP'!$B$5=2023,#REF!,IF('INHERENT MAP'!$B$5=2024,#REF!,#REF!))))</f>
        <v>0</v>
      </c>
      <c r="I196">
        <f>IF('INHERENT MAP'!$B$5=2021,'РЕЕСТР РИСКОВ_2023'!M235,IF('INHERENT MAP'!$B$5=2022,#REF!,IF('INHERENT MAP'!$B$5=2023,#REF!,IF('INHERENT MAP'!$B$5=2024,#REF!,#REF!))))</f>
        <v>0</v>
      </c>
      <c r="J196">
        <f>IF('INHERENT MAP'!$B$5=2021,'РЕЕСТР РИСКОВ_2023'!N235,IF('INHERENT MAP'!$B$5=2022,#REF!,IF('INHERENT MAP'!$B$5=2023,#REF!,IF('INHERENT MAP'!$B$5=2024,#REF!,#REF!))))</f>
        <v>0</v>
      </c>
      <c r="K196">
        <f>IF('INHERENT MAP'!$B$5=2021,'РЕЕСТР РИСКОВ_2023'!O235,IF('INHERENT MAP'!$B$5=2022,#REF!,IF('INHERENT MAP'!$B$5=2023,#REF!,IF('INHERENT MAP'!$B$5=2024,#REF!,#REF!))))</f>
        <v>0</v>
      </c>
      <c r="L196">
        <f>IF('INHERENT MAP'!$B$5=2021,'РЕЕСТР РИСКОВ_2023'!P235,IF('INHERENT MAP'!$B$5=2022,#REF!,IF('INHERENT MAP'!$B$5=2023,#REF!,IF('INHERENT MAP'!$B$5=2024,#REF!,#REF!))))</f>
        <v>0</v>
      </c>
      <c r="M196" t="str">
        <f>IF('INHERENT MAP'!$B$5=2021,IF('РЕЕСТР РИСКОВ_2023'!Q235="",M195,'РЕЕСТР РИСКОВ_2023'!Q235),IF('INHERENT MAP'!$B$5=2022,IF(#REF!="",M195,#REF!),IF('INHERENT MAP'!$B$5=2023,IF(#REF!="",M195,#REF!),IF('INHERENT MAP'!$B$5=2024,IF(#REF!="",M195,#REF!),IF('РЕЕСТР РИСКОВ_2023'!Q235="",M195,'РЕЕСТР РИСКОВ_2023'!Q235)))))</f>
        <v>Риск коррупции при приеме и отправке грузов</v>
      </c>
      <c r="N196" t="str">
        <f>IF('INHERENT MAP'!$B$5=2021,IF('РЕЕСТР РИСКОВ_2023'!R235="",N195,'РЕЕСТР РИСКОВ_2023'!R235),IF('INHERENT MAP'!$B$5=2022,IF(#REF!="",N195,#REF!),IF('INHERENT MAP'!$B$5=2023,IF(#REF!="",N195,#REF!),IF('INHERENT MAP'!$B$5=2024,IF(#REF!="",N195,#REF!),IF('РЕЕСТР РИСКОВ_2023'!R235="",N195,'РЕЕСТР РИСКОВ_2023'!R235)))))</f>
        <v xml:space="preserve">R4.10.CS1. Представители ГП в сговоре с грузоотправителем, от которого получают незаконное вознаграждение / иную выгоду, принимают и отправляют грузы, не соответствующие параметрам, заявленным в ж/д накладной.  </v>
      </c>
      <c r="O196">
        <f>'РЕЕСТР РИСКОВ_2023'!T235</f>
        <v>0</v>
      </c>
      <c r="P196" t="e">
        <f>IF('РЕЕСТР РИСКОВ_2023'!U235="",P195,'РЕЕСТР РИСКОВ_2023'!U235)</f>
        <v>#REF!</v>
      </c>
      <c r="Q196" t="str">
        <f>IF('РЕЕСТР РИСКОВ_2023'!V235="",Q195,'РЕЕСТР РИСКОВ_2023'!V235)</f>
        <v>Угрозы</v>
      </c>
      <c r="R196" t="str">
        <f>IF('РЕЕСТР РИСКОВ_2023'!W235="",R195,'РЕЕСТР РИСКОВ_2023'!W235)</f>
        <v>Возможные индикаторы:                                                                                                                                                                                                                                                                                                                                                                                                                                                               1) наличие жалоб от грузотправителей/грузополучателей;
2) отсутствие контрольных проверок за процессом приема и отправки грузов.</v>
      </c>
      <c r="S196">
        <f>'РЕЕСТР РИСКОВ_2023'!X235</f>
        <v>0</v>
      </c>
      <c r="T196" s="94">
        <f>IF('INHERENT MAP'!$B$5=2021,'РЕЕСТР РИСКОВ_2023'!Y235,IF('INHERENT MAP'!$B$5=2022,#REF!,IF('INHERENT MAP'!$B$5=2023,#REF!,IF('INHERENT MAP'!$B$5=2024,#REF!,#REF!))))</f>
        <v>0</v>
      </c>
      <c r="U196">
        <f>IF('INHERENT MAP'!$B$5=2021,'РЕЕСТР РИСКОВ_2023'!Z235,IF('INHERENT MAP'!$B$5=2022,#REF!,IF('INHERENT MAP'!$B$5=2023,#REF!,IF('INHERENT MAP'!$B$5=2024,#REF!,#REF!))))</f>
        <v>0</v>
      </c>
      <c r="V196">
        <f>IF('INHERENT MAP'!$B$5=2021,'РЕЕСТР РИСКОВ_2023'!AA235,IF('INHERENT MAP'!$B$5=2022,#REF!,IF('INHERENT MAP'!$B$5=2023,#REF!,IF('INHERENT MAP'!$B$5=2024,#REF!,#REF!))))</f>
        <v>0</v>
      </c>
      <c r="W196">
        <f>IF('INHERENT MAP'!$B$5=2021,'РЕЕСТР РИСКОВ_2023'!AB235,IF('INHERENT MAP'!$B$5=2022,#REF!,IF('INHERENT MAP'!$B$5=2023,#REF!,IF('INHERENT MAP'!$B$5=2024,#REF!,#REF!))))</f>
        <v>0</v>
      </c>
      <c r="X196" s="94">
        <f>IF('INHERENT MAP'!$B$5=2021,'РЕЕСТР РИСКОВ_2023'!AC235,IF('INHERENT MAP'!$B$5=2022,#REF!,IF('INHERENT MAP'!$B$5=2023,#REF!,IF('INHERENT MAP'!$B$5=2024,#REF!,#REF!))))</f>
        <v>0</v>
      </c>
      <c r="Y196">
        <f>IF('INHERENT MAP'!$B$5=2021,'РЕЕСТР РИСКОВ_2023'!AD235,IF('INHERENT MAP'!$B$5=2022,#REF!,IF('INHERENT MAP'!$B$5=2023,#REF!,IF('INHERENT MAP'!$B$5=2024,#REF!,#REF!))))</f>
        <v>0</v>
      </c>
      <c r="Z196">
        <f>IF('INHERENT MAP'!$B$5=2021,'РЕЕСТР РИСКОВ_2023'!AE235,IF('INHERENT MAP'!$B$5=2022,#REF!,IF('INHERENT MAP'!$B$5=2023,#REF!,IF('INHERENT MAP'!$B$5=2024,#REF!,#REF!))))</f>
        <v>0</v>
      </c>
      <c r="AA196">
        <f>IF('INHERENT MAP'!$B$5=2021,'РЕЕСТР РИСКОВ_2023'!AF235,IF('INHERENT MAP'!$B$5=2022,#REF!,IF('INHERENT MAP'!$B$5=2023,#REF!,IF('INHERENT MAP'!$B$5=2024,#REF!,#REF!))))</f>
        <v>0</v>
      </c>
      <c r="AB196">
        <f>IF('INHERENT MAP'!$B$5=2021,'РЕЕСТР РИСКОВ_2023'!AG235,IF('INHERENT MAP'!$B$5=2022,#REF!,IF('INHERENT MAP'!$B$5=2023,#REF!,IF('INHERENT MAP'!$B$5=2024,#REF!,#REF!))))</f>
        <v>0</v>
      </c>
      <c r="AC196">
        <f>IF('INHERENT MAP'!$B$5=2021,'РЕЕСТР РИСКОВ_2023'!AH235,IF('INHERENT MAP'!$B$5=2022,#REF!,IF('INHERENT MAP'!$B$5=2023,#REF!,IF('INHERENT MAP'!$B$5=2024,#REF!,#REF!))))</f>
        <v>0</v>
      </c>
      <c r="AD196">
        <f>IF('INHERENT MAP'!$B$5=2021,'РЕЕСТР РИСКОВ_2023'!AI235,IF('INHERENT MAP'!$B$5=2022,#REF!,IF('INHERENT MAP'!$B$5=2023,#REF!,IF('INHERENT MAP'!$B$5=2024,#REF!,#REF!))))</f>
        <v>0</v>
      </c>
      <c r="AE196">
        <f>IF('INHERENT MAP'!$B$5=2021,'РЕЕСТР РИСКОВ_2023'!AK235,IF('INHERENT MAP'!$B$5=2022,#REF!,IF('INHERENT MAP'!$B$5=2023,#REF!,IF('INHERENT MAP'!$B$5=2024,#REF!,#REF!))))</f>
        <v>0</v>
      </c>
      <c r="AF196">
        <f>IF('INHERENT MAP'!$B$5=2021,'РЕЕСТР РИСКОВ_2023'!AL235,IF('INHERENT MAP'!$B$5=2022,#REF!,IF('INHERENT MAP'!$B$5=2023,#REF!,IF('INHERENT MAP'!$B$5=2024,#REF!,#REF!))))</f>
        <v>0</v>
      </c>
      <c r="AG196">
        <f>IF('INHERENT MAP'!$B$5=2021,'РЕЕСТР РИСКОВ_2023'!AM235,IF('INHERENT MAP'!$B$5=2022,#REF!,IF('INHERENT MAP'!$B$5=2023,#REF!,IF('INHERENT MAP'!$B$5=2024,#REF!,#REF!))))</f>
        <v>0</v>
      </c>
      <c r="AH196">
        <f>IF('INHERENT MAP'!$B$5=2021,'РЕЕСТР РИСКОВ_2023'!AN235,IF('INHERENT MAP'!$B$5=2022,#REF!,IF('INHERENT MAP'!$B$5=2023,#REF!,IF('INHERENT MAP'!$B$5=2024,#REF!,#REF!))))</f>
        <v>0</v>
      </c>
      <c r="AI196">
        <f>IF('INHERENT MAP'!$B$5=2021,'РЕЕСТР РИСКОВ_2023'!AO235,IF('INHERENT MAP'!$B$5=2022,#REF!,IF('INHERENT MAP'!$B$5=2023,#REF!,IF('INHERENT MAP'!$B$5=2024,#REF!,#REF!))))</f>
        <v>0</v>
      </c>
      <c r="AJ196">
        <f>IF('INHERENT MAP'!$B$5=2021,'РЕЕСТР РИСКОВ_2023'!AP235,IF('INHERENT MAP'!$B$5=2022,#REF!,IF('INHERENT MAP'!$B$5=2023,#REF!,IF('INHERENT MAP'!$B$5=2024,#REF!,#REF!))))</f>
        <v>0</v>
      </c>
      <c r="AK196">
        <f>IF('РЕЕСТР РИСКОВ_2023'!AQ235="",AK195,'РЕЕСТР РИСКОВ_2023'!AQ235)</f>
        <v>0</v>
      </c>
      <c r="AL196">
        <f>IF('РЕЕСТР РИСКОВ_2023'!AR235="",AL195,'РЕЕСТР РИСКОВ_2023'!AR235)</f>
        <v>1</v>
      </c>
      <c r="AM196">
        <f>IF('РЕЕСТР РИСКОВ_2023'!AS235="",AM195,'РЕЕСТР РИСКОВ_2023'!AS235)</f>
        <v>0</v>
      </c>
      <c r="AN196">
        <f>IF('РЕЕСТР РИСКОВ_2023'!AT235="",AN195,'РЕЕСТР РИСКОВ_2023'!AT235)</f>
        <v>0</v>
      </c>
      <c r="AO196" t="e">
        <f>IF('РЕЕСТР РИСКОВ_2023'!AU235="",AO195,'РЕЕСТР РИСКОВ_2023'!AU235)</f>
        <v>#REF!</v>
      </c>
    </row>
    <row r="197" spans="2:41">
      <c r="B197" t="str">
        <f>IF('INHERENT MAP'!$B$5=2021,IF('РЕЕСТР РИСКОВ_2023'!F236="",B196,'РЕЕСТР РИСКОВ_2023'!F236),IF('INHERENT MAP'!$B$5=2022,IF(#REF!="",B196,#REF!),IF('INHERENT MAP'!$B$5=2023,IF(#REF!="",B196,#REF!),IF('INHERENT MAP'!$B$5=2024,IF(#REF!="",B196,#REF!),IF('РЕЕСТР РИСКОВ_2023'!F236="",B196,'РЕЕСТР РИСКОВ_2023'!F236)))))</f>
        <v>КОМПЛАЕНС РИСК</v>
      </c>
      <c r="C197" t="e">
        <f>IF('INHERENT MAP'!$B$5=2021,IF('РЕЕСТР РИСКОВ_2023'!G236="",C196,'РЕЕСТР РИСКОВ_2023'!G236),IF('INHERENT MAP'!$B$5=2022,IF(#REF!="",C196,#REF!),IF('INHERENT MAP'!$B$5=2023,IF(#REF!="",C196,#REF!),IF('INHERENT MAP'!$B$5=2024,IF(#REF!="",C196,#REF!),IF('РЕЕСТР РИСКОВ_2023'!G236="",C196,'РЕЕСТР РИСКОВ_2023'!G236)))))</f>
        <v>#REF!</v>
      </c>
      <c r="D197" t="str">
        <f>IF('INHERENT MAP'!$B$5=2021,IF('РЕЕСТР РИСКОВ_2023'!H236="",D196,'РЕЕСТР РИСКОВ_2023'!H236),IF('INHERENT MAP'!$B$5=2022,IF(#REF!="",D196,#REF!),IF('INHERENT MAP'!$B$5=2023,IF(#REF!="",D196,#REF!),IF('INHERENT MAP'!$B$5=2024,IF(#REF!="",D196,#REF!),IF('РЕЕСТР РИСКОВ_2023'!H236="",D196,'РЕЕСТР РИСКОВ_2023'!H236)))))</f>
        <v>CRR-5</v>
      </c>
      <c r="E197" t="str">
        <f>IF('INHERENT MAP'!$B$5=2021,IF('РЕЕСТР РИСКОВ_2023'!I236="",E196,'РЕЕСТР РИСКОВ_2023'!I236),IF('INHERENT MAP'!$B$5=2022,IF(#REF!="",E196,#REF!),IF('INHERENT MAP'!$B$5=2023,IF(#REF!="",E196,#REF!),IF('INHERENT MAP'!$B$5=2024,IF(#REF!="",E196,#REF!),IF('РЕЕСТР РИСКОВ_2023'!I236="",E196,'РЕЕСТР РИСКОВ_2023'!I236)))))</f>
        <v>Ц</v>
      </c>
      <c r="F197" t="str">
        <f>IF('INHERENT MAP'!$B$5=2021,IF('РЕЕСТР РИСКОВ_2023'!J236="",F196,'РЕЕСТР РИСКОВ_2023'!J236),IF('INHERENT MAP'!$B$5=2022,IF(#REF!="",F196,#REF!),IF('INHERENT MAP'!$B$5=2023,IF(#REF!="",F196,#REF!),IF('INHERENT MAP'!$B$5=2024,IF(#REF!="",F196,#REF!),IF('РЕЕСТР РИСКОВ_2023'!J236="",F196,'РЕЕСТР РИСКОВ_2023'!J236)))))</f>
        <v>ЦКС, ЦКБ</v>
      </c>
      <c r="G197" t="str">
        <f>IF('INHERENT MAP'!$B$5=2021,IF('РЕЕСТР РИСКОВ_2023'!K236="",G196,'РЕЕСТР РИСКОВ_2023'!K236),IF('INHERENT MAP'!$B$5=2022,IF(#REF!="",G196,#REF!),IF('INHERENT MAP'!$B$5=2023,IF(#REF!="",G196,#REF!),IF('INHERENT MAP'!$B$5=2024,IF(#REF!="",G196,#REF!),IF('РЕЕСТР РИСКОВ_2023'!K236="",G196,'РЕЕСТР РИСКОВ_2023'!K236)))))</f>
        <v>Коррупционные риски в сфере оказания услуг</v>
      </c>
      <c r="H197">
        <f>IF('INHERENT MAP'!$B$5=2021,'РЕЕСТР РИСКОВ_2023'!L236,IF('INHERENT MAP'!$B$5=2022,#REF!,IF('INHERENT MAP'!$B$5=2023,#REF!,IF('INHERENT MAP'!$B$5=2024,#REF!,#REF!))))</f>
        <v>0</v>
      </c>
      <c r="I197">
        <f>IF('INHERENT MAP'!$B$5=2021,'РЕЕСТР РИСКОВ_2023'!M236,IF('INHERENT MAP'!$B$5=2022,#REF!,IF('INHERENT MAP'!$B$5=2023,#REF!,IF('INHERENT MAP'!$B$5=2024,#REF!,#REF!))))</f>
        <v>0</v>
      </c>
      <c r="J197">
        <f>IF('INHERENT MAP'!$B$5=2021,'РЕЕСТР РИСКОВ_2023'!N236,IF('INHERENT MAP'!$B$5=2022,#REF!,IF('INHERENT MAP'!$B$5=2023,#REF!,IF('INHERENT MAP'!$B$5=2024,#REF!,#REF!))))</f>
        <v>0</v>
      </c>
      <c r="K197">
        <f>IF('INHERENT MAP'!$B$5=2021,'РЕЕСТР РИСКОВ_2023'!O236,IF('INHERENT MAP'!$B$5=2022,#REF!,IF('INHERENT MAP'!$B$5=2023,#REF!,IF('INHERENT MAP'!$B$5=2024,#REF!,#REF!))))</f>
        <v>0</v>
      </c>
      <c r="L197">
        <f>IF('INHERENT MAP'!$B$5=2021,'РЕЕСТР РИСКОВ_2023'!P236,IF('INHERENT MAP'!$B$5=2022,#REF!,IF('INHERENT MAP'!$B$5=2023,#REF!,IF('INHERENT MAP'!$B$5=2024,#REF!,#REF!))))</f>
        <v>0</v>
      </c>
      <c r="M197" t="str">
        <f>IF('INHERENT MAP'!$B$5=2021,IF('РЕЕСТР РИСКОВ_2023'!Q236="",M196,'РЕЕСТР РИСКОВ_2023'!Q236),IF('INHERENT MAP'!$B$5=2022,IF(#REF!="",M196,#REF!),IF('INHERENT MAP'!$B$5=2023,IF(#REF!="",M196,#REF!),IF('INHERENT MAP'!$B$5=2024,IF(#REF!="",M196,#REF!),IF('РЕЕСТР РИСКОВ_2023'!Q236="",M196,'РЕЕСТР РИСКОВ_2023'!Q236)))))</f>
        <v>Риск коррупции при согласовании перевозок грузов</v>
      </c>
      <c r="N197" t="str">
        <f>IF('INHERENT MAP'!$B$5=2021,IF('РЕЕСТР РИСКОВ_2023'!R236="",N196,'РЕЕСТР РИСКОВ_2023'!R236),IF('INHERENT MAP'!$B$5=2022,IF(#REF!="",N196,#REF!),IF('INHERENT MAP'!$B$5=2023,IF(#REF!="",N196,#REF!),IF('INHERENT MAP'!$B$5=2024,IF(#REF!="",N196,#REF!),IF('РЕЕСТР РИСКОВ_2023'!R236="",N196,'РЕЕСТР РИСКОВ_2023'!R236)))))</f>
        <v>R4.10.CS1. Ответственные лица ГП создают условия для коррупционных проявлений путем безосновательного отклонения заявок грузоотправителей, которое приводит к простою вагонов и предъявлению штрафных санкций со стороны собственников вагонов.</v>
      </c>
      <c r="O197">
        <f>'РЕЕСТР РИСКОВ_2023'!T236</f>
        <v>0</v>
      </c>
      <c r="P197" t="e">
        <f>IF('РЕЕСТР РИСКОВ_2023'!U236="",P196,'РЕЕСТР РИСКОВ_2023'!U236)</f>
        <v>#REF!</v>
      </c>
      <c r="Q197" t="str">
        <f>IF('РЕЕСТР РИСКОВ_2023'!V236="",Q196,'РЕЕСТР РИСКОВ_2023'!V236)</f>
        <v>Угрозы</v>
      </c>
      <c r="R197" t="str">
        <f>IF('РЕЕСТР РИСКОВ_2023'!W236="",R196,'РЕЕСТР РИСКОВ_2023'!W236)</f>
        <v>Возможные индикаторы:                                                                                                                                                                                                                                                                                                                                                                                                                                                               1) наличие нарушений установленного порядка передачи  в аренду подъездных путей, неиспользуемых при предоставлении регулируемых услуг;
2) отсутствие прозрачности процесса предоставления в аренду подъездных путей, неиспользуемых при предоставлении регулируемых услуг;
3) отсутствие контрольных проверок за процессом передачи в аренду подъездных путей, неиспользуемых при предоставлении регулируемых услуг.</v>
      </c>
      <c r="S197">
        <f>'РЕЕСТР РИСКОВ_2023'!X236</f>
        <v>0</v>
      </c>
      <c r="T197" s="94">
        <f>IF('INHERENT MAP'!$B$5=2021,'РЕЕСТР РИСКОВ_2023'!Y236,IF('INHERENT MAP'!$B$5=2022,#REF!,IF('INHERENT MAP'!$B$5=2023,#REF!,IF('INHERENT MAP'!$B$5=2024,#REF!,#REF!))))</f>
        <v>0</v>
      </c>
      <c r="U197">
        <f>IF('INHERENT MAP'!$B$5=2021,'РЕЕСТР РИСКОВ_2023'!Z236,IF('INHERENT MAP'!$B$5=2022,#REF!,IF('INHERENT MAP'!$B$5=2023,#REF!,IF('INHERENT MAP'!$B$5=2024,#REF!,#REF!))))</f>
        <v>0</v>
      </c>
      <c r="V197">
        <f>IF('INHERENT MAP'!$B$5=2021,'РЕЕСТР РИСКОВ_2023'!AA236,IF('INHERENT MAP'!$B$5=2022,#REF!,IF('INHERENT MAP'!$B$5=2023,#REF!,IF('INHERENT MAP'!$B$5=2024,#REF!,#REF!))))</f>
        <v>0</v>
      </c>
      <c r="W197">
        <f>IF('INHERENT MAP'!$B$5=2021,'РЕЕСТР РИСКОВ_2023'!AB236,IF('INHERENT MAP'!$B$5=2022,#REF!,IF('INHERENT MAP'!$B$5=2023,#REF!,IF('INHERENT MAP'!$B$5=2024,#REF!,#REF!))))</f>
        <v>0</v>
      </c>
      <c r="X197" s="94">
        <f>IF('INHERENT MAP'!$B$5=2021,'РЕЕСТР РИСКОВ_2023'!AC236,IF('INHERENT MAP'!$B$5=2022,#REF!,IF('INHERENT MAP'!$B$5=2023,#REF!,IF('INHERENT MAP'!$B$5=2024,#REF!,#REF!))))</f>
        <v>0</v>
      </c>
      <c r="Y197">
        <f>IF('INHERENT MAP'!$B$5=2021,'РЕЕСТР РИСКОВ_2023'!AD236,IF('INHERENT MAP'!$B$5=2022,#REF!,IF('INHERENT MAP'!$B$5=2023,#REF!,IF('INHERENT MAP'!$B$5=2024,#REF!,#REF!))))</f>
        <v>0</v>
      </c>
      <c r="Z197">
        <f>IF('INHERENT MAP'!$B$5=2021,'РЕЕСТР РИСКОВ_2023'!AE236,IF('INHERENT MAP'!$B$5=2022,#REF!,IF('INHERENT MAP'!$B$5=2023,#REF!,IF('INHERENT MAP'!$B$5=2024,#REF!,#REF!))))</f>
        <v>0</v>
      </c>
      <c r="AA197">
        <f>IF('INHERENT MAP'!$B$5=2021,'РЕЕСТР РИСКОВ_2023'!AF236,IF('INHERENT MAP'!$B$5=2022,#REF!,IF('INHERENT MAP'!$B$5=2023,#REF!,IF('INHERENT MAP'!$B$5=2024,#REF!,#REF!))))</f>
        <v>0</v>
      </c>
      <c r="AB197">
        <f>IF('INHERENT MAP'!$B$5=2021,'РЕЕСТР РИСКОВ_2023'!AG236,IF('INHERENT MAP'!$B$5=2022,#REF!,IF('INHERENT MAP'!$B$5=2023,#REF!,IF('INHERENT MAP'!$B$5=2024,#REF!,#REF!))))</f>
        <v>0</v>
      </c>
      <c r="AC197">
        <f>IF('INHERENT MAP'!$B$5=2021,'РЕЕСТР РИСКОВ_2023'!AH236,IF('INHERENT MAP'!$B$5=2022,#REF!,IF('INHERENT MAP'!$B$5=2023,#REF!,IF('INHERENT MAP'!$B$5=2024,#REF!,#REF!))))</f>
        <v>0</v>
      </c>
      <c r="AD197">
        <f>IF('INHERENT MAP'!$B$5=2021,'РЕЕСТР РИСКОВ_2023'!AI236,IF('INHERENT MAP'!$B$5=2022,#REF!,IF('INHERENT MAP'!$B$5=2023,#REF!,IF('INHERENT MAP'!$B$5=2024,#REF!,#REF!))))</f>
        <v>0</v>
      </c>
      <c r="AE197">
        <f>IF('INHERENT MAP'!$B$5=2021,'РЕЕСТР РИСКОВ_2023'!AK236,IF('INHERENT MAP'!$B$5=2022,#REF!,IF('INHERENT MAP'!$B$5=2023,#REF!,IF('INHERENT MAP'!$B$5=2024,#REF!,#REF!))))</f>
        <v>0</v>
      </c>
      <c r="AF197">
        <f>IF('INHERENT MAP'!$B$5=2021,'РЕЕСТР РИСКОВ_2023'!AL236,IF('INHERENT MAP'!$B$5=2022,#REF!,IF('INHERENT MAP'!$B$5=2023,#REF!,IF('INHERENT MAP'!$B$5=2024,#REF!,#REF!))))</f>
        <v>0</v>
      </c>
      <c r="AG197">
        <f>IF('INHERENT MAP'!$B$5=2021,'РЕЕСТР РИСКОВ_2023'!AM236,IF('INHERENT MAP'!$B$5=2022,#REF!,IF('INHERENT MAP'!$B$5=2023,#REF!,IF('INHERENT MAP'!$B$5=2024,#REF!,#REF!))))</f>
        <v>0</v>
      </c>
      <c r="AH197">
        <f>IF('INHERENT MAP'!$B$5=2021,'РЕЕСТР РИСКОВ_2023'!AN236,IF('INHERENT MAP'!$B$5=2022,#REF!,IF('INHERENT MAP'!$B$5=2023,#REF!,IF('INHERENT MAP'!$B$5=2024,#REF!,#REF!))))</f>
        <v>0</v>
      </c>
      <c r="AI197">
        <f>IF('INHERENT MAP'!$B$5=2021,'РЕЕСТР РИСКОВ_2023'!AO236,IF('INHERENT MAP'!$B$5=2022,#REF!,IF('INHERENT MAP'!$B$5=2023,#REF!,IF('INHERENT MAP'!$B$5=2024,#REF!,#REF!))))</f>
        <v>0</v>
      </c>
      <c r="AJ197">
        <f>IF('INHERENT MAP'!$B$5=2021,'РЕЕСТР РИСКОВ_2023'!AP236,IF('INHERENT MAP'!$B$5=2022,#REF!,IF('INHERENT MAP'!$B$5=2023,#REF!,IF('INHERENT MAP'!$B$5=2024,#REF!,#REF!))))</f>
        <v>0</v>
      </c>
      <c r="AK197">
        <f>IF('РЕЕСТР РИСКОВ_2023'!AQ236="",AK196,'РЕЕСТР РИСКОВ_2023'!AQ236)</f>
        <v>0</v>
      </c>
      <c r="AL197">
        <f>IF('РЕЕСТР РИСКОВ_2023'!AR236="",AL196,'РЕЕСТР РИСКОВ_2023'!AR236)</f>
        <v>1</v>
      </c>
      <c r="AM197">
        <f>IF('РЕЕСТР РИСКОВ_2023'!AS236="",AM196,'РЕЕСТР РИСКОВ_2023'!AS236)</f>
        <v>0</v>
      </c>
      <c r="AN197">
        <f>IF('РЕЕСТР РИСКОВ_2023'!AT236="",AN196,'РЕЕСТР РИСКОВ_2023'!AT236)</f>
        <v>0</v>
      </c>
      <c r="AO197" t="e">
        <f>IF('РЕЕСТР РИСКОВ_2023'!AU236="",AO196,'РЕЕСТР РИСКОВ_2023'!AU236)</f>
        <v>#REF!</v>
      </c>
    </row>
    <row r="198" spans="2:41">
      <c r="B198" t="str">
        <f>IF('INHERENT MAP'!$B$5=2021,IF('РЕЕСТР РИСКОВ_2023'!F237="",B197,'РЕЕСТР РИСКОВ_2023'!F237),IF('INHERENT MAP'!$B$5=2022,IF(#REF!="",B197,#REF!),IF('INHERENT MAP'!$B$5=2023,IF(#REF!="",B197,#REF!),IF('INHERENT MAP'!$B$5=2024,IF(#REF!="",B197,#REF!),IF('РЕЕСТР РИСКОВ_2023'!F237="",B197,'РЕЕСТР РИСКОВ_2023'!F237)))))</f>
        <v>КОМПЛАЕНС РИСК</v>
      </c>
      <c r="C198" t="e">
        <f>IF('INHERENT MAP'!$B$5=2021,IF('РЕЕСТР РИСКОВ_2023'!G237="",C197,'РЕЕСТР РИСКОВ_2023'!G237),IF('INHERENT MAP'!$B$5=2022,IF(#REF!="",C197,#REF!),IF('INHERENT MAP'!$B$5=2023,IF(#REF!="",C197,#REF!),IF('INHERENT MAP'!$B$5=2024,IF(#REF!="",C197,#REF!),IF('РЕЕСТР РИСКОВ_2023'!G237="",C197,'РЕЕСТР РИСКОВ_2023'!G237)))))</f>
        <v>#REF!</v>
      </c>
      <c r="D198" t="str">
        <f>IF('INHERENT MAP'!$B$5=2021,IF('РЕЕСТР РИСКОВ_2023'!H237="",D197,'РЕЕСТР РИСКОВ_2023'!H237),IF('INHERENT MAP'!$B$5=2022,IF(#REF!="",D197,#REF!),IF('INHERENT MAP'!$B$5=2023,IF(#REF!="",D197,#REF!),IF('INHERENT MAP'!$B$5=2024,IF(#REF!="",D197,#REF!),IF('РЕЕСТР РИСКОВ_2023'!H237="",D197,'РЕЕСТР РИСКОВ_2023'!H237)))))</f>
        <v>CRR-6</v>
      </c>
      <c r="E198" t="str">
        <f>IF('INHERENT MAP'!$B$5=2021,IF('РЕЕСТР РИСКОВ_2023'!I237="",E197,'РЕЕСТР РИСКОВ_2023'!I237),IF('INHERENT MAP'!$B$5=2022,IF(#REF!="",E197,#REF!),IF('INHERENT MAP'!$B$5=2023,IF(#REF!="",E197,#REF!),IF('INHERENT MAP'!$B$5=2024,IF(#REF!="",E197,#REF!),IF('РЕЕСТР РИСКОВ_2023'!I237="",E197,'РЕЕСТР РИСКОВ_2023'!I237)))))</f>
        <v>Ц</v>
      </c>
      <c r="F198" t="str">
        <f>IF('INHERENT MAP'!$B$5=2021,IF('РЕЕСТР РИСКОВ_2023'!J237="",F197,'РЕЕСТР РИСКОВ_2023'!J237),IF('INHERENT MAP'!$B$5=2022,IF(#REF!="",F197,#REF!),IF('INHERENT MAP'!$B$5=2023,IF(#REF!="",F197,#REF!),IF('INHERENT MAP'!$B$5=2024,IF(#REF!="",F197,#REF!),IF('РЕЕСТР РИСКОВ_2023'!J237="",F197,'РЕЕСТР РИСКОВ_2023'!J237)))))</f>
        <v>ЦКС, ЦКБ</v>
      </c>
      <c r="G198" t="str">
        <f>IF('INHERENT MAP'!$B$5=2021,IF('РЕЕСТР РИСКОВ_2023'!K237="",G197,'РЕЕСТР РИСКОВ_2023'!K237),IF('INHERENT MAP'!$B$5=2022,IF(#REF!="",G197,#REF!),IF('INHERENT MAP'!$B$5=2023,IF(#REF!="",G197,#REF!),IF('INHERENT MAP'!$B$5=2024,IF(#REF!="",G197,#REF!),IF('РЕЕСТР РИСКОВ_2023'!K237="",G197,'РЕЕСТР РИСКОВ_2023'!K237)))))</f>
        <v>Коррупционные риски в сфере инвестиционной деятельности, приватизации и реализации активов</v>
      </c>
      <c r="H198">
        <f>IF('INHERENT MAP'!$B$5=2021,'РЕЕСТР РИСКОВ_2023'!L237,IF('INHERENT MAP'!$B$5=2022,#REF!,IF('INHERENT MAP'!$B$5=2023,#REF!,IF('INHERENT MAP'!$B$5=2024,#REF!,#REF!))))</f>
        <v>0</v>
      </c>
      <c r="I198">
        <f>IF('INHERENT MAP'!$B$5=2021,'РЕЕСТР РИСКОВ_2023'!M237,IF('INHERENT MAP'!$B$5=2022,#REF!,IF('INHERENT MAP'!$B$5=2023,#REF!,IF('INHERENT MAP'!$B$5=2024,#REF!,#REF!))))</f>
        <v>0</v>
      </c>
      <c r="J198">
        <f>IF('INHERENT MAP'!$B$5=2021,'РЕЕСТР РИСКОВ_2023'!N237,IF('INHERENT MAP'!$B$5=2022,#REF!,IF('INHERENT MAP'!$B$5=2023,#REF!,IF('INHERENT MAP'!$B$5=2024,#REF!,#REF!))))</f>
        <v>0</v>
      </c>
      <c r="K198">
        <f>IF('INHERENT MAP'!$B$5=2021,'РЕЕСТР РИСКОВ_2023'!O237,IF('INHERENT MAP'!$B$5=2022,#REF!,IF('INHERENT MAP'!$B$5=2023,#REF!,IF('INHERENT MAP'!$B$5=2024,#REF!,#REF!))))</f>
        <v>0</v>
      </c>
      <c r="L198">
        <f>IF('INHERENT MAP'!$B$5=2021,'РЕЕСТР РИСКОВ_2023'!P237,IF('INHERENT MAP'!$B$5=2022,#REF!,IF('INHERENT MAP'!$B$5=2023,#REF!,IF('INHERENT MAP'!$B$5=2024,#REF!,#REF!))))</f>
        <v>0</v>
      </c>
      <c r="M198" t="str">
        <f>IF('INHERENT MAP'!$B$5=2021,IF('РЕЕСТР РИСКОВ_2023'!Q237="",M197,'РЕЕСТР РИСКОВ_2023'!Q237),IF('INHERENT MAP'!$B$5=2022,IF(#REF!="",M197,#REF!),IF('INHERENT MAP'!$B$5=2023,IF(#REF!="",M197,#REF!),IF('INHERENT MAP'!$B$5=2024,IF(#REF!="",M197,#REF!),IF('РЕЕСТР РИСКОВ_2023'!Q237="",M197,'РЕЕСТР РИСКОВ_2023'!Q237)))))</f>
        <v>Риск  завышения стоимости инвестиционных проектов вследствие сговора с потенциальными поставщиками</v>
      </c>
      <c r="N198" t="str">
        <f>IF('INHERENT MAP'!$B$5=2021,IF('РЕЕСТР РИСКОВ_2023'!R237="",N197,'РЕЕСТР РИСКОВ_2023'!R237),IF('INHERENT MAP'!$B$5=2022,IF(#REF!="",N197,#REF!),IF('INHERENT MAP'!$B$5=2023,IF(#REF!="",N197,#REF!),IF('INHERENT MAP'!$B$5=2024,IF(#REF!="",N197,#REF!),IF('РЕЕСТР РИСКОВ_2023'!R237="",N197,'РЕЕСТР РИСКОВ_2023'!R237)))))</f>
        <v>R5.1CS1. Сговор с третьими лицами, аффилированными с представителем Компании или выплачивающими ему  незаконное вознаграждение/предлагающими иную выгоду с целью финансирования экономически необоснованного инвестиционного проекта.</v>
      </c>
      <c r="O198">
        <f>'РЕЕСТР РИСКОВ_2023'!T237</f>
        <v>0</v>
      </c>
      <c r="P198" t="e">
        <f>IF('РЕЕСТР РИСКОВ_2023'!U237="",P197,'РЕЕСТР РИСКОВ_2023'!U237)</f>
        <v>#REF!</v>
      </c>
      <c r="Q198" t="str">
        <f>IF('РЕЕСТР РИСКОВ_2023'!V237="",Q197,'РЕЕСТР РИСКОВ_2023'!V237)</f>
        <v>Угрозы</v>
      </c>
      <c r="R198" t="str">
        <f>IF('РЕЕСТР РИСКОВ_2023'!W237="",R197,'РЕЕСТР РИСКОВ_2023'!W237)</f>
        <v>Возможные индикаторы:
1) решение о финансировании инвестиционного проекта было принято вопреки экспертному заключению заинтересованных структурных подразделений; 
2) решение о финансировании инвестиционного проекта было принято на закрытом заседании Инвестиционного комитета; 
3) нарушение процедуры мониторинга исполнения проекта.</v>
      </c>
      <c r="S198">
        <f>'РЕЕСТР РИСКОВ_2023'!X237</f>
        <v>0</v>
      </c>
      <c r="T198" s="94">
        <f>IF('INHERENT MAP'!$B$5=2021,'РЕЕСТР РИСКОВ_2023'!Y237,IF('INHERENT MAP'!$B$5=2022,#REF!,IF('INHERENT MAP'!$B$5=2023,#REF!,IF('INHERENT MAP'!$B$5=2024,#REF!,#REF!))))</f>
        <v>0</v>
      </c>
      <c r="U198">
        <f>IF('INHERENT MAP'!$B$5=2021,'РЕЕСТР РИСКОВ_2023'!Z237,IF('INHERENT MAP'!$B$5=2022,#REF!,IF('INHERENT MAP'!$B$5=2023,#REF!,IF('INHERENT MAP'!$B$5=2024,#REF!,#REF!))))</f>
        <v>0</v>
      </c>
      <c r="V198">
        <f>IF('INHERENT MAP'!$B$5=2021,'РЕЕСТР РИСКОВ_2023'!AA237,IF('INHERENT MAP'!$B$5=2022,#REF!,IF('INHERENT MAP'!$B$5=2023,#REF!,IF('INHERENT MAP'!$B$5=2024,#REF!,#REF!))))</f>
        <v>0</v>
      </c>
      <c r="W198">
        <f>IF('INHERENT MAP'!$B$5=2021,'РЕЕСТР РИСКОВ_2023'!AB237,IF('INHERENT MAP'!$B$5=2022,#REF!,IF('INHERENT MAP'!$B$5=2023,#REF!,IF('INHERENT MAP'!$B$5=2024,#REF!,#REF!))))</f>
        <v>0</v>
      </c>
      <c r="X198" s="94">
        <f>IF('INHERENT MAP'!$B$5=2021,'РЕЕСТР РИСКОВ_2023'!AC237,IF('INHERENT MAP'!$B$5=2022,#REF!,IF('INHERENT MAP'!$B$5=2023,#REF!,IF('INHERENT MAP'!$B$5=2024,#REF!,#REF!))))</f>
        <v>0</v>
      </c>
      <c r="Y198">
        <f>IF('INHERENT MAP'!$B$5=2021,'РЕЕСТР РИСКОВ_2023'!AD237,IF('INHERENT MAP'!$B$5=2022,#REF!,IF('INHERENT MAP'!$B$5=2023,#REF!,IF('INHERENT MAP'!$B$5=2024,#REF!,#REF!))))</f>
        <v>0</v>
      </c>
      <c r="Z198">
        <f>IF('INHERENT MAP'!$B$5=2021,'РЕЕСТР РИСКОВ_2023'!AE237,IF('INHERENT MAP'!$B$5=2022,#REF!,IF('INHERENT MAP'!$B$5=2023,#REF!,IF('INHERENT MAP'!$B$5=2024,#REF!,#REF!))))</f>
        <v>0</v>
      </c>
      <c r="AA198">
        <f>IF('INHERENT MAP'!$B$5=2021,'РЕЕСТР РИСКОВ_2023'!AF237,IF('INHERENT MAP'!$B$5=2022,#REF!,IF('INHERENT MAP'!$B$5=2023,#REF!,IF('INHERENT MAP'!$B$5=2024,#REF!,#REF!))))</f>
        <v>0</v>
      </c>
      <c r="AB198">
        <f>IF('INHERENT MAP'!$B$5=2021,'РЕЕСТР РИСКОВ_2023'!AG237,IF('INHERENT MAP'!$B$5=2022,#REF!,IF('INHERENT MAP'!$B$5=2023,#REF!,IF('INHERENT MAP'!$B$5=2024,#REF!,#REF!))))</f>
        <v>0</v>
      </c>
      <c r="AC198">
        <f>IF('INHERENT MAP'!$B$5=2021,'РЕЕСТР РИСКОВ_2023'!AH237,IF('INHERENT MAP'!$B$5=2022,#REF!,IF('INHERENT MAP'!$B$5=2023,#REF!,IF('INHERENT MAP'!$B$5=2024,#REF!,#REF!))))</f>
        <v>0</v>
      </c>
      <c r="AD198">
        <f>IF('INHERENT MAP'!$B$5=2021,'РЕЕСТР РИСКОВ_2023'!AI237,IF('INHERENT MAP'!$B$5=2022,#REF!,IF('INHERENT MAP'!$B$5=2023,#REF!,IF('INHERENT MAP'!$B$5=2024,#REF!,#REF!))))</f>
        <v>0</v>
      </c>
      <c r="AE198">
        <f>IF('INHERENT MAP'!$B$5=2021,'РЕЕСТР РИСКОВ_2023'!AK237,IF('INHERENT MAP'!$B$5=2022,#REF!,IF('INHERENT MAP'!$B$5=2023,#REF!,IF('INHERENT MAP'!$B$5=2024,#REF!,#REF!))))</f>
        <v>0</v>
      </c>
      <c r="AF198">
        <f>IF('INHERENT MAP'!$B$5=2021,'РЕЕСТР РИСКОВ_2023'!AL237,IF('INHERENT MAP'!$B$5=2022,#REF!,IF('INHERENT MAP'!$B$5=2023,#REF!,IF('INHERENT MAP'!$B$5=2024,#REF!,#REF!))))</f>
        <v>0</v>
      </c>
      <c r="AG198">
        <f>IF('INHERENT MAP'!$B$5=2021,'РЕЕСТР РИСКОВ_2023'!AM237,IF('INHERENT MAP'!$B$5=2022,#REF!,IF('INHERENT MAP'!$B$5=2023,#REF!,IF('INHERENT MAP'!$B$5=2024,#REF!,#REF!))))</f>
        <v>0</v>
      </c>
      <c r="AH198">
        <f>IF('INHERENT MAP'!$B$5=2021,'РЕЕСТР РИСКОВ_2023'!AN237,IF('INHERENT MAP'!$B$5=2022,#REF!,IF('INHERENT MAP'!$B$5=2023,#REF!,IF('INHERENT MAP'!$B$5=2024,#REF!,#REF!))))</f>
        <v>0</v>
      </c>
      <c r="AI198">
        <f>IF('INHERENT MAP'!$B$5=2021,'РЕЕСТР РИСКОВ_2023'!AO237,IF('INHERENT MAP'!$B$5=2022,#REF!,IF('INHERENT MAP'!$B$5=2023,#REF!,IF('INHERENT MAP'!$B$5=2024,#REF!,#REF!))))</f>
        <v>0</v>
      </c>
      <c r="AJ198">
        <f>IF('INHERENT MAP'!$B$5=2021,'РЕЕСТР РИСКОВ_2023'!AP237,IF('INHERENT MAP'!$B$5=2022,#REF!,IF('INHERENT MAP'!$B$5=2023,#REF!,IF('INHERENT MAP'!$B$5=2024,#REF!,#REF!))))</f>
        <v>0</v>
      </c>
      <c r="AK198">
        <f>IF('РЕЕСТР РИСКОВ_2023'!AQ237="",AK197,'РЕЕСТР РИСКОВ_2023'!AQ237)</f>
        <v>0</v>
      </c>
      <c r="AL198">
        <f>IF('РЕЕСТР РИСКОВ_2023'!AR237="",AL197,'РЕЕСТР РИСКОВ_2023'!AR237)</f>
        <v>1</v>
      </c>
      <c r="AM198">
        <f>IF('РЕЕСТР РИСКОВ_2023'!AS237="",AM197,'РЕЕСТР РИСКОВ_2023'!AS237)</f>
        <v>0</v>
      </c>
      <c r="AN198">
        <f>IF('РЕЕСТР РИСКОВ_2023'!AT237="",AN197,'РЕЕСТР РИСКОВ_2023'!AT237)</f>
        <v>0</v>
      </c>
      <c r="AO198" t="e">
        <f>IF('РЕЕСТР РИСКОВ_2023'!AU237="",AO197,'РЕЕСТР РИСКОВ_2023'!AU237)</f>
        <v>#REF!</v>
      </c>
    </row>
    <row r="199" spans="2:41">
      <c r="B199" t="str">
        <f>IF('INHERENT MAP'!$B$5=2021,IF('РЕЕСТР РИСКОВ_2023'!F238="",B198,'РЕЕСТР РИСКОВ_2023'!F238),IF('INHERENT MAP'!$B$5=2022,IF(#REF!="",B198,#REF!),IF('INHERENT MAP'!$B$5=2023,IF(#REF!="",B198,#REF!),IF('INHERENT MAP'!$B$5=2024,IF(#REF!="",B198,#REF!),IF('РЕЕСТР РИСКОВ_2023'!F238="",B198,'РЕЕСТР РИСКОВ_2023'!F238)))))</f>
        <v>КОМПЛАЕНС РИСК</v>
      </c>
      <c r="C199" t="e">
        <f>IF('INHERENT MAP'!$B$5=2021,IF('РЕЕСТР РИСКОВ_2023'!G238="",C198,'РЕЕСТР РИСКОВ_2023'!G238),IF('INHERENT MAP'!$B$5=2022,IF(#REF!="",C198,#REF!),IF('INHERENT MAP'!$B$5=2023,IF(#REF!="",C198,#REF!),IF('INHERENT MAP'!$B$5=2024,IF(#REF!="",C198,#REF!),IF('РЕЕСТР РИСКОВ_2023'!G238="",C198,'РЕЕСТР РИСКОВ_2023'!G238)))))</f>
        <v>#REF!</v>
      </c>
      <c r="D199" t="str">
        <f>IF('INHERENT MAP'!$B$5=2021,IF('РЕЕСТР РИСКОВ_2023'!H238="",D198,'РЕЕСТР РИСКОВ_2023'!H238),IF('INHERENT MAP'!$B$5=2022,IF(#REF!="",D198,#REF!),IF('INHERENT MAP'!$B$5=2023,IF(#REF!="",D198,#REF!),IF('INHERENT MAP'!$B$5=2024,IF(#REF!="",D198,#REF!),IF('РЕЕСТР РИСКОВ_2023'!H238="",D198,'РЕЕСТР РИСКОВ_2023'!H238)))))</f>
        <v>CRR-6</v>
      </c>
      <c r="E199" t="str">
        <f>IF('INHERENT MAP'!$B$5=2021,IF('РЕЕСТР РИСКОВ_2023'!I238="",E198,'РЕЕСТР РИСКОВ_2023'!I238),IF('INHERENT MAP'!$B$5=2022,IF(#REF!="",E198,#REF!),IF('INHERENT MAP'!$B$5=2023,IF(#REF!="",E198,#REF!),IF('INHERENT MAP'!$B$5=2024,IF(#REF!="",E198,#REF!),IF('РЕЕСТР РИСКОВ_2023'!I238="",E198,'РЕЕСТР РИСКОВ_2023'!I238)))))</f>
        <v>Ц</v>
      </c>
      <c r="F199" t="str">
        <f>IF('INHERENT MAP'!$B$5=2021,IF('РЕЕСТР РИСКОВ_2023'!J238="",F198,'РЕЕСТР РИСКОВ_2023'!J238),IF('INHERENT MAP'!$B$5=2022,IF(#REF!="",F198,#REF!),IF('INHERENT MAP'!$B$5=2023,IF(#REF!="",F198,#REF!),IF('INHERENT MAP'!$B$5=2024,IF(#REF!="",F198,#REF!),IF('РЕЕСТР РИСКОВ_2023'!J238="",F198,'РЕЕСТР РИСКОВ_2023'!J238)))))</f>
        <v>ЦКС, ЦКБ</v>
      </c>
      <c r="G199" t="str">
        <f>IF('INHERENT MAP'!$B$5=2021,IF('РЕЕСТР РИСКОВ_2023'!K238="",G198,'РЕЕСТР РИСКОВ_2023'!K238),IF('INHERENT MAP'!$B$5=2022,IF(#REF!="",G198,#REF!),IF('INHERENT MAP'!$B$5=2023,IF(#REF!="",G198,#REF!),IF('INHERENT MAP'!$B$5=2024,IF(#REF!="",G198,#REF!),IF('РЕЕСТР РИСКОВ_2023'!K238="",G198,'РЕЕСТР РИСКОВ_2023'!K238)))))</f>
        <v>Коррупционные риски в сфере инвестиционной деятельности, приватизации и реализации активов</v>
      </c>
      <c r="H199">
        <f>IF('INHERENT MAP'!$B$5=2021,'РЕЕСТР РИСКОВ_2023'!L238,IF('INHERENT MAP'!$B$5=2022,#REF!,IF('INHERENT MAP'!$B$5=2023,#REF!,IF('INHERENT MAP'!$B$5=2024,#REF!,#REF!))))</f>
        <v>0</v>
      </c>
      <c r="I199">
        <f>IF('INHERENT MAP'!$B$5=2021,'РЕЕСТР РИСКОВ_2023'!M238,IF('INHERENT MAP'!$B$5=2022,#REF!,IF('INHERENT MAP'!$B$5=2023,#REF!,IF('INHERENT MAP'!$B$5=2024,#REF!,#REF!))))</f>
        <v>0</v>
      </c>
      <c r="J199">
        <f>IF('INHERENT MAP'!$B$5=2021,'РЕЕСТР РИСКОВ_2023'!N238,IF('INHERENT MAP'!$B$5=2022,#REF!,IF('INHERENT MAP'!$B$5=2023,#REF!,IF('INHERENT MAP'!$B$5=2024,#REF!,#REF!))))</f>
        <v>0</v>
      </c>
      <c r="K199">
        <f>IF('INHERENT MAP'!$B$5=2021,'РЕЕСТР РИСКОВ_2023'!O238,IF('INHERENT MAP'!$B$5=2022,#REF!,IF('INHERENT MAP'!$B$5=2023,#REF!,IF('INHERENT MAP'!$B$5=2024,#REF!,#REF!))))</f>
        <v>0</v>
      </c>
      <c r="L199">
        <f>IF('INHERENT MAP'!$B$5=2021,'РЕЕСТР РИСКОВ_2023'!P238,IF('INHERENT MAP'!$B$5=2022,#REF!,IF('INHERENT MAP'!$B$5=2023,#REF!,IF('INHERENT MAP'!$B$5=2024,#REF!,#REF!))))</f>
        <v>0</v>
      </c>
      <c r="M199" t="str">
        <f>IF('INHERENT MAP'!$B$5=2021,IF('РЕЕСТР РИСКОВ_2023'!Q238="",M198,'РЕЕСТР РИСКОВ_2023'!Q238),IF('INHERENT MAP'!$B$5=2022,IF(#REF!="",M198,#REF!),IF('INHERENT MAP'!$B$5=2023,IF(#REF!="",M198,#REF!),IF('INHERENT MAP'!$B$5=2024,IF(#REF!="",M198,#REF!),IF('РЕЕСТР РИСКОВ_2023'!Q238="",M198,'РЕЕСТР РИСКОВ_2023'!Q238)))))</f>
        <v>Риск завышения стоимости объекта при сделке M&amp;A  вследствие сговора с причастными сторонами сделки</v>
      </c>
      <c r="N199" t="str">
        <f>IF('INHERENT MAP'!$B$5=2021,IF('РЕЕСТР РИСКОВ_2023'!R238="",N198,'РЕЕСТР РИСКОВ_2023'!R238),IF('INHERENT MAP'!$B$5=2022,IF(#REF!="",N198,#REF!),IF('INHERENT MAP'!$B$5=2023,IF(#REF!="",N198,#REF!),IF('INHERENT MAP'!$B$5=2024,IF(#REF!="",N198,#REF!),IF('РЕЕСТР РИСКОВ_2023'!R238="",N198,'РЕЕСТР РИСКОВ_2023'!R238)))))</f>
        <v>R5.2CS1. Сговор с третьими лицами, аффилированными с представителем Компании или выплачивающими ему  незаконное вознаграждение/предлагающими иную выгоду с целью завышения стоимости объекта при M&amp;A сделки или изменении доли участия/пакета акций в уставном капитале Компании и иных юридических лиц.</v>
      </c>
      <c r="O199">
        <f>'РЕЕСТР РИСКОВ_2023'!T238</f>
        <v>0</v>
      </c>
      <c r="P199" t="e">
        <f>IF('РЕЕСТР РИСКОВ_2023'!U238="",P198,'РЕЕСТР РИСКОВ_2023'!U238)</f>
        <v>#REF!</v>
      </c>
      <c r="Q199" t="str">
        <f>IF('РЕЕСТР РИСКОВ_2023'!V238="",Q198,'РЕЕСТР РИСКОВ_2023'!V238)</f>
        <v>Угрозы</v>
      </c>
      <c r="R199" t="str">
        <f>IF('РЕЕСТР РИСКОВ_2023'!W238="",R198,'РЕЕСТР РИСКОВ_2023'!W238)</f>
        <v>Возможные индикаторы:
1) отсутствие независимой оценки активов при сделках M&amp;A под контролем Совета директоров; 
2) наличие аффилированности между сторонами сделки M&amp;A.</v>
      </c>
      <c r="S199">
        <f>'РЕЕСТР РИСКОВ_2023'!X238</f>
        <v>0</v>
      </c>
      <c r="T199" s="94">
        <f>IF('INHERENT MAP'!$B$5=2021,'РЕЕСТР РИСКОВ_2023'!Y238,IF('INHERENT MAP'!$B$5=2022,#REF!,IF('INHERENT MAP'!$B$5=2023,#REF!,IF('INHERENT MAP'!$B$5=2024,#REF!,#REF!))))</f>
        <v>0</v>
      </c>
      <c r="U199">
        <f>IF('INHERENT MAP'!$B$5=2021,'РЕЕСТР РИСКОВ_2023'!Z238,IF('INHERENT MAP'!$B$5=2022,#REF!,IF('INHERENT MAP'!$B$5=2023,#REF!,IF('INHERENT MAP'!$B$5=2024,#REF!,#REF!))))</f>
        <v>0</v>
      </c>
      <c r="V199">
        <f>IF('INHERENT MAP'!$B$5=2021,'РЕЕСТР РИСКОВ_2023'!AA238,IF('INHERENT MAP'!$B$5=2022,#REF!,IF('INHERENT MAP'!$B$5=2023,#REF!,IF('INHERENT MAP'!$B$5=2024,#REF!,#REF!))))</f>
        <v>0</v>
      </c>
      <c r="W199">
        <f>IF('INHERENT MAP'!$B$5=2021,'РЕЕСТР РИСКОВ_2023'!AB238,IF('INHERENT MAP'!$B$5=2022,#REF!,IF('INHERENT MAP'!$B$5=2023,#REF!,IF('INHERENT MAP'!$B$5=2024,#REF!,#REF!))))</f>
        <v>0</v>
      </c>
      <c r="X199" s="94">
        <f>IF('INHERENT MAP'!$B$5=2021,'РЕЕСТР РИСКОВ_2023'!AC238,IF('INHERENT MAP'!$B$5=2022,#REF!,IF('INHERENT MAP'!$B$5=2023,#REF!,IF('INHERENT MAP'!$B$5=2024,#REF!,#REF!))))</f>
        <v>0</v>
      </c>
      <c r="Y199">
        <f>IF('INHERENT MAP'!$B$5=2021,'РЕЕСТР РИСКОВ_2023'!AD238,IF('INHERENT MAP'!$B$5=2022,#REF!,IF('INHERENT MAP'!$B$5=2023,#REF!,IF('INHERENT MAP'!$B$5=2024,#REF!,#REF!))))</f>
        <v>0</v>
      </c>
      <c r="Z199">
        <f>IF('INHERENT MAP'!$B$5=2021,'РЕЕСТР РИСКОВ_2023'!AE238,IF('INHERENT MAP'!$B$5=2022,#REF!,IF('INHERENT MAP'!$B$5=2023,#REF!,IF('INHERENT MAP'!$B$5=2024,#REF!,#REF!))))</f>
        <v>0</v>
      </c>
      <c r="AA199">
        <f>IF('INHERENT MAP'!$B$5=2021,'РЕЕСТР РИСКОВ_2023'!AF238,IF('INHERENT MAP'!$B$5=2022,#REF!,IF('INHERENT MAP'!$B$5=2023,#REF!,IF('INHERENT MAP'!$B$5=2024,#REF!,#REF!))))</f>
        <v>0</v>
      </c>
      <c r="AB199">
        <f>IF('INHERENT MAP'!$B$5=2021,'РЕЕСТР РИСКОВ_2023'!AG238,IF('INHERENT MAP'!$B$5=2022,#REF!,IF('INHERENT MAP'!$B$5=2023,#REF!,IF('INHERENT MAP'!$B$5=2024,#REF!,#REF!))))</f>
        <v>0</v>
      </c>
      <c r="AC199">
        <f>IF('INHERENT MAP'!$B$5=2021,'РЕЕСТР РИСКОВ_2023'!AH238,IF('INHERENT MAP'!$B$5=2022,#REF!,IF('INHERENT MAP'!$B$5=2023,#REF!,IF('INHERENT MAP'!$B$5=2024,#REF!,#REF!))))</f>
        <v>0</v>
      </c>
      <c r="AD199">
        <f>IF('INHERENT MAP'!$B$5=2021,'РЕЕСТР РИСКОВ_2023'!AI238,IF('INHERENT MAP'!$B$5=2022,#REF!,IF('INHERENT MAP'!$B$5=2023,#REF!,IF('INHERENT MAP'!$B$5=2024,#REF!,#REF!))))</f>
        <v>0</v>
      </c>
      <c r="AE199">
        <f>IF('INHERENT MAP'!$B$5=2021,'РЕЕСТР РИСКОВ_2023'!AK238,IF('INHERENT MAP'!$B$5=2022,#REF!,IF('INHERENT MAP'!$B$5=2023,#REF!,IF('INHERENT MAP'!$B$5=2024,#REF!,#REF!))))</f>
        <v>0</v>
      </c>
      <c r="AF199">
        <f>IF('INHERENT MAP'!$B$5=2021,'РЕЕСТР РИСКОВ_2023'!AL238,IF('INHERENT MAP'!$B$5=2022,#REF!,IF('INHERENT MAP'!$B$5=2023,#REF!,IF('INHERENT MAP'!$B$5=2024,#REF!,#REF!))))</f>
        <v>0</v>
      </c>
      <c r="AG199">
        <f>IF('INHERENT MAP'!$B$5=2021,'РЕЕСТР РИСКОВ_2023'!AM238,IF('INHERENT MAP'!$B$5=2022,#REF!,IF('INHERENT MAP'!$B$5=2023,#REF!,IF('INHERENT MAP'!$B$5=2024,#REF!,#REF!))))</f>
        <v>0</v>
      </c>
      <c r="AH199">
        <f>IF('INHERENT MAP'!$B$5=2021,'РЕЕСТР РИСКОВ_2023'!AN238,IF('INHERENT MAP'!$B$5=2022,#REF!,IF('INHERENT MAP'!$B$5=2023,#REF!,IF('INHERENT MAP'!$B$5=2024,#REF!,#REF!))))</f>
        <v>0</v>
      </c>
      <c r="AI199">
        <f>IF('INHERENT MAP'!$B$5=2021,'РЕЕСТР РИСКОВ_2023'!AO238,IF('INHERENT MAP'!$B$5=2022,#REF!,IF('INHERENT MAP'!$B$5=2023,#REF!,IF('INHERENT MAP'!$B$5=2024,#REF!,#REF!))))</f>
        <v>0</v>
      </c>
      <c r="AJ199">
        <f>IF('INHERENT MAP'!$B$5=2021,'РЕЕСТР РИСКОВ_2023'!AP238,IF('INHERENT MAP'!$B$5=2022,#REF!,IF('INHERENT MAP'!$B$5=2023,#REF!,IF('INHERENT MAP'!$B$5=2024,#REF!,#REF!))))</f>
        <v>0</v>
      </c>
      <c r="AK199">
        <f>IF('РЕЕСТР РИСКОВ_2023'!AQ238="",AK198,'РЕЕСТР РИСКОВ_2023'!AQ238)</f>
        <v>0</v>
      </c>
      <c r="AL199">
        <f>IF('РЕЕСТР РИСКОВ_2023'!AR238="",AL198,'РЕЕСТР РИСКОВ_2023'!AR238)</f>
        <v>1</v>
      </c>
      <c r="AM199">
        <f>IF('РЕЕСТР РИСКОВ_2023'!AS238="",AM198,'РЕЕСТР РИСКОВ_2023'!AS238)</f>
        <v>0</v>
      </c>
      <c r="AN199">
        <f>IF('РЕЕСТР РИСКОВ_2023'!AT238="",AN198,'РЕЕСТР РИСКОВ_2023'!AT238)</f>
        <v>0</v>
      </c>
      <c r="AO199" t="e">
        <f>IF('РЕЕСТР РИСКОВ_2023'!AU238="",AO198,'РЕЕСТР РИСКОВ_2023'!AU238)</f>
        <v>#REF!</v>
      </c>
    </row>
    <row r="200" spans="2:41">
      <c r="B200" t="str">
        <f>IF('INHERENT MAP'!$B$5=2021,IF('РЕЕСТР РИСКОВ_2023'!F239="",B199,'РЕЕСТР РИСКОВ_2023'!F239),IF('INHERENT MAP'!$B$5=2022,IF(#REF!="",B199,#REF!),IF('INHERENT MAP'!$B$5=2023,IF(#REF!="",B199,#REF!),IF('INHERENT MAP'!$B$5=2024,IF(#REF!="",B199,#REF!),IF('РЕЕСТР РИСКОВ_2023'!F239="",B199,'РЕЕСТР РИСКОВ_2023'!F239)))))</f>
        <v>КОМПЛАЕНС РИСК</v>
      </c>
      <c r="C200" t="e">
        <f>IF('INHERENT MAP'!$B$5=2021,IF('РЕЕСТР РИСКОВ_2023'!G239="",C199,'РЕЕСТР РИСКОВ_2023'!G239),IF('INHERENT MAP'!$B$5=2022,IF(#REF!="",C199,#REF!),IF('INHERENT MAP'!$B$5=2023,IF(#REF!="",C199,#REF!),IF('INHERENT MAP'!$B$5=2024,IF(#REF!="",C199,#REF!),IF('РЕЕСТР РИСКОВ_2023'!G239="",C199,'РЕЕСТР РИСКОВ_2023'!G239)))))</f>
        <v>#REF!</v>
      </c>
      <c r="D200" t="str">
        <f>IF('INHERENT MAP'!$B$5=2021,IF('РЕЕСТР РИСКОВ_2023'!H239="",D199,'РЕЕСТР РИСКОВ_2023'!H239),IF('INHERENT MAP'!$B$5=2022,IF(#REF!="",D199,#REF!),IF('INHERENT MAP'!$B$5=2023,IF(#REF!="",D199,#REF!),IF('INHERENT MAP'!$B$5=2024,IF(#REF!="",D199,#REF!),IF('РЕЕСТР РИСКОВ_2023'!H239="",D199,'РЕЕСТР РИСКОВ_2023'!H239)))))</f>
        <v>CRR-6</v>
      </c>
      <c r="E200" t="str">
        <f>IF('INHERENT MAP'!$B$5=2021,IF('РЕЕСТР РИСКОВ_2023'!I239="",E199,'РЕЕСТР РИСКОВ_2023'!I239),IF('INHERENT MAP'!$B$5=2022,IF(#REF!="",E199,#REF!),IF('INHERENT MAP'!$B$5=2023,IF(#REF!="",E199,#REF!),IF('INHERENT MAP'!$B$5=2024,IF(#REF!="",E199,#REF!),IF('РЕЕСТР РИСКОВ_2023'!I239="",E199,'РЕЕСТР РИСКОВ_2023'!I239)))))</f>
        <v>Ц</v>
      </c>
      <c r="F200" t="str">
        <f>IF('INHERENT MAP'!$B$5=2021,IF('РЕЕСТР РИСКОВ_2023'!J239="",F199,'РЕЕСТР РИСКОВ_2023'!J239),IF('INHERENT MAP'!$B$5=2022,IF(#REF!="",F199,#REF!),IF('INHERENT MAP'!$B$5=2023,IF(#REF!="",F199,#REF!),IF('INHERENT MAP'!$B$5=2024,IF(#REF!="",F199,#REF!),IF('РЕЕСТР РИСКОВ_2023'!J239="",F199,'РЕЕСТР РИСКОВ_2023'!J239)))))</f>
        <v>ЦКС, ЦКБ</v>
      </c>
      <c r="G200" t="str">
        <f>IF('INHERENT MAP'!$B$5=2021,IF('РЕЕСТР РИСКОВ_2023'!K239="",G199,'РЕЕСТР РИСКОВ_2023'!K239),IF('INHERENT MAP'!$B$5=2022,IF(#REF!="",G199,#REF!),IF('INHERENT MAP'!$B$5=2023,IF(#REF!="",G199,#REF!),IF('INHERENT MAP'!$B$5=2024,IF(#REF!="",G199,#REF!),IF('РЕЕСТР РИСКОВ_2023'!K239="",G199,'РЕЕСТР РИСКОВ_2023'!K239)))))</f>
        <v>Коррупционные риски в сфере инвестиционной деятельности, приватизации и реализации активов</v>
      </c>
      <c r="H200">
        <f>IF('INHERENT MAP'!$B$5=2021,'РЕЕСТР РИСКОВ_2023'!L239,IF('INHERENT MAP'!$B$5=2022,#REF!,IF('INHERENT MAP'!$B$5=2023,#REF!,IF('INHERENT MAP'!$B$5=2024,#REF!,#REF!))))</f>
        <v>0</v>
      </c>
      <c r="I200">
        <f>IF('INHERENT MAP'!$B$5=2021,'РЕЕСТР РИСКОВ_2023'!M239,IF('INHERENT MAP'!$B$5=2022,#REF!,IF('INHERENT MAP'!$B$5=2023,#REF!,IF('INHERENT MAP'!$B$5=2024,#REF!,#REF!))))</f>
        <v>0</v>
      </c>
      <c r="J200">
        <f>IF('INHERENT MAP'!$B$5=2021,'РЕЕСТР РИСКОВ_2023'!N239,IF('INHERENT MAP'!$B$5=2022,#REF!,IF('INHERENT MAP'!$B$5=2023,#REF!,IF('INHERENT MAP'!$B$5=2024,#REF!,#REF!))))</f>
        <v>0</v>
      </c>
      <c r="K200">
        <f>IF('INHERENT MAP'!$B$5=2021,'РЕЕСТР РИСКОВ_2023'!O239,IF('INHERENT MAP'!$B$5=2022,#REF!,IF('INHERENT MAP'!$B$5=2023,#REF!,IF('INHERENT MAP'!$B$5=2024,#REF!,#REF!))))</f>
        <v>0</v>
      </c>
      <c r="L200">
        <f>IF('INHERENT MAP'!$B$5=2021,'РЕЕСТР РИСКОВ_2023'!P239,IF('INHERENT MAP'!$B$5=2022,#REF!,IF('INHERENT MAP'!$B$5=2023,#REF!,IF('INHERENT MAP'!$B$5=2024,#REF!,#REF!))))</f>
        <v>0</v>
      </c>
      <c r="M200" t="str">
        <f>IF('INHERENT MAP'!$B$5=2021,IF('РЕЕСТР РИСКОВ_2023'!Q239="",M199,'РЕЕСТР РИСКОВ_2023'!Q239),IF('INHERENT MAP'!$B$5=2022,IF(#REF!="",M199,#REF!),IF('INHERENT MAP'!$B$5=2023,IF(#REF!="",M199,#REF!),IF('INHERENT MAP'!$B$5=2024,IF(#REF!="",M199,#REF!),IF('РЕЕСТР РИСКОВ_2023'!Q239="",M199,'РЕЕСТР РИСКОВ_2023'!Q239)))))</f>
        <v>Риск снижение стоимости реализуемого/приватизируемого объекта вследствие сговора с потенциальным приобретателем</v>
      </c>
      <c r="N200" t="str">
        <f>IF('INHERENT MAP'!$B$5=2021,IF('РЕЕСТР РИСКОВ_2023'!R239="",N199,'РЕЕСТР РИСКОВ_2023'!R239),IF('INHERENT MAP'!$B$5=2022,IF(#REF!="",N199,#REF!),IF('INHERENT MAP'!$B$5=2023,IF(#REF!="",N199,#REF!),IF('INHERENT MAP'!$B$5=2024,IF(#REF!="",N199,#REF!),IF('РЕЕСТР РИСКОВ_2023'!R239="",N199,'РЕЕСТР РИСКОВ_2023'!R239)))))</f>
        <v>R5.3CS1. Сговор с третьими лицами, аффилированными с представителем Компании или выплачивающими ему  незаконное вознаграждения/предлагающими иную выгоду с целью реализации/приватизации непрофильных активов на нерыночных условиях.</v>
      </c>
      <c r="O200">
        <f>'РЕЕСТР РИСКОВ_2023'!T239</f>
        <v>0</v>
      </c>
      <c r="P200" t="e">
        <f>IF('РЕЕСТР РИСКОВ_2023'!U239="",P199,'РЕЕСТР РИСКОВ_2023'!U239)</f>
        <v>#REF!</v>
      </c>
      <c r="Q200" t="str">
        <f>IF('РЕЕСТР РИСКОВ_2023'!V239="",Q199,'РЕЕСТР РИСКОВ_2023'!V239)</f>
        <v>Угрозы</v>
      </c>
      <c r="R200" t="str">
        <f>IF('РЕЕСТР РИСКОВ_2023'!W239="",R199,'РЕЕСТР РИСКОВ_2023'!W239)</f>
        <v xml:space="preserve">Возможные индикаторы:
1) отсутствие независимой оценки реализуемых активов или проведение такой оценки с существенными нарушениями; 
2) привлечение третьих лиц в качестве агентов/посредников для осуществления сделки, размер вознаграждения которых существенно отличается от стандартного для аналогичных сделок Компании; 
3) наличие аффилированности между сторонами сделки по реализации актива Компании. </v>
      </c>
      <c r="S200">
        <f>'РЕЕСТР РИСКОВ_2023'!X239</f>
        <v>0</v>
      </c>
      <c r="T200" s="94">
        <f>IF('INHERENT MAP'!$B$5=2021,'РЕЕСТР РИСКОВ_2023'!Y239,IF('INHERENT MAP'!$B$5=2022,#REF!,IF('INHERENT MAP'!$B$5=2023,#REF!,IF('INHERENT MAP'!$B$5=2024,#REF!,#REF!))))</f>
        <v>0</v>
      </c>
      <c r="U200">
        <f>IF('INHERENT MAP'!$B$5=2021,'РЕЕСТР РИСКОВ_2023'!Z239,IF('INHERENT MAP'!$B$5=2022,#REF!,IF('INHERENT MAP'!$B$5=2023,#REF!,IF('INHERENT MAP'!$B$5=2024,#REF!,#REF!))))</f>
        <v>0</v>
      </c>
      <c r="V200">
        <f>IF('INHERENT MAP'!$B$5=2021,'РЕЕСТР РИСКОВ_2023'!AA239,IF('INHERENT MAP'!$B$5=2022,#REF!,IF('INHERENT MAP'!$B$5=2023,#REF!,IF('INHERENT MAP'!$B$5=2024,#REF!,#REF!))))</f>
        <v>0</v>
      </c>
      <c r="W200">
        <f>IF('INHERENT MAP'!$B$5=2021,'РЕЕСТР РИСКОВ_2023'!AB239,IF('INHERENT MAP'!$B$5=2022,#REF!,IF('INHERENT MAP'!$B$5=2023,#REF!,IF('INHERENT MAP'!$B$5=2024,#REF!,#REF!))))</f>
        <v>0</v>
      </c>
      <c r="X200" s="94">
        <f>IF('INHERENT MAP'!$B$5=2021,'РЕЕСТР РИСКОВ_2023'!AC239,IF('INHERENT MAP'!$B$5=2022,#REF!,IF('INHERENT MAP'!$B$5=2023,#REF!,IF('INHERENT MAP'!$B$5=2024,#REF!,#REF!))))</f>
        <v>0</v>
      </c>
      <c r="Y200">
        <f>IF('INHERENT MAP'!$B$5=2021,'РЕЕСТР РИСКОВ_2023'!AD239,IF('INHERENT MAP'!$B$5=2022,#REF!,IF('INHERENT MAP'!$B$5=2023,#REF!,IF('INHERENT MAP'!$B$5=2024,#REF!,#REF!))))</f>
        <v>0</v>
      </c>
      <c r="Z200">
        <f>IF('INHERENT MAP'!$B$5=2021,'РЕЕСТР РИСКОВ_2023'!AE239,IF('INHERENT MAP'!$B$5=2022,#REF!,IF('INHERENT MAP'!$B$5=2023,#REF!,IF('INHERENT MAP'!$B$5=2024,#REF!,#REF!))))</f>
        <v>0</v>
      </c>
      <c r="AA200">
        <f>IF('INHERENT MAP'!$B$5=2021,'РЕЕСТР РИСКОВ_2023'!AF239,IF('INHERENT MAP'!$B$5=2022,#REF!,IF('INHERENT MAP'!$B$5=2023,#REF!,IF('INHERENT MAP'!$B$5=2024,#REF!,#REF!))))</f>
        <v>0</v>
      </c>
      <c r="AB200">
        <f>IF('INHERENT MAP'!$B$5=2021,'РЕЕСТР РИСКОВ_2023'!AG239,IF('INHERENT MAP'!$B$5=2022,#REF!,IF('INHERENT MAP'!$B$5=2023,#REF!,IF('INHERENT MAP'!$B$5=2024,#REF!,#REF!))))</f>
        <v>0</v>
      </c>
      <c r="AC200">
        <f>IF('INHERENT MAP'!$B$5=2021,'РЕЕСТР РИСКОВ_2023'!AH239,IF('INHERENT MAP'!$B$5=2022,#REF!,IF('INHERENT MAP'!$B$5=2023,#REF!,IF('INHERENT MAP'!$B$5=2024,#REF!,#REF!))))</f>
        <v>0</v>
      </c>
      <c r="AD200">
        <f>IF('INHERENT MAP'!$B$5=2021,'РЕЕСТР РИСКОВ_2023'!AI239,IF('INHERENT MAP'!$B$5=2022,#REF!,IF('INHERENT MAP'!$B$5=2023,#REF!,IF('INHERENT MAP'!$B$5=2024,#REF!,#REF!))))</f>
        <v>0</v>
      </c>
      <c r="AE200">
        <f>IF('INHERENT MAP'!$B$5=2021,'РЕЕСТР РИСКОВ_2023'!AK239,IF('INHERENT MAP'!$B$5=2022,#REF!,IF('INHERENT MAP'!$B$5=2023,#REF!,IF('INHERENT MAP'!$B$5=2024,#REF!,#REF!))))</f>
        <v>0</v>
      </c>
      <c r="AF200">
        <f>IF('INHERENT MAP'!$B$5=2021,'РЕЕСТР РИСКОВ_2023'!AL239,IF('INHERENT MAP'!$B$5=2022,#REF!,IF('INHERENT MAP'!$B$5=2023,#REF!,IF('INHERENT MAP'!$B$5=2024,#REF!,#REF!))))</f>
        <v>0</v>
      </c>
      <c r="AG200">
        <f>IF('INHERENT MAP'!$B$5=2021,'РЕЕСТР РИСКОВ_2023'!AM239,IF('INHERENT MAP'!$B$5=2022,#REF!,IF('INHERENT MAP'!$B$5=2023,#REF!,IF('INHERENT MAP'!$B$5=2024,#REF!,#REF!))))</f>
        <v>0</v>
      </c>
      <c r="AH200">
        <f>IF('INHERENT MAP'!$B$5=2021,'РЕЕСТР РИСКОВ_2023'!AN239,IF('INHERENT MAP'!$B$5=2022,#REF!,IF('INHERENT MAP'!$B$5=2023,#REF!,IF('INHERENT MAP'!$B$5=2024,#REF!,#REF!))))</f>
        <v>0</v>
      </c>
      <c r="AI200">
        <f>IF('INHERENT MAP'!$B$5=2021,'РЕЕСТР РИСКОВ_2023'!AO239,IF('INHERENT MAP'!$B$5=2022,#REF!,IF('INHERENT MAP'!$B$5=2023,#REF!,IF('INHERENT MAP'!$B$5=2024,#REF!,#REF!))))</f>
        <v>0</v>
      </c>
      <c r="AJ200">
        <f>IF('INHERENT MAP'!$B$5=2021,'РЕЕСТР РИСКОВ_2023'!AP239,IF('INHERENT MAP'!$B$5=2022,#REF!,IF('INHERENT MAP'!$B$5=2023,#REF!,IF('INHERENT MAP'!$B$5=2024,#REF!,#REF!))))</f>
        <v>0</v>
      </c>
      <c r="AK200">
        <f>IF('РЕЕСТР РИСКОВ_2023'!AQ239="",AK199,'РЕЕСТР РИСКОВ_2023'!AQ239)</f>
        <v>0</v>
      </c>
      <c r="AL200">
        <f>IF('РЕЕСТР РИСКОВ_2023'!AR239="",AL199,'РЕЕСТР РИСКОВ_2023'!AR239)</f>
        <v>1</v>
      </c>
      <c r="AM200">
        <f>IF('РЕЕСТР РИСКОВ_2023'!AS239="",AM199,'РЕЕСТР РИСКОВ_2023'!AS239)</f>
        <v>0</v>
      </c>
      <c r="AN200">
        <f>IF('РЕЕСТР РИСКОВ_2023'!AT239="",AN199,'РЕЕСТР РИСКОВ_2023'!AT239)</f>
        <v>0</v>
      </c>
      <c r="AO200" t="e">
        <f>IF('РЕЕСТР РИСКОВ_2023'!AU239="",AO199,'РЕЕСТР РИСКОВ_2023'!AU239)</f>
        <v>#REF!</v>
      </c>
    </row>
    <row r="201" spans="2:41">
      <c r="B201" t="str">
        <f>IF('INHERENT MAP'!$B$5=2021,IF('РЕЕСТР РИСКОВ_2023'!F240="",B200,'РЕЕСТР РИСКОВ_2023'!F240),IF('INHERENT MAP'!$B$5=2022,IF(#REF!="",B200,#REF!),IF('INHERENT MAP'!$B$5=2023,IF(#REF!="",B200,#REF!),IF('INHERENT MAP'!$B$5=2024,IF(#REF!="",B200,#REF!),IF('РЕЕСТР РИСКОВ_2023'!F240="",B200,'РЕЕСТР РИСКОВ_2023'!F240)))))</f>
        <v>КОМПЛАЕНС РИСК</v>
      </c>
      <c r="C201" t="e">
        <f>IF('INHERENT MAP'!$B$5=2021,IF('РЕЕСТР РИСКОВ_2023'!G240="",C200,'РЕЕСТР РИСКОВ_2023'!G240),IF('INHERENT MAP'!$B$5=2022,IF(#REF!="",C200,#REF!),IF('INHERENT MAP'!$B$5=2023,IF(#REF!="",C200,#REF!),IF('INHERENT MAP'!$B$5=2024,IF(#REF!="",C200,#REF!),IF('РЕЕСТР РИСКОВ_2023'!G240="",C200,'РЕЕСТР РИСКОВ_2023'!G240)))))</f>
        <v>#REF!</v>
      </c>
      <c r="D201" t="str">
        <f>IF('INHERENT MAP'!$B$5=2021,IF('РЕЕСТР РИСКОВ_2023'!H240="",D200,'РЕЕСТР РИСКОВ_2023'!H240),IF('INHERENT MAP'!$B$5=2022,IF(#REF!="",D200,#REF!),IF('INHERENT MAP'!$B$5=2023,IF(#REF!="",D200,#REF!),IF('INHERENT MAP'!$B$5=2024,IF(#REF!="",D200,#REF!),IF('РЕЕСТР РИСКОВ_2023'!H240="",D200,'РЕЕСТР РИСКОВ_2023'!H240)))))</f>
        <v>CRR-7</v>
      </c>
      <c r="E201" t="str">
        <f>IF('INHERENT MAP'!$B$5=2021,IF('РЕЕСТР РИСКОВ_2023'!I240="",E200,'РЕЕСТР РИСКОВ_2023'!I240),IF('INHERENT MAP'!$B$5=2022,IF(#REF!="",E200,#REF!),IF('INHERENT MAP'!$B$5=2023,IF(#REF!="",E200,#REF!),IF('INHERENT MAP'!$B$5=2024,IF(#REF!="",E200,#REF!),IF('РЕЕСТР РИСКОВ_2023'!I240="",E200,'РЕЕСТР РИСКОВ_2023'!I240)))))</f>
        <v>Ц</v>
      </c>
      <c r="F201" t="str">
        <f>IF('INHERENT MAP'!$B$5=2021,IF('РЕЕСТР РИСКОВ_2023'!J240="",F200,'РЕЕСТР РИСКОВ_2023'!J240),IF('INHERENT MAP'!$B$5=2022,IF(#REF!="",F200,#REF!),IF('INHERENT MAP'!$B$5=2023,IF(#REF!="",F200,#REF!),IF('INHERENT MAP'!$B$5=2024,IF(#REF!="",F200,#REF!),IF('РЕЕСТР РИСКОВ_2023'!J240="",F200,'РЕЕСТР РИСКОВ_2023'!J240)))))</f>
        <v>ЦКС, ЦКБ</v>
      </c>
      <c r="G201" t="str">
        <f>IF('INHERENT MAP'!$B$5=2021,IF('РЕЕСТР РИСКОВ_2023'!K240="",G200,'РЕЕСТР РИСКОВ_2023'!K240),IF('INHERENT MAP'!$B$5=2022,IF(#REF!="",G200,#REF!),IF('INHERENT MAP'!$B$5=2023,IF(#REF!="",G200,#REF!),IF('INHERENT MAP'!$B$5=2024,IF(#REF!="",G200,#REF!),IF('РЕЕСТР РИСКОВ_2023'!K240="",G200,'РЕЕСТР РИСКОВ_2023'!K240)))))</f>
        <v>Коррупционные риски при взаимодействии с государственными органами</v>
      </c>
      <c r="H201">
        <f>IF('INHERENT MAP'!$B$5=2021,'РЕЕСТР РИСКОВ_2023'!L240,IF('INHERENT MAP'!$B$5=2022,#REF!,IF('INHERENT MAP'!$B$5=2023,#REF!,IF('INHERENT MAP'!$B$5=2024,#REF!,#REF!))))</f>
        <v>0</v>
      </c>
      <c r="I201">
        <f>IF('INHERENT MAP'!$B$5=2021,'РЕЕСТР РИСКОВ_2023'!M240,IF('INHERENT MAP'!$B$5=2022,#REF!,IF('INHERENT MAP'!$B$5=2023,#REF!,IF('INHERENT MAP'!$B$5=2024,#REF!,#REF!))))</f>
        <v>0</v>
      </c>
      <c r="J201">
        <f>IF('INHERENT MAP'!$B$5=2021,'РЕЕСТР РИСКОВ_2023'!N240,IF('INHERENT MAP'!$B$5=2022,#REF!,IF('INHERENT MAP'!$B$5=2023,#REF!,IF('INHERENT MAP'!$B$5=2024,#REF!,#REF!))))</f>
        <v>0</v>
      </c>
      <c r="K201">
        <f>IF('INHERENT MAP'!$B$5=2021,'РЕЕСТР РИСКОВ_2023'!O240,IF('INHERENT MAP'!$B$5=2022,#REF!,IF('INHERENT MAP'!$B$5=2023,#REF!,IF('INHERENT MAP'!$B$5=2024,#REF!,#REF!))))</f>
        <v>0</v>
      </c>
      <c r="L201">
        <f>IF('INHERENT MAP'!$B$5=2021,'РЕЕСТР РИСКОВ_2023'!P240,IF('INHERENT MAP'!$B$5=2022,#REF!,IF('INHERENT MAP'!$B$5=2023,#REF!,IF('INHERENT MAP'!$B$5=2024,#REF!,#REF!))))</f>
        <v>0</v>
      </c>
      <c r="M201" t="str">
        <f>IF('INHERENT MAP'!$B$5=2021,IF('РЕЕСТР РИСКОВ_2023'!Q240="",M200,'РЕЕСТР РИСКОВ_2023'!Q240),IF('INHERENT MAP'!$B$5=2022,IF(#REF!="",M200,#REF!),IF('INHERENT MAP'!$B$5=2023,IF(#REF!="",M200,#REF!),IF('INHERENT MAP'!$B$5=2024,IF(#REF!="",M200,#REF!),IF('РЕЕСТР РИСКОВ_2023'!Q240="",M200,'РЕЕСТР РИСКОВ_2023'!Q240)))))</f>
        <v>Риск коррупции при взаимодействии с государственными органами</v>
      </c>
      <c r="N201" t="str">
        <f>IF('INHERENT MAP'!$B$5=2021,IF('РЕЕСТР РИСКОВ_2023'!R240="",N200,'РЕЕСТР РИСКОВ_2023'!R240),IF('INHERENT MAP'!$B$5=2022,IF(#REF!="",N200,#REF!),IF('INHERENT MAP'!$B$5=2023,IF(#REF!="",N200,#REF!),IF('INHERENT MAP'!$B$5=2024,IF(#REF!="",N200,#REF!),IF('РЕЕСТР РИСКОВ_2023'!R240="",N200,'РЕЕСТР РИСКОВ_2023'!R240)))))</f>
        <v>R7.1.CS1. Подкуп представителей уполномоченного государственного органа представителями Компании с целью привлечения государственного финансирования (в том числе субсидий и налоговых льгот), а также с целью обоснования  и утверждения тарифов на регулируемые услуги Компании.
R7.1.CS2. Подкуп представителей уполномоченного государственного органа представителями Компании с целью получения лицензий, сертификатов, разрешений, патентов и т.п. Компанией.
R7.1.CS3. Подкуп представителей уполномоченных органов представителями Компании при рассмотрении законопроектов с целью лоббирования  интересов Компании.
R7.1.CS4. Подкуп представителей государственных органов представителями Компании  при проведении проверок (проверки Налогового комитета, Счетного комитета, Транспортной прокуратуры и др.) с целью сокрытия фактов нарушений /уклонения от уплаты штрафов.
R7.1.CS5. Подкуп представителей государственных органов работниками Компании/  третьими лицами, представляющими интересы Компании при проведении  претензионно-исковой работы с целью получения положительного решения суда.</v>
      </c>
      <c r="O201">
        <f>'РЕЕСТР РИСКОВ_2023'!T240</f>
        <v>0</v>
      </c>
      <c r="P201" t="e">
        <f>IF('РЕЕСТР РИСКОВ_2023'!U240="",P200,'РЕЕСТР РИСКОВ_2023'!U240)</f>
        <v>#REF!</v>
      </c>
      <c r="Q201" t="str">
        <f>IF('РЕЕСТР РИСКОВ_2023'!V240="",Q200,'РЕЕСТР РИСКОВ_2023'!V240)</f>
        <v>Угрозы</v>
      </c>
      <c r="R201" t="str">
        <f>IF('РЕЕСТР РИСКОВ_2023'!W240="",R200,'РЕЕСТР РИСКОВ_2023'!W240)</f>
        <v>Возможные индикаторы:
1) наличие нарушений установленного порядка получения государственного финансирования и утверждения тарифов;
2) наличие нарушений установленного порядка получения лицензий, сертификатов, разрешений, патентов и т.п.;
3) отсутствие внутреннего документа, регламентирующего порядок взаимодействия Компании с государственными органами;
4) отсутствие чёткого обоснования сумм государственного финансирования (в том числе субсидий и налоговых льгот);
5) отсутствие чёткого обоснования сумм тарифов, выделения субсидий и налоговых льгот;
6) отсутствие прозрачности процесса взаимодействия Компании с государственными органами.</v>
      </c>
      <c r="S201">
        <f>'РЕЕСТР РИСКОВ_2023'!X240</f>
        <v>0</v>
      </c>
      <c r="T201" s="94">
        <f>IF('INHERENT MAP'!$B$5=2021,'РЕЕСТР РИСКОВ_2023'!Y240,IF('INHERENT MAP'!$B$5=2022,#REF!,IF('INHERENT MAP'!$B$5=2023,#REF!,IF('INHERENT MAP'!$B$5=2024,#REF!,#REF!))))</f>
        <v>0</v>
      </c>
      <c r="U201">
        <f>IF('INHERENT MAP'!$B$5=2021,'РЕЕСТР РИСКОВ_2023'!Z240,IF('INHERENT MAP'!$B$5=2022,#REF!,IF('INHERENT MAP'!$B$5=2023,#REF!,IF('INHERENT MAP'!$B$5=2024,#REF!,#REF!))))</f>
        <v>0</v>
      </c>
      <c r="V201">
        <f>IF('INHERENT MAP'!$B$5=2021,'РЕЕСТР РИСКОВ_2023'!AA240,IF('INHERENT MAP'!$B$5=2022,#REF!,IF('INHERENT MAP'!$B$5=2023,#REF!,IF('INHERENT MAP'!$B$5=2024,#REF!,#REF!))))</f>
        <v>0</v>
      </c>
      <c r="W201">
        <f>IF('INHERENT MAP'!$B$5=2021,'РЕЕСТР РИСКОВ_2023'!AB240,IF('INHERENT MAP'!$B$5=2022,#REF!,IF('INHERENT MAP'!$B$5=2023,#REF!,IF('INHERENT MAP'!$B$5=2024,#REF!,#REF!))))</f>
        <v>0</v>
      </c>
      <c r="X201" s="94">
        <f>IF('INHERENT MAP'!$B$5=2021,'РЕЕСТР РИСКОВ_2023'!AC240,IF('INHERENT MAP'!$B$5=2022,#REF!,IF('INHERENT MAP'!$B$5=2023,#REF!,IF('INHERENT MAP'!$B$5=2024,#REF!,#REF!))))</f>
        <v>0</v>
      </c>
      <c r="Y201">
        <f>IF('INHERENT MAP'!$B$5=2021,'РЕЕСТР РИСКОВ_2023'!AD240,IF('INHERENT MAP'!$B$5=2022,#REF!,IF('INHERENT MAP'!$B$5=2023,#REF!,IF('INHERENT MAP'!$B$5=2024,#REF!,#REF!))))</f>
        <v>0</v>
      </c>
      <c r="Z201">
        <f>IF('INHERENT MAP'!$B$5=2021,'РЕЕСТР РИСКОВ_2023'!AE240,IF('INHERENT MAP'!$B$5=2022,#REF!,IF('INHERENT MAP'!$B$5=2023,#REF!,IF('INHERENT MAP'!$B$5=2024,#REF!,#REF!))))</f>
        <v>0</v>
      </c>
      <c r="AA201">
        <f>IF('INHERENT MAP'!$B$5=2021,'РЕЕСТР РИСКОВ_2023'!AF240,IF('INHERENT MAP'!$B$5=2022,#REF!,IF('INHERENT MAP'!$B$5=2023,#REF!,IF('INHERENT MAP'!$B$5=2024,#REF!,#REF!))))</f>
        <v>0</v>
      </c>
      <c r="AB201">
        <f>IF('INHERENT MAP'!$B$5=2021,'РЕЕСТР РИСКОВ_2023'!AG240,IF('INHERENT MAP'!$B$5=2022,#REF!,IF('INHERENT MAP'!$B$5=2023,#REF!,IF('INHERENT MAP'!$B$5=2024,#REF!,#REF!))))</f>
        <v>0</v>
      </c>
      <c r="AC201">
        <f>IF('INHERENT MAP'!$B$5=2021,'РЕЕСТР РИСКОВ_2023'!AH240,IF('INHERENT MAP'!$B$5=2022,#REF!,IF('INHERENT MAP'!$B$5=2023,#REF!,IF('INHERENT MAP'!$B$5=2024,#REF!,#REF!))))</f>
        <v>0</v>
      </c>
      <c r="AD201">
        <f>IF('INHERENT MAP'!$B$5=2021,'РЕЕСТР РИСКОВ_2023'!AI240,IF('INHERENT MAP'!$B$5=2022,#REF!,IF('INHERENT MAP'!$B$5=2023,#REF!,IF('INHERENT MAP'!$B$5=2024,#REF!,#REF!))))</f>
        <v>0</v>
      </c>
      <c r="AE201">
        <f>IF('INHERENT MAP'!$B$5=2021,'РЕЕСТР РИСКОВ_2023'!AK240,IF('INHERENT MAP'!$B$5=2022,#REF!,IF('INHERENT MAP'!$B$5=2023,#REF!,IF('INHERENT MAP'!$B$5=2024,#REF!,#REF!))))</f>
        <v>0</v>
      </c>
      <c r="AF201">
        <f>IF('INHERENT MAP'!$B$5=2021,'РЕЕСТР РИСКОВ_2023'!AL240,IF('INHERENT MAP'!$B$5=2022,#REF!,IF('INHERENT MAP'!$B$5=2023,#REF!,IF('INHERENT MAP'!$B$5=2024,#REF!,#REF!))))</f>
        <v>0</v>
      </c>
      <c r="AG201">
        <f>IF('INHERENT MAP'!$B$5=2021,'РЕЕСТР РИСКОВ_2023'!AM240,IF('INHERENT MAP'!$B$5=2022,#REF!,IF('INHERENT MAP'!$B$5=2023,#REF!,IF('INHERENT MAP'!$B$5=2024,#REF!,#REF!))))</f>
        <v>0</v>
      </c>
      <c r="AH201">
        <f>IF('INHERENT MAP'!$B$5=2021,'РЕЕСТР РИСКОВ_2023'!AN240,IF('INHERENT MAP'!$B$5=2022,#REF!,IF('INHERENT MAP'!$B$5=2023,#REF!,IF('INHERENT MAP'!$B$5=2024,#REF!,#REF!))))</f>
        <v>0</v>
      </c>
      <c r="AI201">
        <f>IF('INHERENT MAP'!$B$5=2021,'РЕЕСТР РИСКОВ_2023'!AO240,IF('INHERENT MAP'!$B$5=2022,#REF!,IF('INHERENT MAP'!$B$5=2023,#REF!,IF('INHERENT MAP'!$B$5=2024,#REF!,#REF!))))</f>
        <v>0</v>
      </c>
      <c r="AJ201">
        <f>IF('INHERENT MAP'!$B$5=2021,'РЕЕСТР РИСКОВ_2023'!AP240,IF('INHERENT MAP'!$B$5=2022,#REF!,IF('INHERENT MAP'!$B$5=2023,#REF!,IF('INHERENT MAP'!$B$5=2024,#REF!,#REF!))))</f>
        <v>0</v>
      </c>
      <c r="AK201">
        <f>IF('РЕЕСТР РИСКОВ_2023'!AQ240="",AK200,'РЕЕСТР РИСКОВ_2023'!AQ240)</f>
        <v>0</v>
      </c>
      <c r="AL201">
        <f>IF('РЕЕСТР РИСКОВ_2023'!AR240="",AL200,'РЕЕСТР РИСКОВ_2023'!AR240)</f>
        <v>1</v>
      </c>
      <c r="AM201">
        <f>IF('РЕЕСТР РИСКОВ_2023'!AS240="",AM200,'РЕЕСТР РИСКОВ_2023'!AS240)</f>
        <v>0</v>
      </c>
      <c r="AN201">
        <f>IF('РЕЕСТР РИСКОВ_2023'!AT240="",AN200,'РЕЕСТР РИСКОВ_2023'!AT240)</f>
        <v>0</v>
      </c>
      <c r="AO201" t="e">
        <f>IF('РЕЕСТР РИСКОВ_2023'!AU240="",AO200,'РЕЕСТР РИСКОВ_2023'!AU240)</f>
        <v>#REF!</v>
      </c>
    </row>
    <row r="202" spans="2:41">
      <c r="B202" t="str">
        <f>IF('INHERENT MAP'!$B$5=2021,IF('РЕЕСТР РИСКОВ_2023'!F241="",B201,'РЕЕСТР РИСКОВ_2023'!F241),IF('INHERENT MAP'!$B$5=2022,IF(#REF!="",B201,#REF!),IF('INHERENT MAP'!$B$5=2023,IF(#REF!="",B201,#REF!),IF('INHERENT MAP'!$B$5=2024,IF(#REF!="",B201,#REF!),IF('РЕЕСТР РИСКОВ_2023'!F241="",B201,'РЕЕСТР РИСКОВ_2023'!F241)))))</f>
        <v>КОМПЛАЕНС РИСК</v>
      </c>
      <c r="C202" t="e">
        <f>IF('INHERENT MAP'!$B$5=2021,IF('РЕЕСТР РИСКОВ_2023'!G241="",C201,'РЕЕСТР РИСКОВ_2023'!G241),IF('INHERENT MAP'!$B$5=2022,IF(#REF!="",C201,#REF!),IF('INHERENT MAP'!$B$5=2023,IF(#REF!="",C201,#REF!),IF('INHERENT MAP'!$B$5=2024,IF(#REF!="",C201,#REF!),IF('РЕЕСТР РИСКОВ_2023'!G241="",C201,'РЕЕСТР РИСКОВ_2023'!G241)))))</f>
        <v>#REF!</v>
      </c>
      <c r="D202" t="str">
        <f>IF('INHERENT MAP'!$B$5=2021,IF('РЕЕСТР РИСКОВ_2023'!H241="",D201,'РЕЕСТР РИСКОВ_2023'!H241),IF('INHERENT MAP'!$B$5=2022,IF(#REF!="",D201,#REF!),IF('INHERENT MAP'!$B$5=2023,IF(#REF!="",D201,#REF!),IF('INHERENT MAP'!$B$5=2024,IF(#REF!="",D201,#REF!),IF('РЕЕСТР РИСКОВ_2023'!H241="",D201,'РЕЕСТР РИСКОВ_2023'!H241)))))</f>
        <v>CRR-8</v>
      </c>
      <c r="E202" t="str">
        <f>IF('INHERENT MAP'!$B$5=2021,IF('РЕЕСТР РИСКОВ_2023'!I241="",E201,'РЕЕСТР РИСКОВ_2023'!I241),IF('INHERENT MAP'!$B$5=2022,IF(#REF!="",E201,#REF!),IF('INHERENT MAP'!$B$5=2023,IF(#REF!="",E201,#REF!),IF('INHERENT MAP'!$B$5=2024,IF(#REF!="",E201,#REF!),IF('РЕЕСТР РИСКОВ_2023'!I241="",E201,'РЕЕСТР РИСКОВ_2023'!I241)))))</f>
        <v>Ц</v>
      </c>
      <c r="F202" t="str">
        <f>IF('INHERENT MAP'!$B$5=2021,IF('РЕЕСТР РИСКОВ_2023'!J241="",F201,'РЕЕСТР РИСКОВ_2023'!J241),IF('INHERENT MAP'!$B$5=2022,IF(#REF!="",F201,#REF!),IF('INHERENT MAP'!$B$5=2023,IF(#REF!="",F201,#REF!),IF('INHERENT MAP'!$B$5=2024,IF(#REF!="",F201,#REF!),IF('РЕЕСТР РИСКОВ_2023'!J241="",F201,'РЕЕСТР РИСКОВ_2023'!J241)))))</f>
        <v>ЦКС, ЦКБ</v>
      </c>
      <c r="G202" t="str">
        <f>IF('INHERENT MAP'!$B$5=2021,IF('РЕЕСТР РИСКОВ_2023'!K241="",G201,'РЕЕСТР РИСКОВ_2023'!K241),IF('INHERENT MAP'!$B$5=2022,IF(#REF!="",G201,#REF!),IF('INHERENT MAP'!$B$5=2023,IF(#REF!="",G201,#REF!),IF('INHERENT MAP'!$B$5=2024,IF(#REF!="",G201,#REF!),IF('РЕЕСТР РИСКОВ_2023'!K241="",G201,'РЕЕСТР РИСКОВ_2023'!K241)))))</f>
        <v>Коррупционные риски при взаимодействии с иностранными должностными лицами и третьими лицами</v>
      </c>
      <c r="H202">
        <f>IF('INHERENT MAP'!$B$5=2021,'РЕЕСТР РИСКОВ_2023'!L241,IF('INHERENT MAP'!$B$5=2022,#REF!,IF('INHERENT MAP'!$B$5=2023,#REF!,IF('INHERENT MAP'!$B$5=2024,#REF!,#REF!))))</f>
        <v>0</v>
      </c>
      <c r="I202">
        <f>IF('INHERENT MAP'!$B$5=2021,'РЕЕСТР РИСКОВ_2023'!M241,IF('INHERENT MAP'!$B$5=2022,#REF!,IF('INHERENT MAP'!$B$5=2023,#REF!,IF('INHERENT MAP'!$B$5=2024,#REF!,#REF!))))</f>
        <v>0</v>
      </c>
      <c r="J202">
        <f>IF('INHERENT MAP'!$B$5=2021,'РЕЕСТР РИСКОВ_2023'!N241,IF('INHERENT MAP'!$B$5=2022,#REF!,IF('INHERENT MAP'!$B$5=2023,#REF!,IF('INHERENT MAP'!$B$5=2024,#REF!,#REF!))))</f>
        <v>0</v>
      </c>
      <c r="K202">
        <f>IF('INHERENT MAP'!$B$5=2021,'РЕЕСТР РИСКОВ_2023'!O241,IF('INHERENT MAP'!$B$5=2022,#REF!,IF('INHERENT MAP'!$B$5=2023,#REF!,IF('INHERENT MAP'!$B$5=2024,#REF!,#REF!))))</f>
        <v>0</v>
      </c>
      <c r="L202">
        <f>IF('INHERENT MAP'!$B$5=2021,'РЕЕСТР РИСКОВ_2023'!P241,IF('INHERENT MAP'!$B$5=2022,#REF!,IF('INHERENT MAP'!$B$5=2023,#REF!,IF('INHERENT MAP'!$B$5=2024,#REF!,#REF!))))</f>
        <v>0</v>
      </c>
      <c r="M202" t="str">
        <f>IF('INHERENT MAP'!$B$5=2021,IF('РЕЕСТР РИСКОВ_2023'!Q241="",M201,'РЕЕСТР РИСКОВ_2023'!Q241),IF('INHERENT MAP'!$B$5=2022,IF(#REF!="",M201,#REF!),IF('INHERENT MAP'!$B$5=2023,IF(#REF!="",M201,#REF!),IF('INHERENT MAP'!$B$5=2024,IF(#REF!="",M201,#REF!),IF('РЕЕСТР РИСКОВ_2023'!Q241="",M201,'РЕЕСТР РИСКОВ_2023'!Q241)))))</f>
        <v>Риск подкупа иностранных должностных лиц работниками Компании или третьими лицами</v>
      </c>
      <c r="N202" t="str">
        <f>IF('INHERENT MAP'!$B$5=2021,IF('РЕЕСТР РИСКОВ_2023'!R241="",N201,'РЕЕСТР РИСКОВ_2023'!R241),IF('INHERENT MAP'!$B$5=2022,IF(#REF!="",N201,#REF!),IF('INHERENT MAP'!$B$5=2023,IF(#REF!="",N201,#REF!),IF('INHERENT MAP'!$B$5=2024,IF(#REF!="",N201,#REF!),IF('РЕЕСТР РИСКОВ_2023'!R241="",N201,'РЕЕСТР РИСКОВ_2023'!R241)))))</f>
        <v>R8.1CS1. Подкуп иностранных должностных лиц представителями Компании/третьими лицами, представляющими интересы Компании с целью воздействия на иностранных должностных лиц, чтобы данные лица в силу занимаемой ими должности могли обеспечить Компании определённые выгоды или предоставить защиту.</v>
      </c>
      <c r="O202">
        <f>'РЕЕСТР РИСКОВ_2023'!T241</f>
        <v>0</v>
      </c>
      <c r="P202" t="e">
        <f>IF('РЕЕСТР РИСКОВ_2023'!U241="",P201,'РЕЕСТР РИСКОВ_2023'!U241)</f>
        <v>#REF!</v>
      </c>
      <c r="Q202" t="str">
        <f>IF('РЕЕСТР РИСКОВ_2023'!V241="",Q201,'РЕЕСТР РИСКОВ_2023'!V241)</f>
        <v>Угрозы</v>
      </c>
      <c r="R202" t="str">
        <f>IF('РЕЕСТР РИСКОВ_2023'!W241="",R201,'РЕЕСТР РИСКОВ_2023'!W241)</f>
        <v>Возможные индикаторы:
1) наличие необоснованно частого взаимодействия представителей Компании с иностранным должностным лицом;
2) отсутствие прозрачности процесса взаимодействия Компании с иностранными должностными лицами.</v>
      </c>
      <c r="S202">
        <f>'РЕЕСТР РИСКОВ_2023'!X241</f>
        <v>0</v>
      </c>
      <c r="T202" s="94">
        <f>IF('INHERENT MAP'!$B$5=2021,'РЕЕСТР РИСКОВ_2023'!Y241,IF('INHERENT MAP'!$B$5=2022,#REF!,IF('INHERENT MAP'!$B$5=2023,#REF!,IF('INHERENT MAP'!$B$5=2024,#REF!,#REF!))))</f>
        <v>0</v>
      </c>
      <c r="U202">
        <f>IF('INHERENT MAP'!$B$5=2021,'РЕЕСТР РИСКОВ_2023'!Z241,IF('INHERENT MAP'!$B$5=2022,#REF!,IF('INHERENT MAP'!$B$5=2023,#REF!,IF('INHERENT MAP'!$B$5=2024,#REF!,#REF!))))</f>
        <v>0</v>
      </c>
      <c r="V202">
        <f>IF('INHERENT MAP'!$B$5=2021,'РЕЕСТР РИСКОВ_2023'!AA241,IF('INHERENT MAP'!$B$5=2022,#REF!,IF('INHERENT MAP'!$B$5=2023,#REF!,IF('INHERENT MAP'!$B$5=2024,#REF!,#REF!))))</f>
        <v>0</v>
      </c>
      <c r="W202">
        <f>IF('INHERENT MAP'!$B$5=2021,'РЕЕСТР РИСКОВ_2023'!AB241,IF('INHERENT MAP'!$B$5=2022,#REF!,IF('INHERENT MAP'!$B$5=2023,#REF!,IF('INHERENT MAP'!$B$5=2024,#REF!,#REF!))))</f>
        <v>0</v>
      </c>
      <c r="X202" s="94">
        <f>IF('INHERENT MAP'!$B$5=2021,'РЕЕСТР РИСКОВ_2023'!AC241,IF('INHERENT MAP'!$B$5=2022,#REF!,IF('INHERENT MAP'!$B$5=2023,#REF!,IF('INHERENT MAP'!$B$5=2024,#REF!,#REF!))))</f>
        <v>0</v>
      </c>
      <c r="Y202">
        <f>IF('INHERENT MAP'!$B$5=2021,'РЕЕСТР РИСКОВ_2023'!AD241,IF('INHERENT MAP'!$B$5=2022,#REF!,IF('INHERENT MAP'!$B$5=2023,#REF!,IF('INHERENT MAP'!$B$5=2024,#REF!,#REF!))))</f>
        <v>0</v>
      </c>
      <c r="Z202">
        <f>IF('INHERENT MAP'!$B$5=2021,'РЕЕСТР РИСКОВ_2023'!AE241,IF('INHERENT MAP'!$B$5=2022,#REF!,IF('INHERENT MAP'!$B$5=2023,#REF!,IF('INHERENT MAP'!$B$5=2024,#REF!,#REF!))))</f>
        <v>0</v>
      </c>
      <c r="AA202">
        <f>IF('INHERENT MAP'!$B$5=2021,'РЕЕСТР РИСКОВ_2023'!AF241,IF('INHERENT MAP'!$B$5=2022,#REF!,IF('INHERENT MAP'!$B$5=2023,#REF!,IF('INHERENT MAP'!$B$5=2024,#REF!,#REF!))))</f>
        <v>0</v>
      </c>
      <c r="AB202">
        <f>IF('INHERENT MAP'!$B$5=2021,'РЕЕСТР РИСКОВ_2023'!AG241,IF('INHERENT MAP'!$B$5=2022,#REF!,IF('INHERENT MAP'!$B$5=2023,#REF!,IF('INHERENT MAP'!$B$5=2024,#REF!,#REF!))))</f>
        <v>0</v>
      </c>
      <c r="AC202">
        <f>IF('INHERENT MAP'!$B$5=2021,'РЕЕСТР РИСКОВ_2023'!AH241,IF('INHERENT MAP'!$B$5=2022,#REF!,IF('INHERENT MAP'!$B$5=2023,#REF!,IF('INHERENT MAP'!$B$5=2024,#REF!,#REF!))))</f>
        <v>0</v>
      </c>
      <c r="AD202">
        <f>IF('INHERENT MAP'!$B$5=2021,'РЕЕСТР РИСКОВ_2023'!AI241,IF('INHERENT MAP'!$B$5=2022,#REF!,IF('INHERENT MAP'!$B$5=2023,#REF!,IF('INHERENT MAP'!$B$5=2024,#REF!,#REF!))))</f>
        <v>0</v>
      </c>
      <c r="AE202">
        <f>IF('INHERENT MAP'!$B$5=2021,'РЕЕСТР РИСКОВ_2023'!AK241,IF('INHERENT MAP'!$B$5=2022,#REF!,IF('INHERENT MAP'!$B$5=2023,#REF!,IF('INHERENT MAP'!$B$5=2024,#REF!,#REF!))))</f>
        <v>0</v>
      </c>
      <c r="AF202">
        <f>IF('INHERENT MAP'!$B$5=2021,'РЕЕСТР РИСКОВ_2023'!AL241,IF('INHERENT MAP'!$B$5=2022,#REF!,IF('INHERENT MAP'!$B$5=2023,#REF!,IF('INHERENT MAP'!$B$5=2024,#REF!,#REF!))))</f>
        <v>0</v>
      </c>
      <c r="AG202">
        <f>IF('INHERENT MAP'!$B$5=2021,'РЕЕСТР РИСКОВ_2023'!AM241,IF('INHERENT MAP'!$B$5=2022,#REF!,IF('INHERENT MAP'!$B$5=2023,#REF!,IF('INHERENT MAP'!$B$5=2024,#REF!,#REF!))))</f>
        <v>0</v>
      </c>
      <c r="AH202">
        <f>IF('INHERENT MAP'!$B$5=2021,'РЕЕСТР РИСКОВ_2023'!AN241,IF('INHERENT MAP'!$B$5=2022,#REF!,IF('INHERENT MAP'!$B$5=2023,#REF!,IF('INHERENT MAP'!$B$5=2024,#REF!,#REF!))))</f>
        <v>0</v>
      </c>
      <c r="AI202">
        <f>IF('INHERENT MAP'!$B$5=2021,'РЕЕСТР РИСКОВ_2023'!AO241,IF('INHERENT MAP'!$B$5=2022,#REF!,IF('INHERENT MAP'!$B$5=2023,#REF!,IF('INHERENT MAP'!$B$5=2024,#REF!,#REF!))))</f>
        <v>0</v>
      </c>
      <c r="AJ202">
        <f>IF('INHERENT MAP'!$B$5=2021,'РЕЕСТР РИСКОВ_2023'!AP241,IF('INHERENT MAP'!$B$5=2022,#REF!,IF('INHERENT MAP'!$B$5=2023,#REF!,IF('INHERENT MAP'!$B$5=2024,#REF!,#REF!))))</f>
        <v>0</v>
      </c>
      <c r="AK202">
        <f>IF('РЕЕСТР РИСКОВ_2023'!AQ241="",AK201,'РЕЕСТР РИСКОВ_2023'!AQ241)</f>
        <v>0</v>
      </c>
      <c r="AL202">
        <f>IF('РЕЕСТР РИСКОВ_2023'!AR241="",AL201,'РЕЕСТР РИСКОВ_2023'!AR241)</f>
        <v>1</v>
      </c>
      <c r="AM202">
        <f>IF('РЕЕСТР РИСКОВ_2023'!AS241="",AM201,'РЕЕСТР РИСКОВ_2023'!AS241)</f>
        <v>0</v>
      </c>
      <c r="AN202">
        <f>IF('РЕЕСТР РИСКОВ_2023'!AT241="",AN201,'РЕЕСТР РИСКОВ_2023'!AT241)</f>
        <v>0</v>
      </c>
      <c r="AO202" t="e">
        <f>IF('РЕЕСТР РИСКОВ_2023'!AU241="",AO201,'РЕЕСТР РИСКОВ_2023'!AU241)</f>
        <v>#REF!</v>
      </c>
    </row>
    <row r="203" spans="2:41">
      <c r="B203" t="str">
        <f>IF('INHERENT MAP'!$B$5=2021,IF('РЕЕСТР РИСКОВ_2023'!F242="",B202,'РЕЕСТР РИСКОВ_2023'!F242),IF('INHERENT MAP'!$B$5=2022,IF(#REF!="",B202,#REF!),IF('INHERENT MAP'!$B$5=2023,IF(#REF!="",B202,#REF!),IF('INHERENT MAP'!$B$5=2024,IF(#REF!="",B202,#REF!),IF('РЕЕСТР РИСКОВ_2023'!F242="",B202,'РЕЕСТР РИСКОВ_2023'!F242)))))</f>
        <v>КОМПЛАЕНС РИСК</v>
      </c>
      <c r="C203" t="e">
        <f>IF('INHERENT MAP'!$B$5=2021,IF('РЕЕСТР РИСКОВ_2023'!G242="",C202,'РЕЕСТР РИСКОВ_2023'!G242),IF('INHERENT MAP'!$B$5=2022,IF(#REF!="",C202,#REF!),IF('INHERENT MAP'!$B$5=2023,IF(#REF!="",C202,#REF!),IF('INHERENT MAP'!$B$5=2024,IF(#REF!="",C202,#REF!),IF('РЕЕСТР РИСКОВ_2023'!G242="",C202,'РЕЕСТР РИСКОВ_2023'!G242)))))</f>
        <v>#REF!</v>
      </c>
      <c r="D203" t="str">
        <f>IF('INHERENT MAP'!$B$5=2021,IF('РЕЕСТР РИСКОВ_2023'!H242="",D202,'РЕЕСТР РИСКОВ_2023'!H242),IF('INHERENT MAP'!$B$5=2022,IF(#REF!="",D202,#REF!),IF('INHERENT MAP'!$B$5=2023,IF(#REF!="",D202,#REF!),IF('INHERENT MAP'!$B$5=2024,IF(#REF!="",D202,#REF!),IF('РЕЕСТР РИСКОВ_2023'!H242="",D202,'РЕЕСТР РИСКОВ_2023'!H242)))))</f>
        <v>CRR-9</v>
      </c>
      <c r="E203" t="str">
        <f>IF('INHERENT MAP'!$B$5=2021,IF('РЕЕСТР РИСКОВ_2023'!I242="",E202,'РЕЕСТР РИСКОВ_2023'!I242),IF('INHERENT MAP'!$B$5=2022,IF(#REF!="",E202,#REF!),IF('INHERENT MAP'!$B$5=2023,IF(#REF!="",E202,#REF!),IF('INHERENT MAP'!$B$5=2024,IF(#REF!="",E202,#REF!),IF('РЕЕСТР РИСКОВ_2023'!I242="",E202,'РЕЕСТР РИСКОВ_2023'!I242)))))</f>
        <v>Ц</v>
      </c>
      <c r="F203" t="str">
        <f>IF('INHERENT MAP'!$B$5=2021,IF('РЕЕСТР РИСКОВ_2023'!J242="",F202,'РЕЕСТР РИСКОВ_2023'!J242),IF('INHERENT MAP'!$B$5=2022,IF(#REF!="",F202,#REF!),IF('INHERENT MAP'!$B$5=2023,IF(#REF!="",F202,#REF!),IF('INHERENT MAP'!$B$5=2024,IF(#REF!="",F202,#REF!),IF('РЕЕСТР РИСКОВ_2023'!J242="",F202,'РЕЕСТР РИСКОВ_2023'!J242)))))</f>
        <v>ЦКС, ЦКБ</v>
      </c>
      <c r="G203" t="str">
        <f>IF('INHERENT MAP'!$B$5=2021,IF('РЕЕСТР РИСКОВ_2023'!K242="",G202,'РЕЕСТР РИСКОВ_2023'!K242),IF('INHERENT MAP'!$B$5=2022,IF(#REF!="",G202,#REF!),IF('INHERENT MAP'!$B$5=2023,IF(#REF!="",G202,#REF!),IF('INHERENT MAP'!$B$5=2024,IF(#REF!="",G202,#REF!),IF('РЕЕСТР РИСКОВ_2023'!K242="",G202,'РЕЕСТР РИСКОВ_2023'!K242)))))</f>
        <v>Коррупционные риски сговора работников контрольно-ревизионных подразделений с проверяемыми структурными подразделениями, дочерними и зависимыми организациями</v>
      </c>
      <c r="H203">
        <f>IF('INHERENT MAP'!$B$5=2021,'РЕЕСТР РИСКОВ_2023'!L242,IF('INHERENT MAP'!$B$5=2022,#REF!,IF('INHERENT MAP'!$B$5=2023,#REF!,IF('INHERENT MAP'!$B$5=2024,#REF!,#REF!))))</f>
        <v>0</v>
      </c>
      <c r="I203">
        <f>IF('INHERENT MAP'!$B$5=2021,'РЕЕСТР РИСКОВ_2023'!M242,IF('INHERENT MAP'!$B$5=2022,#REF!,IF('INHERENT MAP'!$B$5=2023,#REF!,IF('INHERENT MAP'!$B$5=2024,#REF!,#REF!))))</f>
        <v>0</v>
      </c>
      <c r="J203">
        <f>IF('INHERENT MAP'!$B$5=2021,'РЕЕСТР РИСКОВ_2023'!N242,IF('INHERENT MAP'!$B$5=2022,#REF!,IF('INHERENT MAP'!$B$5=2023,#REF!,IF('INHERENT MAP'!$B$5=2024,#REF!,#REF!))))</f>
        <v>0</v>
      </c>
      <c r="K203">
        <f>IF('INHERENT MAP'!$B$5=2021,'РЕЕСТР РИСКОВ_2023'!O242,IF('INHERENT MAP'!$B$5=2022,#REF!,IF('INHERENT MAP'!$B$5=2023,#REF!,IF('INHERENT MAP'!$B$5=2024,#REF!,#REF!))))</f>
        <v>0</v>
      </c>
      <c r="L203">
        <f>IF('INHERENT MAP'!$B$5=2021,'РЕЕСТР РИСКОВ_2023'!P242,IF('INHERENT MAP'!$B$5=2022,#REF!,IF('INHERENT MAP'!$B$5=2023,#REF!,IF('INHERENT MAP'!$B$5=2024,#REF!,#REF!))))</f>
        <v>0</v>
      </c>
      <c r="M203" t="str">
        <f>IF('INHERENT MAP'!$B$5=2021,IF('РЕЕСТР РИСКОВ_2023'!Q242="",M202,'РЕЕСТР РИСКОВ_2023'!Q242),IF('INHERENT MAP'!$B$5=2022,IF(#REF!="",M202,#REF!),IF('INHERENT MAP'!$B$5=2023,IF(#REF!="",M202,#REF!),IF('INHERENT MAP'!$B$5=2024,IF(#REF!="",M202,#REF!),IF('РЕЕСТР РИСКОВ_2023'!Q242="",M202,'РЕЕСТР РИСКОВ_2023'!Q242)))))</f>
        <v>Риск сговора работников контрольно-ревизионных подразделений/органов с представителями проверяемых структурных подразделений Компании</v>
      </c>
      <c r="N203" t="str">
        <f>IF('INHERENT MAP'!$B$5=2021,IF('РЕЕСТР РИСКОВ_2023'!R242="",N202,'РЕЕСТР РИСКОВ_2023'!R242),IF('INHERENT MAP'!$B$5=2022,IF(#REF!="",N202,#REF!),IF('INHERENT MAP'!$B$5=2023,IF(#REF!="",N202,#REF!),IF('INHERENT MAP'!$B$5=2024,IF(#REF!="",N202,#REF!),IF('РЕЕСТР РИСКОВ_2023'!R242="",N202,'РЕЕСТР РИСКОВ_2023'!R242)))))</f>
        <v>R9.1CS1. Сговор представителей контрольно-ревизионных подразделений  с проверяемыми подразделениями Компании с целью сокрытия выявленных фактов несоответствий и нарушений и  получения от них незаконного вознаграждения или иной выгоды.</v>
      </c>
      <c r="O203">
        <f>'РЕЕСТР РИСКОВ_2023'!T242</f>
        <v>0</v>
      </c>
      <c r="P203" t="e">
        <f>IF('РЕЕСТР РИСКОВ_2023'!U242="",P202,'РЕЕСТР РИСКОВ_2023'!U242)</f>
        <v>#REF!</v>
      </c>
      <c r="Q203" t="str">
        <f>IF('РЕЕСТР РИСКОВ_2023'!V242="",Q202,'РЕЕСТР РИСКОВ_2023'!V242)</f>
        <v>Угрозы</v>
      </c>
      <c r="R203" t="str">
        <f>IF('РЕЕСТР РИСКОВ_2023'!W242="",R202,'РЕЕСТР РИСКОВ_2023'!W242)</f>
        <v>Возможные индикаторы:
1) Отсутствие в отчётах контрольно-ревизионных подразделений/органов АО «НК «ҚТЖ» несоответствий и нарушений, а также виновных лиц.</v>
      </c>
      <c r="S203">
        <f>'РЕЕСТР РИСКОВ_2023'!X242</f>
        <v>0</v>
      </c>
      <c r="T203" s="94">
        <f>IF('INHERENT MAP'!$B$5=2021,'РЕЕСТР РИСКОВ_2023'!Y242,IF('INHERENT MAP'!$B$5=2022,#REF!,IF('INHERENT MAP'!$B$5=2023,#REF!,IF('INHERENT MAP'!$B$5=2024,#REF!,#REF!))))</f>
        <v>0</v>
      </c>
      <c r="U203">
        <f>IF('INHERENT MAP'!$B$5=2021,'РЕЕСТР РИСКОВ_2023'!Z242,IF('INHERENT MAP'!$B$5=2022,#REF!,IF('INHERENT MAP'!$B$5=2023,#REF!,IF('INHERENT MAP'!$B$5=2024,#REF!,#REF!))))</f>
        <v>0</v>
      </c>
      <c r="V203">
        <f>IF('INHERENT MAP'!$B$5=2021,'РЕЕСТР РИСКОВ_2023'!AA242,IF('INHERENT MAP'!$B$5=2022,#REF!,IF('INHERENT MAP'!$B$5=2023,#REF!,IF('INHERENT MAP'!$B$5=2024,#REF!,#REF!))))</f>
        <v>0</v>
      </c>
      <c r="W203">
        <f>IF('INHERENT MAP'!$B$5=2021,'РЕЕСТР РИСКОВ_2023'!AB242,IF('INHERENT MAP'!$B$5=2022,#REF!,IF('INHERENT MAP'!$B$5=2023,#REF!,IF('INHERENT MAP'!$B$5=2024,#REF!,#REF!))))</f>
        <v>0</v>
      </c>
      <c r="X203" s="94">
        <f>IF('INHERENT MAP'!$B$5=2021,'РЕЕСТР РИСКОВ_2023'!AC242,IF('INHERENT MAP'!$B$5=2022,#REF!,IF('INHERENT MAP'!$B$5=2023,#REF!,IF('INHERENT MAP'!$B$5=2024,#REF!,#REF!))))</f>
        <v>0</v>
      </c>
      <c r="Y203">
        <f>IF('INHERENT MAP'!$B$5=2021,'РЕЕСТР РИСКОВ_2023'!AD242,IF('INHERENT MAP'!$B$5=2022,#REF!,IF('INHERENT MAP'!$B$5=2023,#REF!,IF('INHERENT MAP'!$B$5=2024,#REF!,#REF!))))</f>
        <v>0</v>
      </c>
      <c r="Z203">
        <f>IF('INHERENT MAP'!$B$5=2021,'РЕЕСТР РИСКОВ_2023'!AE242,IF('INHERENT MAP'!$B$5=2022,#REF!,IF('INHERENT MAP'!$B$5=2023,#REF!,IF('INHERENT MAP'!$B$5=2024,#REF!,#REF!))))</f>
        <v>0</v>
      </c>
      <c r="AA203">
        <f>IF('INHERENT MAP'!$B$5=2021,'РЕЕСТР РИСКОВ_2023'!AF242,IF('INHERENT MAP'!$B$5=2022,#REF!,IF('INHERENT MAP'!$B$5=2023,#REF!,IF('INHERENT MAP'!$B$5=2024,#REF!,#REF!))))</f>
        <v>0</v>
      </c>
      <c r="AB203">
        <f>IF('INHERENT MAP'!$B$5=2021,'РЕЕСТР РИСКОВ_2023'!AG242,IF('INHERENT MAP'!$B$5=2022,#REF!,IF('INHERENT MAP'!$B$5=2023,#REF!,IF('INHERENT MAP'!$B$5=2024,#REF!,#REF!))))</f>
        <v>0</v>
      </c>
      <c r="AC203">
        <f>IF('INHERENT MAP'!$B$5=2021,'РЕЕСТР РИСКОВ_2023'!AH242,IF('INHERENT MAP'!$B$5=2022,#REF!,IF('INHERENT MAP'!$B$5=2023,#REF!,IF('INHERENT MAP'!$B$5=2024,#REF!,#REF!))))</f>
        <v>0</v>
      </c>
      <c r="AD203">
        <f>IF('INHERENT MAP'!$B$5=2021,'РЕЕСТР РИСКОВ_2023'!AI242,IF('INHERENT MAP'!$B$5=2022,#REF!,IF('INHERENT MAP'!$B$5=2023,#REF!,IF('INHERENT MAP'!$B$5=2024,#REF!,#REF!))))</f>
        <v>0</v>
      </c>
      <c r="AE203">
        <f>IF('INHERENT MAP'!$B$5=2021,'РЕЕСТР РИСКОВ_2023'!AK242,IF('INHERENT MAP'!$B$5=2022,#REF!,IF('INHERENT MAP'!$B$5=2023,#REF!,IF('INHERENT MAP'!$B$5=2024,#REF!,#REF!))))</f>
        <v>0</v>
      </c>
      <c r="AF203">
        <f>IF('INHERENT MAP'!$B$5=2021,'РЕЕСТР РИСКОВ_2023'!AL242,IF('INHERENT MAP'!$B$5=2022,#REF!,IF('INHERENT MAP'!$B$5=2023,#REF!,IF('INHERENT MAP'!$B$5=2024,#REF!,#REF!))))</f>
        <v>0</v>
      </c>
      <c r="AG203">
        <f>IF('INHERENT MAP'!$B$5=2021,'РЕЕСТР РИСКОВ_2023'!AM242,IF('INHERENT MAP'!$B$5=2022,#REF!,IF('INHERENT MAP'!$B$5=2023,#REF!,IF('INHERENT MAP'!$B$5=2024,#REF!,#REF!))))</f>
        <v>0</v>
      </c>
      <c r="AH203">
        <f>IF('INHERENT MAP'!$B$5=2021,'РЕЕСТР РИСКОВ_2023'!AN242,IF('INHERENT MAP'!$B$5=2022,#REF!,IF('INHERENT MAP'!$B$5=2023,#REF!,IF('INHERENT MAP'!$B$5=2024,#REF!,#REF!))))</f>
        <v>0</v>
      </c>
      <c r="AI203">
        <f>IF('INHERENT MAP'!$B$5=2021,'РЕЕСТР РИСКОВ_2023'!AO242,IF('INHERENT MAP'!$B$5=2022,#REF!,IF('INHERENT MAP'!$B$5=2023,#REF!,IF('INHERENT MAP'!$B$5=2024,#REF!,#REF!))))</f>
        <v>0</v>
      </c>
      <c r="AJ203">
        <f>IF('INHERENT MAP'!$B$5=2021,'РЕЕСТР РИСКОВ_2023'!AP242,IF('INHERENT MAP'!$B$5=2022,#REF!,IF('INHERENT MAP'!$B$5=2023,#REF!,IF('INHERENT MAP'!$B$5=2024,#REF!,#REF!))))</f>
        <v>0</v>
      </c>
      <c r="AK203">
        <f>IF('РЕЕСТР РИСКОВ_2023'!AQ242="",AK202,'РЕЕСТР РИСКОВ_2023'!AQ242)</f>
        <v>0</v>
      </c>
      <c r="AL203">
        <f>IF('РЕЕСТР РИСКОВ_2023'!AR242="",AL202,'РЕЕСТР РИСКОВ_2023'!AR242)</f>
        <v>1</v>
      </c>
      <c r="AM203">
        <f>IF('РЕЕСТР РИСКОВ_2023'!AS242="",AM202,'РЕЕСТР РИСКОВ_2023'!AS242)</f>
        <v>0</v>
      </c>
      <c r="AN203">
        <f>IF('РЕЕСТР РИСКОВ_2023'!AT242="",AN202,'РЕЕСТР РИСКОВ_2023'!AT242)</f>
        <v>0</v>
      </c>
      <c r="AO203" t="e">
        <f>IF('РЕЕСТР РИСКОВ_2023'!AU242="",AO202,'РЕЕСТР РИСКОВ_2023'!AU242)</f>
        <v>#REF!</v>
      </c>
    </row>
    <row r="204" spans="2:41">
      <c r="B204" t="str">
        <f>IF('INHERENT MAP'!$B$5=2021,IF('РЕЕСТР РИСКОВ_2023'!F243="",B203,'РЕЕСТР РИСКОВ_2023'!F243),IF('INHERENT MAP'!$B$5=2022,IF(#REF!="",B203,#REF!),IF('INHERENT MAP'!$B$5=2023,IF(#REF!="",B203,#REF!),IF('INHERENT MAP'!$B$5=2024,IF(#REF!="",B203,#REF!),IF('РЕЕСТР РИСКОВ_2023'!F243="",B203,'РЕЕСТР РИСКОВ_2023'!F243)))))</f>
        <v>КОМПЛАЕНС РИСК</v>
      </c>
      <c r="C204" t="e">
        <f>IF('INHERENT MAP'!$B$5=2021,IF('РЕЕСТР РИСКОВ_2023'!G243="",C203,'РЕЕСТР РИСКОВ_2023'!G243),IF('INHERENT MAP'!$B$5=2022,IF(#REF!="",C203,#REF!),IF('INHERENT MAP'!$B$5=2023,IF(#REF!="",C203,#REF!),IF('INHERENT MAP'!$B$5=2024,IF(#REF!="",C203,#REF!),IF('РЕЕСТР РИСКОВ_2023'!G243="",C203,'РЕЕСТР РИСКОВ_2023'!G243)))))</f>
        <v>#REF!</v>
      </c>
      <c r="D204" t="str">
        <f>IF('INHERENT MAP'!$B$5=2021,IF('РЕЕСТР РИСКОВ_2023'!H243="",D203,'РЕЕСТР РИСКОВ_2023'!H243),IF('INHERENT MAP'!$B$5=2022,IF(#REF!="",D203,#REF!),IF('INHERENT MAP'!$B$5=2023,IF(#REF!="",D203,#REF!),IF('INHERENT MAP'!$B$5=2024,IF(#REF!="",D203,#REF!),IF('РЕЕСТР РИСКОВ_2023'!H243="",D203,'РЕЕСТР РИСКОВ_2023'!H243)))))</f>
        <v>CRR-10</v>
      </c>
      <c r="E204" t="str">
        <f>IF('INHERENT MAP'!$B$5=2021,IF('РЕЕСТР РИСКОВ_2023'!I243="",E203,'РЕЕСТР РИСКОВ_2023'!I243),IF('INHERENT MAP'!$B$5=2022,IF(#REF!="",E203,#REF!),IF('INHERENT MAP'!$B$5=2023,IF(#REF!="",E203,#REF!),IF('INHERENT MAP'!$B$5=2024,IF(#REF!="",E203,#REF!),IF('РЕЕСТР РИСКОВ_2023'!I243="",E203,'РЕЕСТР РИСКОВ_2023'!I243)))))</f>
        <v>Ц</v>
      </c>
      <c r="F204" t="str">
        <f>IF('INHERENT MAP'!$B$5=2021,IF('РЕЕСТР РИСКОВ_2023'!J243="",F203,'РЕЕСТР РИСКОВ_2023'!J243),IF('INHERENT MAP'!$B$5=2022,IF(#REF!="",F203,#REF!),IF('INHERENT MAP'!$B$5=2023,IF(#REF!="",F203,#REF!),IF('INHERENT MAP'!$B$5=2024,IF(#REF!="",F203,#REF!),IF('РЕЕСТР РИСКОВ_2023'!J243="",F203,'РЕЕСТР РИСКОВ_2023'!J243)))))</f>
        <v>ЦКС, ЦКБ</v>
      </c>
      <c r="G204" t="str">
        <f>IF('INHERENT MAP'!$B$5=2021,IF('РЕЕСТР РИСКОВ_2023'!K243="",G203,'РЕЕСТР РИСКОВ_2023'!K243),IF('INHERENT MAP'!$B$5=2022,IF(#REF!="",G203,#REF!),IF('INHERENT MAP'!$B$5=2023,IF(#REF!="",G203,#REF!),IF('INHERENT MAP'!$B$5=2024,IF(#REF!="",G203,#REF!),IF('РЕЕСТР РИСКОВ_2023'!K243="",G203,'РЕЕСТР РИСКОВ_2023'!K243)))))</f>
        <v>Коррупционные риски при взаимодействии с финансовыми организациями</v>
      </c>
      <c r="H204">
        <f>IF('INHERENT MAP'!$B$5=2021,'РЕЕСТР РИСКОВ_2023'!L243,IF('INHERENT MAP'!$B$5=2022,#REF!,IF('INHERENT MAP'!$B$5=2023,#REF!,IF('INHERENT MAP'!$B$5=2024,#REF!,#REF!))))</f>
        <v>0</v>
      </c>
      <c r="I204">
        <f>IF('INHERENT MAP'!$B$5=2021,'РЕЕСТР РИСКОВ_2023'!M243,IF('INHERENT MAP'!$B$5=2022,#REF!,IF('INHERENT MAP'!$B$5=2023,#REF!,IF('INHERENT MAP'!$B$5=2024,#REF!,#REF!))))</f>
        <v>0</v>
      </c>
      <c r="J204">
        <f>IF('INHERENT MAP'!$B$5=2021,'РЕЕСТР РИСКОВ_2023'!N243,IF('INHERENT MAP'!$B$5=2022,#REF!,IF('INHERENT MAP'!$B$5=2023,#REF!,IF('INHERENT MAP'!$B$5=2024,#REF!,#REF!))))</f>
        <v>0</v>
      </c>
      <c r="K204">
        <f>IF('INHERENT MAP'!$B$5=2021,'РЕЕСТР РИСКОВ_2023'!O243,IF('INHERENT MAP'!$B$5=2022,#REF!,IF('INHERENT MAP'!$B$5=2023,#REF!,IF('INHERENT MAP'!$B$5=2024,#REF!,#REF!))))</f>
        <v>0</v>
      </c>
      <c r="L204">
        <f>IF('INHERENT MAP'!$B$5=2021,'РЕЕСТР РИСКОВ_2023'!P243,IF('INHERENT MAP'!$B$5=2022,#REF!,IF('INHERENT MAP'!$B$5=2023,#REF!,IF('INHERENT MAP'!$B$5=2024,#REF!,#REF!))))</f>
        <v>0</v>
      </c>
      <c r="M204" t="str">
        <f>IF('INHERENT MAP'!$B$5=2021,IF('РЕЕСТР РИСКОВ_2023'!Q243="",M203,'РЕЕСТР РИСКОВ_2023'!Q243),IF('INHERENT MAP'!$B$5=2022,IF(#REF!="",M203,#REF!),IF('INHERENT MAP'!$B$5=2023,IF(#REF!="",M203,#REF!),IF('INHERENT MAP'!$B$5=2024,IF(#REF!="",M203,#REF!),IF('РЕЕСТР РИСКОВ_2023'!Q243="",M203,'РЕЕСТР РИСКОВ_2023'!Q243)))))</f>
        <v>Риск коррупции при размещении денежных средств на счетах в банках</v>
      </c>
      <c r="N204" t="str">
        <f>IF('INHERENT MAP'!$B$5=2021,IF('РЕЕСТР РИСКОВ_2023'!R243="",N203,'РЕЕСТР РИСКОВ_2023'!R243),IF('INHERENT MAP'!$B$5=2022,IF(#REF!="",N203,#REF!),IF('INHERENT MAP'!$B$5=2023,IF(#REF!="",N203,#REF!),IF('INHERENT MAP'!$B$5=2024,IF(#REF!="",N203,#REF!),IF('РЕЕСТР РИСКОВ_2023'!R243="",N203,'РЕЕСТР РИСКОВ_2023'!R243)))))</f>
        <v xml:space="preserve">R10.1.CS1. . Сговор с представителями банка второго уровня РК/иностранного банка, аффилированными с представителем Компании, или выплачивающими ему незаконное вознаграждение/предлагающими иную выгоду при выборе  банка для размещения денежных средств/закупки зарплатного проекта с целью получения личной выгоды.    </v>
      </c>
      <c r="O204">
        <f>'РЕЕСТР РИСКОВ_2023'!T243</f>
        <v>0</v>
      </c>
      <c r="P204" t="e">
        <f>IF('РЕЕСТР РИСКОВ_2023'!U243="",P203,'РЕЕСТР РИСКОВ_2023'!U243)</f>
        <v>#REF!</v>
      </c>
      <c r="Q204" t="str">
        <f>IF('РЕЕСТР РИСКОВ_2023'!V243="",Q203,'РЕЕСТР РИСКОВ_2023'!V243)</f>
        <v>Угрозы</v>
      </c>
      <c r="R204" t="str">
        <f>IF('РЕЕСТР РИСКОВ_2023'!W243="",R203,'РЕЕСТР РИСКОВ_2023'!W243)</f>
        <v>Возможные индикаторы:
1) выбор банка без надлежащего сравнительного анализа предлагаемых банками условий;
2) отсутствие надлежащей процедуры мониторинга кредитного рейтинга банка;
3) отсутствие надлежащей процедуры принятия органами Компании решения о размещении денежных средств в банках.</v>
      </c>
      <c r="S204">
        <f>'РЕЕСТР РИСКОВ_2023'!X243</f>
        <v>0</v>
      </c>
      <c r="T204" s="94">
        <f>IF('INHERENT MAP'!$B$5=2021,'РЕЕСТР РИСКОВ_2023'!Y243,IF('INHERENT MAP'!$B$5=2022,#REF!,IF('INHERENT MAP'!$B$5=2023,#REF!,IF('INHERENT MAP'!$B$5=2024,#REF!,#REF!))))</f>
        <v>0</v>
      </c>
      <c r="U204">
        <f>IF('INHERENT MAP'!$B$5=2021,'РЕЕСТР РИСКОВ_2023'!Z243,IF('INHERENT MAP'!$B$5=2022,#REF!,IF('INHERENT MAP'!$B$5=2023,#REF!,IF('INHERENT MAP'!$B$5=2024,#REF!,#REF!))))</f>
        <v>0</v>
      </c>
      <c r="V204">
        <f>IF('INHERENT MAP'!$B$5=2021,'РЕЕСТР РИСКОВ_2023'!AA243,IF('INHERENT MAP'!$B$5=2022,#REF!,IF('INHERENT MAP'!$B$5=2023,#REF!,IF('INHERENT MAP'!$B$5=2024,#REF!,#REF!))))</f>
        <v>0</v>
      </c>
      <c r="W204">
        <f>IF('INHERENT MAP'!$B$5=2021,'РЕЕСТР РИСКОВ_2023'!AB243,IF('INHERENT MAP'!$B$5=2022,#REF!,IF('INHERENT MAP'!$B$5=2023,#REF!,IF('INHERENT MAP'!$B$5=2024,#REF!,#REF!))))</f>
        <v>0</v>
      </c>
      <c r="X204" s="94">
        <f>IF('INHERENT MAP'!$B$5=2021,'РЕЕСТР РИСКОВ_2023'!AC243,IF('INHERENT MAP'!$B$5=2022,#REF!,IF('INHERENT MAP'!$B$5=2023,#REF!,IF('INHERENT MAP'!$B$5=2024,#REF!,#REF!))))</f>
        <v>0</v>
      </c>
      <c r="Y204">
        <f>IF('INHERENT MAP'!$B$5=2021,'РЕЕСТР РИСКОВ_2023'!AD243,IF('INHERENT MAP'!$B$5=2022,#REF!,IF('INHERENT MAP'!$B$5=2023,#REF!,IF('INHERENT MAP'!$B$5=2024,#REF!,#REF!))))</f>
        <v>0</v>
      </c>
      <c r="Z204">
        <f>IF('INHERENT MAP'!$B$5=2021,'РЕЕСТР РИСКОВ_2023'!AE243,IF('INHERENT MAP'!$B$5=2022,#REF!,IF('INHERENT MAP'!$B$5=2023,#REF!,IF('INHERENT MAP'!$B$5=2024,#REF!,#REF!))))</f>
        <v>0</v>
      </c>
      <c r="AA204">
        <f>IF('INHERENT MAP'!$B$5=2021,'РЕЕСТР РИСКОВ_2023'!AF243,IF('INHERENT MAP'!$B$5=2022,#REF!,IF('INHERENT MAP'!$B$5=2023,#REF!,IF('INHERENT MAP'!$B$5=2024,#REF!,#REF!))))</f>
        <v>0</v>
      </c>
      <c r="AB204">
        <f>IF('INHERENT MAP'!$B$5=2021,'РЕЕСТР РИСКОВ_2023'!AG243,IF('INHERENT MAP'!$B$5=2022,#REF!,IF('INHERENT MAP'!$B$5=2023,#REF!,IF('INHERENT MAP'!$B$5=2024,#REF!,#REF!))))</f>
        <v>0</v>
      </c>
      <c r="AC204">
        <f>IF('INHERENT MAP'!$B$5=2021,'РЕЕСТР РИСКОВ_2023'!AH243,IF('INHERENT MAP'!$B$5=2022,#REF!,IF('INHERENT MAP'!$B$5=2023,#REF!,IF('INHERENT MAP'!$B$5=2024,#REF!,#REF!))))</f>
        <v>0</v>
      </c>
      <c r="AD204">
        <f>IF('INHERENT MAP'!$B$5=2021,'РЕЕСТР РИСКОВ_2023'!AI243,IF('INHERENT MAP'!$B$5=2022,#REF!,IF('INHERENT MAP'!$B$5=2023,#REF!,IF('INHERENT MAP'!$B$5=2024,#REF!,#REF!))))</f>
        <v>0</v>
      </c>
      <c r="AE204">
        <f>IF('INHERENT MAP'!$B$5=2021,'РЕЕСТР РИСКОВ_2023'!AK243,IF('INHERENT MAP'!$B$5=2022,#REF!,IF('INHERENT MAP'!$B$5=2023,#REF!,IF('INHERENT MAP'!$B$5=2024,#REF!,#REF!))))</f>
        <v>0</v>
      </c>
      <c r="AF204">
        <f>IF('INHERENT MAP'!$B$5=2021,'РЕЕСТР РИСКОВ_2023'!AL243,IF('INHERENT MAP'!$B$5=2022,#REF!,IF('INHERENT MAP'!$B$5=2023,#REF!,IF('INHERENT MAP'!$B$5=2024,#REF!,#REF!))))</f>
        <v>0</v>
      </c>
      <c r="AG204">
        <f>IF('INHERENT MAP'!$B$5=2021,'РЕЕСТР РИСКОВ_2023'!AM243,IF('INHERENT MAP'!$B$5=2022,#REF!,IF('INHERENT MAP'!$B$5=2023,#REF!,IF('INHERENT MAP'!$B$5=2024,#REF!,#REF!))))</f>
        <v>0</v>
      </c>
      <c r="AH204">
        <f>IF('INHERENT MAP'!$B$5=2021,'РЕЕСТР РИСКОВ_2023'!AN243,IF('INHERENT MAP'!$B$5=2022,#REF!,IF('INHERENT MAP'!$B$5=2023,#REF!,IF('INHERENT MAP'!$B$5=2024,#REF!,#REF!))))</f>
        <v>0</v>
      </c>
      <c r="AI204">
        <f>IF('INHERENT MAP'!$B$5=2021,'РЕЕСТР РИСКОВ_2023'!AO243,IF('INHERENT MAP'!$B$5=2022,#REF!,IF('INHERENT MAP'!$B$5=2023,#REF!,IF('INHERENT MAP'!$B$5=2024,#REF!,#REF!))))</f>
        <v>0</v>
      </c>
      <c r="AJ204">
        <f>IF('INHERENT MAP'!$B$5=2021,'РЕЕСТР РИСКОВ_2023'!AP243,IF('INHERENT MAP'!$B$5=2022,#REF!,IF('INHERENT MAP'!$B$5=2023,#REF!,IF('INHERENT MAP'!$B$5=2024,#REF!,#REF!))))</f>
        <v>0</v>
      </c>
      <c r="AK204">
        <f>IF('РЕЕСТР РИСКОВ_2023'!AQ243="",AK203,'РЕЕСТР РИСКОВ_2023'!AQ243)</f>
        <v>0</v>
      </c>
      <c r="AL204">
        <f>IF('РЕЕСТР РИСКОВ_2023'!AR243="",AL203,'РЕЕСТР РИСКОВ_2023'!AR243)</f>
        <v>1</v>
      </c>
      <c r="AM204">
        <f>IF('РЕЕСТР РИСКОВ_2023'!AS243="",AM203,'РЕЕСТР РИСКОВ_2023'!AS243)</f>
        <v>0</v>
      </c>
      <c r="AN204">
        <f>IF('РЕЕСТР РИСКОВ_2023'!AT243="",AN203,'РЕЕСТР РИСКОВ_2023'!AT243)</f>
        <v>0</v>
      </c>
      <c r="AO204" t="e">
        <f>IF('РЕЕСТР РИСКОВ_2023'!AU243="",AO203,'РЕЕСТР РИСКОВ_2023'!AU243)</f>
        <v>#REF!</v>
      </c>
    </row>
    <row r="205" spans="2:41">
      <c r="B205" t="str">
        <f>IF('INHERENT MAP'!$B$5=2021,IF('РЕЕСТР РИСКОВ_2023'!F244="",B204,'РЕЕСТР РИСКОВ_2023'!F244),IF('INHERENT MAP'!$B$5=2022,IF(#REF!="",B204,#REF!),IF('INHERENT MAP'!$B$5=2023,IF(#REF!="",B204,#REF!),IF('INHERENT MAP'!$B$5=2024,IF(#REF!="",B204,#REF!),IF('РЕЕСТР РИСКОВ_2023'!F244="",B204,'РЕЕСТР РИСКОВ_2023'!F244)))))</f>
        <v>КОМПЛАЕНС РИСК</v>
      </c>
      <c r="C205" t="e">
        <f>IF('INHERENT MAP'!$B$5=2021,IF('РЕЕСТР РИСКОВ_2023'!G244="",C204,'РЕЕСТР РИСКОВ_2023'!G244),IF('INHERENT MAP'!$B$5=2022,IF(#REF!="",C204,#REF!),IF('INHERENT MAP'!$B$5=2023,IF(#REF!="",C204,#REF!),IF('INHERENT MAP'!$B$5=2024,IF(#REF!="",C204,#REF!),IF('РЕЕСТР РИСКОВ_2023'!G244="",C204,'РЕЕСТР РИСКОВ_2023'!G244)))))</f>
        <v>#REF!</v>
      </c>
      <c r="D205" t="str">
        <f>IF('INHERENT MAP'!$B$5=2021,IF('РЕЕСТР РИСКОВ_2023'!H244="",D204,'РЕЕСТР РИСКОВ_2023'!H244),IF('INHERENT MAP'!$B$5=2022,IF(#REF!="",D204,#REF!),IF('INHERENT MAP'!$B$5=2023,IF(#REF!="",D204,#REF!),IF('INHERENT MAP'!$B$5=2024,IF(#REF!="",D204,#REF!),IF('РЕЕСТР РИСКОВ_2023'!H244="",D204,'РЕЕСТР РИСКОВ_2023'!H244)))))</f>
        <v>CRR-10</v>
      </c>
      <c r="E205" t="str">
        <f>IF('INHERENT MAP'!$B$5=2021,IF('РЕЕСТР РИСКОВ_2023'!I244="",E204,'РЕЕСТР РИСКОВ_2023'!I244),IF('INHERENT MAP'!$B$5=2022,IF(#REF!="",E204,#REF!),IF('INHERENT MAP'!$B$5=2023,IF(#REF!="",E204,#REF!),IF('INHERENT MAP'!$B$5=2024,IF(#REF!="",E204,#REF!),IF('РЕЕСТР РИСКОВ_2023'!I244="",E204,'РЕЕСТР РИСКОВ_2023'!I244)))))</f>
        <v>Ц</v>
      </c>
      <c r="F205" t="str">
        <f>IF('INHERENT MAP'!$B$5=2021,IF('РЕЕСТР РИСКОВ_2023'!J244="",F204,'РЕЕСТР РИСКОВ_2023'!J244),IF('INHERENT MAP'!$B$5=2022,IF(#REF!="",F204,#REF!),IF('INHERENT MAP'!$B$5=2023,IF(#REF!="",F204,#REF!),IF('INHERENT MAP'!$B$5=2024,IF(#REF!="",F204,#REF!),IF('РЕЕСТР РИСКОВ_2023'!J244="",F204,'РЕЕСТР РИСКОВ_2023'!J244)))))</f>
        <v>ЦКС, ЦКБ</v>
      </c>
      <c r="G205" t="str">
        <f>IF('INHERENT MAP'!$B$5=2021,IF('РЕЕСТР РИСКОВ_2023'!K244="",G204,'РЕЕСТР РИСКОВ_2023'!K244),IF('INHERENT MAP'!$B$5=2022,IF(#REF!="",G204,#REF!),IF('INHERENT MAP'!$B$5=2023,IF(#REF!="",G204,#REF!),IF('INHERENT MAP'!$B$5=2024,IF(#REF!="",G204,#REF!),IF('РЕЕСТР РИСКОВ_2023'!K244="",G204,'РЕЕСТР РИСКОВ_2023'!K244)))))</f>
        <v>Коррупционные риски при взаимодействии с финансовыми организациями</v>
      </c>
      <c r="H205">
        <f>IF('INHERENT MAP'!$B$5=2021,'РЕЕСТР РИСКОВ_2023'!L244,IF('INHERENT MAP'!$B$5=2022,#REF!,IF('INHERENT MAP'!$B$5=2023,#REF!,IF('INHERENT MAP'!$B$5=2024,#REF!,#REF!))))</f>
        <v>0</v>
      </c>
      <c r="I205">
        <f>IF('INHERENT MAP'!$B$5=2021,'РЕЕСТР РИСКОВ_2023'!M244,IF('INHERENT MAP'!$B$5=2022,#REF!,IF('INHERENT MAP'!$B$5=2023,#REF!,IF('INHERENT MAP'!$B$5=2024,#REF!,#REF!))))</f>
        <v>0</v>
      </c>
      <c r="J205">
        <f>IF('INHERENT MAP'!$B$5=2021,'РЕЕСТР РИСКОВ_2023'!N244,IF('INHERENT MAP'!$B$5=2022,#REF!,IF('INHERENT MAP'!$B$5=2023,#REF!,IF('INHERENT MAP'!$B$5=2024,#REF!,#REF!))))</f>
        <v>0</v>
      </c>
      <c r="K205">
        <f>IF('INHERENT MAP'!$B$5=2021,'РЕЕСТР РИСКОВ_2023'!O244,IF('INHERENT MAP'!$B$5=2022,#REF!,IF('INHERENT MAP'!$B$5=2023,#REF!,IF('INHERENT MAP'!$B$5=2024,#REF!,#REF!))))</f>
        <v>0</v>
      </c>
      <c r="L205">
        <f>IF('INHERENT MAP'!$B$5=2021,'РЕЕСТР РИСКОВ_2023'!P244,IF('INHERENT MAP'!$B$5=2022,#REF!,IF('INHERENT MAP'!$B$5=2023,#REF!,IF('INHERENT MAP'!$B$5=2024,#REF!,#REF!))))</f>
        <v>0</v>
      </c>
      <c r="M205" t="str">
        <f>IF('INHERENT MAP'!$B$5=2021,IF('РЕЕСТР РИСКОВ_2023'!Q244="",M204,'РЕЕСТР РИСКОВ_2023'!Q244),IF('INHERENT MAP'!$B$5=2022,IF(#REF!="",M204,#REF!),IF('INHERENT MAP'!$B$5=2023,IF(#REF!="",M204,#REF!),IF('INHERENT MAP'!$B$5=2024,IF(#REF!="",M204,#REF!),IF('РЕЕСТР РИСКОВ_2023'!Q244="",M204,'РЕЕСТР РИСКОВ_2023'!Q244)))))</f>
        <v>Риск коррупции при привлечении заемного финансирования (займы, долговые ценные бумаги)</v>
      </c>
      <c r="N205" t="str">
        <f>IF('INHERENT MAP'!$B$5=2021,IF('РЕЕСТР РИСКОВ_2023'!R244="",N204,'РЕЕСТР РИСКОВ_2023'!R244),IF('INHERENT MAP'!$B$5=2022,IF(#REF!="",N204,#REF!),IF('INHERENT MAP'!$B$5=2023,IF(#REF!="",N204,#REF!),IF('INHERENT MAP'!$B$5=2024,IF(#REF!="",N204,#REF!),IF('РЕЕСТР РИСКОВ_2023'!R244="",N204,'РЕЕСТР РИСКОВ_2023'!R244)))))</f>
        <v>R10.2.CS1. Сговор с представителями банка второго уровня РК/иностранного банка/финансового института, аффилированными с представителем Компании, или выплачивающими ему незаконное вознаграждение/предлагающими иную выгоду при выборе финансового учреждения для привлечения Компанией займа с целью получения личной выгоды.</v>
      </c>
      <c r="O205">
        <f>'РЕЕСТР РИСКОВ_2023'!T244</f>
        <v>0</v>
      </c>
      <c r="P205" t="e">
        <f>IF('РЕЕСТР РИСКОВ_2023'!U244="",P204,'РЕЕСТР РИСКОВ_2023'!U244)</f>
        <v>#REF!</v>
      </c>
      <c r="Q205" t="str">
        <f>IF('РЕЕСТР РИСКОВ_2023'!V244="",Q204,'РЕЕСТР РИСКОВ_2023'!V244)</f>
        <v>Угрозы</v>
      </c>
      <c r="R205" t="str">
        <f>IF('РЕЕСТР РИСКОВ_2023'!W244="",R204,'РЕЕСТР РИСКОВ_2023'!W244)</f>
        <v>Возможные индикаторы:
1) выбор банка/института развития без надлежащего сравнительного анализа предлагаемых банками/институтами развития условий предоставления займа и/или выбор малоизвестного банка и/или не имеющего кредитного рейтинга и/или с негативной репутацией;
2) отсутствие надлежащей процедуры мониторинга рейтинга банка/института развития;
3) отсутствие надлежащей процедуры принятия органами Компании решения о привлечении займа.</v>
      </c>
      <c r="S205">
        <f>'РЕЕСТР РИСКОВ_2023'!X244</f>
        <v>0</v>
      </c>
      <c r="T205" s="94">
        <f>IF('INHERENT MAP'!$B$5=2021,'РЕЕСТР РИСКОВ_2023'!Y244,IF('INHERENT MAP'!$B$5=2022,#REF!,IF('INHERENT MAP'!$B$5=2023,#REF!,IF('INHERENT MAP'!$B$5=2024,#REF!,#REF!))))</f>
        <v>0</v>
      </c>
      <c r="U205">
        <f>IF('INHERENT MAP'!$B$5=2021,'РЕЕСТР РИСКОВ_2023'!Z244,IF('INHERENT MAP'!$B$5=2022,#REF!,IF('INHERENT MAP'!$B$5=2023,#REF!,IF('INHERENT MAP'!$B$5=2024,#REF!,#REF!))))</f>
        <v>0</v>
      </c>
      <c r="V205">
        <f>IF('INHERENT MAP'!$B$5=2021,'РЕЕСТР РИСКОВ_2023'!AA244,IF('INHERENT MAP'!$B$5=2022,#REF!,IF('INHERENT MAP'!$B$5=2023,#REF!,IF('INHERENT MAP'!$B$5=2024,#REF!,#REF!))))</f>
        <v>0</v>
      </c>
      <c r="W205">
        <f>IF('INHERENT MAP'!$B$5=2021,'РЕЕСТР РИСКОВ_2023'!AB244,IF('INHERENT MAP'!$B$5=2022,#REF!,IF('INHERENT MAP'!$B$5=2023,#REF!,IF('INHERENT MAP'!$B$5=2024,#REF!,#REF!))))</f>
        <v>0</v>
      </c>
      <c r="X205" s="94">
        <f>IF('INHERENT MAP'!$B$5=2021,'РЕЕСТР РИСКОВ_2023'!AC244,IF('INHERENT MAP'!$B$5=2022,#REF!,IF('INHERENT MAP'!$B$5=2023,#REF!,IF('INHERENT MAP'!$B$5=2024,#REF!,#REF!))))</f>
        <v>0</v>
      </c>
      <c r="Y205">
        <f>IF('INHERENT MAP'!$B$5=2021,'РЕЕСТР РИСКОВ_2023'!AD244,IF('INHERENT MAP'!$B$5=2022,#REF!,IF('INHERENT MAP'!$B$5=2023,#REF!,IF('INHERENT MAP'!$B$5=2024,#REF!,#REF!))))</f>
        <v>0</v>
      </c>
      <c r="Z205">
        <f>IF('INHERENT MAP'!$B$5=2021,'РЕЕСТР РИСКОВ_2023'!AE244,IF('INHERENT MAP'!$B$5=2022,#REF!,IF('INHERENT MAP'!$B$5=2023,#REF!,IF('INHERENT MAP'!$B$5=2024,#REF!,#REF!))))</f>
        <v>0</v>
      </c>
      <c r="AA205">
        <f>IF('INHERENT MAP'!$B$5=2021,'РЕЕСТР РИСКОВ_2023'!AF244,IF('INHERENT MAP'!$B$5=2022,#REF!,IF('INHERENT MAP'!$B$5=2023,#REF!,IF('INHERENT MAP'!$B$5=2024,#REF!,#REF!))))</f>
        <v>0</v>
      </c>
      <c r="AB205">
        <f>IF('INHERENT MAP'!$B$5=2021,'РЕЕСТР РИСКОВ_2023'!AG244,IF('INHERENT MAP'!$B$5=2022,#REF!,IF('INHERENT MAP'!$B$5=2023,#REF!,IF('INHERENT MAP'!$B$5=2024,#REF!,#REF!))))</f>
        <v>0</v>
      </c>
      <c r="AC205">
        <f>IF('INHERENT MAP'!$B$5=2021,'РЕЕСТР РИСКОВ_2023'!AH244,IF('INHERENT MAP'!$B$5=2022,#REF!,IF('INHERENT MAP'!$B$5=2023,#REF!,IF('INHERENT MAP'!$B$5=2024,#REF!,#REF!))))</f>
        <v>0</v>
      </c>
      <c r="AD205">
        <f>IF('INHERENT MAP'!$B$5=2021,'РЕЕСТР РИСКОВ_2023'!AI244,IF('INHERENT MAP'!$B$5=2022,#REF!,IF('INHERENT MAP'!$B$5=2023,#REF!,IF('INHERENT MAP'!$B$5=2024,#REF!,#REF!))))</f>
        <v>0</v>
      </c>
      <c r="AE205">
        <f>IF('INHERENT MAP'!$B$5=2021,'РЕЕСТР РИСКОВ_2023'!AK244,IF('INHERENT MAP'!$B$5=2022,#REF!,IF('INHERENT MAP'!$B$5=2023,#REF!,IF('INHERENT MAP'!$B$5=2024,#REF!,#REF!))))</f>
        <v>0</v>
      </c>
      <c r="AF205">
        <f>IF('INHERENT MAP'!$B$5=2021,'РЕЕСТР РИСКОВ_2023'!AL244,IF('INHERENT MAP'!$B$5=2022,#REF!,IF('INHERENT MAP'!$B$5=2023,#REF!,IF('INHERENT MAP'!$B$5=2024,#REF!,#REF!))))</f>
        <v>0</v>
      </c>
      <c r="AG205">
        <f>IF('INHERENT MAP'!$B$5=2021,'РЕЕСТР РИСКОВ_2023'!AM244,IF('INHERENT MAP'!$B$5=2022,#REF!,IF('INHERENT MAP'!$B$5=2023,#REF!,IF('INHERENT MAP'!$B$5=2024,#REF!,#REF!))))</f>
        <v>0</v>
      </c>
      <c r="AH205">
        <f>IF('INHERENT MAP'!$B$5=2021,'РЕЕСТР РИСКОВ_2023'!AN244,IF('INHERENT MAP'!$B$5=2022,#REF!,IF('INHERENT MAP'!$B$5=2023,#REF!,IF('INHERENT MAP'!$B$5=2024,#REF!,#REF!))))</f>
        <v>0</v>
      </c>
      <c r="AI205">
        <f>IF('INHERENT MAP'!$B$5=2021,'РЕЕСТР РИСКОВ_2023'!AO244,IF('INHERENT MAP'!$B$5=2022,#REF!,IF('INHERENT MAP'!$B$5=2023,#REF!,IF('INHERENT MAP'!$B$5=2024,#REF!,#REF!))))</f>
        <v>0</v>
      </c>
      <c r="AJ205">
        <f>IF('INHERENT MAP'!$B$5=2021,'РЕЕСТР РИСКОВ_2023'!AP244,IF('INHERENT MAP'!$B$5=2022,#REF!,IF('INHERENT MAP'!$B$5=2023,#REF!,IF('INHERENT MAP'!$B$5=2024,#REF!,#REF!))))</f>
        <v>0</v>
      </c>
      <c r="AK205">
        <f>IF('РЕЕСТР РИСКОВ_2023'!AQ244="",AK204,'РЕЕСТР РИСКОВ_2023'!AQ244)</f>
        <v>0</v>
      </c>
      <c r="AL205">
        <f>IF('РЕЕСТР РИСКОВ_2023'!AR244="",AL204,'РЕЕСТР РИСКОВ_2023'!AR244)</f>
        <v>1</v>
      </c>
      <c r="AM205">
        <f>IF('РЕЕСТР РИСКОВ_2023'!AS244="",AM204,'РЕЕСТР РИСКОВ_2023'!AS244)</f>
        <v>0</v>
      </c>
      <c r="AN205">
        <f>IF('РЕЕСТР РИСКОВ_2023'!AT244="",AN204,'РЕЕСТР РИСКОВ_2023'!AT244)</f>
        <v>0</v>
      </c>
      <c r="AO205" t="e">
        <f>IF('РЕЕСТР РИСКОВ_2023'!AU244="",AO204,'РЕЕСТР РИСКОВ_2023'!AU244)</f>
        <v>#REF!</v>
      </c>
    </row>
    <row r="206" spans="2:41">
      <c r="B206" t="str">
        <f>IF('INHERENT MAP'!$B$5=2021,IF('РЕЕСТР РИСКОВ_2023'!F245="",B205,'РЕЕСТР РИСКОВ_2023'!F245),IF('INHERENT MAP'!$B$5=2022,IF(#REF!="",B205,#REF!),IF('INHERENT MAP'!$B$5=2023,IF(#REF!="",B205,#REF!),IF('INHERENT MAP'!$B$5=2024,IF(#REF!="",B205,#REF!),IF('РЕЕСТР РИСКОВ_2023'!F245="",B205,'РЕЕСТР РИСКОВ_2023'!F245)))))</f>
        <v>КОМПЛАЕНС РИСК</v>
      </c>
      <c r="C206" t="e">
        <f>IF('INHERENT MAP'!$B$5=2021,IF('РЕЕСТР РИСКОВ_2023'!G245="",C205,'РЕЕСТР РИСКОВ_2023'!G245),IF('INHERENT MAP'!$B$5=2022,IF(#REF!="",C205,#REF!),IF('INHERENT MAP'!$B$5=2023,IF(#REF!="",C205,#REF!),IF('INHERENT MAP'!$B$5=2024,IF(#REF!="",C205,#REF!),IF('РЕЕСТР РИСКОВ_2023'!G245="",C205,'РЕЕСТР РИСКОВ_2023'!G245)))))</f>
        <v>#REF!</v>
      </c>
      <c r="D206" t="str">
        <f>IF('INHERENT MAP'!$B$5=2021,IF('РЕЕСТР РИСКОВ_2023'!H245="",D205,'РЕЕСТР РИСКОВ_2023'!H245),IF('INHERENT MAP'!$B$5=2022,IF(#REF!="",D205,#REF!),IF('INHERENT MAP'!$B$5=2023,IF(#REF!="",D205,#REF!),IF('INHERENT MAP'!$B$5=2024,IF(#REF!="",D205,#REF!),IF('РЕЕСТР РИСКОВ_2023'!H245="",D205,'РЕЕСТР РИСКОВ_2023'!H245)))))</f>
        <v>CRR-10</v>
      </c>
      <c r="E206" t="str">
        <f>IF('INHERENT MAP'!$B$5=2021,IF('РЕЕСТР РИСКОВ_2023'!I245="",E205,'РЕЕСТР РИСКОВ_2023'!I245),IF('INHERENT MAP'!$B$5=2022,IF(#REF!="",E205,#REF!),IF('INHERENT MAP'!$B$5=2023,IF(#REF!="",E205,#REF!),IF('INHERENT MAP'!$B$5=2024,IF(#REF!="",E205,#REF!),IF('РЕЕСТР РИСКОВ_2023'!I245="",E205,'РЕЕСТР РИСКОВ_2023'!I245)))))</f>
        <v>Ц</v>
      </c>
      <c r="F206" t="str">
        <f>IF('INHERENT MAP'!$B$5=2021,IF('РЕЕСТР РИСКОВ_2023'!J245="",F205,'РЕЕСТР РИСКОВ_2023'!J245),IF('INHERENT MAP'!$B$5=2022,IF(#REF!="",F205,#REF!),IF('INHERENT MAP'!$B$5=2023,IF(#REF!="",F205,#REF!),IF('INHERENT MAP'!$B$5=2024,IF(#REF!="",F205,#REF!),IF('РЕЕСТР РИСКОВ_2023'!J245="",F205,'РЕЕСТР РИСКОВ_2023'!J245)))))</f>
        <v>ЦКС, ЦКБ</v>
      </c>
      <c r="G206" t="str">
        <f>IF('INHERENT MAP'!$B$5=2021,IF('РЕЕСТР РИСКОВ_2023'!K245="",G205,'РЕЕСТР РИСКОВ_2023'!K245),IF('INHERENT MAP'!$B$5=2022,IF(#REF!="",G205,#REF!),IF('INHERENT MAP'!$B$5=2023,IF(#REF!="",G205,#REF!),IF('INHERENT MAP'!$B$5=2024,IF(#REF!="",G205,#REF!),IF('РЕЕСТР РИСКОВ_2023'!K245="",G205,'РЕЕСТР РИСКОВ_2023'!K245)))))</f>
        <v>Коррупционные риски при взаимодействии с финансовыми организациями</v>
      </c>
      <c r="H206">
        <f>IF('INHERENT MAP'!$B$5=2021,'РЕЕСТР РИСКОВ_2023'!L245,IF('INHERENT MAP'!$B$5=2022,#REF!,IF('INHERENT MAP'!$B$5=2023,#REF!,IF('INHERENT MAP'!$B$5=2024,#REF!,#REF!))))</f>
        <v>0</v>
      </c>
      <c r="I206">
        <f>IF('INHERENT MAP'!$B$5=2021,'РЕЕСТР РИСКОВ_2023'!M245,IF('INHERENT MAP'!$B$5=2022,#REF!,IF('INHERENT MAP'!$B$5=2023,#REF!,IF('INHERENT MAP'!$B$5=2024,#REF!,#REF!))))</f>
        <v>0</v>
      </c>
      <c r="J206">
        <f>IF('INHERENT MAP'!$B$5=2021,'РЕЕСТР РИСКОВ_2023'!N245,IF('INHERENT MAP'!$B$5=2022,#REF!,IF('INHERENT MAP'!$B$5=2023,#REF!,IF('INHERENT MAP'!$B$5=2024,#REF!,#REF!))))</f>
        <v>0</v>
      </c>
      <c r="K206">
        <f>IF('INHERENT MAP'!$B$5=2021,'РЕЕСТР РИСКОВ_2023'!O245,IF('INHERENT MAP'!$B$5=2022,#REF!,IF('INHERENT MAP'!$B$5=2023,#REF!,IF('INHERENT MAP'!$B$5=2024,#REF!,#REF!))))</f>
        <v>0</v>
      </c>
      <c r="L206">
        <f>IF('INHERENT MAP'!$B$5=2021,'РЕЕСТР РИСКОВ_2023'!P245,IF('INHERENT MAP'!$B$5=2022,#REF!,IF('INHERENT MAP'!$B$5=2023,#REF!,IF('INHERENT MAP'!$B$5=2024,#REF!,#REF!))))</f>
        <v>0</v>
      </c>
      <c r="M206" t="str">
        <f>IF('INHERENT MAP'!$B$5=2021,IF('РЕЕСТР РИСКОВ_2023'!Q245="",M205,'РЕЕСТР РИСКОВ_2023'!Q245),IF('INHERENT MAP'!$B$5=2022,IF(#REF!="",M205,#REF!),IF('INHERENT MAP'!$B$5=2023,IF(#REF!="",M205,#REF!),IF('INHERENT MAP'!$B$5=2024,IF(#REF!="",M205,#REF!),IF('РЕЕСТР РИСКОВ_2023'!Q245="",M205,'РЕЕСТР РИСКОВ_2023'!Q245)))))</f>
        <v>Риск коррупции при размещении долговых ценных бумаг</v>
      </c>
      <c r="N206" t="str">
        <f>IF('INHERENT MAP'!$B$5=2021,IF('РЕЕСТР РИСКОВ_2023'!R245="",N205,'РЕЕСТР РИСКОВ_2023'!R245),IF('INHERENT MAP'!$B$5=2022,IF(#REF!="",N205,#REF!),IF('INHERENT MAP'!$B$5=2023,IF(#REF!="",N205,#REF!),IF('INHERENT MAP'!$B$5=2024,IF(#REF!="",N205,#REF!),IF('РЕЕСТР РИСКОВ_2023'!R245="",N205,'РЕЕСТР РИСКОВ_2023'!R245)))))</f>
        <v xml:space="preserve">R10.3.CS1. Сговор с представителями с представителями организаций, оказывающих финансовые и юридические консультационные услуги, аффилированными с представителем Компании, или выплачивающими ему незаконное вознаграждение/предлагающими иную выгоду по вопросам организации размещения долговых ценных бумаг Компании, с целью получения личной выгоды. </v>
      </c>
      <c r="O206">
        <f>'РЕЕСТР РИСКОВ_2023'!T245</f>
        <v>0</v>
      </c>
      <c r="P206" t="e">
        <f>IF('РЕЕСТР РИСКОВ_2023'!U245="",P205,'РЕЕСТР РИСКОВ_2023'!U245)</f>
        <v>#REF!</v>
      </c>
      <c r="Q206" t="str">
        <f>IF('РЕЕСТР РИСКОВ_2023'!V245="",Q205,'РЕЕСТР РИСКОВ_2023'!V245)</f>
        <v>Угрозы</v>
      </c>
      <c r="R206" t="str">
        <f>IF('РЕЕСТР РИСКОВ_2023'!W245="",R205,'РЕЕСТР РИСКОВ_2023'!W245)</f>
        <v>Возможные индикаторы:
1) выбор организации, оказывающей финансовые/юридические консультационные услуги по вопросам организации размещения долговых ценных бумаг, не имеющей достаточного опыта в аналогичных сделках или на аналогичных рынках капитала;
2) отсутствие надлежащей процедуры мониторинга рейтинга организаций, оказывающей финансовые/юридические консультационные услуги;
3) отсутствие надлежащей процедуры принятия органами АО «НК «ҚТЖ» решения о выборе организации, оказывающей финансовые/юридические консультационные услуги.</v>
      </c>
      <c r="S206">
        <f>'РЕЕСТР РИСКОВ_2023'!X245</f>
        <v>0</v>
      </c>
      <c r="T206" s="94">
        <f>IF('INHERENT MAP'!$B$5=2021,'РЕЕСТР РИСКОВ_2023'!Y245,IF('INHERENT MAP'!$B$5=2022,#REF!,IF('INHERENT MAP'!$B$5=2023,#REF!,IF('INHERENT MAP'!$B$5=2024,#REF!,#REF!))))</f>
        <v>0</v>
      </c>
      <c r="U206">
        <f>IF('INHERENT MAP'!$B$5=2021,'РЕЕСТР РИСКОВ_2023'!Z245,IF('INHERENT MAP'!$B$5=2022,#REF!,IF('INHERENT MAP'!$B$5=2023,#REF!,IF('INHERENT MAP'!$B$5=2024,#REF!,#REF!))))</f>
        <v>0</v>
      </c>
      <c r="V206">
        <f>IF('INHERENT MAP'!$B$5=2021,'РЕЕСТР РИСКОВ_2023'!AA245,IF('INHERENT MAP'!$B$5=2022,#REF!,IF('INHERENT MAP'!$B$5=2023,#REF!,IF('INHERENT MAP'!$B$5=2024,#REF!,#REF!))))</f>
        <v>0</v>
      </c>
      <c r="W206">
        <f>IF('INHERENT MAP'!$B$5=2021,'РЕЕСТР РИСКОВ_2023'!AB245,IF('INHERENT MAP'!$B$5=2022,#REF!,IF('INHERENT MAP'!$B$5=2023,#REF!,IF('INHERENT MAP'!$B$5=2024,#REF!,#REF!))))</f>
        <v>0</v>
      </c>
      <c r="X206" s="94">
        <f>IF('INHERENT MAP'!$B$5=2021,'РЕЕСТР РИСКОВ_2023'!AC245,IF('INHERENT MAP'!$B$5=2022,#REF!,IF('INHERENT MAP'!$B$5=2023,#REF!,IF('INHERENT MAP'!$B$5=2024,#REF!,#REF!))))</f>
        <v>0</v>
      </c>
      <c r="Y206">
        <f>IF('INHERENT MAP'!$B$5=2021,'РЕЕСТР РИСКОВ_2023'!AD245,IF('INHERENT MAP'!$B$5=2022,#REF!,IF('INHERENT MAP'!$B$5=2023,#REF!,IF('INHERENT MAP'!$B$5=2024,#REF!,#REF!))))</f>
        <v>0</v>
      </c>
      <c r="Z206">
        <f>IF('INHERENT MAP'!$B$5=2021,'РЕЕСТР РИСКОВ_2023'!AE245,IF('INHERENT MAP'!$B$5=2022,#REF!,IF('INHERENT MAP'!$B$5=2023,#REF!,IF('INHERENT MAP'!$B$5=2024,#REF!,#REF!))))</f>
        <v>0</v>
      </c>
      <c r="AA206">
        <f>IF('INHERENT MAP'!$B$5=2021,'РЕЕСТР РИСКОВ_2023'!AF245,IF('INHERENT MAP'!$B$5=2022,#REF!,IF('INHERENT MAP'!$B$5=2023,#REF!,IF('INHERENT MAP'!$B$5=2024,#REF!,#REF!))))</f>
        <v>0</v>
      </c>
      <c r="AB206">
        <f>IF('INHERENT MAP'!$B$5=2021,'РЕЕСТР РИСКОВ_2023'!AG245,IF('INHERENT MAP'!$B$5=2022,#REF!,IF('INHERENT MAP'!$B$5=2023,#REF!,IF('INHERENT MAP'!$B$5=2024,#REF!,#REF!))))</f>
        <v>0</v>
      </c>
      <c r="AC206">
        <f>IF('INHERENT MAP'!$B$5=2021,'РЕЕСТР РИСКОВ_2023'!AH245,IF('INHERENT MAP'!$B$5=2022,#REF!,IF('INHERENT MAP'!$B$5=2023,#REF!,IF('INHERENT MAP'!$B$5=2024,#REF!,#REF!))))</f>
        <v>0</v>
      </c>
      <c r="AD206">
        <f>IF('INHERENT MAP'!$B$5=2021,'РЕЕСТР РИСКОВ_2023'!AI245,IF('INHERENT MAP'!$B$5=2022,#REF!,IF('INHERENT MAP'!$B$5=2023,#REF!,IF('INHERENT MAP'!$B$5=2024,#REF!,#REF!))))</f>
        <v>0</v>
      </c>
      <c r="AE206">
        <f>IF('INHERENT MAP'!$B$5=2021,'РЕЕСТР РИСКОВ_2023'!AK245,IF('INHERENT MAP'!$B$5=2022,#REF!,IF('INHERENT MAP'!$B$5=2023,#REF!,IF('INHERENT MAP'!$B$5=2024,#REF!,#REF!))))</f>
        <v>0</v>
      </c>
      <c r="AF206">
        <f>IF('INHERENT MAP'!$B$5=2021,'РЕЕСТР РИСКОВ_2023'!AL245,IF('INHERENT MAP'!$B$5=2022,#REF!,IF('INHERENT MAP'!$B$5=2023,#REF!,IF('INHERENT MAP'!$B$5=2024,#REF!,#REF!))))</f>
        <v>0</v>
      </c>
      <c r="AG206">
        <f>IF('INHERENT MAP'!$B$5=2021,'РЕЕСТР РИСКОВ_2023'!AM245,IF('INHERENT MAP'!$B$5=2022,#REF!,IF('INHERENT MAP'!$B$5=2023,#REF!,IF('INHERENT MAP'!$B$5=2024,#REF!,#REF!))))</f>
        <v>0</v>
      </c>
      <c r="AH206">
        <f>IF('INHERENT MAP'!$B$5=2021,'РЕЕСТР РИСКОВ_2023'!AN245,IF('INHERENT MAP'!$B$5=2022,#REF!,IF('INHERENT MAP'!$B$5=2023,#REF!,IF('INHERENT MAP'!$B$5=2024,#REF!,#REF!))))</f>
        <v>0</v>
      </c>
      <c r="AI206">
        <f>IF('INHERENT MAP'!$B$5=2021,'РЕЕСТР РИСКОВ_2023'!AO245,IF('INHERENT MAP'!$B$5=2022,#REF!,IF('INHERENT MAP'!$B$5=2023,#REF!,IF('INHERENT MAP'!$B$5=2024,#REF!,#REF!))))</f>
        <v>0</v>
      </c>
      <c r="AJ206">
        <f>IF('INHERENT MAP'!$B$5=2021,'РЕЕСТР РИСКОВ_2023'!AP245,IF('INHERENT MAP'!$B$5=2022,#REF!,IF('INHERENT MAP'!$B$5=2023,#REF!,IF('INHERENT MAP'!$B$5=2024,#REF!,#REF!))))</f>
        <v>0</v>
      </c>
      <c r="AK206">
        <f>IF('РЕЕСТР РИСКОВ_2023'!AQ245="",AK205,'РЕЕСТР РИСКОВ_2023'!AQ245)</f>
        <v>0</v>
      </c>
      <c r="AL206">
        <f>IF('РЕЕСТР РИСКОВ_2023'!AR245="",AL205,'РЕЕСТР РИСКОВ_2023'!AR245)</f>
        <v>1</v>
      </c>
      <c r="AM206">
        <f>IF('РЕЕСТР РИСКОВ_2023'!AS245="",AM205,'РЕЕСТР РИСКОВ_2023'!AS245)</f>
        <v>0</v>
      </c>
      <c r="AN206">
        <f>IF('РЕЕСТР РИСКОВ_2023'!AT245="",AN205,'РЕЕСТР РИСКОВ_2023'!AT245)</f>
        <v>0</v>
      </c>
      <c r="AO206" t="e">
        <f>IF('РЕЕСТР РИСКОВ_2023'!AU245="",AO205,'РЕЕСТР РИСКОВ_2023'!AU245)</f>
        <v>#REF!</v>
      </c>
    </row>
    <row r="207" spans="2:41">
      <c r="B207" t="str">
        <f>IF('INHERENT MAP'!$B$5=2021,IF('РЕЕСТР РИСКОВ_2023'!F246="",B206,'РЕЕСТР РИСКОВ_2023'!F246),IF('INHERENT MAP'!$B$5=2022,IF(#REF!="",B206,#REF!),IF('INHERENT MAP'!$B$5=2023,IF(#REF!="",B206,#REF!),IF('INHERENT MAP'!$B$5=2024,IF(#REF!="",B206,#REF!),IF('РЕЕСТР РИСКОВ_2023'!F246="",B206,'РЕЕСТР РИСКОВ_2023'!F246)))))</f>
        <v>КОМПЛАЕНС РИСК</v>
      </c>
      <c r="C207" t="e">
        <f>IF('INHERENT MAP'!$B$5=2021,IF('РЕЕСТР РИСКОВ_2023'!G246="",C206,'РЕЕСТР РИСКОВ_2023'!G246),IF('INHERENT MAP'!$B$5=2022,IF(#REF!="",C206,#REF!),IF('INHERENT MAP'!$B$5=2023,IF(#REF!="",C206,#REF!),IF('INHERENT MAP'!$B$5=2024,IF(#REF!="",C206,#REF!),IF('РЕЕСТР РИСКОВ_2023'!G246="",C206,'РЕЕСТР РИСКОВ_2023'!G246)))))</f>
        <v>#REF!</v>
      </c>
      <c r="D207" t="str">
        <f>IF('INHERENT MAP'!$B$5=2021,IF('РЕЕСТР РИСКОВ_2023'!H246="",D206,'РЕЕСТР РИСКОВ_2023'!H246),IF('INHERENT MAP'!$B$5=2022,IF(#REF!="",D206,#REF!),IF('INHERENT MAP'!$B$5=2023,IF(#REF!="",D206,#REF!),IF('INHERENT MAP'!$B$5=2024,IF(#REF!="",D206,#REF!),IF('РЕЕСТР РИСКОВ_2023'!H246="",D206,'РЕЕСТР РИСКОВ_2023'!H246)))))</f>
        <v>CRR-11</v>
      </c>
      <c r="E207" t="str">
        <f>IF('INHERENT MAP'!$B$5=2021,IF('РЕЕСТР РИСКОВ_2023'!I246="",E206,'РЕЕСТР РИСКОВ_2023'!I246),IF('INHERENT MAP'!$B$5=2022,IF(#REF!="",E206,#REF!),IF('INHERENT MAP'!$B$5=2023,IF(#REF!="",E206,#REF!),IF('INHERENT MAP'!$B$5=2024,IF(#REF!="",E206,#REF!),IF('РЕЕСТР РИСКОВ_2023'!I246="",E206,'РЕЕСТР РИСКОВ_2023'!I246)))))</f>
        <v>Ц</v>
      </c>
      <c r="F207" t="str">
        <f>IF('INHERENT MAP'!$B$5=2021,IF('РЕЕСТР РИСКОВ_2023'!J246="",F206,'РЕЕСТР РИСКОВ_2023'!J246),IF('INHERENT MAP'!$B$5=2022,IF(#REF!="",F206,#REF!),IF('INHERENT MAP'!$B$5=2023,IF(#REF!="",F206,#REF!),IF('INHERENT MAP'!$B$5=2024,IF(#REF!="",F206,#REF!),IF('РЕЕСТР РИСКОВ_2023'!J246="",F206,'РЕЕСТР РИСКОВ_2023'!J246)))))</f>
        <v>ЦКС, ЦКБ</v>
      </c>
      <c r="G207" t="str">
        <f>IF('INHERENT MAP'!$B$5=2021,IF('РЕЕСТР РИСКОВ_2023'!K246="",G206,'РЕЕСТР РИСКОВ_2023'!K246),IF('INHERENT MAP'!$B$5=2022,IF(#REF!="",G206,#REF!),IF('INHERENT MAP'!$B$5=2023,IF(#REF!="",G206,#REF!),IF('INHERENT MAP'!$B$5=2024,IF(#REF!="",G206,#REF!),IF('РЕЕСТР РИСКОВ_2023'!K246="",G206,'РЕЕСТР РИСКОВ_2023'!K246)))))</f>
        <v>Коррупционные риски в сфере охраны труда и техники безопасности</v>
      </c>
      <c r="H207">
        <f>IF('INHERENT MAP'!$B$5=2021,'РЕЕСТР РИСКОВ_2023'!L246,IF('INHERENT MAP'!$B$5=2022,#REF!,IF('INHERENT MAP'!$B$5=2023,#REF!,IF('INHERENT MAP'!$B$5=2024,#REF!,#REF!))))</f>
        <v>0</v>
      </c>
      <c r="I207">
        <f>IF('INHERENT MAP'!$B$5=2021,'РЕЕСТР РИСКОВ_2023'!M246,IF('INHERENT MAP'!$B$5=2022,#REF!,IF('INHERENT MAP'!$B$5=2023,#REF!,IF('INHERENT MAP'!$B$5=2024,#REF!,#REF!))))</f>
        <v>0</v>
      </c>
      <c r="J207">
        <f>IF('INHERENT MAP'!$B$5=2021,'РЕЕСТР РИСКОВ_2023'!N246,IF('INHERENT MAP'!$B$5=2022,#REF!,IF('INHERENT MAP'!$B$5=2023,#REF!,IF('INHERENT MAP'!$B$5=2024,#REF!,#REF!))))</f>
        <v>0</v>
      </c>
      <c r="K207">
        <f>IF('INHERENT MAP'!$B$5=2021,'РЕЕСТР РИСКОВ_2023'!O246,IF('INHERENT MAP'!$B$5=2022,#REF!,IF('INHERENT MAP'!$B$5=2023,#REF!,IF('INHERENT MAP'!$B$5=2024,#REF!,#REF!))))</f>
        <v>0</v>
      </c>
      <c r="L207">
        <f>IF('INHERENT MAP'!$B$5=2021,'РЕЕСТР РИСКОВ_2023'!P246,IF('INHERENT MAP'!$B$5=2022,#REF!,IF('INHERENT MAP'!$B$5=2023,#REF!,IF('INHERENT MAP'!$B$5=2024,#REF!,#REF!))))</f>
        <v>0</v>
      </c>
      <c r="M207" t="str">
        <f>IF('INHERENT MAP'!$B$5=2021,IF('РЕЕСТР РИСКОВ_2023'!Q246="",M206,'РЕЕСТР РИСКОВ_2023'!Q246),IF('INHERENT MAP'!$B$5=2022,IF(#REF!="",M206,#REF!),IF('INHERENT MAP'!$B$5=2023,IF(#REF!="",M206,#REF!),IF('INHERENT MAP'!$B$5=2024,IF(#REF!="",M206,#REF!),IF('РЕЕСТР РИСКОВ_2023'!Q246="",M206,'РЕЕСТР РИСКОВ_2023'!Q246)))))</f>
        <v xml:space="preserve">Риск сокрытия несчастного случая на производстве </v>
      </c>
      <c r="N207" t="str">
        <f>IF('INHERENT MAP'!$B$5=2021,IF('РЕЕСТР РИСКОВ_2023'!R246="",N206,'РЕЕСТР РИСКОВ_2023'!R246),IF('INHERENT MAP'!$B$5=2022,IF(#REF!="",N206,#REF!),IF('INHERENT MAP'!$B$5=2023,IF(#REF!="",N206,#REF!),IF('INHERENT MAP'!$B$5=2024,IF(#REF!="",N206,#REF!),IF('РЕЕСТР РИСКОВ_2023'!R246="",N206,'РЕЕСТР РИСКОВ_2023'!R246)))))</f>
        <v xml:space="preserve">R11.1.CS1. С целью извлечения личной выгоды и иных преимуществ, руководители региональных подразделений Компании скрывают факт производственного травматизма/несчастного случая в сговоре с работниками или третьими лицами.                     </v>
      </c>
      <c r="O207">
        <f>'РЕЕСТР РИСКОВ_2023'!T246</f>
        <v>0</v>
      </c>
      <c r="P207" t="e">
        <f>IF('РЕЕСТР РИСКОВ_2023'!U246="",P206,'РЕЕСТР РИСКОВ_2023'!U246)</f>
        <v>#REF!</v>
      </c>
      <c r="Q207" t="str">
        <f>IF('РЕЕСТР РИСКОВ_2023'!V246="",Q206,'РЕЕСТР РИСКОВ_2023'!V246)</f>
        <v>Угрозы</v>
      </c>
      <c r="R207" t="str">
        <f>IF('РЕЕСТР РИСКОВ_2023'!W246="",R206,'РЕЕСТР РИСКОВ_2023'!W246)</f>
        <v xml:space="preserve">Возможные индикаторы:
1) наличие жалоб со стороны работников либо третьих лиц;
2) письма и акты реагирования уполномоченного органа в области охраны труда;
3) необоснованная выплата заработной платы работникам Компании. </v>
      </c>
      <c r="S207">
        <f>'РЕЕСТР РИСКОВ_2023'!X246</f>
        <v>0</v>
      </c>
      <c r="T207" s="94">
        <f>IF('INHERENT MAP'!$B$5=2021,'РЕЕСТР РИСКОВ_2023'!Y246,IF('INHERENT MAP'!$B$5=2022,#REF!,IF('INHERENT MAP'!$B$5=2023,#REF!,IF('INHERENT MAP'!$B$5=2024,#REF!,#REF!))))</f>
        <v>0</v>
      </c>
      <c r="U207">
        <f>IF('INHERENT MAP'!$B$5=2021,'РЕЕСТР РИСКОВ_2023'!Z246,IF('INHERENT MAP'!$B$5=2022,#REF!,IF('INHERENT MAP'!$B$5=2023,#REF!,IF('INHERENT MAP'!$B$5=2024,#REF!,#REF!))))</f>
        <v>0</v>
      </c>
      <c r="V207">
        <f>IF('INHERENT MAP'!$B$5=2021,'РЕЕСТР РИСКОВ_2023'!AA246,IF('INHERENT MAP'!$B$5=2022,#REF!,IF('INHERENT MAP'!$B$5=2023,#REF!,IF('INHERENT MAP'!$B$5=2024,#REF!,#REF!))))</f>
        <v>0</v>
      </c>
      <c r="W207">
        <f>IF('INHERENT MAP'!$B$5=2021,'РЕЕСТР РИСКОВ_2023'!AB246,IF('INHERENT MAP'!$B$5=2022,#REF!,IF('INHERENT MAP'!$B$5=2023,#REF!,IF('INHERENT MAP'!$B$5=2024,#REF!,#REF!))))</f>
        <v>0</v>
      </c>
      <c r="X207" s="94">
        <f>IF('INHERENT MAP'!$B$5=2021,'РЕЕСТР РИСКОВ_2023'!AC246,IF('INHERENT MAP'!$B$5=2022,#REF!,IF('INHERENT MAP'!$B$5=2023,#REF!,IF('INHERENT MAP'!$B$5=2024,#REF!,#REF!))))</f>
        <v>0</v>
      </c>
      <c r="Y207">
        <f>IF('INHERENT MAP'!$B$5=2021,'РЕЕСТР РИСКОВ_2023'!AD246,IF('INHERENT MAP'!$B$5=2022,#REF!,IF('INHERENT MAP'!$B$5=2023,#REF!,IF('INHERENT MAP'!$B$5=2024,#REF!,#REF!))))</f>
        <v>0</v>
      </c>
      <c r="Z207">
        <f>IF('INHERENT MAP'!$B$5=2021,'РЕЕСТР РИСКОВ_2023'!AE246,IF('INHERENT MAP'!$B$5=2022,#REF!,IF('INHERENT MAP'!$B$5=2023,#REF!,IF('INHERENT MAP'!$B$5=2024,#REF!,#REF!))))</f>
        <v>0</v>
      </c>
      <c r="AA207">
        <f>IF('INHERENT MAP'!$B$5=2021,'РЕЕСТР РИСКОВ_2023'!AF246,IF('INHERENT MAP'!$B$5=2022,#REF!,IF('INHERENT MAP'!$B$5=2023,#REF!,IF('INHERENT MAP'!$B$5=2024,#REF!,#REF!))))</f>
        <v>0</v>
      </c>
      <c r="AB207">
        <f>IF('INHERENT MAP'!$B$5=2021,'РЕЕСТР РИСКОВ_2023'!AG246,IF('INHERENT MAP'!$B$5=2022,#REF!,IF('INHERENT MAP'!$B$5=2023,#REF!,IF('INHERENT MAP'!$B$5=2024,#REF!,#REF!))))</f>
        <v>0</v>
      </c>
      <c r="AC207">
        <f>IF('INHERENT MAP'!$B$5=2021,'РЕЕСТР РИСКОВ_2023'!AH246,IF('INHERENT MAP'!$B$5=2022,#REF!,IF('INHERENT MAP'!$B$5=2023,#REF!,IF('INHERENT MAP'!$B$5=2024,#REF!,#REF!))))</f>
        <v>0</v>
      </c>
      <c r="AD207" t="str">
        <f>IF('INHERENT MAP'!$B$5=2021,'РЕЕСТР РИСКОВ_2023'!AI246,IF('INHERENT MAP'!$B$5=2022,#REF!,IF('INHERENT MAP'!$B$5=2023,#REF!,IF('INHERENT MAP'!$B$5=2024,#REF!,#REF!))))</f>
        <v xml:space="preserve">Подписание руководителями региональных подразделений Компании при приеме на работу или продолжении трудовых отношений антикоррупционных ограничений, а также обязательств должностных лиц и работников следовать  и неукоснительно соблюдать антикоррупционное законодательство РК и Политику противодействия коррупции </v>
      </c>
      <c r="AE207">
        <f>IF('INHERENT MAP'!$B$5=2021,'РЕЕСТР РИСКОВ_2023'!AK246,IF('INHERENT MAP'!$B$5=2022,#REF!,IF('INHERENT MAP'!$B$5=2023,#REF!,IF('INHERENT MAP'!$B$5=2024,#REF!,#REF!))))</f>
        <v>0</v>
      </c>
      <c r="AF207">
        <f>IF('INHERENT MAP'!$B$5=2021,'РЕЕСТР РИСКОВ_2023'!AL246,IF('INHERENT MAP'!$B$5=2022,#REF!,IF('INHERENT MAP'!$B$5=2023,#REF!,IF('INHERENT MAP'!$B$5=2024,#REF!,#REF!))))</f>
        <v>0</v>
      </c>
      <c r="AG207">
        <f>IF('INHERENT MAP'!$B$5=2021,'РЕЕСТР РИСКОВ_2023'!AM246,IF('INHERENT MAP'!$B$5=2022,#REF!,IF('INHERENT MAP'!$B$5=2023,#REF!,IF('INHERENT MAP'!$B$5=2024,#REF!,#REF!))))</f>
        <v>0</v>
      </c>
      <c r="AH207">
        <f>IF('INHERENT MAP'!$B$5=2021,'РЕЕСТР РИСКОВ_2023'!AN246,IF('INHERENT MAP'!$B$5=2022,#REF!,IF('INHERENT MAP'!$B$5=2023,#REF!,IF('INHERENT MAP'!$B$5=2024,#REF!,#REF!))))</f>
        <v>0</v>
      </c>
      <c r="AI207">
        <f>IF('INHERENT MAP'!$B$5=2021,'РЕЕСТР РИСКОВ_2023'!AO246,IF('INHERENT MAP'!$B$5=2022,#REF!,IF('INHERENT MAP'!$B$5=2023,#REF!,IF('INHERENT MAP'!$B$5=2024,#REF!,#REF!))))</f>
        <v>0</v>
      </c>
      <c r="AJ207">
        <f>IF('INHERENT MAP'!$B$5=2021,'РЕЕСТР РИСКОВ_2023'!AP246,IF('INHERENT MAP'!$B$5=2022,#REF!,IF('INHERENT MAP'!$B$5=2023,#REF!,IF('INHERENT MAP'!$B$5=2024,#REF!,#REF!))))</f>
        <v>0</v>
      </c>
      <c r="AK207">
        <f>IF('РЕЕСТР РИСКОВ_2023'!AQ246="",AK206,'РЕЕСТР РИСКОВ_2023'!AQ246)</f>
        <v>0</v>
      </c>
      <c r="AL207">
        <f>IF('РЕЕСТР РИСКОВ_2023'!AR246="",AL206,'РЕЕСТР РИСКОВ_2023'!AR246)</f>
        <v>1</v>
      </c>
      <c r="AM207">
        <f>IF('РЕЕСТР РИСКОВ_2023'!AS246="",AM206,'РЕЕСТР РИСКОВ_2023'!AS246)</f>
        <v>0</v>
      </c>
      <c r="AN207">
        <f>IF('РЕЕСТР РИСКОВ_2023'!AT246="",AN206,'РЕЕСТР РИСКОВ_2023'!AT246)</f>
        <v>0</v>
      </c>
      <c r="AO207" t="e">
        <f>IF('РЕЕСТР РИСКОВ_2023'!AU246="",AO206,'РЕЕСТР РИСКОВ_2023'!AU246)</f>
        <v>#REF!</v>
      </c>
    </row>
    <row r="208" spans="2:41">
      <c r="B208" t="str">
        <f>IF('INHERENT MAP'!$B$5=2021,IF('РЕЕСТР РИСКОВ_2023'!F247="",B207,'РЕЕСТР РИСКОВ_2023'!F247),IF('INHERENT MAP'!$B$5=2022,IF(#REF!="",B207,#REF!),IF('INHERENT MAP'!$B$5=2023,IF(#REF!="",B207,#REF!),IF('INHERENT MAP'!$B$5=2024,IF(#REF!="",B207,#REF!),IF('РЕЕСТР РИСКОВ_2023'!F247="",B207,'РЕЕСТР РИСКОВ_2023'!F247)))))</f>
        <v>РЕПУТАЦИОННЫЙ РИСК</v>
      </c>
      <c r="C208" t="e">
        <f>IF('INHERENT MAP'!$B$5=2021,IF('РЕЕСТР РИСКОВ_2023'!G247="",C207,'РЕЕСТР РИСКОВ_2023'!G247),IF('INHERENT MAP'!$B$5=2022,IF(#REF!="",C207,#REF!),IF('INHERENT MAP'!$B$5=2023,IF(#REF!="",C207,#REF!),IF('INHERENT MAP'!$B$5=2024,IF(#REF!="",C207,#REF!),IF('РЕЕСТР РИСКОВ_2023'!G247="",C207,'РЕЕСТР РИСКОВ_2023'!G247)))))</f>
        <v>#REF!</v>
      </c>
      <c r="D208" t="str">
        <f>IF('INHERENT MAP'!$B$5=2021,IF('РЕЕСТР РИСКОВ_2023'!H247="",D207,'РЕЕСТР РИСКОВ_2023'!H247),IF('INHERENT MAP'!$B$5=2022,IF(#REF!="",D207,#REF!),IF('INHERENT MAP'!$B$5=2023,IF(#REF!="",D207,#REF!),IF('INHERENT MAP'!$B$5=2024,IF(#REF!="",D207,#REF!),IF('РЕЕСТР РИСКОВ_2023'!H247="",D207,'РЕЕСТР РИСКОВ_2023'!H247)))))</f>
        <v>RP-1</v>
      </c>
      <c r="E208" t="str">
        <f>IF('INHERENT MAP'!$B$5=2021,IF('РЕЕСТР РИСКОВ_2023'!I247="",E207,'РЕЕСТР РИСКОВ_2023'!I247),IF('INHERENT MAP'!$B$5=2022,IF(#REF!="",E207,#REF!),IF('INHERENT MAP'!$B$5=2023,IF(#REF!="",E207,#REF!),IF('INHERENT MAP'!$B$5=2024,IF(#REF!="",E207,#REF!),IF('РЕЕСТР РИСКОВ_2023'!I247="",E207,'РЕЕСТР РИСКОВ_2023'!I247)))))</f>
        <v>Ц</v>
      </c>
      <c r="F208" t="str">
        <f>IF('INHERENT MAP'!$B$5=2021,IF('РЕЕСТР РИСКОВ_2023'!J247="",F207,'РЕЕСТР РИСКОВ_2023'!J247),IF('INHERENT MAP'!$B$5=2022,IF(#REF!="",F207,#REF!),IF('INHERENT MAP'!$B$5=2023,IF(#REF!="",F207,#REF!),IF('INHERENT MAP'!$B$5=2024,IF(#REF!="",F207,#REF!),IF('РЕЕСТР РИСКОВ_2023'!J247="",F207,'РЕЕСТР РИСКОВ_2023'!J247)))))</f>
        <v xml:space="preserve"> Департамент по работе со СМИ</v>
      </c>
      <c r="G208" t="str">
        <f>IF('INHERENT MAP'!$B$5=2021,IF('РЕЕСТР РИСКОВ_2023'!K247="",G207,'РЕЕСТР РИСКОВ_2023'!K247),IF('INHERENT MAP'!$B$5=2022,IF(#REF!="",G207,#REF!),IF('INHERENT MAP'!$B$5=2023,IF(#REF!="",G207,#REF!),IF('INHERENT MAP'!$B$5=2024,IF(#REF!="",G207,#REF!),IF('РЕЕСТР РИСКОВ_2023'!K247="",G207,'РЕЕСТР РИСКОВ_2023'!K247)))))</f>
        <v>Снижение репутации Компании</v>
      </c>
      <c r="H208">
        <f>IF('INHERENT MAP'!$B$5=2021,'РЕЕСТР РИСКОВ_2023'!L247,IF('INHERENT MAP'!$B$5=2022,#REF!,IF('INHERENT MAP'!$B$5=2023,#REF!,IF('INHERENT MAP'!$B$5=2024,#REF!,#REF!))))</f>
        <v>0</v>
      </c>
      <c r="I208">
        <f>IF('INHERENT MAP'!$B$5=2021,'РЕЕСТР РИСКОВ_2023'!M247,IF('INHERENT MAP'!$B$5=2022,#REF!,IF('INHERENT MAP'!$B$5=2023,#REF!,IF('INHERENT MAP'!$B$5=2024,#REF!,#REF!))))</f>
        <v>0</v>
      </c>
      <c r="J208">
        <f>IF('INHERENT MAP'!$B$5=2021,'РЕЕСТР РИСКОВ_2023'!N247,IF('INHERENT MAP'!$B$5=2022,#REF!,IF('INHERENT MAP'!$B$5=2023,#REF!,IF('INHERENT MAP'!$B$5=2024,#REF!,#REF!))))</f>
        <v>0</v>
      </c>
      <c r="K208">
        <f>IF('INHERENT MAP'!$B$5=2021,'РЕЕСТР РИСКОВ_2023'!O247,IF('INHERENT MAP'!$B$5=2022,#REF!,IF('INHERENT MAP'!$B$5=2023,#REF!,IF('INHERENT MAP'!$B$5=2024,#REF!,#REF!))))</f>
        <v>0</v>
      </c>
      <c r="L208">
        <f>IF('INHERENT MAP'!$B$5=2021,'РЕЕСТР РИСКОВ_2023'!P247,IF('INHERENT MAP'!$B$5=2022,#REF!,IF('INHERENT MAP'!$B$5=2023,#REF!,IF('INHERENT MAP'!$B$5=2024,#REF!,#REF!))))</f>
        <v>0</v>
      </c>
      <c r="M208" t="str">
        <f>IF('INHERENT MAP'!$B$5=2021,IF('РЕЕСТР РИСКОВ_2023'!Q247="",M207,'РЕЕСТР РИСКОВ_2023'!Q247),IF('INHERENT MAP'!$B$5=2022,IF(#REF!="",M207,#REF!),IF('INHERENT MAP'!$B$5=2023,IF(#REF!="",M207,#REF!),IF('INHERENT MAP'!$B$5=2024,IF(#REF!="",M207,#REF!),IF('РЕЕСТР РИСКОВ_2023'!Q247="",M207,'РЕЕСТР РИСКОВ_2023'!Q247)))))</f>
        <v xml:space="preserve">Рост негативной информации в СМИ и социальных сетях в случаях возникновения нестандартных ситуаций, чрезвычайных происшествий на железнодорожном транспорте.
Негативные публикации в СМИ и социальных сетях о фактах некачественного оказания услуг в сфере железнодорожных грузовых перевозок. 
Негативные публикации в СМИ и социальных сетях о фактах отсутствия комфортных условий в поездах, некачественном оказании услуг в сфере пассажирских перевозок.
Неинформированность  и/или дезинформированность населения о деятельности Компании.
Несвоевременное реагирование на негативные комментарии, не предоставление ответов на обращения граждан  через социальные сети. 
</v>
      </c>
      <c r="N208" t="str">
        <f>IF('INHERENT MAP'!$B$5=2021,IF('РЕЕСТР РИСКОВ_2023'!R247="",N207,'РЕЕСТР РИСКОВ_2023'!R247),IF('INHERENT MAP'!$B$5=2022,IF(#REF!="",N207,#REF!),IF('INHERENT MAP'!$B$5=2023,IF(#REF!="",N207,#REF!),IF('INHERENT MAP'!$B$5=2024,IF(#REF!="",N207,#REF!),IF('РЕЕСТР РИСКОВ_2023'!R247="",N207,'РЕЕСТР РИСКОВ_2023'!R247)))))</f>
        <v xml:space="preserve">R11.1.CS1. С целью извлечения личной выгоды и иных преимуществ, руководители региональных подразделений Компании скрывают факт производственного травматизма/несчастного случая в сговоре с работниками или третьими лицами.                     </v>
      </c>
      <c r="O208">
        <f>'РЕЕСТР РИСКОВ_2023'!T247</f>
        <v>0</v>
      </c>
      <c r="P208" t="e">
        <f>IF('РЕЕСТР РИСКОВ_2023'!U247="",P207,'РЕЕСТР РИСКОВ_2023'!U247)</f>
        <v>#REF!</v>
      </c>
      <c r="Q208" t="str">
        <f>IF('РЕЕСТР РИСКОВ_2023'!V247="",Q207,'РЕЕСТР РИСКОВ_2023'!V247)</f>
        <v>Слабые стороны</v>
      </c>
      <c r="R208" t="str">
        <f>IF('РЕЕСТР РИСКОВ_2023'!W247="",R207,'РЕЕСТР РИСКОВ_2023'!W247)</f>
        <v xml:space="preserve">Возможные индикаторы:
1) наличие жалоб со стороны работников либо третьих лиц;
2) письма и акты реагирования уполномоченного органа в области охраны труда;
3) необоснованная выплата заработной платы работникам Компании. </v>
      </c>
      <c r="S208">
        <f>'РЕЕСТР РИСКОВ_2023'!X247</f>
        <v>0</v>
      </c>
      <c r="T208" s="94">
        <f>IF('INHERENT MAP'!$B$5=2021,'РЕЕСТР РИСКОВ_2023'!Y247,IF('INHERENT MAP'!$B$5=2022,#REF!,IF('INHERENT MAP'!$B$5=2023,#REF!,IF('INHERENT MAP'!$B$5=2024,#REF!,#REF!))))</f>
        <v>0.4</v>
      </c>
      <c r="U208">
        <f>IF('INHERENT MAP'!$B$5=2021,'РЕЕСТР РИСКОВ_2023'!Z247,IF('INHERENT MAP'!$B$5=2022,#REF!,IF('INHERENT MAP'!$B$5=2023,#REF!,IF('INHERENT MAP'!$B$5=2024,#REF!,#REF!))))</f>
        <v>0</v>
      </c>
      <c r="V208">
        <f>IF('INHERENT MAP'!$B$5=2021,'РЕЕСТР РИСКОВ_2023'!AA247,IF('INHERENT MAP'!$B$5=2022,#REF!,IF('INHERENT MAP'!$B$5=2023,#REF!,IF('INHERENT MAP'!$B$5=2024,#REF!,#REF!))))</f>
        <v>0</v>
      </c>
      <c r="W208">
        <f>IF('INHERENT MAP'!$B$5=2021,'РЕЕСТР РИСКОВ_2023'!AB247,IF('INHERENT MAP'!$B$5=2022,#REF!,IF('INHERENT MAP'!$B$5=2023,#REF!,IF('INHERENT MAP'!$B$5=2024,#REF!,#REF!))))</f>
        <v>0</v>
      </c>
      <c r="X208" s="94">
        <f>IF('INHERENT MAP'!$B$5=2021,'РЕЕСТР РИСКОВ_2023'!AC247,IF('INHERENT MAP'!$B$5=2022,#REF!,IF('INHERENT MAP'!$B$5=2023,#REF!,IF('INHERENT MAP'!$B$5=2024,#REF!,#REF!))))</f>
        <v>0.4</v>
      </c>
      <c r="Y208">
        <f>IF('INHERENT MAP'!$B$5=2021,'РЕЕСТР РИСКОВ_2023'!AD247,IF('INHERENT MAP'!$B$5=2022,#REF!,IF('INHERENT MAP'!$B$5=2023,#REF!,IF('INHERENT MAP'!$B$5=2024,#REF!,#REF!))))</f>
        <v>0</v>
      </c>
      <c r="Z208">
        <f>IF('INHERENT MAP'!$B$5=2021,'РЕЕСТР РИСКОВ_2023'!AE247,IF('INHERENT MAP'!$B$5=2022,#REF!,IF('INHERENT MAP'!$B$5=2023,#REF!,IF('INHERENT MAP'!$B$5=2024,#REF!,#REF!))))</f>
        <v>0</v>
      </c>
      <c r="AA208">
        <f>IF('INHERENT MAP'!$B$5=2021,'РЕЕСТР РИСКОВ_2023'!AF247,IF('INHERENT MAP'!$B$5=2022,#REF!,IF('INHERENT MAP'!$B$5=2023,#REF!,IF('INHERENT MAP'!$B$5=2024,#REF!,#REF!))))</f>
        <v>0</v>
      </c>
      <c r="AB208">
        <f>IF('INHERENT MAP'!$B$5=2021,'РЕЕСТР РИСКОВ_2023'!AG247,IF('INHERENT MAP'!$B$5=2022,#REF!,IF('INHERENT MAP'!$B$5=2023,#REF!,IF('INHERENT MAP'!$B$5=2024,#REF!,#REF!))))</f>
        <v>0</v>
      </c>
      <c r="AC208">
        <f>IF('INHERENT MAP'!$B$5=2021,'РЕЕСТР РИСКОВ_2023'!AH247,IF('INHERENT MAP'!$B$5=2022,#REF!,IF('INHERENT MAP'!$B$5=2023,#REF!,IF('INHERENT MAP'!$B$5=2024,#REF!,#REF!))))</f>
        <v>0</v>
      </c>
      <c r="AD208" t="str">
        <f>IF('INHERENT MAP'!$B$5=2021,'РЕЕСТР РИСКОВ_2023'!AI247,IF('INHERENT MAP'!$B$5=2022,#REF!,IF('INHERENT MAP'!$B$5=2023,#REF!,IF('INHERENT MAP'!$B$5=2024,#REF!,#REF!))))</f>
        <v xml:space="preserve">Оперативная подготовка,  распространение  официальных информационных сообщений о нестандартных ситуациях, чрезвычайных происшествиях на железнодорожном транспорте.
Подготовка и размещение на корпоративном веб-сайте, в СМИ и социальных сетях официального ответа от имени Компании. Размещение позитивного контента в СМИ, социальные медиа. 
Официальное заявление  (опровержение) для СМИ (пресс-релиз).  Работа с  редакторами и корреспондентами  по принципу обратной связи-фидбэк. Координация работы по поддержке корпоративного web-сайта компании. 
 Электронный учет входящих и исходящих писем, обеспечение своевременного предоставления ответов на обращения граждан. 
</v>
      </c>
      <c r="AE208" t="str">
        <f>IF('INHERENT MAP'!$B$5=2021,'РЕЕСТР РИСКОВ_2023'!AK247,IF('INHERENT MAP'!$B$5=2022,#REF!,IF('INHERENT MAP'!$B$5=2023,#REF!,IF('INHERENT MAP'!$B$5=2024,#REF!,#REF!))))</f>
        <v xml:space="preserve"> Департамент по работе со СМИ</v>
      </c>
      <c r="AF208">
        <f>IF('INHERENT MAP'!$B$5=2021,'РЕЕСТР РИСКОВ_2023'!AL247,IF('INHERENT MAP'!$B$5=2022,#REF!,IF('INHERENT MAP'!$B$5=2023,#REF!,IF('INHERENT MAP'!$B$5=2024,#REF!,#REF!))))</f>
        <v>0</v>
      </c>
      <c r="AG208" t="str">
        <f>IF('INHERENT MAP'!$B$5=2021,'РЕЕСТР РИСКОВ_2023'!AM247,IF('INHERENT MAP'!$B$5=2022,#REF!,IF('INHERENT MAP'!$B$5=2023,#REF!,IF('INHERENT MAP'!$B$5=2024,#REF!,#REF!))))</f>
        <v>средняя</v>
      </c>
      <c r="AH208">
        <f>IF('INHERENT MAP'!$B$5=2021,'РЕЕСТР РИСКОВ_2023'!AN247,IF('INHERENT MAP'!$B$5=2022,#REF!,IF('INHERENT MAP'!$B$5=2023,#REF!,IF('INHERENT MAP'!$B$5=2024,#REF!,#REF!))))</f>
        <v>0.2</v>
      </c>
      <c r="AI208">
        <f>IF('INHERENT MAP'!$B$5=2021,'РЕЕСТР РИСКОВ_2023'!AO247,IF('INHERENT MAP'!$B$5=2022,#REF!,IF('INHERENT MAP'!$B$5=2023,#REF!,IF('INHERENT MAP'!$B$5=2024,#REF!,#REF!))))</f>
        <v>0</v>
      </c>
      <c r="AJ208">
        <f>IF('INHERENT MAP'!$B$5=2021,'РЕЕСТР РИСКОВ_2023'!AP247,IF('INHERENT MAP'!$B$5=2022,#REF!,IF('INHERENT MAP'!$B$5=2023,#REF!,IF('INHERENT MAP'!$B$5=2024,#REF!,#REF!))))</f>
        <v>0</v>
      </c>
      <c r="AK208">
        <f>IF('РЕЕСТР РИСКОВ_2023'!AQ247="",AK207,'РЕЕСТР РИСКОВ_2023'!AQ247)</f>
        <v>0</v>
      </c>
      <c r="AL208">
        <f>IF('РЕЕСТР РИСКОВ_2023'!AR247="",AL207,'РЕЕСТР РИСКОВ_2023'!AR247)</f>
        <v>0.2</v>
      </c>
      <c r="AM208">
        <f>IF('РЕЕСТР РИСКОВ_2023'!AS247="",AM207,'РЕЕСТР РИСКОВ_2023'!AS247)</f>
        <v>0</v>
      </c>
      <c r="AN208">
        <f>IF('РЕЕСТР РИСКОВ_2023'!AT247="",AN207,'РЕЕСТР РИСКОВ_2023'!AT247)</f>
        <v>0</v>
      </c>
      <c r="AO208" t="e">
        <f>IF('РЕЕСТР РИСКОВ_2023'!AU247="",AO207,'РЕЕСТР РИСКОВ_2023'!AU247)</f>
        <v>#REF!</v>
      </c>
    </row>
    <row r="209" spans="2:41">
      <c r="B209" t="str">
        <f>IF('INHERENT MAP'!$B$5=2021,IF('РЕЕСТР РИСКОВ_2023'!F248="",B208,'РЕЕСТР РИСКОВ_2023'!F248),IF('INHERENT MAP'!$B$5=2022,IF(#REF!="",B208,#REF!),IF('INHERENT MAP'!$B$5=2023,IF(#REF!="",B208,#REF!),IF('INHERENT MAP'!$B$5=2024,IF(#REF!="",B208,#REF!),IF('РЕЕСТР РИСКОВ_2023'!F248="",B208,'РЕЕСТР РИСКОВ_2023'!F248)))))</f>
        <v>РЕПУТАЦИОННЫЙ РИСК</v>
      </c>
      <c r="C209" t="e">
        <f>IF('INHERENT MAP'!$B$5=2021,IF('РЕЕСТР РИСКОВ_2023'!G248="",C208,'РЕЕСТР РИСКОВ_2023'!G248),IF('INHERENT MAP'!$B$5=2022,IF(#REF!="",C208,#REF!),IF('INHERENT MAP'!$B$5=2023,IF(#REF!="",C208,#REF!),IF('INHERENT MAP'!$B$5=2024,IF(#REF!="",C208,#REF!),IF('РЕЕСТР РИСКОВ_2023'!G248="",C208,'РЕЕСТР РИСКОВ_2023'!G248)))))</f>
        <v>#REF!</v>
      </c>
      <c r="D209" t="str">
        <f>IF('INHERENT MAP'!$B$5=2021,IF('РЕЕСТР РИСКОВ_2023'!H248="",D208,'РЕЕСТР РИСКОВ_2023'!H248),IF('INHERENT MAP'!$B$5=2022,IF(#REF!="",D208,#REF!),IF('INHERENT MAP'!$B$5=2023,IF(#REF!="",D208,#REF!),IF('INHERENT MAP'!$B$5=2024,IF(#REF!="",D208,#REF!),IF('РЕЕСТР РИСКОВ_2023'!H248="",D208,'РЕЕСТР РИСКОВ_2023'!H248)))))</f>
        <v>RP-2</v>
      </c>
      <c r="E209" t="str">
        <f>IF('INHERENT MAP'!$B$5=2021,IF('РЕЕСТР РИСКОВ_2023'!I248="",E208,'РЕЕСТР РИСКОВ_2023'!I248),IF('INHERENT MAP'!$B$5=2022,IF(#REF!="",E208,#REF!),IF('INHERENT MAP'!$B$5=2023,IF(#REF!="",E208,#REF!),IF('INHERENT MAP'!$B$5=2024,IF(#REF!="",E208,#REF!),IF('РЕЕСТР РИСКОВ_2023'!I248="",E208,'РЕЕСТР РИСКОВ_2023'!I248)))))</f>
        <v>ЦЗФ</v>
      </c>
      <c r="F209" t="str">
        <f>IF('INHERENT MAP'!$B$5=2021,IF('РЕЕСТР РИСКОВ_2023'!J248="",F208,'РЕЕСТР РИСКОВ_2023'!J248),IF('INHERENT MAP'!$B$5=2022,IF(#REF!="",F208,#REF!),IF('INHERENT MAP'!$B$5=2023,IF(#REF!="",F208,#REF!),IF('INHERENT MAP'!$B$5=2024,IF(#REF!="",F208,#REF!),IF('РЕЕСТР РИСКОВ_2023'!J248="",F208,'РЕЕСТР РИСКОВ_2023'!J248)))))</f>
        <v>Департамент бухгалтерского учета</v>
      </c>
      <c r="G209" t="str">
        <f>IF('INHERENT MAP'!$B$5=2021,IF('РЕЕСТР РИСКОВ_2023'!K248="",G208,'РЕЕСТР РИСКОВ_2023'!K248),IF('INHERENT MAP'!$B$5=2022,IF(#REF!="",G208,#REF!),IF('INHERENT MAP'!$B$5=2023,IF(#REF!="",G208,#REF!),IF('INHERENT MAP'!$B$5=2024,IF(#REF!="",G208,#REF!),IF('РЕЕСТР РИСКОВ_2023'!K248="",G208,'РЕЕСТР РИСКОВ_2023'!K248)))))</f>
        <v>Недостоверность финансовой отчетности</v>
      </c>
      <c r="H209">
        <f>IF('INHERENT MAP'!$B$5=2021,'РЕЕСТР РИСКОВ_2023'!L248,IF('INHERENT MAP'!$B$5=2022,#REF!,IF('INHERENT MAP'!$B$5=2023,#REF!,IF('INHERENT MAP'!$B$5=2024,#REF!,#REF!))))</f>
        <v>0</v>
      </c>
      <c r="I209">
        <f>IF('INHERENT MAP'!$B$5=2021,'РЕЕСТР РИСКОВ_2023'!M248,IF('INHERENT MAP'!$B$5=2022,#REF!,IF('INHERENT MAP'!$B$5=2023,#REF!,IF('INHERENT MAP'!$B$5=2024,#REF!,#REF!))))</f>
        <v>0</v>
      </c>
      <c r="J209">
        <f>IF('INHERENT MAP'!$B$5=2021,'РЕЕСТР РИСКОВ_2023'!N248,IF('INHERENT MAP'!$B$5=2022,#REF!,IF('INHERENT MAP'!$B$5=2023,#REF!,IF('INHERENT MAP'!$B$5=2024,#REF!,#REF!))))</f>
        <v>0</v>
      </c>
      <c r="K209">
        <f>IF('INHERENT MAP'!$B$5=2021,'РЕЕСТР РИСКОВ_2023'!O248,IF('INHERENT MAP'!$B$5=2022,#REF!,IF('INHERENT MAP'!$B$5=2023,#REF!,IF('INHERENT MAP'!$B$5=2024,#REF!,#REF!))))</f>
        <v>0</v>
      </c>
      <c r="L209">
        <f>IF('INHERENT MAP'!$B$5=2021,'РЕЕСТР РИСКОВ_2023'!P248,IF('INHERENT MAP'!$B$5=2022,#REF!,IF('INHERENT MAP'!$B$5=2023,#REF!,IF('INHERENT MAP'!$B$5=2024,#REF!,#REF!))))</f>
        <v>0</v>
      </c>
      <c r="M209" t="str">
        <f>IF('INHERENT MAP'!$B$5=2021,IF('РЕЕСТР РИСКОВ_2023'!Q248="",M208,'РЕЕСТР РИСКОВ_2023'!Q248),IF('INHERENT MAP'!$B$5=2022,IF(#REF!="",M208,#REF!),IF('INHERENT MAP'!$B$5=2023,IF(#REF!="",M208,#REF!),IF('INHERENT MAP'!$B$5=2024,IF(#REF!="",M208,#REF!),IF('РЕЕСТР РИСКОВ_2023'!Q248="",M208,'РЕЕСТР РИСКОВ_2023'!Q248)))))</f>
        <v>1. Предоставление некорректной/неполной, недостоверной, несвоевременной информации и первичных документов причастными департаментами филиалу АО "НК "ҚТЖ"- "Многофункциональный центр обслуживания" (далее - ЦФО) и дочерним компаниям АО «НК «ҚТЖ», Департаменту бухгалтерского учета. 
2. Некорректное отражение операций ЦФО и дочерними компаниями АО «НК «ҚТЖ» в бухгалтерских системах.
3. Несоответствие финансовой отчетности учетным принципам и МСФО.
4. Текучесть профессиональных кадров из-за того, что установленная фактическая заработная плата специалистов, задействованных в формировании финансовой отчетности АО «НК «КТЖ», не соответствует уровню заработной платы аналогичных специалистов на рынке труда, а также ухудшение состояния здоровья сотрудников и психологического климата в коллективе в связи со сверхурочной работой в будние дни, работой в выходные и праздничные дни. 
5. Сокращение сотрудников Департамента бухгалтерского учета.
6. Отсутствие материальной заинтересованности работников, осуществление сверхурочной работы в будние дни, работа в выходные и праздничные дни;                                               
7. Недостаточный уровень знаний, навыков у специалистов структурного подразделения ЦФО, в дочерних компаниях АО «НК «ҚТЖ», Департамента бухгалтерского учета.
8. Отсутствие процесса взаимозаменяемости кадров в бухгалтерских службах структурного подразделения и дочерних компаниях АО «НК «ҚТЖ», Департаменте бухгалтерского учета.
9. Недостаточные объемы памяти и мощности сервера хранения данных. Потеря информации и данных с сервера, замедление процесса формирования финансовой отчетности.
10. Сбой транзакционных систем и SAP BW.
11. Некорректный перенос данных из системы Фаворит, 1:С в систему SAP дочерними компаниями  АО «НК «ҚТЖ». 
12. Искажение информации при применении ручных расчетов.</v>
      </c>
      <c r="N209" t="str">
        <f>IF('INHERENT MAP'!$B$5=2021,IF('РЕЕСТР РИСКОВ_2023'!R248="",N208,'РЕЕСТР РИСКОВ_2023'!R248),IF('INHERENT MAP'!$B$5=2022,IF(#REF!="",N208,#REF!),IF('INHERENT MAP'!$B$5=2023,IF(#REF!="",N208,#REF!),IF('INHERENT MAP'!$B$5=2024,IF(#REF!="",N208,#REF!),IF('РЕЕСТР РИСКОВ_2023'!R248="",N208,'РЕЕСТР РИСКОВ_2023'!R248)))))</f>
        <v xml:space="preserve">R11.1.CS1. С целью извлечения личной выгоды и иных преимуществ, руководители региональных подразделений Компании скрывают факт производственного травматизма/несчастного случая в сговоре с работниками или третьими лицами.                     </v>
      </c>
      <c r="O209">
        <f>'РЕЕСТР РИСКОВ_2023'!T248</f>
        <v>0</v>
      </c>
      <c r="P209" t="e">
        <f>IF('РЕЕСТР РИСКОВ_2023'!U248="",P208,'РЕЕСТР РИСКОВ_2023'!U248)</f>
        <v>#REF!</v>
      </c>
      <c r="Q209" t="str">
        <f>IF('РЕЕСТР РИСКОВ_2023'!V248="",Q208,'РЕЕСТР РИСКОВ_2023'!V248)</f>
        <v>Угрозы</v>
      </c>
      <c r="R209" t="str">
        <f>IF('РЕЕСТР РИСКОВ_2023'!W248="",R208,'РЕЕСТР РИСКОВ_2023'!W248)</f>
        <v>1. корректировки, предложенные внешним аудитором 2. корректировки, предложенные Единственным  акционером</v>
      </c>
      <c r="S209">
        <f>'РЕЕСТР РИСКОВ_2023'!X248</f>
        <v>0</v>
      </c>
      <c r="T209" s="94">
        <f>IF('INHERENT MAP'!$B$5=2021,'РЕЕСТР РИСКОВ_2023'!Y248,IF('INHERENT MAP'!$B$5=2022,#REF!,IF('INHERENT MAP'!$B$5=2023,#REF!,IF('INHERENT MAP'!$B$5=2024,#REF!,#REF!))))</f>
        <v>0.25</v>
      </c>
      <c r="U209">
        <f>IF('INHERENT MAP'!$B$5=2021,'РЕЕСТР РИСКОВ_2023'!Z248,IF('INHERENT MAP'!$B$5=2022,#REF!,IF('INHERENT MAP'!$B$5=2023,#REF!,IF('INHERENT MAP'!$B$5=2024,#REF!,#REF!))))</f>
        <v>0</v>
      </c>
      <c r="V209">
        <f>IF('INHERENT MAP'!$B$5=2021,'РЕЕСТР РИСКОВ_2023'!AA248,IF('INHERENT MAP'!$B$5=2022,#REF!,IF('INHERENT MAP'!$B$5=2023,#REF!,IF('INHERENT MAP'!$B$5=2024,#REF!,#REF!))))</f>
        <v>0</v>
      </c>
      <c r="W209">
        <f>IF('INHERENT MAP'!$B$5=2021,'РЕЕСТР РИСКОВ_2023'!AB248,IF('INHERENT MAP'!$B$5=2022,#REF!,IF('INHERENT MAP'!$B$5=2023,#REF!,IF('INHERENT MAP'!$B$5=2024,#REF!,#REF!))))</f>
        <v>0</v>
      </c>
      <c r="X209" s="94">
        <f>IF('INHERENT MAP'!$B$5=2021,'РЕЕСТР РИСКОВ_2023'!AC248,IF('INHERENT MAP'!$B$5=2022,#REF!,IF('INHERENT MAP'!$B$5=2023,#REF!,IF('INHERENT MAP'!$B$5=2024,#REF!,#REF!))))</f>
        <v>0.25</v>
      </c>
      <c r="Y209">
        <f>IF('INHERENT MAP'!$B$5=2021,'РЕЕСТР РИСКОВ_2023'!AD248,IF('INHERENT MAP'!$B$5=2022,#REF!,IF('INHERENT MAP'!$B$5=2023,#REF!,IF('INHERENT MAP'!$B$5=2024,#REF!,#REF!))))</f>
        <v>0</v>
      </c>
      <c r="Z209">
        <f>IF('INHERENT MAP'!$B$5=2021,'РЕЕСТР РИСКОВ_2023'!AE248,IF('INHERENT MAP'!$B$5=2022,#REF!,IF('INHERENT MAP'!$B$5=2023,#REF!,IF('INHERENT MAP'!$B$5=2024,#REF!,#REF!))))</f>
        <v>0</v>
      </c>
      <c r="AA209">
        <f>IF('INHERENT MAP'!$B$5=2021,'РЕЕСТР РИСКОВ_2023'!AF248,IF('INHERENT MAP'!$B$5=2022,#REF!,IF('INHERENT MAP'!$B$5=2023,#REF!,IF('INHERENT MAP'!$B$5=2024,#REF!,#REF!))))</f>
        <v>0</v>
      </c>
      <c r="AB209">
        <f>IF('INHERENT MAP'!$B$5=2021,'РЕЕСТР РИСКОВ_2023'!AG248,IF('INHERENT MAP'!$B$5=2022,#REF!,IF('INHERENT MAP'!$B$5=2023,#REF!,IF('INHERENT MAP'!$B$5=2024,#REF!,#REF!))))</f>
        <v>0</v>
      </c>
      <c r="AC209">
        <f>IF('INHERENT MAP'!$B$5=2021,'РЕЕСТР РИСКОВ_2023'!AH248,IF('INHERENT MAP'!$B$5=2022,#REF!,IF('INHERENT MAP'!$B$5=2023,#REF!,IF('INHERENT MAP'!$B$5=2024,#REF!,#REF!))))</f>
        <v>0</v>
      </c>
      <c r="AD209" t="str">
        <f>IF('INHERENT MAP'!$B$5=2021,'РЕЕСТР РИСКОВ_2023'!AI248,IF('INHERENT MAP'!$B$5=2022,#REF!,IF('INHERENT MAP'!$B$5=2023,#REF!,IF('INHERENT MAP'!$B$5=2024,#REF!,#REF!))))</f>
        <v>1) Соблюдение Учетной политики ЦФО и ДО.
2)  Анализ и идентификация новых МСФО, и мониторинг изменений для отражения в финансовой отчетности Компании; 
3)  Согласование проекта финансовой отчетности Компании с причастными департаментами Компании; 
4)  Предоставление бухгалтерским службам ЦФО и ДО методологических консультаций и письменных разъяснений по сложным нестандартным операциям;
5)  Соблюдение ЦБУХ, бухгалтерскими службами ЦФО и ДО  Правил подготовки и формирования финансовой и оперативной управленческой отчетности АО «НК «ҚТЖ»;
6)  Обсуждение нестандартных операций,  новых требований МСФО и изменений в формате финансовой отчетности с внешними аудиторами в рамках формировании финансовой отчетности;
7)  Рассмотрение существенных допущений и нестандартных операций и проекта финансовой отчетности с Комитетом по аудиту АО "НК "КТЖ";
8)  Заполнение чек-листа по МСФО к финансовой отчетности для целей корректного формирования, а также для предоставления внешним аудиторам;
9)  Повышение квалификации работников Цбух, бухгалтерских служб ЦФО и ДО;
10) Повышение заработной платы сотрудникам, задействованным в формировании финансовой отчетности;
11) Моральное и материальное поощрение работников, осуществляющих сверхурочную работу в будние дни, 
работу в выходные и праздничные дни;
12)  Увеличение штата специалистов по МСФО в ЦБУХ и ДО;
13)  Соответствующие мероприятия по сокращению времени формирования форм финансовой отчетности и загрузки данных в систему SAP BW.
14)  Оптимизация и актуализация пакета внутригрупповых форм финансовой отчетности.
15)  Увеличение объема памяти и мощности сервера хранения данных;
16)  Своевременное и корректное предоставление внутригрупповых форм финансовой отчетности ДО и ЦФО.</v>
      </c>
      <c r="AE209" t="str">
        <f>IF('INHERENT MAP'!$B$5=2021,'РЕЕСТР РИСКОВ_2023'!AK248,IF('INHERENT MAP'!$B$5=2022,#REF!,IF('INHERENT MAP'!$B$5=2023,#REF!,IF('INHERENT MAP'!$B$5=2024,#REF!,#REF!))))</f>
        <v>Департамент бухгалтерского учета</v>
      </c>
      <c r="AF209">
        <f>IF('INHERENT MAP'!$B$5=2021,'РЕЕСТР РИСКОВ_2023'!AL248,IF('INHERENT MAP'!$B$5=2022,#REF!,IF('INHERENT MAP'!$B$5=2023,#REF!,IF('INHERENT MAP'!$B$5=2024,#REF!,#REF!))))</f>
        <v>0</v>
      </c>
      <c r="AG209" t="str">
        <f>IF('INHERENT MAP'!$B$5=2021,'РЕЕСТР РИСКОВ_2023'!AM248,IF('INHERENT MAP'!$B$5=2022,#REF!,IF('INHERENT MAP'!$B$5=2023,#REF!,IF('INHERENT MAP'!$B$5=2024,#REF!,#REF!))))</f>
        <v>средняя</v>
      </c>
      <c r="AH209">
        <f>IF('INHERENT MAP'!$B$5=2021,'РЕЕСТР РИСКОВ_2023'!AN248,IF('INHERENT MAP'!$B$5=2022,#REF!,IF('INHERENT MAP'!$B$5=2023,#REF!,IF('INHERENT MAP'!$B$5=2024,#REF!,#REF!))))</f>
        <v>0.125</v>
      </c>
      <c r="AI209">
        <f>IF('INHERENT MAP'!$B$5=2021,'РЕЕСТР РИСКОВ_2023'!AO248,IF('INHERENT MAP'!$B$5=2022,#REF!,IF('INHERENT MAP'!$B$5=2023,#REF!,IF('INHERENT MAP'!$B$5=2024,#REF!,#REF!))))</f>
        <v>0</v>
      </c>
      <c r="AJ209">
        <f>IF('INHERENT MAP'!$B$5=2021,'РЕЕСТР РИСКОВ_2023'!AP248,IF('INHERENT MAP'!$B$5=2022,#REF!,IF('INHERENT MAP'!$B$5=2023,#REF!,IF('INHERENT MAP'!$B$5=2024,#REF!,#REF!))))</f>
        <v>0</v>
      </c>
      <c r="AK209">
        <f>IF('РЕЕСТР РИСКОВ_2023'!AQ248="",AK208,'РЕЕСТР РИСКОВ_2023'!AQ248)</f>
        <v>0</v>
      </c>
      <c r="AL209">
        <f>IF('РЕЕСТР РИСКОВ_2023'!AR248="",AL208,'РЕЕСТР РИСКОВ_2023'!AR248)</f>
        <v>0.125</v>
      </c>
      <c r="AM209">
        <f>IF('РЕЕСТР РИСКОВ_2023'!AS248="",AM208,'РЕЕСТР РИСКОВ_2023'!AS248)</f>
        <v>0</v>
      </c>
      <c r="AN209">
        <f>IF('РЕЕСТР РИСКОВ_2023'!AT248="",AN208,'РЕЕСТР РИСКОВ_2023'!AT248)</f>
        <v>0</v>
      </c>
      <c r="AO209" t="e">
        <f>IF('РЕЕСТР РИСКОВ_2023'!AU248="",AO208,'РЕЕСТР РИСКОВ_2023'!AU248)</f>
        <v>#REF!</v>
      </c>
    </row>
    <row r="210" spans="2:41">
      <c r="B210" t="str">
        <f>IF('INHERENT MAP'!$B$5=2021,IF('РЕЕСТР РИСКОВ_2023'!F249="",B209,'РЕЕСТР РИСКОВ_2023'!F249),IF('INHERENT MAP'!$B$5=2022,IF(#REF!="",B209,#REF!),IF('INHERENT MAP'!$B$5=2023,IF(#REF!="",B209,#REF!),IF('INHERENT MAP'!$B$5=2024,IF(#REF!="",B209,#REF!),IF('РЕЕСТР РИСКОВ_2023'!F249="",B209,'РЕЕСТР РИСКОВ_2023'!F249)))))</f>
        <v>РЕПУТАЦИОННЫЙ РИСК</v>
      </c>
      <c r="C210" t="e">
        <f>IF('INHERENT MAP'!$B$5=2021,IF('РЕЕСТР РИСКОВ_2023'!G249="",C209,'РЕЕСТР РИСКОВ_2023'!G249),IF('INHERENT MAP'!$B$5=2022,IF(#REF!="",C209,#REF!),IF('INHERENT MAP'!$B$5=2023,IF(#REF!="",C209,#REF!),IF('INHERENT MAP'!$B$5=2024,IF(#REF!="",C209,#REF!),IF('РЕЕСТР РИСКОВ_2023'!G249="",C209,'РЕЕСТР РИСКОВ_2023'!G249)))))</f>
        <v>#REF!</v>
      </c>
      <c r="D210" t="str">
        <f>IF('INHERENT MAP'!$B$5=2021,IF('РЕЕСТР РИСКОВ_2023'!H249="",D209,'РЕЕСТР РИСКОВ_2023'!H249),IF('INHERENT MAP'!$B$5=2022,IF(#REF!="",D209,#REF!),IF('INHERENT MAP'!$B$5=2023,IF(#REF!="",D209,#REF!),IF('INHERENT MAP'!$B$5=2024,IF(#REF!="",D209,#REF!),IF('РЕЕСТР РИСКОВ_2023'!H249="",D209,'РЕЕСТР РИСКОВ_2023'!H249)))))</f>
        <v>RP-3</v>
      </c>
      <c r="E210" t="str">
        <f>IF('INHERENT MAP'!$B$5=2021,IF('РЕЕСТР РИСКОВ_2023'!I249="",E209,'РЕЕСТР РИСКОВ_2023'!I249),IF('INHERENT MAP'!$B$5=2022,IF(#REF!="",E209,#REF!),IF('INHERENT MAP'!$B$5=2023,IF(#REF!="",E209,#REF!),IF('INHERENT MAP'!$B$5=2024,IF(#REF!="",E209,#REF!),IF('РЕЕСТР РИСКОВ_2023'!I249="",E209,'РЕЕСТР РИСКОВ_2023'!I249)))))</f>
        <v>ЦЗФ</v>
      </c>
      <c r="F210" t="str">
        <f>IF('INHERENT MAP'!$B$5=2021,IF('РЕЕСТР РИСКОВ_2023'!J249="",F209,'РЕЕСТР РИСКОВ_2023'!J249),IF('INHERENT MAP'!$B$5=2022,IF(#REF!="",F209,#REF!),IF('INHERENT MAP'!$B$5=2023,IF(#REF!="",F209,#REF!),IF('INHERENT MAP'!$B$5=2024,IF(#REF!="",F209,#REF!),IF('РЕЕСТР РИСКОВ_2023'!J249="",F209,'РЕЕСТР РИСКОВ_2023'!J249)))))</f>
        <v>Департамент бухгалтерского учета</v>
      </c>
      <c r="G210" t="str">
        <f>IF('INHERENT MAP'!$B$5=2021,IF('РЕЕСТР РИСКОВ_2023'!K249="",G209,'РЕЕСТР РИСКОВ_2023'!K249),IF('INHERENT MAP'!$B$5=2022,IF(#REF!="",G209,#REF!),IF('INHERENT MAP'!$B$5=2023,IF(#REF!="",G209,#REF!),IF('INHERENT MAP'!$B$5=2024,IF(#REF!="",G209,#REF!),IF('РЕЕСТР РИСКОВ_2023'!K249="",G209,'РЕЕСТР РИСКОВ_2023'!K249)))))</f>
        <v>Риск несвоевременного предоставления финансовой отчетности</v>
      </c>
      <c r="H210">
        <f>IF('INHERENT MAP'!$B$5=2021,'РЕЕСТР РИСКОВ_2023'!L249,IF('INHERENT MAP'!$B$5=2022,#REF!,IF('INHERENT MAP'!$B$5=2023,#REF!,IF('INHERENT MAP'!$B$5=2024,#REF!,#REF!))))</f>
        <v>0</v>
      </c>
      <c r="I210">
        <f>IF('INHERENT MAP'!$B$5=2021,'РЕЕСТР РИСКОВ_2023'!M249,IF('INHERENT MAP'!$B$5=2022,#REF!,IF('INHERENT MAP'!$B$5=2023,#REF!,IF('INHERENT MAP'!$B$5=2024,#REF!,#REF!))))</f>
        <v>0</v>
      </c>
      <c r="J210">
        <f>IF('INHERENT MAP'!$B$5=2021,'РЕЕСТР РИСКОВ_2023'!N249,IF('INHERENT MAP'!$B$5=2022,#REF!,IF('INHERENT MAP'!$B$5=2023,#REF!,IF('INHERENT MAP'!$B$5=2024,#REF!,#REF!))))</f>
        <v>0</v>
      </c>
      <c r="K210">
        <f>IF('INHERENT MAP'!$B$5=2021,'РЕЕСТР РИСКОВ_2023'!O249,IF('INHERENT MAP'!$B$5=2022,#REF!,IF('INHERENT MAP'!$B$5=2023,#REF!,IF('INHERENT MAP'!$B$5=2024,#REF!,#REF!))))</f>
        <v>0</v>
      </c>
      <c r="L210">
        <f>IF('INHERENT MAP'!$B$5=2021,'РЕЕСТР РИСКОВ_2023'!P249,IF('INHERENT MAP'!$B$5=2022,#REF!,IF('INHERENT MAP'!$B$5=2023,#REF!,IF('INHERENT MAP'!$B$5=2024,#REF!,#REF!))))</f>
        <v>0</v>
      </c>
      <c r="M210" t="str">
        <f>IF('INHERENT MAP'!$B$5=2021,IF('РЕЕСТР РИСКОВ_2023'!Q249="",M209,'РЕЕСТР РИСКОВ_2023'!Q249),IF('INHERENT MAP'!$B$5=2022,IF(#REF!="",M209,#REF!),IF('INHERENT MAP'!$B$5=2023,IF(#REF!="",M209,#REF!),IF('INHERENT MAP'!$B$5=2024,IF(#REF!="",M209,#REF!),IF('РЕЕСТР РИСКОВ_2023'!Q249="",M209,'РЕЕСТР РИСКОВ_2023'!Q249)))))</f>
        <v xml:space="preserve">1. Сокращение сроков формирования финансовой отчетности Единственным акционером.
2. Отсутствие должного взаимодействия бухгалтерских служб с причастными департаментами, структурными подразделениями и дочерними компаниями АО «НК «ҚТЖ», Департаментом бухгалтерского учета.
3. Медленное формирование форм финансовой отчетности и загрузка файлов в системы SAP BW и SAP BPC, системные ошибки в SAP BPC и сбой связи между локальными сетями АО «НК «ҚТЖ» и Единственного акционера. Нестабильность работы автоматизированных систем затрудняет и замедляет процесс формирования финансовой отчетности.
4. Несвоевременное предоставление внутригрупповых форм финансовой отчетности ЦФО и дочерними организациями АО «НК «ҚТЖ», а также аудированной финансовой отчетности дочерними организациями. </v>
      </c>
      <c r="N210" t="str">
        <f>IF('INHERENT MAP'!$B$5=2021,IF('РЕЕСТР РИСКОВ_2023'!R249="",N209,'РЕЕСТР РИСКОВ_2023'!R249),IF('INHERENT MAP'!$B$5=2022,IF(#REF!="",N209,#REF!),IF('INHERENT MAP'!$B$5=2023,IF(#REF!="",N209,#REF!),IF('INHERENT MAP'!$B$5=2024,IF(#REF!="",N209,#REF!),IF('РЕЕСТР РИСКОВ_2023'!R249="",N209,'РЕЕСТР РИСКОВ_2023'!R249)))))</f>
        <v xml:space="preserve">R11.1.CS1. С целью извлечения личной выгоды и иных преимуществ, руководители региональных подразделений Компании скрывают факт производственного травматизма/несчастного случая в сговоре с работниками или третьими лицами.                     </v>
      </c>
      <c r="O210">
        <f>'РЕЕСТР РИСКОВ_2023'!T249</f>
        <v>0</v>
      </c>
      <c r="P210" t="e">
        <f>IF('РЕЕСТР РИСКОВ_2023'!U249="",P209,'РЕЕСТР РИСКОВ_2023'!U249)</f>
        <v>#REF!</v>
      </c>
      <c r="Q210" t="str">
        <f>IF('РЕЕСТР РИСКОВ_2023'!V249="",Q209,'РЕЕСТР РИСКОВ_2023'!V249)</f>
        <v>Угрозы</v>
      </c>
      <c r="R210" t="str">
        <f>IF('РЕЕСТР РИСКОВ_2023'!W249="",R209,'РЕЕСТР РИСКОВ_2023'!W249)</f>
        <v>Нарушение сроков предоставления финансовой отчетности:
1) через ЦЖС в Комитет по регулированию естественных монополий Министерства национальной экономики Республики Казахстан, 
2) через ЦИО в Национальный банк РК, 
3) через Цзайм в АО "Казахстанская фондовая биржа" и Депозитарий финансовой отчетности при Министерстве финансов РК (квартальные отчеты), 
4) в Депозитарий финансовой отчетности при Министерстве финансов РК (годовой отчет), 
5) в Комитет по статистике Министерства экономики РК,
6) размещение на корпоративном сайте, 
7) Единственному Акционеру,
8) внутренним и внешним пользователям.</v>
      </c>
      <c r="S210">
        <f>'РЕЕСТР РИСКОВ_2023'!X249</f>
        <v>0</v>
      </c>
      <c r="T210" s="94">
        <f>IF('INHERENT MAP'!$B$5=2021,'РЕЕСТР РИСКОВ_2023'!Y249,IF('INHERENT MAP'!$B$5=2022,#REF!,IF('INHERENT MAP'!$B$5=2023,#REF!,IF('INHERENT MAP'!$B$5=2024,#REF!,#REF!))))</f>
        <v>0.25</v>
      </c>
      <c r="U210">
        <f>IF('INHERENT MAP'!$B$5=2021,'РЕЕСТР РИСКОВ_2023'!Z249,IF('INHERENT MAP'!$B$5=2022,#REF!,IF('INHERENT MAP'!$B$5=2023,#REF!,IF('INHERENT MAP'!$B$5=2024,#REF!,#REF!))))</f>
        <v>0</v>
      </c>
      <c r="V210">
        <f>IF('INHERENT MAP'!$B$5=2021,'РЕЕСТР РИСКОВ_2023'!AA249,IF('INHERENT MAP'!$B$5=2022,#REF!,IF('INHERENT MAP'!$B$5=2023,#REF!,IF('INHERENT MAP'!$B$5=2024,#REF!,#REF!))))</f>
        <v>0</v>
      </c>
      <c r="W210">
        <f>IF('INHERENT MAP'!$B$5=2021,'РЕЕСТР РИСКОВ_2023'!AB249,IF('INHERENT MAP'!$B$5=2022,#REF!,IF('INHERENT MAP'!$B$5=2023,#REF!,IF('INHERENT MAP'!$B$5=2024,#REF!,#REF!))))</f>
        <v>0</v>
      </c>
      <c r="X210" s="94">
        <f>IF('INHERENT MAP'!$B$5=2021,'РЕЕСТР РИСКОВ_2023'!AC249,IF('INHERENT MAP'!$B$5=2022,#REF!,IF('INHERENT MAP'!$B$5=2023,#REF!,IF('INHERENT MAP'!$B$5=2024,#REF!,#REF!))))</f>
        <v>0.25</v>
      </c>
      <c r="Y210">
        <f>IF('INHERENT MAP'!$B$5=2021,'РЕЕСТР РИСКОВ_2023'!AD249,IF('INHERENT MAP'!$B$5=2022,#REF!,IF('INHERENT MAP'!$B$5=2023,#REF!,IF('INHERENT MAP'!$B$5=2024,#REF!,#REF!))))</f>
        <v>0</v>
      </c>
      <c r="Z210">
        <f>IF('INHERENT MAP'!$B$5=2021,'РЕЕСТР РИСКОВ_2023'!AE249,IF('INHERENT MAP'!$B$5=2022,#REF!,IF('INHERENT MAP'!$B$5=2023,#REF!,IF('INHERENT MAP'!$B$5=2024,#REF!,#REF!))))</f>
        <v>0</v>
      </c>
      <c r="AA210">
        <f>IF('INHERENT MAP'!$B$5=2021,'РЕЕСТР РИСКОВ_2023'!AF249,IF('INHERENT MAP'!$B$5=2022,#REF!,IF('INHERENT MAP'!$B$5=2023,#REF!,IF('INHERENT MAP'!$B$5=2024,#REF!,#REF!))))</f>
        <v>0</v>
      </c>
      <c r="AB210">
        <f>IF('INHERENT MAP'!$B$5=2021,'РЕЕСТР РИСКОВ_2023'!AG249,IF('INHERENT MAP'!$B$5=2022,#REF!,IF('INHERENT MAP'!$B$5=2023,#REF!,IF('INHERENT MAP'!$B$5=2024,#REF!,#REF!))))</f>
        <v>0</v>
      </c>
      <c r="AC210">
        <f>IF('INHERENT MAP'!$B$5=2021,'РЕЕСТР РИСКОВ_2023'!AH249,IF('INHERENT MAP'!$B$5=2022,#REF!,IF('INHERENT MAP'!$B$5=2023,#REF!,IF('INHERENT MAP'!$B$5=2024,#REF!,#REF!))))</f>
        <v>0</v>
      </c>
      <c r="AD210" t="str">
        <f>IF('INHERENT MAP'!$B$5=2021,'РЕЕСТР РИСКОВ_2023'!AI249,IF('INHERENT MAP'!$B$5=2022,#REF!,IF('INHERENT MAP'!$B$5=2023,#REF!,IF('INHERENT MAP'!$B$5=2024,#REF!,#REF!))))</f>
        <v>1) Обеспечение бесперебойной работы информационных систем, используемых бухгалтерскими службами дочерних организаций АО "НК"КТЖ", ЦФО и Департамента бухгалтерского учета при формировании и подготовке консолидированной и отдельной финансовой отчетности Компании;  
2) Предоставление методологических консультаций и письменных разъяснений, проведение семинаров для сотрудников ЦФО и дочерних организаций АО «НК «ҚТЖ»;
3) Подготовка финансовой отчетности в соответствии со сроками, установленными Правилами подготовки и  формирования финансовой и оперативной  управленческой отчетности АО "НК "ҚТЖ"; 
4) Своевременное согласование проекта консолидированной и отдельной финансовой отчетности с причастными департаментами Компании; 
5) Своевременное предоставление внешним аудиторам информации, необходимой для своевременного выпуска аудиторского отчета, в соответствии с Регламентом подготовки отдельной и консолидированной финансовой отчетности АО "НК "ҚТЖ" и взаимодействия с внешними аудиторами;
6) Своевременное предоставление дочерними организациями и ЦФО внутригрупповых форм в Департамент бухгалтерского учета в соответствии со сроками предоставления внутригрупповых форм финансовой отчетности ЦФО и дочерними организациями, утвержденных Заместителем Председателя Правления по финансам АО "НК "ҚТЖ".</v>
      </c>
      <c r="AE210" t="str">
        <f>IF('INHERENT MAP'!$B$5=2021,'РЕЕСТР РИСКОВ_2023'!AK249,IF('INHERENT MAP'!$B$5=2022,#REF!,IF('INHERENT MAP'!$B$5=2023,#REF!,IF('INHERENT MAP'!$B$5=2024,#REF!,#REF!))))</f>
        <v>Департамент бухгалтерского учета</v>
      </c>
      <c r="AF210">
        <f>IF('INHERENT MAP'!$B$5=2021,'РЕЕСТР РИСКОВ_2023'!AL249,IF('INHERENT MAP'!$B$5=2022,#REF!,IF('INHERENT MAP'!$B$5=2023,#REF!,IF('INHERENT MAP'!$B$5=2024,#REF!,#REF!))))</f>
        <v>0</v>
      </c>
      <c r="AG210" t="str">
        <f>IF('INHERENT MAP'!$B$5=2021,'РЕЕСТР РИСКОВ_2023'!AM249,IF('INHERENT MAP'!$B$5=2022,#REF!,IF('INHERENT MAP'!$B$5=2023,#REF!,IF('INHERENT MAP'!$B$5=2024,#REF!,#REF!))))</f>
        <v>средняя</v>
      </c>
      <c r="AH210">
        <f>IF('INHERENT MAP'!$B$5=2021,'РЕЕСТР РИСКОВ_2023'!AN249,IF('INHERENT MAP'!$B$5=2022,#REF!,IF('INHERENT MAP'!$B$5=2023,#REF!,IF('INHERENT MAP'!$B$5=2024,#REF!,#REF!))))</f>
        <v>0.125</v>
      </c>
      <c r="AI210">
        <f>IF('INHERENT MAP'!$B$5=2021,'РЕЕСТР РИСКОВ_2023'!AO249,IF('INHERENT MAP'!$B$5=2022,#REF!,IF('INHERENT MAP'!$B$5=2023,#REF!,IF('INHERENT MAP'!$B$5=2024,#REF!,#REF!))))</f>
        <v>0</v>
      </c>
      <c r="AJ210">
        <f>IF('INHERENT MAP'!$B$5=2021,'РЕЕСТР РИСКОВ_2023'!AP249,IF('INHERENT MAP'!$B$5=2022,#REF!,IF('INHERENT MAP'!$B$5=2023,#REF!,IF('INHERENT MAP'!$B$5=2024,#REF!,#REF!))))</f>
        <v>0</v>
      </c>
      <c r="AK210">
        <f>IF('РЕЕСТР РИСКОВ_2023'!AQ249="",AK209,'РЕЕСТР РИСКОВ_2023'!AQ249)</f>
        <v>0</v>
      </c>
      <c r="AL210">
        <f>IF('РЕЕСТР РИСКОВ_2023'!AR249="",AL209,'РЕЕСТР РИСКОВ_2023'!AR249)</f>
        <v>0.125</v>
      </c>
      <c r="AM210">
        <f>IF('РЕЕСТР РИСКОВ_2023'!AS249="",AM209,'РЕЕСТР РИСКОВ_2023'!AS249)</f>
        <v>0</v>
      </c>
      <c r="AN210">
        <f>IF('РЕЕСТР РИСКОВ_2023'!AT249="",AN209,'РЕЕСТР РИСКОВ_2023'!AT249)</f>
        <v>0</v>
      </c>
      <c r="AO210" t="e">
        <f>IF('РЕЕСТР РИСКОВ_2023'!AU249="",AO209,'РЕЕСТР РИСКОВ_2023'!AU249)</f>
        <v>#REF!</v>
      </c>
    </row>
    <row r="211" spans="2:41">
      <c r="B211" t="str">
        <f>IF('INHERENT MAP'!$B$5=2021,IF('РЕЕСТР РИСКОВ_2023'!F250="",B210,'РЕЕСТР РИСКОВ_2023'!F250),IF('INHERENT MAP'!$B$5=2022,IF(#REF!="",B210,#REF!),IF('INHERENT MAP'!$B$5=2023,IF(#REF!="",B210,#REF!),IF('INHERENT MAP'!$B$5=2024,IF(#REF!="",B210,#REF!),IF('РЕЕСТР РИСКОВ_2023'!F250="",B210,'РЕЕСТР РИСКОВ_2023'!F250)))))</f>
        <v>РЕПУТАЦИОННЫЙ РИСК</v>
      </c>
      <c r="C211" t="e">
        <f>IF('INHERENT MAP'!$B$5=2021,IF('РЕЕСТР РИСКОВ_2023'!G250="",C210,'РЕЕСТР РИСКОВ_2023'!G250),IF('INHERENT MAP'!$B$5=2022,IF(#REF!="",C210,#REF!),IF('INHERENT MAP'!$B$5=2023,IF(#REF!="",C210,#REF!),IF('INHERENT MAP'!$B$5=2024,IF(#REF!="",C210,#REF!),IF('РЕЕСТР РИСКОВ_2023'!G250="",C210,'РЕЕСТР РИСКОВ_2023'!G250)))))</f>
        <v>#REF!</v>
      </c>
      <c r="D211" t="str">
        <f>IF('INHERENT MAP'!$B$5=2021,IF('РЕЕСТР РИСКОВ_2023'!H250="",D210,'РЕЕСТР РИСКОВ_2023'!H250),IF('INHERENT MAP'!$B$5=2022,IF(#REF!="",D210,#REF!),IF('INHERENT MAP'!$B$5=2023,IF(#REF!="",D210,#REF!),IF('INHERENT MAP'!$B$5=2024,IF(#REF!="",D210,#REF!),IF('РЕЕСТР РИСКОВ_2023'!H250="",D210,'РЕЕСТР РИСКОВ_2023'!H250)))))</f>
        <v>RP-4</v>
      </c>
      <c r="E211" t="str">
        <f>IF('INHERENT MAP'!$B$5=2021,IF('РЕЕСТР РИСКОВ_2023'!I250="",E210,'РЕЕСТР РИСКОВ_2023'!I250),IF('INHERENT MAP'!$B$5=2022,IF(#REF!="",E210,#REF!),IF('INHERENT MAP'!$B$5=2023,IF(#REF!="",E210,#REF!),IF('INHERENT MAP'!$B$5=2024,IF(#REF!="",E210,#REF!),IF('РЕЕСТР РИСКОВ_2023'!I250="",E210,'РЕЕСТР РИСКОВ_2023'!I250)))))</f>
        <v>ЦЗФ</v>
      </c>
      <c r="F211" t="str">
        <f>IF('INHERENT MAP'!$B$5=2021,IF('РЕЕСТР РИСКОВ_2023'!J250="",F210,'РЕЕСТР РИСКОВ_2023'!J250),IF('INHERENT MAP'!$B$5=2022,IF(#REF!="",F210,#REF!),IF('INHERENT MAP'!$B$5=2023,IF(#REF!="",F210,#REF!),IF('INHERENT MAP'!$B$5=2024,IF(#REF!="",F210,#REF!),IF('РЕЕСТР РИСКОВ_2023'!J250="",F210,'РЕЕСТР РИСКОВ_2023'!J250)))))</f>
        <v>Департамент экономики и планирования</v>
      </c>
      <c r="G211" t="str">
        <f>IF('INHERENT MAP'!$B$5=2021,IF('РЕЕСТР РИСКОВ_2023'!K250="",G210,'РЕЕСТР РИСКОВ_2023'!K250),IF('INHERENT MAP'!$B$5=2022,IF(#REF!="",G210,#REF!),IF('INHERENT MAP'!$B$5=2023,IF(#REF!="",G210,#REF!),IF('INHERENT MAP'!$B$5=2024,IF(#REF!="",G210,#REF!),IF('РЕЕСТР РИСКОВ_2023'!K250="",G210,'РЕЕСТР РИСКОВ_2023'!K250)))))</f>
        <v>Риск несвоевременного утверждения Бизнес-плана</v>
      </c>
      <c r="H211">
        <f>IF('INHERENT MAP'!$B$5=2021,'РЕЕСТР РИСКОВ_2023'!L250,IF('INHERENT MAP'!$B$5=2022,#REF!,IF('INHERENT MAP'!$B$5=2023,#REF!,IF('INHERENT MAP'!$B$5=2024,#REF!,#REF!))))</f>
        <v>0</v>
      </c>
      <c r="I211">
        <f>IF('INHERENT MAP'!$B$5=2021,'РЕЕСТР РИСКОВ_2023'!M250,IF('INHERENT MAP'!$B$5=2022,#REF!,IF('INHERENT MAP'!$B$5=2023,#REF!,IF('INHERENT MAP'!$B$5=2024,#REF!,#REF!))))</f>
        <v>0</v>
      </c>
      <c r="J211">
        <f>IF('INHERENT MAP'!$B$5=2021,'РЕЕСТР РИСКОВ_2023'!N250,IF('INHERENT MAP'!$B$5=2022,#REF!,IF('INHERENT MAP'!$B$5=2023,#REF!,IF('INHERENT MAP'!$B$5=2024,#REF!,#REF!))))</f>
        <v>0</v>
      </c>
      <c r="K211">
        <f>IF('INHERENT MAP'!$B$5=2021,'РЕЕСТР РИСКОВ_2023'!O250,IF('INHERENT MAP'!$B$5=2022,#REF!,IF('INHERENT MAP'!$B$5=2023,#REF!,IF('INHERENT MAP'!$B$5=2024,#REF!,#REF!))))</f>
        <v>0</v>
      </c>
      <c r="L211">
        <f>IF('INHERENT MAP'!$B$5=2021,'РЕЕСТР РИСКОВ_2023'!P250,IF('INHERENT MAP'!$B$5=2022,#REF!,IF('INHERENT MAP'!$B$5=2023,#REF!,IF('INHERENT MAP'!$B$5=2024,#REF!,#REF!))))</f>
        <v>0</v>
      </c>
      <c r="M211" t="str">
        <f>IF('INHERENT MAP'!$B$5=2021,IF('РЕЕСТР РИСКОВ_2023'!Q250="",M210,'РЕЕСТР РИСКОВ_2023'!Q250),IF('INHERENT MAP'!$B$5=2022,IF(#REF!="",M210,#REF!),IF('INHERENT MAP'!$B$5=2023,IF(#REF!="",M210,#REF!),IF('INHERENT MAP'!$B$5=2024,IF(#REF!="",M210,#REF!),IF('РЕЕСТР РИСКОВ_2023'!Q250="",M210,'РЕЕСТР РИСКОВ_2023'!Q250)))))</f>
        <v xml:space="preserve">1. Сокращение сроков формирования Бизнес-плана Единственным акционером.
2. Отсутствие должного взаимодействия экономичсеких служб с причастными департаментами, структурными подразделениями и дочерними компаниями АО «НК «ҚТЖ», Департаментом экономики и планирования.
3. Несвоевременное предоставление внутригрупповых форм СП и ДЗО. </v>
      </c>
      <c r="N211" t="str">
        <f>IF('INHERENT MAP'!$B$5=2021,IF('РЕЕСТР РИСКОВ_2023'!R250="",N210,'РЕЕСТР РИСКОВ_2023'!R250),IF('INHERENT MAP'!$B$5=2022,IF(#REF!="",N210,#REF!),IF('INHERENT MAP'!$B$5=2023,IF(#REF!="",N210,#REF!),IF('INHERENT MAP'!$B$5=2024,IF(#REF!="",N210,#REF!),IF('РЕЕСТР РИСКОВ_2023'!R250="",N210,'РЕЕСТР РИСКОВ_2023'!R250)))))</f>
        <v xml:space="preserve">R11.1.CS1. С целью извлечения личной выгоды и иных преимуществ, руководители региональных подразделений Компании скрывают факт производственного травматизма/несчастного случая в сговоре с работниками или третьими лицами.                     </v>
      </c>
      <c r="O211">
        <f>'РЕЕСТР РИСКОВ_2023'!T250</f>
        <v>0</v>
      </c>
      <c r="P211" t="e">
        <f>IF('РЕЕСТР РИСКОВ_2023'!U250="",P210,'РЕЕСТР РИСКОВ_2023'!U250)</f>
        <v>#REF!</v>
      </c>
      <c r="Q211" t="str">
        <f>IF('РЕЕСТР РИСКОВ_2023'!V250="",Q210,'РЕЕСТР РИСКОВ_2023'!V250)</f>
        <v>Угрозы</v>
      </c>
      <c r="R211" t="str">
        <f>IF('РЕЕСТР РИСКОВ_2023'!W250="",R210,'РЕЕСТР РИСКОВ_2023'!W250)</f>
        <v>Нарушение сроков предоставления финансовой отчетности:
1) через ЦЖС в Комитет по регулированию естественных монополий Министерства национальной экономики Республики Казахстан, 
2) через ЦИО в Национальный банк РК, 
3) через Цзайм в АО "Казахстанская фондовая биржа" и Депозитарий финансовой отчетности при Министерстве финансов РК (квартальные отчеты), 
4) в Депозитарий финансовой отчетности при Министерстве финансов РК (годовой отчет), 
5) в Комитет по статистике Министерства экономики РК,
6) размещение на корпоративном сайте, 
7) Единственному Акционеру,
8) внутренним и внешним пользователям.</v>
      </c>
      <c r="S211">
        <f>'РЕЕСТР РИСКОВ_2023'!X250</f>
        <v>0</v>
      </c>
      <c r="T211" s="94">
        <f>IF('INHERENT MAP'!$B$5=2021,'РЕЕСТР РИСКОВ_2023'!Y250,IF('INHERENT MAP'!$B$5=2022,#REF!,IF('INHERENT MAP'!$B$5=2023,#REF!,IF('INHERENT MAP'!$B$5=2024,#REF!,#REF!))))</f>
        <v>0</v>
      </c>
      <c r="U211">
        <f>IF('INHERENT MAP'!$B$5=2021,'РЕЕСТР РИСКОВ_2023'!Z250,IF('INHERENT MAP'!$B$5=2022,#REF!,IF('INHERENT MAP'!$B$5=2023,#REF!,IF('INHERENT MAP'!$B$5=2024,#REF!,#REF!))))</f>
        <v>0</v>
      </c>
      <c r="V211">
        <f>IF('INHERENT MAP'!$B$5=2021,'РЕЕСТР РИСКОВ_2023'!AA250,IF('INHERENT MAP'!$B$5=2022,#REF!,IF('INHERENT MAP'!$B$5=2023,#REF!,IF('INHERENT MAP'!$B$5=2024,#REF!,#REF!))))</f>
        <v>0</v>
      </c>
      <c r="W211">
        <f>IF('INHERENT MAP'!$B$5=2021,'РЕЕСТР РИСКОВ_2023'!AB250,IF('INHERENT MAP'!$B$5=2022,#REF!,IF('INHERENT MAP'!$B$5=2023,#REF!,IF('INHERENT MAP'!$B$5=2024,#REF!,#REF!))))</f>
        <v>0</v>
      </c>
      <c r="X211" s="94">
        <f>IF('INHERENT MAP'!$B$5=2021,'РЕЕСТР РИСКОВ_2023'!AC250,IF('INHERENT MAP'!$B$5=2022,#REF!,IF('INHERENT MAP'!$B$5=2023,#REF!,IF('INHERENT MAP'!$B$5=2024,#REF!,#REF!))))</f>
        <v>0</v>
      </c>
      <c r="Y211">
        <f>IF('INHERENT MAP'!$B$5=2021,'РЕЕСТР РИСКОВ_2023'!AD250,IF('INHERENT MAP'!$B$5=2022,#REF!,IF('INHERENT MAP'!$B$5=2023,#REF!,IF('INHERENT MAP'!$B$5=2024,#REF!,#REF!))))</f>
        <v>0</v>
      </c>
      <c r="Z211">
        <f>IF('INHERENT MAP'!$B$5=2021,'РЕЕСТР РИСКОВ_2023'!AE250,IF('INHERENT MAP'!$B$5=2022,#REF!,IF('INHERENT MAP'!$B$5=2023,#REF!,IF('INHERENT MAP'!$B$5=2024,#REF!,#REF!))))</f>
        <v>0</v>
      </c>
      <c r="AA211">
        <f>IF('INHERENT MAP'!$B$5=2021,'РЕЕСТР РИСКОВ_2023'!AF250,IF('INHERENT MAP'!$B$5=2022,#REF!,IF('INHERENT MAP'!$B$5=2023,#REF!,IF('INHERENT MAP'!$B$5=2024,#REF!,#REF!))))</f>
        <v>0</v>
      </c>
      <c r="AB211">
        <f>IF('INHERENT MAP'!$B$5=2021,'РЕЕСТР РИСКОВ_2023'!AG250,IF('INHERENT MAP'!$B$5=2022,#REF!,IF('INHERENT MAP'!$B$5=2023,#REF!,IF('INHERENT MAP'!$B$5=2024,#REF!,#REF!))))</f>
        <v>0</v>
      </c>
      <c r="AC211">
        <f>IF('INHERENT MAP'!$B$5=2021,'РЕЕСТР РИСКОВ_2023'!AH250,IF('INHERENT MAP'!$B$5=2022,#REF!,IF('INHERENT MAP'!$B$5=2023,#REF!,IF('INHERENT MAP'!$B$5=2024,#REF!,#REF!))))</f>
        <v>0</v>
      </c>
      <c r="AD211" t="str">
        <f>IF('INHERENT MAP'!$B$5=2021,'РЕЕСТР РИСКОВ_2023'!AI250,IF('INHERENT MAP'!$B$5=2022,#REF!,IF('INHERENT MAP'!$B$5=2023,#REF!,IF('INHERENT MAP'!$B$5=2024,#REF!,#REF!))))</f>
        <v>1) Предоставление методологических консультаций и письменных разъяснений для работником СП и ДЗО;
2) Своевременное предоставление ДЗО и СП внутригрупповых форм в Департамент экономики и планирования в соответствии с установленными сроками;
3) Подготовка Бизнес-плана в соответствии со сроками, установленными Корпоративным стандартом по стратегическому и бизнес планированию в группе компаний АО «Самрук-Қазына» (решение Правления АО «Самрук-Қазына» от 07.10.2021г. протокол №45/21);
4) Своевременное вынесение на заседание Правления АО "НК "ҚТЖ" (одобрение Бизнес-плана); 
5) Своевременное вынесение на заседание Совета директоров АО "НК "ҚТЖ"(утверждение Бизнес-плана).</v>
      </c>
      <c r="AE211" t="str">
        <f>IF('INHERENT MAP'!$B$5=2021,'РЕЕСТР РИСКОВ_2023'!AK250,IF('INHERENT MAP'!$B$5=2022,#REF!,IF('INHERENT MAP'!$B$5=2023,#REF!,IF('INHERENT MAP'!$B$5=2024,#REF!,#REF!))))</f>
        <v>ЦЭП, причастные СП, ДЗО</v>
      </c>
      <c r="AF211">
        <f>IF('INHERENT MAP'!$B$5=2021,'РЕЕСТР РИСКОВ_2023'!AL250,IF('INHERENT MAP'!$B$5=2022,#REF!,IF('INHERENT MAP'!$B$5=2023,#REF!,IF('INHERENT MAP'!$B$5=2024,#REF!,#REF!))))</f>
        <v>0</v>
      </c>
      <c r="AG211">
        <f>IF('INHERENT MAP'!$B$5=2021,'РЕЕСТР РИСКОВ_2023'!AM250,IF('INHERENT MAP'!$B$5=2022,#REF!,IF('INHERENT MAP'!$B$5=2023,#REF!,IF('INHERENT MAP'!$B$5=2024,#REF!,#REF!))))</f>
        <v>0</v>
      </c>
      <c r="AH211">
        <f>IF('INHERENT MAP'!$B$5=2021,'РЕЕСТР РИСКОВ_2023'!AN250,IF('INHERENT MAP'!$B$5=2022,#REF!,IF('INHERENT MAP'!$B$5=2023,#REF!,IF('INHERENT MAP'!$B$5=2024,#REF!,#REF!))))</f>
        <v>0</v>
      </c>
      <c r="AI211">
        <f>IF('INHERENT MAP'!$B$5=2021,'РЕЕСТР РИСКОВ_2023'!AO250,IF('INHERENT MAP'!$B$5=2022,#REF!,IF('INHERENT MAP'!$B$5=2023,#REF!,IF('INHERENT MAP'!$B$5=2024,#REF!,#REF!))))</f>
        <v>0</v>
      </c>
      <c r="AJ211">
        <f>IF('INHERENT MAP'!$B$5=2021,'РЕЕСТР РИСКОВ_2023'!AP250,IF('INHERENT MAP'!$B$5=2022,#REF!,IF('INHERENT MAP'!$B$5=2023,#REF!,IF('INHERENT MAP'!$B$5=2024,#REF!,#REF!))))</f>
        <v>0</v>
      </c>
      <c r="AK211">
        <f>IF('РЕЕСТР РИСКОВ_2023'!AQ250="",AK210,'РЕЕСТР РИСКОВ_2023'!AQ250)</f>
        <v>0</v>
      </c>
      <c r="AL211">
        <f>IF('РЕЕСТР РИСКОВ_2023'!AR250="",AL210,'РЕЕСТР РИСКОВ_2023'!AR250)</f>
        <v>0.125</v>
      </c>
      <c r="AM211">
        <f>IF('РЕЕСТР РИСКОВ_2023'!AS250="",AM210,'РЕЕСТР РИСКОВ_2023'!AS250)</f>
        <v>0</v>
      </c>
      <c r="AN211">
        <f>IF('РЕЕСТР РИСКОВ_2023'!AT250="",AN210,'РЕЕСТР РИСКОВ_2023'!AT250)</f>
        <v>0</v>
      </c>
      <c r="AO211" t="e">
        <f>IF('РЕЕСТР РИСКОВ_2023'!AU250="",AO210,'РЕЕСТР РИСКОВ_2023'!AU250)</f>
        <v>#REF!</v>
      </c>
    </row>
    <row r="212" spans="2:41">
      <c r="B212" t="str">
        <f>IF('INHERENT MAP'!$B$5=2021,IF('РЕЕСТР РИСКОВ_2023'!F251="",B211,'РЕЕСТР РИСКОВ_2023'!F251),IF('INHERENT MAP'!$B$5=2022,IF(#REF!="",B211,#REF!),IF('INHERENT MAP'!$B$5=2023,IF(#REF!="",B211,#REF!),IF('INHERENT MAP'!$B$5=2024,IF(#REF!="",B211,#REF!),IF('РЕЕСТР РИСКОВ_2023'!F251="",B211,'РЕЕСТР РИСКОВ_2023'!F251)))))</f>
        <v>РЕПУТАЦИОННЫЙ РИСК</v>
      </c>
      <c r="C212" t="e">
        <f>IF('INHERENT MAP'!$B$5=2021,IF('РЕЕСТР РИСКОВ_2023'!G251="",C211,'РЕЕСТР РИСКОВ_2023'!G251),IF('INHERENT MAP'!$B$5=2022,IF(#REF!="",C211,#REF!),IF('INHERENT MAP'!$B$5=2023,IF(#REF!="",C211,#REF!),IF('INHERENT MAP'!$B$5=2024,IF(#REF!="",C211,#REF!),IF('РЕЕСТР РИСКОВ_2023'!G251="",C211,'РЕЕСТР РИСКОВ_2023'!G251)))))</f>
        <v>#REF!</v>
      </c>
      <c r="D212" t="str">
        <f>IF('INHERENT MAP'!$B$5=2021,IF('РЕЕСТР РИСКОВ_2023'!H251="",D211,'РЕЕСТР РИСКОВ_2023'!H251),IF('INHERENT MAP'!$B$5=2022,IF(#REF!="",D211,#REF!),IF('INHERENT MAP'!$B$5=2023,IF(#REF!="",D211,#REF!),IF('INHERENT MAP'!$B$5=2024,IF(#REF!="",D211,#REF!),IF('РЕЕСТР РИСКОВ_2023'!H251="",D211,'РЕЕСТР РИСКОВ_2023'!H251)))))</f>
        <v>RP-5</v>
      </c>
      <c r="E212" t="str">
        <f>IF('INHERENT MAP'!$B$5=2021,IF('РЕЕСТР РИСКОВ_2023'!I251="",E211,'РЕЕСТР РИСКОВ_2023'!I251),IF('INHERENT MAP'!$B$5=2022,IF(#REF!="",E211,#REF!),IF('INHERENT MAP'!$B$5=2023,IF(#REF!="",E211,#REF!),IF('INHERENT MAP'!$B$5=2024,IF(#REF!="",E211,#REF!),IF('РЕЕСТР РИСКОВ_2023'!I251="",E211,'РЕЕСТР РИСКОВ_2023'!I251)))))</f>
        <v>ЦИО</v>
      </c>
      <c r="F212" t="str">
        <f>IF('INHERENT MAP'!$B$5=2021,IF('РЕЕСТР РИСКОВ_2023'!J251="",F211,'РЕЕСТР РИСКОВ_2023'!J251),IF('INHERENT MAP'!$B$5=2022,IF(#REF!="",F211,#REF!),IF('INHERENT MAP'!$B$5=2023,IF(#REF!="",F211,#REF!),IF('INHERENT MAP'!$B$5=2024,IF(#REF!="",F211,#REF!),IF('РЕЕСТР РИСКОВ_2023'!J251="",F211,'РЕЕСТР РИСКОВ_2023'!J251)))))</f>
        <v>Департамент экономики и планирования</v>
      </c>
      <c r="G212" t="str">
        <f>IF('INHERENT MAP'!$B$5=2021,IF('РЕЕСТР РИСКОВ_2023'!K251="",G211,'РЕЕСТР РИСКОВ_2023'!K251),IF('INHERENT MAP'!$B$5=2022,IF(#REF!="",G211,#REF!),IF('INHERENT MAP'!$B$5=2023,IF(#REF!="",G211,#REF!),IF('INHERENT MAP'!$B$5=2024,IF(#REF!="",G211,#REF!),IF('РЕЕСТР РИСКОВ_2023'!K251="",G211,'РЕЕСТР РИСКОВ_2023'!K251)))))</f>
        <v xml:space="preserve">Риск несоблюдения норм законодательства Республики Казахстан </v>
      </c>
      <c r="H212">
        <f>IF('INHERENT MAP'!$B$5=2021,'РЕЕСТР РИСКОВ_2023'!L251,IF('INHERENT MAP'!$B$5=2022,#REF!,IF('INHERENT MAP'!$B$5=2023,#REF!,IF('INHERENT MAP'!$B$5=2024,#REF!,#REF!))))</f>
        <v>0</v>
      </c>
      <c r="I212">
        <f>IF('INHERENT MAP'!$B$5=2021,'РЕЕСТР РИСКОВ_2023'!M251,IF('INHERENT MAP'!$B$5=2022,#REF!,IF('INHERENT MAP'!$B$5=2023,#REF!,IF('INHERENT MAP'!$B$5=2024,#REF!,#REF!))))</f>
        <v>0</v>
      </c>
      <c r="J212">
        <f>IF('INHERENT MAP'!$B$5=2021,'РЕЕСТР РИСКОВ_2023'!N251,IF('INHERENT MAP'!$B$5=2022,#REF!,IF('INHERENT MAP'!$B$5=2023,#REF!,IF('INHERENT MAP'!$B$5=2024,#REF!,#REF!))))</f>
        <v>0</v>
      </c>
      <c r="K212">
        <f>IF('INHERENT MAP'!$B$5=2021,'РЕЕСТР РИСКОВ_2023'!O251,IF('INHERENT MAP'!$B$5=2022,#REF!,IF('INHERENT MAP'!$B$5=2023,#REF!,IF('INHERENT MAP'!$B$5=2024,#REF!,#REF!))))</f>
        <v>0</v>
      </c>
      <c r="L212">
        <f>IF('INHERENT MAP'!$B$5=2021,'РЕЕСТР РИСКОВ_2023'!P251,IF('INHERENT MAP'!$B$5=2022,#REF!,IF('INHERENT MAP'!$B$5=2023,#REF!,IF('INHERENT MAP'!$B$5=2024,#REF!,#REF!))))</f>
        <v>0</v>
      </c>
      <c r="M212" t="str">
        <f>IF('INHERENT MAP'!$B$5=2021,IF('РЕЕСТР РИСКОВ_2023'!Q251="",M211,'РЕЕСТР РИСКОВ_2023'!Q251),IF('INHERENT MAP'!$B$5=2022,IF(#REF!="",M211,#REF!),IF('INHERENT MAP'!$B$5=2023,IF(#REF!="",M211,#REF!),IF('INHERENT MAP'!$B$5=2024,IF(#REF!="",M211,#REF!),IF('РЕЕСТР РИСКОВ_2023'!Q251="",M211,'РЕЕСТР РИСКОВ_2023'!Q251)))))</f>
        <v>Несвоевременное размещение по раскрытию информации на интернет -ресурсе депозитария финансовой отчетности отчетов об итогах размещения акций Компании и сведений об аффилированных лицах</v>
      </c>
      <c r="N212" t="str">
        <f>IF('INHERENT MAP'!$B$5=2021,IF('РЕЕСТР РИСКОВ_2023'!R251="",N211,'РЕЕСТР РИСКОВ_2023'!R251),IF('INHERENT MAP'!$B$5=2022,IF(#REF!="",N211,#REF!),IF('INHERENT MAP'!$B$5=2023,IF(#REF!="",N211,#REF!),IF('INHERENT MAP'!$B$5=2024,IF(#REF!="",N211,#REF!),IF('РЕЕСТР РИСКОВ_2023'!R251="",N211,'РЕЕСТР РИСКОВ_2023'!R251)))))</f>
        <v xml:space="preserve">R11.1.CS1. С целью извлечения личной выгоды и иных преимуществ, руководители региональных подразделений Компании скрывают факт производственного травматизма/несчастного случая в сговоре с работниками или третьими лицами.                     </v>
      </c>
      <c r="O212">
        <f>'РЕЕСТР РИСКОВ_2023'!T251</f>
        <v>0</v>
      </c>
      <c r="P212" t="e">
        <f>IF('РЕЕСТР РИСКОВ_2023'!U251="",P211,'РЕЕСТР РИСКОВ_2023'!U251)</f>
        <v>#REF!</v>
      </c>
      <c r="Q212" t="str">
        <f>IF('РЕЕСТР РИСКОВ_2023'!V251="",Q211,'РЕЕСТР РИСКОВ_2023'!V251)</f>
        <v>Угрозы</v>
      </c>
      <c r="R212" t="str">
        <f>IF('РЕЕСТР РИСКОВ_2023'!W251="",R211,'РЕЕСТР РИСКОВ_2023'!W251)</f>
        <v>Предписание, наложение административных взысканий</v>
      </c>
      <c r="S212">
        <f>'РЕЕСТР РИСКОВ_2023'!X251</f>
        <v>0</v>
      </c>
      <c r="T212" s="94">
        <f>IF('INHERENT MAP'!$B$5=2021,'РЕЕСТР РИСКОВ_2023'!Y251,IF('INHERENT MAP'!$B$5=2022,#REF!,IF('INHERENT MAP'!$B$5=2023,#REF!,IF('INHERENT MAP'!$B$5=2024,#REF!,#REF!))))</f>
        <v>0.01</v>
      </c>
      <c r="U212">
        <f>IF('INHERENT MAP'!$B$5=2021,'РЕЕСТР РИСКОВ_2023'!Z251,IF('INHERENT MAP'!$B$5=2022,#REF!,IF('INHERENT MAP'!$B$5=2023,#REF!,IF('INHERENT MAP'!$B$5=2024,#REF!,#REF!))))</f>
        <v>1.3</v>
      </c>
      <c r="V212">
        <f>IF('INHERENT MAP'!$B$5=2021,'РЕЕСТР РИСКОВ_2023'!AA251,IF('INHERENT MAP'!$B$5=2022,#REF!,IF('INHERENT MAP'!$B$5=2023,#REF!,IF('INHERENT MAP'!$B$5=2024,#REF!,#REF!))))</f>
        <v>0</v>
      </c>
      <c r="W212">
        <f>IF('INHERENT MAP'!$B$5=2021,'РЕЕСТР РИСКОВ_2023'!AB251,IF('INHERENT MAP'!$B$5=2022,#REF!,IF('INHERENT MAP'!$B$5=2023,#REF!,IF('INHERENT MAP'!$B$5=2024,#REF!,#REF!))))</f>
        <v>0</v>
      </c>
      <c r="X212" s="94">
        <f>IF('INHERENT MAP'!$B$5=2021,'РЕЕСТР РИСКОВ_2023'!AC251,IF('INHERENT MAP'!$B$5=2022,#REF!,IF('INHERENT MAP'!$B$5=2023,#REF!,IF('INHERENT MAP'!$B$5=2024,#REF!,#REF!))))</f>
        <v>0.01</v>
      </c>
      <c r="Y212">
        <f>IF('INHERENT MAP'!$B$5=2021,'РЕЕСТР РИСКОВ_2023'!AD251,IF('INHERENT MAP'!$B$5=2022,#REF!,IF('INHERENT MAP'!$B$5=2023,#REF!,IF('INHERENT MAP'!$B$5=2024,#REF!,#REF!))))</f>
        <v>1.3</v>
      </c>
      <c r="Z212">
        <f>IF('INHERENT MAP'!$B$5=2021,'РЕЕСТР РИСКОВ_2023'!AE251,IF('INHERENT MAP'!$B$5=2022,#REF!,IF('INHERENT MAP'!$B$5=2023,#REF!,IF('INHERENT MAP'!$B$5=2024,#REF!,#REF!))))</f>
        <v>1.3000000000000001E-2</v>
      </c>
      <c r="AA212">
        <f>IF('INHERENT MAP'!$B$5=2021,'РЕЕСТР РИСКОВ_2023'!AF251,IF('INHERENT MAP'!$B$5=2022,#REF!,IF('INHERENT MAP'!$B$5=2023,#REF!,IF('INHERENT MAP'!$B$5=2024,#REF!,#REF!))))</f>
        <v>0</v>
      </c>
      <c r="AB212">
        <f>IF('INHERENT MAP'!$B$5=2021,'РЕЕСТР РИСКОВ_2023'!AG251,IF('INHERENT MAP'!$B$5=2022,#REF!,IF('INHERENT MAP'!$B$5=2023,#REF!,IF('INHERENT MAP'!$B$5=2024,#REF!,#REF!))))</f>
        <v>0</v>
      </c>
      <c r="AC212">
        <f>IF('INHERENT MAP'!$B$5=2021,'РЕЕСТР РИСКОВ_2023'!AH251,IF('INHERENT MAP'!$B$5=2022,#REF!,IF('INHERENT MAP'!$B$5=2023,#REF!,IF('INHERENT MAP'!$B$5=2024,#REF!,#REF!))))</f>
        <v>0</v>
      </c>
      <c r="AD212" t="str">
        <f>IF('INHERENT MAP'!$B$5=2021,'РЕЕСТР РИСКОВ_2023'!AI251,IF('INHERENT MAP'!$B$5=2022,#REF!,IF('INHERENT MAP'!$B$5=2023,#REF!,IF('INHERENT MAP'!$B$5=2024,#REF!,#REF!))))</f>
        <v>Контроль и ежеквартальный мониторинг исполнения мероприятий по раскрытию информации</v>
      </c>
      <c r="AE212" t="str">
        <f>IF('INHERENT MAP'!$B$5=2021,'РЕЕСТР РИСКОВ_2023'!AK251,IF('INHERENT MAP'!$B$5=2022,#REF!,IF('INHERENT MAP'!$B$5=2023,#REF!,IF('INHERENT MAP'!$B$5=2024,#REF!,#REF!))))</f>
        <v>ЦИО</v>
      </c>
      <c r="AF212">
        <f>IF('INHERENT MAP'!$B$5=2021,'РЕЕСТР РИСКОВ_2023'!AL251,IF('INHERENT MAP'!$B$5=2022,#REF!,IF('INHERENT MAP'!$B$5=2023,#REF!,IF('INHERENT MAP'!$B$5=2024,#REF!,#REF!))))</f>
        <v>0</v>
      </c>
      <c r="AG212" t="str">
        <f>IF('INHERENT MAP'!$B$5=2021,'РЕЕСТР РИСКОВ_2023'!AM251,IF('INHERENT MAP'!$B$5=2022,#REF!,IF('INHERENT MAP'!$B$5=2023,#REF!,IF('INHERENT MAP'!$B$5=2024,#REF!,#REF!))))</f>
        <v>средняя</v>
      </c>
      <c r="AH212">
        <f>IF('INHERENT MAP'!$B$5=2021,'РЕЕСТР РИСКОВ_2023'!AN251,IF('INHERENT MAP'!$B$5=2022,#REF!,IF('INHERENT MAP'!$B$5=2023,#REF!,IF('INHERENT MAP'!$B$5=2024,#REF!,#REF!))))</f>
        <v>0</v>
      </c>
      <c r="AI212">
        <f>IF('INHERENT MAP'!$B$5=2021,'РЕЕСТР РИСКОВ_2023'!AO251,IF('INHERENT MAP'!$B$5=2022,#REF!,IF('INHERENT MAP'!$B$5=2023,#REF!,IF('INHERENT MAP'!$B$5=2024,#REF!,#REF!))))</f>
        <v>0</v>
      </c>
      <c r="AJ212">
        <f>IF('INHERENT MAP'!$B$5=2021,'РЕЕСТР РИСКОВ_2023'!AP251,IF('INHERENT MAP'!$B$5=2022,#REF!,IF('INHERENT MAP'!$B$5=2023,#REF!,IF('INHERENT MAP'!$B$5=2024,#REF!,#REF!))))</f>
        <v>0</v>
      </c>
      <c r="AK212">
        <f>IF('РЕЕСТР РИСКОВ_2023'!AQ251="",AK211,'РЕЕСТР РИСКОВ_2023'!AQ251)</f>
        <v>0</v>
      </c>
      <c r="AL212">
        <f>IF('РЕЕСТР РИСКОВ_2023'!AR251="",AL211,'РЕЕСТР РИСКОВ_2023'!AR251)</f>
        <v>0.125</v>
      </c>
      <c r="AM212">
        <f>IF('РЕЕСТР РИСКОВ_2023'!AS251="",AM211,'РЕЕСТР РИСКОВ_2023'!AS251)</f>
        <v>0</v>
      </c>
      <c r="AN212">
        <f>IF('РЕЕСТР РИСКОВ_2023'!AT251="",AN211,'РЕЕСТР РИСКОВ_2023'!AT251)</f>
        <v>0</v>
      </c>
      <c r="AO212" t="e">
        <f>IF('РЕЕСТР РИСКОВ_2023'!AU251="",AO211,'РЕЕСТР РИСКОВ_2023'!AU251)</f>
        <v>#REF!</v>
      </c>
    </row>
    <row r="213" spans="2:41">
      <c r="B213" t="str">
        <f>IF('INHERENT MAP'!$B$5=2021,IF('РЕЕСТР РИСКОВ_2023'!F252="",B212,'РЕЕСТР РИСКОВ_2023'!F252),IF('INHERENT MAP'!$B$5=2022,IF(#REF!="",B212,#REF!),IF('INHERENT MAP'!$B$5=2023,IF(#REF!="",B212,#REF!),IF('INHERENT MAP'!$B$5=2024,IF(#REF!="",B212,#REF!),IF('РЕЕСТР РИСКОВ_2023'!F252="",B212,'РЕЕСТР РИСКОВ_2023'!F252)))))</f>
        <v>ПРАВОВОЙ РИСК</v>
      </c>
      <c r="C213" t="e">
        <f>IF('INHERENT MAP'!$B$5=2021,IF('РЕЕСТР РИСКОВ_2023'!G252="",C212,'РЕЕСТР РИСКОВ_2023'!G252),IF('INHERENT MAP'!$B$5=2022,IF(#REF!="",C212,#REF!),IF('INHERENT MAP'!$B$5=2023,IF(#REF!="",C212,#REF!),IF('INHERENT MAP'!$B$5=2024,IF(#REF!="",C212,#REF!),IF('РЕЕСТР РИСКОВ_2023'!G252="",C212,'РЕЕСТР РИСКОВ_2023'!G252)))))</f>
        <v>#REF!</v>
      </c>
      <c r="D213" t="str">
        <f>IF('INHERENT MAP'!$B$5=2021,IF('РЕЕСТР РИСКОВ_2023'!H252="",D212,'РЕЕСТР РИСКОВ_2023'!H252),IF('INHERENT MAP'!$B$5=2022,IF(#REF!="",D212,#REF!),IF('INHERENT MAP'!$B$5=2023,IF(#REF!="",D212,#REF!),IF('INHERENT MAP'!$B$5=2024,IF(#REF!="",D212,#REF!),IF('РЕЕСТР РИСКОВ_2023'!H252="",D212,'РЕЕСТР РИСКОВ_2023'!H252)))))</f>
        <v>JR-1</v>
      </c>
      <c r="E213" t="str">
        <f>IF('INHERENT MAP'!$B$5=2021,IF('РЕЕСТР РИСКОВ_2023'!I252="",E212,'РЕЕСТР РИСКОВ_2023'!I252),IF('INHERENT MAP'!$B$5=2022,IF(#REF!="",E212,#REF!),IF('INHERENT MAP'!$B$5=2023,IF(#REF!="",E212,#REF!),IF('INHERENT MAP'!$B$5=2024,IF(#REF!="",E212,#REF!),IF('РЕЕСТР РИСКОВ_2023'!I252="",E212,'РЕЕСТР РИСКОВ_2023'!I252)))))</f>
        <v>ЦЗЮ</v>
      </c>
      <c r="F213" t="str">
        <f>IF('INHERENT MAP'!$B$5=2021,IF('РЕЕСТР РИСКОВ_2023'!J252="",F212,'РЕЕСТР РИСКОВ_2023'!J252),IF('INHERENT MAP'!$B$5=2022,IF(#REF!="",F212,#REF!),IF('INHERENT MAP'!$B$5=2023,IF(#REF!="",F212,#REF!),IF('INHERENT MAP'!$B$5=2024,IF(#REF!="",F212,#REF!),IF('РЕЕСТР РИСКОВ_2023'!J252="",F212,'РЕЕСТР РИСКОВ_2023'!J252)))))</f>
        <v>ДО и филиалы</v>
      </c>
      <c r="G213" t="str">
        <f>IF('INHERENT MAP'!$B$5=2021,IF('РЕЕСТР РИСКОВ_2023'!K252="",G212,'РЕЕСТР РИСКОВ_2023'!K252),IF('INHERENT MAP'!$B$5=2022,IF(#REF!="",G212,#REF!),IF('INHERENT MAP'!$B$5=2023,IF(#REF!="",G212,#REF!),IF('INHERENT MAP'!$B$5=2024,IF(#REF!="",G212,#REF!),IF('РЕЕСТР РИСКОВ_2023'!K252="",G212,'РЕЕСТР РИСКОВ_2023'!K252)))))</f>
        <v xml:space="preserve">Взыскание с Общества более 50% сумм по решениям судов от общей суммы всех исковых требований предъявляемых к Обществу </v>
      </c>
      <c r="H213">
        <f>IF('INHERENT MAP'!$B$5=2021,'РЕЕСТР РИСКОВ_2023'!L252,IF('INHERENT MAP'!$B$5=2022,#REF!,IF('INHERENT MAP'!$B$5=2023,#REF!,IF('INHERENT MAP'!$B$5=2024,#REF!,#REF!))))</f>
        <v>0</v>
      </c>
      <c r="I213">
        <f>IF('INHERENT MAP'!$B$5=2021,'РЕЕСТР РИСКОВ_2023'!M252,IF('INHERENT MAP'!$B$5=2022,#REF!,IF('INHERENT MAP'!$B$5=2023,#REF!,IF('INHERENT MAP'!$B$5=2024,#REF!,#REF!))))</f>
        <v>0</v>
      </c>
      <c r="J213">
        <f>IF('INHERENT MAP'!$B$5=2021,'РЕЕСТР РИСКОВ_2023'!N252,IF('INHERENT MAP'!$B$5=2022,#REF!,IF('INHERENT MAP'!$B$5=2023,#REF!,IF('INHERENT MAP'!$B$5=2024,#REF!,#REF!))))</f>
        <v>0</v>
      </c>
      <c r="K213">
        <f>IF('INHERENT MAP'!$B$5=2021,'РЕЕСТР РИСКОВ_2023'!O252,IF('INHERENT MAP'!$B$5=2022,#REF!,IF('INHERENT MAP'!$B$5=2023,#REF!,IF('INHERENT MAP'!$B$5=2024,#REF!,#REF!))))</f>
        <v>0</v>
      </c>
      <c r="L213">
        <f>IF('INHERENT MAP'!$B$5=2021,'РЕЕСТР РИСКОВ_2023'!P252,IF('INHERENT MAP'!$B$5=2022,#REF!,IF('INHERENT MAP'!$B$5=2023,#REF!,IF('INHERENT MAP'!$B$5=2024,#REF!,#REF!))))</f>
        <v>0</v>
      </c>
      <c r="M213" t="str">
        <f>IF('INHERENT MAP'!$B$5=2021,IF('РЕЕСТР РИСКОВ_2023'!Q252="",M212,'РЕЕСТР РИСКОВ_2023'!Q252),IF('INHERENT MAP'!$B$5=2022,IF(#REF!="",M212,#REF!),IF('INHERENT MAP'!$B$5=2023,IF(#REF!="",M212,#REF!),IF('INHERENT MAP'!$B$5=2024,IF(#REF!="",M212,#REF!),IF('РЕЕСТР РИСКОВ_2023'!Q252="",M212,'РЕЕСТР РИСКОВ_2023'!Q252)))))</f>
        <v xml:space="preserve">Несоблюдение и/или нарушение требований законодательства Республики Казахстан структурными подразделениями, филиалами, дочерними организациями </v>
      </c>
      <c r="N213" t="str">
        <f>IF('INHERENT MAP'!$B$5=2021,IF('РЕЕСТР РИСКОВ_2023'!R252="",N212,'РЕЕСТР РИСКОВ_2023'!R252),IF('INHERENT MAP'!$B$5=2022,IF(#REF!="",N212,#REF!),IF('INHERENT MAP'!$B$5=2023,IF(#REF!="",N212,#REF!),IF('INHERENT MAP'!$B$5=2024,IF(#REF!="",N212,#REF!),IF('РЕЕСТР РИСКОВ_2023'!R252="",N212,'РЕЕСТР РИСКОВ_2023'!R252)))))</f>
        <v xml:space="preserve">R11.1.CS1. С целью извлечения личной выгоды и иных преимуществ, руководители региональных подразделений Компании скрывают факт производственного травматизма/несчастного случая в сговоре с работниками или третьими лицами.                     </v>
      </c>
      <c r="O213">
        <f>'РЕЕСТР РИСКОВ_2023'!T252</f>
        <v>0</v>
      </c>
      <c r="P213" t="e">
        <f>IF('РЕЕСТР РИСКОВ_2023'!U252="",P212,'РЕЕСТР РИСКОВ_2023'!U252)</f>
        <v>#REF!</v>
      </c>
      <c r="Q213" t="str">
        <f>IF('РЕЕСТР РИСКОВ_2023'!V252="",Q212,'РЕЕСТР РИСКОВ_2023'!V252)</f>
        <v>Угрозы</v>
      </c>
      <c r="R213" t="str">
        <f>IF('РЕЕСТР РИСКОВ_2023'!W252="",R212,'РЕЕСТР РИСКОВ_2023'!W252)</f>
        <v>Рост убытков. Ухудшение деловой репутации</v>
      </c>
      <c r="S213">
        <f>'РЕЕСТР РИСКОВ_2023'!X252</f>
        <v>0</v>
      </c>
      <c r="T213" s="94">
        <f>IF('INHERENT MAP'!$B$5=2021,'РЕЕСТР РИСКОВ_2023'!Y252,IF('INHERENT MAP'!$B$5=2022,#REF!,IF('INHERENT MAP'!$B$5=2023,#REF!,IF('INHERENT MAP'!$B$5=2024,#REF!,#REF!))))</f>
        <v>0.4</v>
      </c>
      <c r="U213">
        <f>IF('INHERENT MAP'!$B$5=2021,'РЕЕСТР РИСКОВ_2023'!Z252,IF('INHERENT MAP'!$B$5=2022,#REF!,IF('INHERENT MAP'!$B$5=2023,#REF!,IF('INHERENT MAP'!$B$5=2024,#REF!,#REF!))))</f>
        <v>0</v>
      </c>
      <c r="V213">
        <f>IF('INHERENT MAP'!$B$5=2021,'РЕЕСТР РИСКОВ_2023'!AA252,IF('INHERENT MAP'!$B$5=2022,#REF!,IF('INHERENT MAP'!$B$5=2023,#REF!,IF('INHERENT MAP'!$B$5=2024,#REF!,#REF!))))</f>
        <v>0</v>
      </c>
      <c r="W213">
        <f>IF('INHERENT MAP'!$B$5=2021,'РЕЕСТР РИСКОВ_2023'!AB252,IF('INHERENT MAP'!$B$5=2022,#REF!,IF('INHERENT MAP'!$B$5=2023,#REF!,IF('INHERENT MAP'!$B$5=2024,#REF!,#REF!))))</f>
        <v>0</v>
      </c>
      <c r="X213" s="94">
        <f>IF('INHERENT MAP'!$B$5=2021,'РЕЕСТР РИСКОВ_2023'!AC252,IF('INHERENT MAP'!$B$5=2022,#REF!,IF('INHERENT MAP'!$B$5=2023,#REF!,IF('INHERENT MAP'!$B$5=2024,#REF!,#REF!))))</f>
        <v>0.4</v>
      </c>
      <c r="Y213">
        <f>IF('INHERENT MAP'!$B$5=2021,'РЕЕСТР РИСКОВ_2023'!AD252,IF('INHERENT MAP'!$B$5=2022,#REF!,IF('INHERENT MAP'!$B$5=2023,#REF!,IF('INHERENT MAP'!$B$5=2024,#REF!,#REF!))))</f>
        <v>0</v>
      </c>
      <c r="Z213">
        <f>IF('INHERENT MAP'!$B$5=2021,'РЕЕСТР РИСКОВ_2023'!AE252,IF('INHERENT MAP'!$B$5=2022,#REF!,IF('INHERENT MAP'!$B$5=2023,#REF!,IF('INHERENT MAP'!$B$5=2024,#REF!,#REF!))))</f>
        <v>0</v>
      </c>
      <c r="AA213">
        <f>IF('INHERENT MAP'!$B$5=2021,'РЕЕСТР РИСКОВ_2023'!AF252,IF('INHERENT MAP'!$B$5=2022,#REF!,IF('INHERENT MAP'!$B$5=2023,#REF!,IF('INHERENT MAP'!$B$5=2024,#REF!,#REF!))))</f>
        <v>0</v>
      </c>
      <c r="AB213">
        <f>IF('INHERENT MAP'!$B$5=2021,'РЕЕСТР РИСКОВ_2023'!AG252,IF('INHERENT MAP'!$B$5=2022,#REF!,IF('INHERENT MAP'!$B$5=2023,#REF!,IF('INHERENT MAP'!$B$5=2024,#REF!,#REF!))))</f>
        <v>0</v>
      </c>
      <c r="AC213">
        <f>IF('INHERENT MAP'!$B$5=2021,'РЕЕСТР РИСКОВ_2023'!AH252,IF('INHERENT MAP'!$B$5=2022,#REF!,IF('INHERENT MAP'!$B$5=2023,#REF!,IF('INHERENT MAP'!$B$5=2024,#REF!,#REF!))))</f>
        <v>0</v>
      </c>
      <c r="AD213" t="str">
        <f>IF('INHERENT MAP'!$B$5=2021,'РЕЕСТР РИСКОВ_2023'!AI252,IF('INHERENT MAP'!$B$5=2022,#REF!,IF('INHERENT MAP'!$B$5=2023,#REF!,IF('INHERENT MAP'!$B$5=2024,#REF!,#REF!))))</f>
        <v>Мероприятия, направленные на снижение нарушений требований законодательства Республики Казахстан.                                                                                   Мероприятия направленные на исполнение договорных обязательств.</v>
      </c>
      <c r="AE213">
        <f>IF('INHERENT MAP'!$B$5=2021,'РЕЕСТР РИСКОВ_2023'!AK252,IF('INHERENT MAP'!$B$5=2022,#REF!,IF('INHERENT MAP'!$B$5=2023,#REF!,IF('INHERENT MAP'!$B$5=2024,#REF!,#REF!))))</f>
        <v>0</v>
      </c>
      <c r="AF213">
        <f>IF('INHERENT MAP'!$B$5=2021,'РЕЕСТР РИСКОВ_2023'!AL252,IF('INHERENT MAP'!$B$5=2022,#REF!,IF('INHERENT MAP'!$B$5=2023,#REF!,IF('INHERENT MAP'!$B$5=2024,#REF!,#REF!))))</f>
        <v>0</v>
      </c>
      <c r="AG213" t="str">
        <f>IF('INHERENT MAP'!$B$5=2021,'РЕЕСТР РИСКОВ_2023'!AM252,IF('INHERENT MAP'!$B$5=2022,#REF!,IF('INHERENT MAP'!$B$5=2023,#REF!,IF('INHERENT MAP'!$B$5=2024,#REF!,#REF!))))</f>
        <v>средняя</v>
      </c>
      <c r="AH213">
        <f>IF('INHERENT MAP'!$B$5=2021,'РЕЕСТР РИСКОВ_2023'!AN252,IF('INHERENT MAP'!$B$5=2022,#REF!,IF('INHERENT MAP'!$B$5=2023,#REF!,IF('INHERENT MAP'!$B$5=2024,#REF!,#REF!))))</f>
        <v>0.2</v>
      </c>
      <c r="AI213">
        <f>IF('INHERENT MAP'!$B$5=2021,'РЕЕСТР РИСКОВ_2023'!AO252,IF('INHERENT MAP'!$B$5=2022,#REF!,IF('INHERENT MAP'!$B$5=2023,#REF!,IF('INHERENT MAP'!$B$5=2024,#REF!,#REF!))))</f>
        <v>0</v>
      </c>
      <c r="AJ213">
        <f>IF('INHERENT MAP'!$B$5=2021,'РЕЕСТР РИСКОВ_2023'!AP252,IF('INHERENT MAP'!$B$5=2022,#REF!,IF('INHERENT MAP'!$B$5=2023,#REF!,IF('INHERENT MAP'!$B$5=2024,#REF!,#REF!))))</f>
        <v>0</v>
      </c>
      <c r="AK213">
        <f>IF('РЕЕСТР РИСКОВ_2023'!AQ252="",AK212,'РЕЕСТР РИСКОВ_2023'!AQ252)</f>
        <v>0</v>
      </c>
      <c r="AL213">
        <f>IF('РЕЕСТР РИСКОВ_2023'!AR252="",AL212,'РЕЕСТР РИСКОВ_2023'!AR252)</f>
        <v>0.2</v>
      </c>
      <c r="AM213">
        <f>IF('РЕЕСТР РИСКОВ_2023'!AS252="",AM212,'РЕЕСТР РИСКОВ_2023'!AS252)</f>
        <v>0</v>
      </c>
      <c r="AN213">
        <f>IF('РЕЕСТР РИСКОВ_2023'!AT252="",AN212,'РЕЕСТР РИСКОВ_2023'!AT252)</f>
        <v>0</v>
      </c>
      <c r="AO213" t="e">
        <f>IF('РЕЕСТР РИСКОВ_2023'!AU252="",AO212,'РЕЕСТР РИСКОВ_2023'!AU252)</f>
        <v>#REF!</v>
      </c>
    </row>
    <row r="214" spans="2:41">
      <c r="B214" t="str">
        <f>IF('INHERENT MAP'!$B$5=2021,IF('РЕЕСТР РИСКОВ_2023'!F253="",B213,'РЕЕСТР РИСКОВ_2023'!F253),IF('INHERENT MAP'!$B$5=2022,IF(#REF!="",B213,#REF!),IF('INHERENT MAP'!$B$5=2023,IF(#REF!="",B213,#REF!),IF('INHERENT MAP'!$B$5=2024,IF(#REF!="",B213,#REF!),IF('РЕЕСТР РИСКОВ_2023'!F253="",B213,'РЕЕСТР РИСКОВ_2023'!F253)))))</f>
        <v>СТРАТЕГИЧЕСКИЙ РИСК</v>
      </c>
      <c r="C214" t="e">
        <f>IF('INHERENT MAP'!$B$5=2021,IF('РЕЕСТР РИСКОВ_2023'!G253="",C213,'РЕЕСТР РИСКОВ_2023'!G253),IF('INHERENT MAP'!$B$5=2022,IF(#REF!="",C213,#REF!),IF('INHERENT MAP'!$B$5=2023,IF(#REF!="",C213,#REF!),IF('INHERENT MAP'!$B$5=2024,IF(#REF!="",C213,#REF!),IF('РЕЕСТР РИСКОВ_2023'!G253="",C213,'РЕЕСТР РИСКОВ_2023'!G253)))))</f>
        <v>#REF!</v>
      </c>
      <c r="D214" t="str">
        <f>IF('INHERENT MAP'!$B$5=2021,IF('РЕЕСТР РИСКОВ_2023'!H253="",D213,'РЕЕСТР РИСКОВ_2023'!H253),IF('INHERENT MAP'!$B$5=2022,IF(#REF!="",D213,#REF!),IF('INHERENT MAP'!$B$5=2023,IF(#REF!="",D213,#REF!),IF('INHERENT MAP'!$B$5=2024,IF(#REF!="",D213,#REF!),IF('РЕЕСТР РИСКОВ_2023'!H253="",D213,'РЕЕСТР РИСКОВ_2023'!H253)))))</f>
        <v>STTR-1</v>
      </c>
      <c r="E214" t="str">
        <f>IF('INHERENT MAP'!$B$5=2021,IF('РЕЕСТР РИСКОВ_2023'!I253="",E213,'РЕЕСТР РИСКОВ_2023'!I253),IF('INHERENT MAP'!$B$5=2022,IF(#REF!="",E213,#REF!),IF('INHERENT MAP'!$B$5=2023,IF(#REF!="",E213,#REF!),IF('INHERENT MAP'!$B$5=2024,IF(#REF!="",E213,#REF!),IF('РЕЕСТР РИСКОВ_2023'!I253="",E213,'РЕЕСТР РИСКОВ_2023'!I253)))))</f>
        <v>Ц</v>
      </c>
      <c r="F214" t="str">
        <f>IF('INHERENT MAP'!$B$5=2021,IF('РЕЕСТР РИСКОВ_2023'!J253="",F213,'РЕЕСТР РИСКОВ_2023'!J253),IF('INHERENT MAP'!$B$5=2022,IF(#REF!="",F213,#REF!),IF('INHERENT MAP'!$B$5=2023,IF(#REF!="",F213,#REF!),IF('INHERENT MAP'!$B$5=2024,IF(#REF!="",F213,#REF!),IF('РЕЕСТР РИСКОВ_2023'!J253="",F213,'РЕЕСТР РИСКОВ_2023'!J253)))))</f>
        <v>ТОО "КТЖ-Грузовые перевозки"</v>
      </c>
      <c r="G214" t="str">
        <f>IF('INHERENT MAP'!$B$5=2021,IF('РЕЕСТР РИСКОВ_2023'!K253="",G213,'РЕЕСТР РИСКОВ_2023'!K253),IF('INHERENT MAP'!$B$5=2022,IF(#REF!="",G213,#REF!),IF('INHERENT MAP'!$B$5=2023,IF(#REF!="",G213,#REF!),IF('INHERENT MAP'!$B$5=2024,IF(#REF!="",G213,#REF!),IF('РЕЕСТР РИСКОВ_2023'!K253="",G213,'РЕЕСТР РИСКОВ_2023'!K253)))))</f>
        <v>Риск потери эксклюзивного права КТЖ на транзитные перевозки в качестве национального оператора РК</v>
      </c>
      <c r="H214">
        <f>IF('INHERENT MAP'!$B$5=2021,'РЕЕСТР РИСКОВ_2023'!L253,IF('INHERENT MAP'!$B$5=2022,#REF!,IF('INHERENT MAP'!$B$5=2023,#REF!,IF('INHERENT MAP'!$B$5=2024,#REF!,#REF!))))</f>
        <v>0</v>
      </c>
      <c r="I214">
        <f>IF('INHERENT MAP'!$B$5=2021,'РЕЕСТР РИСКОВ_2023'!M253,IF('INHERENT MAP'!$B$5=2022,#REF!,IF('INHERENT MAP'!$B$5=2023,#REF!,IF('INHERENT MAP'!$B$5=2024,#REF!,#REF!))))</f>
        <v>0</v>
      </c>
      <c r="J214">
        <f>IF('INHERENT MAP'!$B$5=2021,'РЕЕСТР РИСКОВ_2023'!N253,IF('INHERENT MAP'!$B$5=2022,#REF!,IF('INHERENT MAP'!$B$5=2023,#REF!,IF('INHERENT MAP'!$B$5=2024,#REF!,#REF!))))</f>
        <v>0</v>
      </c>
      <c r="K214">
        <f>IF('INHERENT MAP'!$B$5=2021,'РЕЕСТР РИСКОВ_2023'!O253,IF('INHERENT MAP'!$B$5=2022,#REF!,IF('INHERENT MAP'!$B$5=2023,#REF!,IF('INHERENT MAP'!$B$5=2024,#REF!,#REF!))))</f>
        <v>0</v>
      </c>
      <c r="L214">
        <f>IF('INHERENT MAP'!$B$5=2021,'РЕЕСТР РИСКОВ_2023'!P253,IF('INHERENT MAP'!$B$5=2022,#REF!,IF('INHERENT MAP'!$B$5=2023,#REF!,IF('INHERENT MAP'!$B$5=2024,#REF!,#REF!))))</f>
        <v>0</v>
      </c>
      <c r="M214" t="str">
        <f>IF('INHERENT MAP'!$B$5=2021,IF('РЕЕСТР РИСКОВ_2023'!Q253="",M213,'РЕЕСТР РИСКОВ_2023'!Q253),IF('INHERENT MAP'!$B$5=2022,IF(#REF!="",M213,#REF!),IF('INHERENT MAP'!$B$5=2023,IF(#REF!="",M213,#REF!),IF('INHERENT MAP'!$B$5=2024,IF(#REF!="",M213,#REF!),IF('РЕЕСТР РИСКОВ_2023'!Q253="",M213,'РЕЕСТР РИСКОВ_2023'!Q253)))))</f>
        <v xml:space="preserve">Несоблюдение и/или нарушение требований законодательства Республики Казахстан структурными подразделениями, филиалами, дочерними организациями </v>
      </c>
      <c r="N214" t="str">
        <f>IF('INHERENT MAP'!$B$5=2021,IF('РЕЕСТР РИСКОВ_2023'!R253="",N213,'РЕЕСТР РИСКОВ_2023'!R253),IF('INHERENT MAP'!$B$5=2022,IF(#REF!="",N213,#REF!),IF('INHERENT MAP'!$B$5=2023,IF(#REF!="",N213,#REF!),IF('INHERENT MAP'!$B$5=2024,IF(#REF!="",N213,#REF!),IF('РЕЕСТР РИСКОВ_2023'!R253="",N213,'РЕЕСТР РИСКОВ_2023'!R253)))))</f>
        <v xml:space="preserve">R11.1.CS1. С целью извлечения личной выгоды и иных преимуществ, руководители региональных подразделений Компании скрывают факт производственного травматизма/несчастного случая в сговоре с работниками или третьими лицами.                     </v>
      </c>
      <c r="O214">
        <f>'РЕЕСТР РИСКОВ_2023'!T253</f>
        <v>0</v>
      </c>
      <c r="P214" t="e">
        <f>IF('РЕЕСТР РИСКОВ_2023'!U253="",P213,'РЕЕСТР РИСКОВ_2023'!U253)</f>
        <v>#REF!</v>
      </c>
      <c r="Q214" t="str">
        <f>IF('РЕЕСТР РИСКОВ_2023'!V253="",Q213,'РЕЕСТР РИСКОВ_2023'!V253)</f>
        <v>Слабые стороны</v>
      </c>
      <c r="R214" t="str">
        <f>IF('РЕЕСТР РИСКОВ_2023'!W253="",R213,'РЕЕСТР РИСКОВ_2023'!W253)</f>
        <v>Рост убытков. Ухудшение деловой репутации</v>
      </c>
      <c r="S214">
        <f>'РЕЕСТР РИСКОВ_2023'!X253</f>
        <v>0</v>
      </c>
      <c r="T214" s="94">
        <f>IF('INHERENT MAP'!$B$5=2021,'РЕЕСТР РИСКОВ_2023'!Y253,IF('INHERENT MAP'!$B$5=2022,#REF!,IF('INHERENT MAP'!$B$5=2023,#REF!,IF('INHERENT MAP'!$B$5=2024,#REF!,#REF!))))</f>
        <v>0</v>
      </c>
      <c r="U214">
        <f>IF('INHERENT MAP'!$B$5=2021,'РЕЕСТР РИСКОВ_2023'!Z253,IF('INHERENT MAP'!$B$5=2022,#REF!,IF('INHERENT MAP'!$B$5=2023,#REF!,IF('INHERENT MAP'!$B$5=2024,#REF!,#REF!))))</f>
        <v>0</v>
      </c>
      <c r="V214">
        <f>IF('INHERENT MAP'!$B$5=2021,'РЕЕСТР РИСКОВ_2023'!AA253,IF('INHERENT MAP'!$B$5=2022,#REF!,IF('INHERENT MAP'!$B$5=2023,#REF!,IF('INHERENT MAP'!$B$5=2024,#REF!,#REF!))))</f>
        <v>0</v>
      </c>
      <c r="W214">
        <f>IF('INHERENT MAP'!$B$5=2021,'РЕЕСТР РИСКОВ_2023'!AB253,IF('INHERENT MAP'!$B$5=2022,#REF!,IF('INHERENT MAP'!$B$5=2023,#REF!,IF('INHERENT MAP'!$B$5=2024,#REF!,#REF!))))</f>
        <v>0</v>
      </c>
      <c r="X214" s="94">
        <f>IF('INHERENT MAP'!$B$5=2021,'РЕЕСТР РИСКОВ_2023'!AC253,IF('INHERENT MAP'!$B$5=2022,#REF!,IF('INHERENT MAP'!$B$5=2023,#REF!,IF('INHERENT MAP'!$B$5=2024,#REF!,#REF!))))</f>
        <v>0</v>
      </c>
      <c r="Y214">
        <f>IF('INHERENT MAP'!$B$5=2021,'РЕЕСТР РИСКОВ_2023'!AD253,IF('INHERENT MAP'!$B$5=2022,#REF!,IF('INHERENT MAP'!$B$5=2023,#REF!,IF('INHERENT MAP'!$B$5=2024,#REF!,#REF!))))</f>
        <v>0</v>
      </c>
      <c r="Z214">
        <f>IF('INHERENT MAP'!$B$5=2021,'РЕЕСТР РИСКОВ_2023'!AE253,IF('INHERENT MAP'!$B$5=2022,#REF!,IF('INHERENT MAP'!$B$5=2023,#REF!,IF('INHERENT MAP'!$B$5=2024,#REF!,#REF!))))</f>
        <v>0</v>
      </c>
      <c r="AA214">
        <f>IF('INHERENT MAP'!$B$5=2021,'РЕЕСТР РИСКОВ_2023'!AF253,IF('INHERENT MAP'!$B$5=2022,#REF!,IF('INHERENT MAP'!$B$5=2023,#REF!,IF('INHERENT MAP'!$B$5=2024,#REF!,#REF!))))</f>
        <v>0</v>
      </c>
      <c r="AB214">
        <f>IF('INHERENT MAP'!$B$5=2021,'РЕЕСТР РИСКОВ_2023'!AG253,IF('INHERENT MAP'!$B$5=2022,#REF!,IF('INHERENT MAP'!$B$5=2023,#REF!,IF('INHERENT MAP'!$B$5=2024,#REF!,#REF!))))</f>
        <v>0</v>
      </c>
      <c r="AC214">
        <f>IF('INHERENT MAP'!$B$5=2021,'РЕЕСТР РИСКОВ_2023'!AH253,IF('INHERENT MAP'!$B$5=2022,#REF!,IF('INHERENT MAP'!$B$5=2023,#REF!,IF('INHERENT MAP'!$B$5=2024,#REF!,#REF!))))</f>
        <v>0</v>
      </c>
      <c r="AD214">
        <f>IF('INHERENT MAP'!$B$5=2021,'РЕЕСТР РИСКОВ_2023'!AI253,IF('INHERENT MAP'!$B$5=2022,#REF!,IF('INHERENT MAP'!$B$5=2023,#REF!,IF('INHERENT MAP'!$B$5=2024,#REF!,#REF!))))</f>
        <v>0</v>
      </c>
      <c r="AE214">
        <f>IF('INHERENT MAP'!$B$5=2021,'РЕЕСТР РИСКОВ_2023'!AK253,IF('INHERENT MAP'!$B$5=2022,#REF!,IF('INHERENT MAP'!$B$5=2023,#REF!,IF('INHERENT MAP'!$B$5=2024,#REF!,#REF!))))</f>
        <v>0</v>
      </c>
      <c r="AF214">
        <f>IF('INHERENT MAP'!$B$5=2021,'РЕЕСТР РИСКОВ_2023'!AL253,IF('INHERENT MAP'!$B$5=2022,#REF!,IF('INHERENT MAP'!$B$5=2023,#REF!,IF('INHERENT MAP'!$B$5=2024,#REF!,#REF!))))</f>
        <v>0</v>
      </c>
      <c r="AG214" t="str">
        <f>IF('INHERENT MAP'!$B$5=2021,'РЕЕСТР РИСКОВ_2023'!AM253,IF('INHERENT MAP'!$B$5=2022,#REF!,IF('INHERENT MAP'!$B$5=2023,#REF!,IF('INHERENT MAP'!$B$5=2024,#REF!,#REF!))))</f>
        <v>средняя</v>
      </c>
      <c r="AH214">
        <f>IF('INHERENT MAP'!$B$5=2021,'РЕЕСТР РИСКОВ_2023'!AN253,IF('INHERENT MAP'!$B$5=2022,#REF!,IF('INHERENT MAP'!$B$5=2023,#REF!,IF('INHERENT MAP'!$B$5=2024,#REF!,#REF!))))</f>
        <v>0</v>
      </c>
      <c r="AI214">
        <f>IF('INHERENT MAP'!$B$5=2021,'РЕЕСТР РИСКОВ_2023'!AO253,IF('INHERENT MAP'!$B$5=2022,#REF!,IF('INHERENT MAP'!$B$5=2023,#REF!,IF('INHERENT MAP'!$B$5=2024,#REF!,#REF!))))</f>
        <v>0</v>
      </c>
      <c r="AJ214">
        <f>IF('INHERENT MAP'!$B$5=2021,'РЕЕСТР РИСКОВ_2023'!AP253,IF('INHERENT MAP'!$B$5=2022,#REF!,IF('INHERENT MAP'!$B$5=2023,#REF!,IF('INHERENT MAP'!$B$5=2024,#REF!,#REF!))))</f>
        <v>0</v>
      </c>
      <c r="AK214">
        <f>IF('РЕЕСТР РИСКОВ_2023'!AQ253="",AK213,'РЕЕСТР РИСКОВ_2023'!AQ253)</f>
        <v>0</v>
      </c>
      <c r="AL214">
        <f>IF('РЕЕСТР РИСКОВ_2023'!AR253="",AL213,'РЕЕСТР РИСКОВ_2023'!AR253)</f>
        <v>0</v>
      </c>
      <c r="AM214">
        <f>IF('РЕЕСТР РИСКОВ_2023'!AS253="",AM213,'РЕЕСТР РИСКОВ_2023'!AS253)</f>
        <v>0</v>
      </c>
      <c r="AN214">
        <f>IF('РЕЕСТР РИСКОВ_2023'!AT253="",AN213,'РЕЕСТР РИСКОВ_2023'!AT253)</f>
        <v>0</v>
      </c>
      <c r="AO214" t="e">
        <f>IF('РЕЕСТР РИСКОВ_2023'!AU253="",AO213,'РЕЕСТР РИСКОВ_2023'!AU253)</f>
        <v>#REF!</v>
      </c>
    </row>
    <row r="215" spans="2:41">
      <c r="B215" t="str">
        <f>IF('INHERENT MAP'!$B$5=2021,IF('РЕЕСТР РИСКОВ_2023'!F254="",B214,'РЕЕСТР РИСКОВ_2023'!F254),IF('INHERENT MAP'!$B$5=2022,IF(#REF!="",B214,#REF!),IF('INHERENT MAP'!$B$5=2023,IF(#REF!="",B214,#REF!),IF('INHERENT MAP'!$B$5=2024,IF(#REF!="",B214,#REF!),IF('РЕЕСТР РИСКОВ_2023'!F254="",B214,'РЕЕСТР РИСКОВ_2023'!F254)))))</f>
        <v>СТРАТЕГИЧЕСКИЙ РИСК</v>
      </c>
      <c r="C215" t="e">
        <f>IF('INHERENT MAP'!$B$5=2021,IF('РЕЕСТР РИСКОВ_2023'!G254="",C214,'РЕЕСТР РИСКОВ_2023'!G254),IF('INHERENT MAP'!$B$5=2022,IF(#REF!="",C214,#REF!),IF('INHERENT MAP'!$B$5=2023,IF(#REF!="",C214,#REF!),IF('INHERENT MAP'!$B$5=2024,IF(#REF!="",C214,#REF!),IF('РЕЕСТР РИСКОВ_2023'!G254="",C214,'РЕЕСТР РИСКОВ_2023'!G254)))))</f>
        <v>#REF!</v>
      </c>
      <c r="D215" t="str">
        <f>IF('INHERENT MAP'!$B$5=2021,IF('РЕЕСТР РИСКОВ_2023'!H254="",D214,'РЕЕСТР РИСКОВ_2023'!H254),IF('INHERENT MAP'!$B$5=2022,IF(#REF!="",D214,#REF!),IF('INHERENT MAP'!$B$5=2023,IF(#REF!="",D214,#REF!),IF('INHERENT MAP'!$B$5=2024,IF(#REF!="",D214,#REF!),IF('РЕЕСТР РИСКОВ_2023'!H254="",D214,'РЕЕСТР РИСКОВ_2023'!H254)))))</f>
        <v>STTR-2</v>
      </c>
      <c r="E215" t="str">
        <f>IF('INHERENT MAP'!$B$5=2021,IF('РЕЕСТР РИСКОВ_2023'!I254="",E214,'РЕЕСТР РИСКОВ_2023'!I254),IF('INHERENT MAP'!$B$5=2022,IF(#REF!="",E214,#REF!),IF('INHERENT MAP'!$B$5=2023,IF(#REF!="",E214,#REF!),IF('INHERENT MAP'!$B$5=2024,IF(#REF!="",E214,#REF!),IF('РЕЕСТР РИСКОВ_2023'!I254="",E214,'РЕЕСТР РИСКОВ_2023'!I254)))))</f>
        <v>ЦЗД</v>
      </c>
      <c r="F215" t="str">
        <f>IF('INHERENT MAP'!$B$5=2021,IF('РЕЕСТР РИСКОВ_2023'!J254="",F214,'РЕЕСТР РИСКОВ_2023'!J254),IF('INHERENT MAP'!$B$5=2022,IF(#REF!="",F214,#REF!),IF('INHERENT MAP'!$B$5=2023,IF(#REF!="",F214,#REF!),IF('INHERENT MAP'!$B$5=2024,IF(#REF!="",F214,#REF!),IF('РЕЕСТР РИСКОВ_2023'!J254="",F214,'РЕЕСТР РИСКОВ_2023'!J254)))))</f>
        <v>ТОО "КТЖ-Грузовые перевозки"</v>
      </c>
      <c r="G215" t="str">
        <f>IF('INHERENT MAP'!$B$5=2021,IF('РЕЕСТР РИСКОВ_2023'!K254="",G214,'РЕЕСТР РИСКОВ_2023'!K254),IF('INHERENT MAP'!$B$5=2022,IF(#REF!="",G214,#REF!),IF('INHERENT MAP'!$B$5=2023,IF(#REF!="",G214,#REF!),IF('INHERENT MAP'!$B$5=2024,IF(#REF!="",G214,#REF!),IF('РЕЕСТР РИСКОВ_2023'!K254="",G214,'РЕЕСТР РИСКОВ_2023'!K254)))))</f>
        <v>Существенное изменение структуры грузооборота по типам грузов и направлениям относительно прогнозируемых значений</v>
      </c>
      <c r="H215">
        <f>IF('INHERENT MAP'!$B$5=2021,'РЕЕСТР РИСКОВ_2023'!L254,IF('INHERENT MAP'!$B$5=2022,#REF!,IF('INHERENT MAP'!$B$5=2023,#REF!,IF('INHERENT MAP'!$B$5=2024,#REF!,#REF!))))</f>
        <v>0</v>
      </c>
      <c r="I215">
        <f>IF('INHERENT MAP'!$B$5=2021,'РЕЕСТР РИСКОВ_2023'!M254,IF('INHERENT MAP'!$B$5=2022,#REF!,IF('INHERENT MAP'!$B$5=2023,#REF!,IF('INHERENT MAP'!$B$5=2024,#REF!,#REF!))))</f>
        <v>0</v>
      </c>
      <c r="J215">
        <f>IF('INHERENT MAP'!$B$5=2021,'РЕЕСТР РИСКОВ_2023'!N254,IF('INHERENT MAP'!$B$5=2022,#REF!,IF('INHERENT MAP'!$B$5=2023,#REF!,IF('INHERENT MAP'!$B$5=2024,#REF!,#REF!))))</f>
        <v>0</v>
      </c>
      <c r="K215">
        <f>IF('INHERENT MAP'!$B$5=2021,'РЕЕСТР РИСКОВ_2023'!O254,IF('INHERENT MAP'!$B$5=2022,#REF!,IF('INHERENT MAP'!$B$5=2023,#REF!,IF('INHERENT MAP'!$B$5=2024,#REF!,#REF!))))</f>
        <v>0</v>
      </c>
      <c r="L215">
        <f>IF('INHERENT MAP'!$B$5=2021,'РЕЕСТР РИСКОВ_2023'!P254,IF('INHERENT MAP'!$B$5=2022,#REF!,IF('INHERENT MAP'!$B$5=2023,#REF!,IF('INHERENT MAP'!$B$5=2024,#REF!,#REF!))))</f>
        <v>0</v>
      </c>
      <c r="M215" t="str">
        <f>IF('INHERENT MAP'!$B$5=2021,IF('РЕЕСТР РИСКОВ_2023'!Q254="",M214,'РЕЕСТР РИСКОВ_2023'!Q254),IF('INHERENT MAP'!$B$5=2022,IF(#REF!="",M214,#REF!),IF('INHERENT MAP'!$B$5=2023,IF(#REF!="",M214,#REF!),IF('INHERENT MAP'!$B$5=2024,IF(#REF!="",M214,#REF!),IF('РЕЕСТР РИСКОВ_2023'!Q254="",M214,'РЕЕСТР РИСКОВ_2023'!Q254)))))</f>
        <v xml:space="preserve">Несоблюдение и/или нарушение требований законодательства Республики Казахстан структурными подразделениями, филиалами, дочерними организациями </v>
      </c>
      <c r="N215" t="str">
        <f>IF('INHERENT MAP'!$B$5=2021,IF('РЕЕСТР РИСКОВ_2023'!R254="",N214,'РЕЕСТР РИСКОВ_2023'!R254),IF('INHERENT MAP'!$B$5=2022,IF(#REF!="",N214,#REF!),IF('INHERENT MAP'!$B$5=2023,IF(#REF!="",N214,#REF!),IF('INHERENT MAP'!$B$5=2024,IF(#REF!="",N214,#REF!),IF('РЕЕСТР РИСКОВ_2023'!R254="",N214,'РЕЕСТР РИСКОВ_2023'!R254)))))</f>
        <v xml:space="preserve">R11.1.CS1. С целью извлечения личной выгоды и иных преимуществ, руководители региональных подразделений Компании скрывают факт производственного травматизма/несчастного случая в сговоре с работниками или третьими лицами.                     </v>
      </c>
      <c r="O215">
        <f>'РЕЕСТР РИСКОВ_2023'!T254</f>
        <v>0</v>
      </c>
      <c r="P215" t="e">
        <f>IF('РЕЕСТР РИСКОВ_2023'!U254="",P214,'РЕЕСТР РИСКОВ_2023'!U254)</f>
        <v>#REF!</v>
      </c>
      <c r="Q215" t="str">
        <f>IF('РЕЕСТР РИСКОВ_2023'!V254="",Q214,'РЕЕСТР РИСКОВ_2023'!V254)</f>
        <v>Угрозы</v>
      </c>
      <c r="R215" t="str">
        <f>IF('РЕЕСТР РИСКОВ_2023'!W254="",R214,'РЕЕСТР РИСКОВ_2023'!W254)</f>
        <v>1. корректировки, предложенные внешним аудитором 2. корректировки, предложенные Единственным  акционером</v>
      </c>
      <c r="S215">
        <f>'РЕЕСТР РИСКОВ_2023'!X254</f>
        <v>0</v>
      </c>
      <c r="T215" s="94">
        <f>IF('INHERENT MAP'!$B$5=2021,'РЕЕСТР РИСКОВ_2023'!Y254,IF('INHERENT MAP'!$B$5=2022,#REF!,IF('INHERENT MAP'!$B$5=2023,#REF!,IF('INHERENT MAP'!$B$5=2024,#REF!,#REF!))))</f>
        <v>0.25</v>
      </c>
      <c r="U215">
        <f>IF('INHERENT MAP'!$B$5=2021,'РЕЕСТР РИСКОВ_2023'!Z254,IF('INHERENT MAP'!$B$5=2022,#REF!,IF('INHERENT MAP'!$B$5=2023,#REF!,IF('INHERENT MAP'!$B$5=2024,#REF!,#REF!))))</f>
        <v>0</v>
      </c>
      <c r="V215">
        <f>IF('INHERENT MAP'!$B$5=2021,'РЕЕСТР РИСКОВ_2023'!AA254,IF('INHERENT MAP'!$B$5=2022,#REF!,IF('INHERENT MAP'!$B$5=2023,#REF!,IF('INHERENT MAP'!$B$5=2024,#REF!,#REF!))))</f>
        <v>0</v>
      </c>
      <c r="W215">
        <f>IF('INHERENT MAP'!$B$5=2021,'РЕЕСТР РИСКОВ_2023'!AB254,IF('INHERENT MAP'!$B$5=2022,#REF!,IF('INHERENT MAP'!$B$5=2023,#REF!,IF('INHERENT MAP'!$B$5=2024,#REF!,#REF!))))</f>
        <v>0</v>
      </c>
      <c r="X215" s="94">
        <f>IF('INHERENT MAP'!$B$5=2021,'РЕЕСТР РИСКОВ_2023'!AC254,IF('INHERENT MAP'!$B$5=2022,#REF!,IF('INHERENT MAP'!$B$5=2023,#REF!,IF('INHERENT MAP'!$B$5=2024,#REF!,#REF!))))</f>
        <v>0.25</v>
      </c>
      <c r="Y215">
        <f>IF('INHERENT MAP'!$B$5=2021,'РЕЕСТР РИСКОВ_2023'!AD254,IF('INHERENT MAP'!$B$5=2022,#REF!,IF('INHERENT MAP'!$B$5=2023,#REF!,IF('INHERENT MAP'!$B$5=2024,#REF!,#REF!))))</f>
        <v>0</v>
      </c>
      <c r="Z215">
        <f>IF('INHERENT MAP'!$B$5=2021,'РЕЕСТР РИСКОВ_2023'!AE254,IF('INHERENT MAP'!$B$5=2022,#REF!,IF('INHERENT MAP'!$B$5=2023,#REF!,IF('INHERENT MAP'!$B$5=2024,#REF!,#REF!))))</f>
        <v>0</v>
      </c>
      <c r="AA215">
        <f>IF('INHERENT MAP'!$B$5=2021,'РЕЕСТР РИСКОВ_2023'!AF254,IF('INHERENT MAP'!$B$5=2022,#REF!,IF('INHERENT MAP'!$B$5=2023,#REF!,IF('INHERENT MAP'!$B$5=2024,#REF!,#REF!))))</f>
        <v>0</v>
      </c>
      <c r="AB215">
        <f>IF('INHERENT MAP'!$B$5=2021,'РЕЕСТР РИСКОВ_2023'!AG254,IF('INHERENT MAP'!$B$5=2022,#REF!,IF('INHERENT MAP'!$B$5=2023,#REF!,IF('INHERENT MAP'!$B$5=2024,#REF!,#REF!))))</f>
        <v>0</v>
      </c>
      <c r="AC215">
        <f>IF('INHERENT MAP'!$B$5=2021,'РЕЕСТР РИСКОВ_2023'!AH254,IF('INHERENT MAP'!$B$5=2022,#REF!,IF('INHERENT MAP'!$B$5=2023,#REF!,IF('INHERENT MAP'!$B$5=2024,#REF!,#REF!))))</f>
        <v>0</v>
      </c>
      <c r="AD215">
        <f>IF('INHERENT MAP'!$B$5=2021,'РЕЕСТР РИСКОВ_2023'!AI254,IF('INHERENT MAP'!$B$5=2022,#REF!,IF('INHERENT MAP'!$B$5=2023,#REF!,IF('INHERENT MAP'!$B$5=2024,#REF!,#REF!))))</f>
        <v>0</v>
      </c>
      <c r="AE215">
        <f>IF('INHERENT MAP'!$B$5=2021,'РЕЕСТР РИСКОВ_2023'!AK254,IF('INHERENT MAP'!$B$5=2022,#REF!,IF('INHERENT MAP'!$B$5=2023,#REF!,IF('INHERENT MAP'!$B$5=2024,#REF!,#REF!))))</f>
        <v>0</v>
      </c>
      <c r="AF215">
        <f>IF('INHERENT MAP'!$B$5=2021,'РЕЕСТР РИСКОВ_2023'!AL254,IF('INHERENT MAP'!$B$5=2022,#REF!,IF('INHERENT MAP'!$B$5=2023,#REF!,IF('INHERENT MAP'!$B$5=2024,#REF!,#REF!))))</f>
        <v>0</v>
      </c>
      <c r="AG215" t="str">
        <f>IF('INHERENT MAP'!$B$5=2021,'РЕЕСТР РИСКОВ_2023'!AM254,IF('INHERENT MAP'!$B$5=2022,#REF!,IF('INHERENT MAP'!$B$5=2023,#REF!,IF('INHERENT MAP'!$B$5=2024,#REF!,#REF!))))</f>
        <v>средняя</v>
      </c>
      <c r="AH215">
        <f>IF('INHERENT MAP'!$B$5=2021,'РЕЕСТР РИСКОВ_2023'!AN254,IF('INHERENT MAP'!$B$5=2022,#REF!,IF('INHERENT MAP'!$B$5=2023,#REF!,IF('INHERENT MAP'!$B$5=2024,#REF!,#REF!))))</f>
        <v>0.125</v>
      </c>
      <c r="AI215">
        <f>IF('INHERENT MAP'!$B$5=2021,'РЕЕСТР РИСКОВ_2023'!AO254,IF('INHERENT MAP'!$B$5=2022,#REF!,IF('INHERENT MAP'!$B$5=2023,#REF!,IF('INHERENT MAP'!$B$5=2024,#REF!,#REF!))))</f>
        <v>0</v>
      </c>
      <c r="AJ215">
        <f>IF('INHERENT MAP'!$B$5=2021,'РЕЕСТР РИСКОВ_2023'!AP254,IF('INHERENT MAP'!$B$5=2022,#REF!,IF('INHERENT MAP'!$B$5=2023,#REF!,IF('INHERENT MAP'!$B$5=2024,#REF!,#REF!))))</f>
        <v>0</v>
      </c>
      <c r="AK215">
        <f>IF('РЕЕСТР РИСКОВ_2023'!AQ254="",AK214,'РЕЕСТР РИСКОВ_2023'!AQ254)</f>
        <v>0</v>
      </c>
      <c r="AL215">
        <f>IF('РЕЕСТР РИСКОВ_2023'!AR254="",AL214,'РЕЕСТР РИСКОВ_2023'!AR254)</f>
        <v>0.125</v>
      </c>
      <c r="AM215">
        <f>IF('РЕЕСТР РИСКОВ_2023'!AS254="",AM214,'РЕЕСТР РИСКОВ_2023'!AS254)</f>
        <v>0</v>
      </c>
      <c r="AN215">
        <f>IF('РЕЕСТР РИСКОВ_2023'!AT254="",AN214,'РЕЕСТР РИСКОВ_2023'!AT254)</f>
        <v>0</v>
      </c>
      <c r="AO215" t="e">
        <f>IF('РЕЕСТР РИСКОВ_2023'!AU254="",AO214,'РЕЕСТР РИСКОВ_2023'!AU254)</f>
        <v>#REF!</v>
      </c>
    </row>
    <row r="216" spans="2:41">
      <c r="B216" t="str">
        <f>IF('INHERENT MAP'!$B$5=2021,IF('РЕЕСТР РИСКОВ_2023'!F255="",B215,'РЕЕСТР РИСКОВ_2023'!F255),IF('INHERENT MAP'!$B$5=2022,IF(#REF!="",B215,#REF!),IF('INHERENT MAP'!$B$5=2023,IF(#REF!="",B215,#REF!),IF('INHERENT MAP'!$B$5=2024,IF(#REF!="",B215,#REF!),IF('РЕЕСТР РИСКОВ_2023'!F255="",B215,'РЕЕСТР РИСКОВ_2023'!F255)))))</f>
        <v>СТРАТЕГИЧЕСКИЙ РИСК</v>
      </c>
      <c r="C216" t="e">
        <f>IF('INHERENT MAP'!$B$5=2021,IF('РЕЕСТР РИСКОВ_2023'!G255="",C215,'РЕЕСТР РИСКОВ_2023'!G255),IF('INHERENT MAP'!$B$5=2022,IF(#REF!="",C215,#REF!),IF('INHERENT MAP'!$B$5=2023,IF(#REF!="",C215,#REF!),IF('INHERENT MAP'!$B$5=2024,IF(#REF!="",C215,#REF!),IF('РЕЕСТР РИСКОВ_2023'!G255="",C215,'РЕЕСТР РИСКОВ_2023'!G255)))))</f>
        <v>#REF!</v>
      </c>
      <c r="D216" t="str">
        <f>IF('INHERENT MAP'!$B$5=2021,IF('РЕЕСТР РИСКОВ_2023'!H255="",D215,'РЕЕСТР РИСКОВ_2023'!H255),IF('INHERENT MAP'!$B$5=2022,IF(#REF!="",D215,#REF!),IF('INHERENT MAP'!$B$5=2023,IF(#REF!="",D215,#REF!),IF('INHERENT MAP'!$B$5=2024,IF(#REF!="",D215,#REF!),IF('РЕЕСТР РИСКОВ_2023'!H255="",D215,'РЕЕСТР РИСКОВ_2023'!H255)))))</f>
        <v>STTR-3</v>
      </c>
      <c r="E216" t="str">
        <f>IF('INHERENT MAP'!$B$5=2021,IF('РЕЕСТР РИСКОВ_2023'!I255="",E215,'РЕЕСТР РИСКОВ_2023'!I255),IF('INHERENT MAP'!$B$5=2022,IF(#REF!="",E215,#REF!),IF('INHERENT MAP'!$B$5=2023,IF(#REF!="",E215,#REF!),IF('INHERENT MAP'!$B$5=2024,IF(#REF!="",E215,#REF!),IF('РЕЕСТР РИСКОВ_2023'!I255="",E215,'РЕЕСТР РИСКОВ_2023'!I255)))))</f>
        <v>Ц</v>
      </c>
      <c r="F216" t="str">
        <f>IF('INHERENT MAP'!$B$5=2021,IF('РЕЕСТР РИСКОВ_2023'!J255="",F215,'РЕЕСТР РИСКОВ_2023'!J255),IF('INHERENT MAP'!$B$5=2022,IF(#REF!="",F215,#REF!),IF('INHERENT MAP'!$B$5=2023,IF(#REF!="",F215,#REF!),IF('INHERENT MAP'!$B$5=2024,IF(#REF!="",F215,#REF!),IF('РЕЕСТР РИСКОВ_2023'!J255="",F215,'РЕЕСТР РИСКОВ_2023'!J255)))))</f>
        <v>ЦКР</v>
      </c>
      <c r="G216" t="str">
        <f>IF('INHERENT MAP'!$B$5=2021,IF('РЕЕСТР РИСКОВ_2023'!K255="",G215,'РЕЕСТР РИСКОВ_2023'!K255),IF('INHERENT MAP'!$B$5=2022,IF(#REF!="",G215,#REF!),IF('INHERENT MAP'!$B$5=2023,IF(#REF!="",G215,#REF!),IF('INHERENT MAP'!$B$5=2024,IF(#REF!="",G215,#REF!),IF('РЕЕСТР РИСКОВ_2023'!K255="",G215,'РЕЕСТР РИСКОВ_2023'!K255)))))</f>
        <v>Не исполнения Плана мероприятий по реализации Стратегии развития АО "НК "КТЖ" до 2029 года</v>
      </c>
      <c r="H216" t="str">
        <f>IF('INHERENT MAP'!$B$5=2021,'РЕЕСТР РИСКОВ_2023'!L255,IF('INHERENT MAP'!$B$5=2022,#REF!,IF('INHERENT MAP'!$B$5=2023,#REF!,IF('INHERENT MAP'!$B$5=2024,#REF!,#REF!))))</f>
        <v>Выпонение Плана мероприятий по реализации Стратегии развития</v>
      </c>
      <c r="I216" t="str">
        <f>IF('INHERENT MAP'!$B$5=2021,'РЕЕСТР РИСКОВ_2023'!M255,IF('INHERENT MAP'!$B$5=2022,#REF!,IF('INHERENT MAP'!$B$5=2023,#REF!,IF('INHERENT MAP'!$B$5=2024,#REF!,#REF!))))</f>
        <v>до 2029 года</v>
      </c>
      <c r="J216" t="str">
        <f>IF('INHERENT MAP'!$B$5=2021,'РЕЕСТР РИСКОВ_2023'!N255,IF('INHERENT MAP'!$B$5=2022,#REF!,IF('INHERENT MAP'!$B$5=2023,#REF!,IF('INHERENT MAP'!$B$5=2024,#REF!,#REF!))))</f>
        <v>Отчет о реализации Стратегии развития</v>
      </c>
      <c r="K216">
        <f>IF('INHERENT MAP'!$B$5=2021,'РЕЕСТР РИСКОВ_2023'!O255,IF('INHERENT MAP'!$B$5=2022,#REF!,IF('INHERENT MAP'!$B$5=2023,#REF!,IF('INHERENT MAP'!$B$5=2024,#REF!,#REF!))))</f>
        <v>0</v>
      </c>
      <c r="L216">
        <f>IF('INHERENT MAP'!$B$5=2021,'РЕЕСТР РИСКОВ_2023'!P255,IF('INHERENT MAP'!$B$5=2022,#REF!,IF('INHERENT MAP'!$B$5=2023,#REF!,IF('INHERENT MAP'!$B$5=2024,#REF!,#REF!))))</f>
        <v>0</v>
      </c>
      <c r="M216" t="str">
        <f>IF('INHERENT MAP'!$B$5=2021,IF('РЕЕСТР РИСКОВ_2023'!Q255="",M215,'РЕЕСТР РИСКОВ_2023'!Q255),IF('INHERENT MAP'!$B$5=2022,IF(#REF!="",M215,#REF!),IF('INHERENT MAP'!$B$5=2023,IF(#REF!="",M215,#REF!),IF('INHERENT MAP'!$B$5=2024,IF(#REF!="",M215,#REF!),IF('РЕЕСТР РИСКОВ_2023'!Q255="",M215,'РЕЕСТР РИСКОВ_2023'!Q255)))))</f>
        <v>Не исполнения Плана мероприятий по ЦЕЛИ №1
"Вывод Компании из зоны финансового риска и обеспечение финансовой устойчивости".</v>
      </c>
      <c r="N216" t="str">
        <f>IF('INHERENT MAP'!$B$5=2021,IF('РЕЕСТР РИСКОВ_2023'!R255="",N215,'РЕЕСТР РИСКОВ_2023'!R255),IF('INHERENT MAP'!$B$5=2022,IF(#REF!="",N215,#REF!),IF('INHERENT MAP'!$B$5=2023,IF(#REF!="",N215,#REF!),IF('INHERENT MAP'!$B$5=2024,IF(#REF!="",N215,#REF!),IF('РЕЕСТР РИСКОВ_2023'!R255="",N215,'РЕЕСТР РИСКОВ_2023'!R255)))))</f>
        <v xml:space="preserve">1. Отсутствие заинтересованности и вовлеченности руководителей структурных подразделений АО "НК "КТЖ" и руководства дочерних организаций АО "НК "КТЖ". 
2. Страновой риск из-за изменения внешних политических / экономических условий, санкций или других ограничений. </v>
      </c>
      <c r="O216">
        <f>'РЕЕСТР РИСКОВ_2023'!T255</f>
        <v>0</v>
      </c>
      <c r="P216" t="e">
        <f>IF('РЕЕСТР РИСКОВ_2023'!U255="",P215,'РЕЕСТР РИСКОВ_2023'!U255)</f>
        <v>#REF!</v>
      </c>
      <c r="Q216" t="str">
        <f>IF('РЕЕСТР РИСКОВ_2023'!V255="",Q215,'РЕЕСТР РИСКОВ_2023'!V255)</f>
        <v>Угрозы</v>
      </c>
      <c r="R216" t="str">
        <f>IF('РЕЕСТР РИСКОВ_2023'!W255="",R215,'РЕЕСТР РИСКОВ_2023'!W255)</f>
        <v>1. корректировки, предложенные внешним аудитором 2. корректировки, предложенные Единственным  акционером</v>
      </c>
      <c r="S216">
        <f>'РЕЕСТР РИСКОВ_2023'!X255</f>
        <v>0</v>
      </c>
      <c r="T216" s="94">
        <f>IF('INHERENT MAP'!$B$5=2021,'РЕЕСТР РИСКОВ_2023'!Y255,IF('INHERENT MAP'!$B$5=2022,#REF!,IF('INHERENT MAP'!$B$5=2023,#REF!,IF('INHERENT MAP'!$B$5=2024,#REF!,#REF!))))</f>
        <v>0.05</v>
      </c>
      <c r="U216">
        <f>IF('INHERENT MAP'!$B$5=2021,'РЕЕСТР РИСКОВ_2023'!Z255,IF('INHERENT MAP'!$B$5=2022,#REF!,IF('INHERENT MAP'!$B$5=2023,#REF!,IF('INHERENT MAP'!$B$5=2024,#REF!,#REF!))))</f>
        <v>-50000</v>
      </c>
      <c r="V216">
        <f>IF('INHERENT MAP'!$B$5=2021,'РЕЕСТР РИСКОВ_2023'!AA255,IF('INHERENT MAP'!$B$5=2022,#REF!,IF('INHERENT MAP'!$B$5=2023,#REF!,IF('INHERENT MAP'!$B$5=2024,#REF!,#REF!))))</f>
        <v>-2500</v>
      </c>
      <c r="W216">
        <f>IF('INHERENT MAP'!$B$5=2021,'РЕЕСТР РИСКОВ_2023'!AB255,IF('INHERENT MAP'!$B$5=2022,#REF!,IF('INHERENT MAP'!$B$5=2023,#REF!,IF('INHERENT MAP'!$B$5=2024,#REF!,#REF!))))</f>
        <v>0</v>
      </c>
      <c r="X216" s="94">
        <f>IF('INHERENT MAP'!$B$5=2021,'РЕЕСТР РИСКОВ_2023'!AC255,IF('INHERENT MAP'!$B$5=2022,#REF!,IF('INHERENT MAP'!$B$5=2023,#REF!,IF('INHERENT MAP'!$B$5=2024,#REF!,#REF!))))</f>
        <v>0.05</v>
      </c>
      <c r="Y216">
        <f>IF('INHERENT MAP'!$B$5=2021,'РЕЕСТР РИСКОВ_2023'!AD255,IF('INHERENT MAP'!$B$5=2022,#REF!,IF('INHERENT MAP'!$B$5=2023,#REF!,IF('INHERENT MAP'!$B$5=2024,#REF!,#REF!))))</f>
        <v>-50000</v>
      </c>
      <c r="Z216">
        <f>IF('INHERENT MAP'!$B$5=2021,'РЕЕСТР РИСКОВ_2023'!AE255,IF('INHERENT MAP'!$B$5=2022,#REF!,IF('INHERENT MAP'!$B$5=2023,#REF!,IF('INHERENT MAP'!$B$5=2024,#REF!,#REF!))))</f>
        <v>-2500</v>
      </c>
      <c r="AA216">
        <f>IF('INHERENT MAP'!$B$5=2021,'РЕЕСТР РИСКОВ_2023'!AF255,IF('INHERENT MAP'!$B$5=2022,#REF!,IF('INHERENT MAP'!$B$5=2023,#REF!,IF('INHERENT MAP'!$B$5=2024,#REF!,#REF!))))</f>
        <v>0</v>
      </c>
      <c r="AB216">
        <f>IF('INHERENT MAP'!$B$5=2021,'РЕЕСТР РИСКОВ_2023'!AG255,IF('INHERENT MAP'!$B$5=2022,#REF!,IF('INHERENT MAP'!$B$5=2023,#REF!,IF('INHERENT MAP'!$B$5=2024,#REF!,#REF!))))</f>
        <v>0</v>
      </c>
      <c r="AC216">
        <f>IF('INHERENT MAP'!$B$5=2021,'РЕЕСТР РИСКОВ_2023'!AH255,IF('INHERENT MAP'!$B$5=2022,#REF!,IF('INHERENT MAP'!$B$5=2023,#REF!,IF('INHERENT MAP'!$B$5=2024,#REF!,#REF!))))</f>
        <v>0</v>
      </c>
      <c r="AD216" t="str">
        <f>IF('INHERENT MAP'!$B$5=2021,'РЕЕСТР РИСКОВ_2023'!AI255,IF('INHERENT MAP'!$B$5=2022,#REF!,IF('INHERENT MAP'!$B$5=2023,#REF!,IF('INHERENT MAP'!$B$5=2024,#REF!,#REF!))))</f>
        <v xml:space="preserve">1.Мониторинг и анализ исполнения Плана мероприятий по реализации Стратегии развития АО «НК «ҚТЖ» до 2029 года по итогам 2022 года.
2.Реформирование системы тарифного регулирования на локомотивную тягу: разработка новой методологии расчета тарифов на услуги локомотивной тяги с целью исключения кросс-субсидирования перевозок низкодоходных грузов за счет высокодоходных грузов, разделение тарифов по типу тяги (электровозная и тепловозная) и переработки вагонов в пути следования, а также других технологических параметров.  
3.Получение финансовой поддержки от Правительства: получение от Правительства ниже рыночной ставки средств на снижение доли долговых обязательств в "твердой" валюте путем рефинансирования за счет привлечения обязательств в казахстанских тенге.
</v>
      </c>
      <c r="AE216" t="str">
        <f>IF('INHERENT MAP'!$B$5=2021,'РЕЕСТР РИСКОВ_2023'!AK255,IF('INHERENT MAP'!$B$5=2022,#REF!,IF('INHERENT MAP'!$B$5=2023,#REF!,IF('INHERENT MAP'!$B$5=2024,#REF!,#REF!))))</f>
        <v>ЦКР, причастные  СП, ДЗО</v>
      </c>
      <c r="AF216">
        <f>IF('INHERENT MAP'!$B$5=2021,'РЕЕСТР РИСКОВ_2023'!AL255,IF('INHERENT MAP'!$B$5=2022,#REF!,IF('INHERENT MAP'!$B$5=2023,#REF!,IF('INHERENT MAP'!$B$5=2024,#REF!,#REF!))))</f>
        <v>0</v>
      </c>
      <c r="AG216">
        <f>IF('INHERENT MAP'!$B$5=2021,'РЕЕСТР РИСКОВ_2023'!AM255,IF('INHERENT MAP'!$B$5=2022,#REF!,IF('INHERENT MAP'!$B$5=2023,#REF!,IF('INHERENT MAP'!$B$5=2024,#REF!,#REF!))))</f>
        <v>0</v>
      </c>
      <c r="AH216">
        <f>IF('INHERENT MAP'!$B$5=2021,'РЕЕСТР РИСКОВ_2023'!AN255,IF('INHERENT MAP'!$B$5=2022,#REF!,IF('INHERENT MAP'!$B$5=2023,#REF!,IF('INHERENT MAP'!$B$5=2024,#REF!,#REF!))))</f>
        <v>0</v>
      </c>
      <c r="AI216">
        <f>IF('INHERENT MAP'!$B$5=2021,'РЕЕСТР РИСКОВ_2023'!AO255,IF('INHERENT MAP'!$B$5=2022,#REF!,IF('INHERENT MAP'!$B$5=2023,#REF!,IF('INHERENT MAP'!$B$5=2024,#REF!,#REF!))))</f>
        <v>0</v>
      </c>
      <c r="AJ216">
        <f>IF('INHERENT MAP'!$B$5=2021,'РЕЕСТР РИСКОВ_2023'!AP255,IF('INHERENT MAP'!$B$5=2022,#REF!,IF('INHERENT MAP'!$B$5=2023,#REF!,IF('INHERENT MAP'!$B$5=2024,#REF!,#REF!))))</f>
        <v>0</v>
      </c>
      <c r="AK216">
        <f>IF('РЕЕСТР РИСКОВ_2023'!AQ255="",AK215,'РЕЕСТР РИСКОВ_2023'!AQ255)</f>
        <v>0</v>
      </c>
      <c r="AL216">
        <f>IF('РЕЕСТР РИСКОВ_2023'!AR255="",AL215,'РЕЕСТР РИСКОВ_2023'!AR255)</f>
        <v>0.125</v>
      </c>
      <c r="AM216">
        <f>IF('РЕЕСТР РИСКОВ_2023'!AS255="",AM215,'РЕЕСТР РИСКОВ_2023'!AS255)</f>
        <v>0</v>
      </c>
      <c r="AN216">
        <f>IF('РЕЕСТР РИСКОВ_2023'!AT255="",AN215,'РЕЕСТР РИСКОВ_2023'!AT255)</f>
        <v>0</v>
      </c>
      <c r="AO216" t="e">
        <f>IF('РЕЕСТР РИСКОВ_2023'!AU255="",AO215,'РЕЕСТР РИСКОВ_2023'!AU255)</f>
        <v>#REF!</v>
      </c>
    </row>
    <row r="217" spans="2:41">
      <c r="B217" t="str">
        <f>IF('INHERENT MAP'!$B$5=2021,IF('РЕЕСТР РИСКОВ_2023'!F256="",B216,'РЕЕСТР РИСКОВ_2023'!F256),IF('INHERENT MAP'!$B$5=2022,IF(#REF!="",B216,#REF!),IF('INHERENT MAP'!$B$5=2023,IF(#REF!="",B216,#REF!),IF('INHERENT MAP'!$B$5=2024,IF(#REF!="",B216,#REF!),IF('РЕЕСТР РИСКОВ_2023'!F256="",B216,'РЕЕСТР РИСКОВ_2023'!F256)))))</f>
        <v>СТРАТЕГИЧЕСКИЙ РИСК</v>
      </c>
      <c r="C217" t="e">
        <f>IF('INHERENT MAP'!$B$5=2021,IF('РЕЕСТР РИСКОВ_2023'!G256="",C216,'РЕЕСТР РИСКОВ_2023'!G256),IF('INHERENT MAP'!$B$5=2022,IF(#REF!="",C216,#REF!),IF('INHERENT MAP'!$B$5=2023,IF(#REF!="",C216,#REF!),IF('INHERENT MAP'!$B$5=2024,IF(#REF!="",C216,#REF!),IF('РЕЕСТР РИСКОВ_2023'!G256="",C216,'РЕЕСТР РИСКОВ_2023'!G256)))))</f>
        <v>#REF!</v>
      </c>
      <c r="D217" t="str">
        <f>IF('INHERENT MAP'!$B$5=2021,IF('РЕЕСТР РИСКОВ_2023'!H256="",D216,'РЕЕСТР РИСКОВ_2023'!H256),IF('INHERENT MAP'!$B$5=2022,IF(#REF!="",D216,#REF!),IF('INHERENT MAP'!$B$5=2023,IF(#REF!="",D216,#REF!),IF('INHERENT MAP'!$B$5=2024,IF(#REF!="",D216,#REF!),IF('РЕЕСТР РИСКОВ_2023'!H256="",D216,'РЕЕСТР РИСКОВ_2023'!H256)))))</f>
        <v>STTR-3</v>
      </c>
      <c r="E217" t="str">
        <f>IF('INHERENT MAP'!$B$5=2021,IF('РЕЕСТР РИСКОВ_2023'!I256="",E216,'РЕЕСТР РИСКОВ_2023'!I256),IF('INHERENT MAP'!$B$5=2022,IF(#REF!="",E216,#REF!),IF('INHERENT MAP'!$B$5=2023,IF(#REF!="",E216,#REF!),IF('INHERENT MAP'!$B$5=2024,IF(#REF!="",E216,#REF!),IF('РЕЕСТР РИСКОВ_2023'!I256="",E216,'РЕЕСТР РИСКОВ_2023'!I256)))))</f>
        <v>Ц</v>
      </c>
      <c r="F217" t="str">
        <f>IF('INHERENT MAP'!$B$5=2021,IF('РЕЕСТР РИСКОВ_2023'!J256="",F216,'РЕЕСТР РИСКОВ_2023'!J256),IF('INHERENT MAP'!$B$5=2022,IF(#REF!="",F216,#REF!),IF('INHERENT MAP'!$B$5=2023,IF(#REF!="",F216,#REF!),IF('INHERENT MAP'!$B$5=2024,IF(#REF!="",F216,#REF!),IF('РЕЕСТР РИСКОВ_2023'!J256="",F216,'РЕЕСТР РИСКОВ_2023'!J256)))))</f>
        <v>ЦКР</v>
      </c>
      <c r="G217" t="str">
        <f>IF('INHERENT MAP'!$B$5=2021,IF('РЕЕСТР РИСКОВ_2023'!K256="",G216,'РЕЕСТР РИСКОВ_2023'!K256),IF('INHERENT MAP'!$B$5=2022,IF(#REF!="",G216,#REF!),IF('INHERENT MAP'!$B$5=2023,IF(#REF!="",G216,#REF!),IF('INHERENT MAP'!$B$5=2024,IF(#REF!="",G216,#REF!),IF('РЕЕСТР РИСКОВ_2023'!K256="",G216,'РЕЕСТР РИСКОВ_2023'!K256)))))</f>
        <v>Не исполнения Плана мероприятий по реализации Стратегии развития АО "НК "КТЖ" до 2029 года</v>
      </c>
      <c r="H217">
        <f>IF('INHERENT MAP'!$B$5=2021,'РЕЕСТР РИСКОВ_2023'!L256,IF('INHERENT MAP'!$B$5=2022,#REF!,IF('INHERENT MAP'!$B$5=2023,#REF!,IF('INHERENT MAP'!$B$5=2024,#REF!,#REF!))))</f>
        <v>0</v>
      </c>
      <c r="I217">
        <f>IF('INHERENT MAP'!$B$5=2021,'РЕЕСТР РИСКОВ_2023'!M256,IF('INHERENT MAP'!$B$5=2022,#REF!,IF('INHERENT MAP'!$B$5=2023,#REF!,IF('INHERENT MAP'!$B$5=2024,#REF!,#REF!))))</f>
        <v>0</v>
      </c>
      <c r="J217">
        <f>IF('INHERENT MAP'!$B$5=2021,'РЕЕСТР РИСКОВ_2023'!N256,IF('INHERENT MAP'!$B$5=2022,#REF!,IF('INHERENT MAP'!$B$5=2023,#REF!,IF('INHERENT MAP'!$B$5=2024,#REF!,#REF!))))</f>
        <v>0</v>
      </c>
      <c r="K217">
        <f>IF('INHERENT MAP'!$B$5=2021,'РЕЕСТР РИСКОВ_2023'!O256,IF('INHERENT MAP'!$B$5=2022,#REF!,IF('INHERENT MAP'!$B$5=2023,#REF!,IF('INHERENT MAP'!$B$5=2024,#REF!,#REF!))))</f>
        <v>0</v>
      </c>
      <c r="L217">
        <f>IF('INHERENT MAP'!$B$5=2021,'РЕЕСТР РИСКОВ_2023'!P256,IF('INHERENT MAP'!$B$5=2022,#REF!,IF('INHERENT MAP'!$B$5=2023,#REF!,IF('INHERENT MAP'!$B$5=2024,#REF!,#REF!))))</f>
        <v>0</v>
      </c>
      <c r="M217" t="str">
        <f>IF('INHERENT MAP'!$B$5=2021,IF('РЕЕСТР РИСКОВ_2023'!Q256="",M216,'РЕЕСТР РИСКОВ_2023'!Q256),IF('INHERENT MAP'!$B$5=2022,IF(#REF!="",M216,#REF!),IF('INHERENT MAP'!$B$5=2023,IF(#REF!="",M216,#REF!),IF('INHERENT MAP'!$B$5=2024,IF(#REF!="",M216,#REF!),IF('РЕЕСТР РИСКОВ_2023'!Q256="",M216,'РЕЕСТР РИСКОВ_2023'!Q256)))))</f>
        <v>Не исполнения Плана мероприятий по ЦЕЛИ №2
"Повышение эффективности Компании".</v>
      </c>
      <c r="N217" t="str">
        <f>IF('INHERENT MAP'!$B$5=2021,IF('РЕЕСТР РИСКОВ_2023'!R256="",N216,'РЕЕСТР РИСКОВ_2023'!R256),IF('INHERENT MAP'!$B$5=2022,IF(#REF!="",N216,#REF!),IF('INHERENT MAP'!$B$5=2023,IF(#REF!="",N216,#REF!),IF('INHERENT MAP'!$B$5=2024,IF(#REF!="",N216,#REF!),IF('РЕЕСТР РИСКОВ_2023'!R256="",N216,'РЕЕСТР РИСКОВ_2023'!R256)))))</f>
        <v xml:space="preserve">1. Риск ухудшения качества предоставляемых услуг.
2. Коррупционная составляющая. 
3. Эпидемиологические факторы.
4. Страновой риск из-за изменения внешних политических / экономических условий, санкций или других ограничений. </v>
      </c>
      <c r="O217">
        <f>'РЕЕСТР РИСКОВ_2023'!T256</f>
        <v>0</v>
      </c>
      <c r="P217" t="e">
        <f>IF('РЕЕСТР РИСКОВ_2023'!U256="",P216,'РЕЕСТР РИСКОВ_2023'!U256)</f>
        <v>#REF!</v>
      </c>
      <c r="Q217" t="str">
        <f>IF('РЕЕСТР РИСКОВ_2023'!V256="",Q216,'РЕЕСТР РИСКОВ_2023'!V256)</f>
        <v>Угрозы</v>
      </c>
      <c r="R217" t="str">
        <f>IF('РЕЕСТР РИСКОВ_2023'!W256="",R216,'РЕЕСТР РИСКОВ_2023'!W256)</f>
        <v>1. корректировки, предложенные внешним аудитором 2. корректировки, предложенные Единственным  акционером</v>
      </c>
      <c r="S217">
        <f>'РЕЕСТР РИСКОВ_2023'!X256</f>
        <v>0</v>
      </c>
      <c r="T217" s="94">
        <f>IF('INHERENT MAP'!$B$5=2021,'РЕЕСТР РИСКОВ_2023'!Y256,IF('INHERENT MAP'!$B$5=2022,#REF!,IF('INHERENT MAP'!$B$5=2023,#REF!,IF('INHERENT MAP'!$B$5=2024,#REF!,#REF!))))</f>
        <v>0.05</v>
      </c>
      <c r="U217">
        <f>IF('INHERENT MAP'!$B$5=2021,'РЕЕСТР РИСКОВ_2023'!Z256,IF('INHERENT MAP'!$B$5=2022,#REF!,IF('INHERENT MAP'!$B$5=2023,#REF!,IF('INHERENT MAP'!$B$5=2024,#REF!,#REF!))))</f>
        <v>1</v>
      </c>
      <c r="V217">
        <f>IF('INHERENT MAP'!$B$5=2021,'РЕЕСТР РИСКОВ_2023'!AA256,IF('INHERENT MAP'!$B$5=2022,#REF!,IF('INHERENT MAP'!$B$5=2023,#REF!,IF('INHERENT MAP'!$B$5=2024,#REF!,#REF!))))</f>
        <v>0.05</v>
      </c>
      <c r="W217">
        <f>IF('INHERENT MAP'!$B$5=2021,'РЕЕСТР РИСКОВ_2023'!AB256,IF('INHERENT MAP'!$B$5=2022,#REF!,IF('INHERENT MAP'!$B$5=2023,#REF!,IF('INHERENT MAP'!$B$5=2024,#REF!,#REF!))))</f>
        <v>0</v>
      </c>
      <c r="X217" s="94">
        <f>IF('INHERENT MAP'!$B$5=2021,'РЕЕСТР РИСКОВ_2023'!AC256,IF('INHERENT MAP'!$B$5=2022,#REF!,IF('INHERENT MAP'!$B$5=2023,#REF!,IF('INHERENT MAP'!$B$5=2024,#REF!,#REF!))))</f>
        <v>0.05</v>
      </c>
      <c r="Y217">
        <f>IF('INHERENT MAP'!$B$5=2021,'РЕЕСТР РИСКОВ_2023'!AD256,IF('INHERENT MAP'!$B$5=2022,#REF!,IF('INHERENT MAP'!$B$5=2023,#REF!,IF('INHERENT MAP'!$B$5=2024,#REF!,#REF!))))</f>
        <v>1</v>
      </c>
      <c r="Z217">
        <f>IF('INHERENT MAP'!$B$5=2021,'РЕЕСТР РИСКОВ_2023'!AE256,IF('INHERENT MAP'!$B$5=2022,#REF!,IF('INHERENT MAP'!$B$5=2023,#REF!,IF('INHERENT MAP'!$B$5=2024,#REF!,#REF!))))</f>
        <v>0.05</v>
      </c>
      <c r="AA217">
        <f>IF('INHERENT MAP'!$B$5=2021,'РЕЕСТР РИСКОВ_2023'!AF256,IF('INHERENT MAP'!$B$5=2022,#REF!,IF('INHERENT MAP'!$B$5=2023,#REF!,IF('INHERENT MAP'!$B$5=2024,#REF!,#REF!))))</f>
        <v>0</v>
      </c>
      <c r="AB217">
        <f>IF('INHERENT MAP'!$B$5=2021,'РЕЕСТР РИСКОВ_2023'!AG256,IF('INHERENT MAP'!$B$5=2022,#REF!,IF('INHERENT MAP'!$B$5=2023,#REF!,IF('INHERENT MAP'!$B$5=2024,#REF!,#REF!))))</f>
        <v>0</v>
      </c>
      <c r="AC217">
        <f>IF('INHERENT MAP'!$B$5=2021,'РЕЕСТР РИСКОВ_2023'!AH256,IF('INHERENT MAP'!$B$5=2022,#REF!,IF('INHERENT MAP'!$B$5=2023,#REF!,IF('INHERENT MAP'!$B$5=2024,#REF!,#REF!))))</f>
        <v>0</v>
      </c>
      <c r="AD217" t="str">
        <f>IF('INHERENT MAP'!$B$5=2021,'РЕЕСТР РИСКОВ_2023'!AI256,IF('INHERENT MAP'!$B$5=2022,#REF!,IF('INHERENT MAP'!$B$5=2023,#REF!,IF('INHERENT MAP'!$B$5=2024,#REF!,#REF!))))</f>
        <v xml:space="preserve">1.Мониторинг и анализ исполнения Плана мероприятий по реализации Стратегии развития АО «НК «ҚТЖ» до 2029 года по итогам 2022 года.
2.Мероприятия по развитию транзита.
3.Повышение эффективности грузовых перевозок: снижение расходов на услугу по хранению и экипировки дизельным топливом, оптимизация численности, оптимизация расходов сервисного обслуживания локомотивов, и другие мероприятия в т.ч. в рамках Программы Трансформации.
4.Повышение эффективности МЖС: автоматизация процессов обслуживания инфраструктуры, внедрение цифровизации и прочие мероприятия.
</v>
      </c>
      <c r="AE217" t="str">
        <f>IF('INHERENT MAP'!$B$5=2021,'РЕЕСТР РИСКОВ_2023'!AK256,IF('INHERENT MAP'!$B$5=2022,#REF!,IF('INHERENT MAP'!$B$5=2023,#REF!,IF('INHERENT MAP'!$B$5=2024,#REF!,#REF!))))</f>
        <v>ЦКР, причастные  СП, ДЗО</v>
      </c>
      <c r="AF217">
        <f>IF('INHERENT MAP'!$B$5=2021,'РЕЕСТР РИСКОВ_2023'!AL256,IF('INHERENT MAP'!$B$5=2022,#REF!,IF('INHERENT MAP'!$B$5=2023,#REF!,IF('INHERENT MAP'!$B$5=2024,#REF!,#REF!))))</f>
        <v>0</v>
      </c>
      <c r="AG217">
        <f>IF('INHERENT MAP'!$B$5=2021,'РЕЕСТР РИСКОВ_2023'!AM256,IF('INHERENT MAP'!$B$5=2022,#REF!,IF('INHERENT MAP'!$B$5=2023,#REF!,IF('INHERENT MAP'!$B$5=2024,#REF!,#REF!))))</f>
        <v>0</v>
      </c>
      <c r="AH217">
        <f>IF('INHERENT MAP'!$B$5=2021,'РЕЕСТР РИСКОВ_2023'!AN256,IF('INHERENT MAP'!$B$5=2022,#REF!,IF('INHERENT MAP'!$B$5=2023,#REF!,IF('INHERENT MAP'!$B$5=2024,#REF!,#REF!))))</f>
        <v>0</v>
      </c>
      <c r="AI217">
        <f>IF('INHERENT MAP'!$B$5=2021,'РЕЕСТР РИСКОВ_2023'!AO256,IF('INHERENT MAP'!$B$5=2022,#REF!,IF('INHERENT MAP'!$B$5=2023,#REF!,IF('INHERENT MAP'!$B$5=2024,#REF!,#REF!))))</f>
        <v>0</v>
      </c>
      <c r="AJ217">
        <f>IF('INHERENT MAP'!$B$5=2021,'РЕЕСТР РИСКОВ_2023'!AP256,IF('INHERENT MAP'!$B$5=2022,#REF!,IF('INHERENT MAP'!$B$5=2023,#REF!,IF('INHERENT MAP'!$B$5=2024,#REF!,#REF!))))</f>
        <v>0</v>
      </c>
      <c r="AK217">
        <f>IF('РЕЕСТР РИСКОВ_2023'!AQ256="",AK216,'РЕЕСТР РИСКОВ_2023'!AQ256)</f>
        <v>0</v>
      </c>
      <c r="AL217">
        <f>IF('РЕЕСТР РИСКОВ_2023'!AR256="",AL216,'РЕЕСТР РИСКОВ_2023'!AR256)</f>
        <v>0.125</v>
      </c>
      <c r="AM217">
        <f>IF('РЕЕСТР РИСКОВ_2023'!AS256="",AM216,'РЕЕСТР РИСКОВ_2023'!AS256)</f>
        <v>0</v>
      </c>
      <c r="AN217">
        <f>IF('РЕЕСТР РИСКОВ_2023'!AT256="",AN216,'РЕЕСТР РИСКОВ_2023'!AT256)</f>
        <v>0</v>
      </c>
      <c r="AO217" t="e">
        <f>IF('РЕЕСТР РИСКОВ_2023'!AU256="",AO216,'РЕЕСТР РИСКОВ_2023'!AU256)</f>
        <v>#REF!</v>
      </c>
    </row>
    <row r="218" spans="2:41">
      <c r="B218" t="str">
        <f>IF('INHERENT MAP'!$B$5=2021,IF('РЕЕСТР РИСКОВ_2023'!F257="",B217,'РЕЕСТР РИСКОВ_2023'!F257),IF('INHERENT MAP'!$B$5=2022,IF(#REF!="",B217,#REF!),IF('INHERENT MAP'!$B$5=2023,IF(#REF!="",B217,#REF!),IF('INHERENT MAP'!$B$5=2024,IF(#REF!="",B217,#REF!),IF('РЕЕСТР РИСКОВ_2023'!F257="",B217,'РЕЕСТР РИСКОВ_2023'!F257)))))</f>
        <v>СТРАТЕГИЧЕСКИЙ РИСК</v>
      </c>
      <c r="C218" t="e">
        <f>IF('INHERENT MAP'!$B$5=2021,IF('РЕЕСТР РИСКОВ_2023'!G257="",C217,'РЕЕСТР РИСКОВ_2023'!G257),IF('INHERENT MAP'!$B$5=2022,IF(#REF!="",C217,#REF!),IF('INHERENT MAP'!$B$5=2023,IF(#REF!="",C217,#REF!),IF('INHERENT MAP'!$B$5=2024,IF(#REF!="",C217,#REF!),IF('РЕЕСТР РИСКОВ_2023'!G257="",C217,'РЕЕСТР РИСКОВ_2023'!G257)))))</f>
        <v>#REF!</v>
      </c>
      <c r="D218" t="str">
        <f>IF('INHERENT MAP'!$B$5=2021,IF('РЕЕСТР РИСКОВ_2023'!H257="",D217,'РЕЕСТР РИСКОВ_2023'!H257),IF('INHERENT MAP'!$B$5=2022,IF(#REF!="",D217,#REF!),IF('INHERENT MAP'!$B$5=2023,IF(#REF!="",D217,#REF!),IF('INHERENT MAP'!$B$5=2024,IF(#REF!="",D217,#REF!),IF('РЕЕСТР РИСКОВ_2023'!H257="",D217,'РЕЕСТР РИСКОВ_2023'!H257)))))</f>
        <v>STTR-3</v>
      </c>
      <c r="E218" t="str">
        <f>IF('INHERENT MAP'!$B$5=2021,IF('РЕЕСТР РИСКОВ_2023'!I257="",E217,'РЕЕСТР РИСКОВ_2023'!I257),IF('INHERENT MAP'!$B$5=2022,IF(#REF!="",E217,#REF!),IF('INHERENT MAP'!$B$5=2023,IF(#REF!="",E217,#REF!),IF('INHERENT MAP'!$B$5=2024,IF(#REF!="",E217,#REF!),IF('РЕЕСТР РИСКОВ_2023'!I257="",E217,'РЕЕСТР РИСКОВ_2023'!I257)))))</f>
        <v>Ц</v>
      </c>
      <c r="F218" t="str">
        <f>IF('INHERENT MAP'!$B$5=2021,IF('РЕЕСТР РИСКОВ_2023'!J257="",F217,'РЕЕСТР РИСКОВ_2023'!J257),IF('INHERENT MAP'!$B$5=2022,IF(#REF!="",F217,#REF!),IF('INHERENT MAP'!$B$5=2023,IF(#REF!="",F217,#REF!),IF('INHERENT MAP'!$B$5=2024,IF(#REF!="",F217,#REF!),IF('РЕЕСТР РИСКОВ_2023'!J257="",F217,'РЕЕСТР РИСКОВ_2023'!J257)))))</f>
        <v>ЦКР</v>
      </c>
      <c r="G218" t="str">
        <f>IF('INHERENT MAP'!$B$5=2021,IF('РЕЕСТР РИСКОВ_2023'!K257="",G217,'РЕЕСТР РИСКОВ_2023'!K257),IF('INHERENT MAP'!$B$5=2022,IF(#REF!="",G217,#REF!),IF('INHERENT MAP'!$B$5=2023,IF(#REF!="",G217,#REF!),IF('INHERENT MAP'!$B$5=2024,IF(#REF!="",G217,#REF!),IF('РЕЕСТР РИСКОВ_2023'!K257="",G217,'РЕЕСТР РИСКОВ_2023'!K257)))))</f>
        <v>Не исполнения Плана мероприятий по реализации Стратегии развития АО "НК "КТЖ" до 2029 года</v>
      </c>
      <c r="H218">
        <f>IF('INHERENT MAP'!$B$5=2021,'РЕЕСТР РИСКОВ_2023'!L257,IF('INHERENT MAP'!$B$5=2022,#REF!,IF('INHERENT MAP'!$B$5=2023,#REF!,IF('INHERENT MAP'!$B$5=2024,#REF!,#REF!))))</f>
        <v>0</v>
      </c>
      <c r="I218">
        <f>IF('INHERENT MAP'!$B$5=2021,'РЕЕСТР РИСКОВ_2023'!M257,IF('INHERENT MAP'!$B$5=2022,#REF!,IF('INHERENT MAP'!$B$5=2023,#REF!,IF('INHERENT MAP'!$B$5=2024,#REF!,#REF!))))</f>
        <v>0</v>
      </c>
      <c r="J218">
        <f>IF('INHERENT MAP'!$B$5=2021,'РЕЕСТР РИСКОВ_2023'!N257,IF('INHERENT MAP'!$B$5=2022,#REF!,IF('INHERENT MAP'!$B$5=2023,#REF!,IF('INHERENT MAP'!$B$5=2024,#REF!,#REF!))))</f>
        <v>0</v>
      </c>
      <c r="K218">
        <f>IF('INHERENT MAP'!$B$5=2021,'РЕЕСТР РИСКОВ_2023'!O257,IF('INHERENT MAP'!$B$5=2022,#REF!,IF('INHERENT MAP'!$B$5=2023,#REF!,IF('INHERENT MAP'!$B$5=2024,#REF!,#REF!))))</f>
        <v>0</v>
      </c>
      <c r="L218">
        <f>IF('INHERENT MAP'!$B$5=2021,'РЕЕСТР РИСКОВ_2023'!P257,IF('INHERENT MAP'!$B$5=2022,#REF!,IF('INHERENT MAP'!$B$5=2023,#REF!,IF('INHERENT MAP'!$B$5=2024,#REF!,#REF!))))</f>
        <v>0</v>
      </c>
      <c r="M218" t="str">
        <f>IF('INHERENT MAP'!$B$5=2021,IF('РЕЕСТР РИСКОВ_2023'!Q257="",M217,'РЕЕСТР РИСКОВ_2023'!Q257),IF('INHERENT MAP'!$B$5=2022,IF(#REF!="",M217,#REF!),IF('INHERENT MAP'!$B$5=2023,IF(#REF!="",M217,#REF!),IF('INHERENT MAP'!$B$5=2024,IF(#REF!="",M217,#REF!),IF('РЕЕСТР РИСКОВ_2023'!Q257="",M217,'РЕЕСТР РИСКОВ_2023'!Q257)))))</f>
        <v>Не исполнения Плана мероприятий по ЦЕЛИ №3
"Повышение удовлетворенности клиентов".</v>
      </c>
      <c r="N218" t="str">
        <f>IF('INHERENT MAP'!$B$5=2021,IF('РЕЕСТР РИСКОВ_2023'!R257="",N217,'РЕЕСТР РИСКОВ_2023'!R257),IF('INHERENT MAP'!$B$5=2022,IF(#REF!="",N217,#REF!),IF('INHERENT MAP'!$B$5=2023,IF(#REF!="",N217,#REF!),IF('INHERENT MAP'!$B$5=2024,IF(#REF!="",N217,#REF!),IF('РЕЕСТР РИСКОВ_2023'!R257="",N217,'РЕЕСТР РИСКОВ_2023'!R257)))))</f>
        <v xml:space="preserve">1. Не предоставления качественных безопасных и доступных услуг по перевозке грузов и пассажиров.
2. Не компетентность сотрудников.  
3. Воздействия природых явлений, сторонних лиц на безопасность и качественность оказания улуг по перевозке грузов и пассажиров. </v>
      </c>
      <c r="O218">
        <f>'РЕЕСТР РИСКОВ_2023'!T257</f>
        <v>0</v>
      </c>
      <c r="P218" t="e">
        <f>IF('РЕЕСТР РИСКОВ_2023'!U257="",P217,'РЕЕСТР РИСКОВ_2023'!U257)</f>
        <v>#REF!</v>
      </c>
      <c r="Q218" t="str">
        <f>IF('РЕЕСТР РИСКОВ_2023'!V257="",Q217,'РЕЕСТР РИСКОВ_2023'!V257)</f>
        <v>Угрозы</v>
      </c>
      <c r="R218" t="str">
        <f>IF('РЕЕСТР РИСКОВ_2023'!W257="",R217,'РЕЕСТР РИСКОВ_2023'!W257)</f>
        <v>1. корректировки, предложенные внешним аудитором 2. корректировки, предложенные Единственным  акционером</v>
      </c>
      <c r="S218">
        <f>'РЕЕСТР РИСКОВ_2023'!X257</f>
        <v>0</v>
      </c>
      <c r="T218" s="94">
        <f>IF('INHERENT MAP'!$B$5=2021,'РЕЕСТР РИСКОВ_2023'!Y257,IF('INHERENT MAP'!$B$5=2022,#REF!,IF('INHERENT MAP'!$B$5=2023,#REF!,IF('INHERENT MAP'!$B$5=2024,#REF!,#REF!))))</f>
        <v>0.05</v>
      </c>
      <c r="U218">
        <f>IF('INHERENT MAP'!$B$5=2021,'РЕЕСТР РИСКОВ_2023'!Z257,IF('INHERENT MAP'!$B$5=2022,#REF!,IF('INHERENT MAP'!$B$5=2023,#REF!,IF('INHERENT MAP'!$B$5=2024,#REF!,#REF!))))</f>
        <v>1</v>
      </c>
      <c r="V218">
        <f>IF('INHERENT MAP'!$B$5=2021,'РЕЕСТР РИСКОВ_2023'!AA257,IF('INHERENT MAP'!$B$5=2022,#REF!,IF('INHERENT MAP'!$B$5=2023,#REF!,IF('INHERENT MAP'!$B$5=2024,#REF!,#REF!))))</f>
        <v>0.05</v>
      </c>
      <c r="W218">
        <f>IF('INHERENT MAP'!$B$5=2021,'РЕЕСТР РИСКОВ_2023'!AB257,IF('INHERENT MAP'!$B$5=2022,#REF!,IF('INHERENT MAP'!$B$5=2023,#REF!,IF('INHERENT MAP'!$B$5=2024,#REF!,#REF!))))</f>
        <v>0</v>
      </c>
      <c r="X218" s="94">
        <f>IF('INHERENT MAP'!$B$5=2021,'РЕЕСТР РИСКОВ_2023'!AC257,IF('INHERENT MAP'!$B$5=2022,#REF!,IF('INHERENT MAP'!$B$5=2023,#REF!,IF('INHERENT MAP'!$B$5=2024,#REF!,#REF!))))</f>
        <v>0.05</v>
      </c>
      <c r="Y218">
        <f>IF('INHERENT MAP'!$B$5=2021,'РЕЕСТР РИСКОВ_2023'!AD257,IF('INHERENT MAP'!$B$5=2022,#REF!,IF('INHERENT MAP'!$B$5=2023,#REF!,IF('INHERENT MAP'!$B$5=2024,#REF!,#REF!))))</f>
        <v>1</v>
      </c>
      <c r="Z218">
        <f>IF('INHERENT MAP'!$B$5=2021,'РЕЕСТР РИСКОВ_2023'!AE257,IF('INHERENT MAP'!$B$5=2022,#REF!,IF('INHERENT MAP'!$B$5=2023,#REF!,IF('INHERENT MAP'!$B$5=2024,#REF!,#REF!))))</f>
        <v>0.05</v>
      </c>
      <c r="AA218">
        <f>IF('INHERENT MAP'!$B$5=2021,'РЕЕСТР РИСКОВ_2023'!AF257,IF('INHERENT MAP'!$B$5=2022,#REF!,IF('INHERENT MAP'!$B$5=2023,#REF!,IF('INHERENT MAP'!$B$5=2024,#REF!,#REF!))))</f>
        <v>0</v>
      </c>
      <c r="AB218">
        <f>IF('INHERENT MAP'!$B$5=2021,'РЕЕСТР РИСКОВ_2023'!AG257,IF('INHERENT MAP'!$B$5=2022,#REF!,IF('INHERENT MAP'!$B$5=2023,#REF!,IF('INHERENT MAP'!$B$5=2024,#REF!,#REF!))))</f>
        <v>0</v>
      </c>
      <c r="AC218">
        <f>IF('INHERENT MAP'!$B$5=2021,'РЕЕСТР РИСКОВ_2023'!AH257,IF('INHERENT MAP'!$B$5=2022,#REF!,IF('INHERENT MAP'!$B$5=2023,#REF!,IF('INHERENT MAP'!$B$5=2024,#REF!,#REF!))))</f>
        <v>0</v>
      </c>
      <c r="AD218" t="str">
        <f>IF('INHERENT MAP'!$B$5=2021,'РЕЕСТР РИСКОВ_2023'!AI257,IF('INHERENT MAP'!$B$5=2022,#REF!,IF('INHERENT MAP'!$B$5=2023,#REF!,IF('INHERENT MAP'!$B$5=2024,#REF!,#REF!))))</f>
        <v>1.Мониторинг и анализ исполнения Плана мероприятий по реализации Стратегии развития АО «НК «ҚТЖ» до 2029 года по итогам 2022 года.
2.Повышение удовлетворенности клиентов за счет предоставления качественных безопасных и доступных услуг по перевозке грузов и пассажиров.</v>
      </c>
      <c r="AE218" t="str">
        <f>IF('INHERENT MAP'!$B$5=2021,'РЕЕСТР РИСКОВ_2023'!AK257,IF('INHERENT MAP'!$B$5=2022,#REF!,IF('INHERENT MAP'!$B$5=2023,#REF!,IF('INHERENT MAP'!$B$5=2024,#REF!,#REF!))))</f>
        <v>ЦКР, причастные  СП, ДЗО</v>
      </c>
      <c r="AF218">
        <f>IF('INHERENT MAP'!$B$5=2021,'РЕЕСТР РИСКОВ_2023'!AL257,IF('INHERENT MAP'!$B$5=2022,#REF!,IF('INHERENT MAP'!$B$5=2023,#REF!,IF('INHERENT MAP'!$B$5=2024,#REF!,#REF!))))</f>
        <v>0</v>
      </c>
      <c r="AG218">
        <f>IF('INHERENT MAP'!$B$5=2021,'РЕЕСТР РИСКОВ_2023'!AM257,IF('INHERENT MAP'!$B$5=2022,#REF!,IF('INHERENT MAP'!$B$5=2023,#REF!,IF('INHERENT MAP'!$B$5=2024,#REF!,#REF!))))</f>
        <v>0</v>
      </c>
      <c r="AH218">
        <f>IF('INHERENT MAP'!$B$5=2021,'РЕЕСТР РИСКОВ_2023'!AN257,IF('INHERENT MAP'!$B$5=2022,#REF!,IF('INHERENT MAP'!$B$5=2023,#REF!,IF('INHERENT MAP'!$B$5=2024,#REF!,#REF!))))</f>
        <v>0</v>
      </c>
      <c r="AI218">
        <f>IF('INHERENT MAP'!$B$5=2021,'РЕЕСТР РИСКОВ_2023'!AO257,IF('INHERENT MAP'!$B$5=2022,#REF!,IF('INHERENT MAP'!$B$5=2023,#REF!,IF('INHERENT MAP'!$B$5=2024,#REF!,#REF!))))</f>
        <v>0</v>
      </c>
      <c r="AJ218">
        <f>IF('INHERENT MAP'!$B$5=2021,'РЕЕСТР РИСКОВ_2023'!AP257,IF('INHERENT MAP'!$B$5=2022,#REF!,IF('INHERENT MAP'!$B$5=2023,#REF!,IF('INHERENT MAP'!$B$5=2024,#REF!,#REF!))))</f>
        <v>0</v>
      </c>
      <c r="AK218">
        <f>IF('РЕЕСТР РИСКОВ_2023'!AQ257="",AK217,'РЕЕСТР РИСКОВ_2023'!AQ257)</f>
        <v>0</v>
      </c>
      <c r="AL218">
        <f>IF('РЕЕСТР РИСКОВ_2023'!AR257="",AL217,'РЕЕСТР РИСКОВ_2023'!AR257)</f>
        <v>0.125</v>
      </c>
      <c r="AM218">
        <f>IF('РЕЕСТР РИСКОВ_2023'!AS257="",AM217,'РЕЕСТР РИСКОВ_2023'!AS257)</f>
        <v>0</v>
      </c>
      <c r="AN218">
        <f>IF('РЕЕСТР РИСКОВ_2023'!AT257="",AN217,'РЕЕСТР РИСКОВ_2023'!AT257)</f>
        <v>0</v>
      </c>
      <c r="AO218" t="e">
        <f>IF('РЕЕСТР РИСКОВ_2023'!AU257="",AO217,'РЕЕСТР РИСКОВ_2023'!AU257)</f>
        <v>#REF!</v>
      </c>
    </row>
    <row r="219" spans="2:41">
      <c r="B219" t="str">
        <f>IF('INHERENT MAP'!$B$5=2021,IF('РЕЕСТР РИСКОВ_2023'!F258="",B218,'РЕЕСТР РИСКОВ_2023'!F258),IF('INHERENT MAP'!$B$5=2022,IF(#REF!="",B218,#REF!),IF('INHERENT MAP'!$B$5=2023,IF(#REF!="",B218,#REF!),IF('INHERENT MAP'!$B$5=2024,IF(#REF!="",B218,#REF!),IF('РЕЕСТР РИСКОВ_2023'!F258="",B218,'РЕЕСТР РИСКОВ_2023'!F258)))))</f>
        <v>СТРАТЕГИЧЕСКИЙ РИСК</v>
      </c>
      <c r="C219" t="e">
        <f>IF('INHERENT MAP'!$B$5=2021,IF('РЕЕСТР РИСКОВ_2023'!G258="",C218,'РЕЕСТР РИСКОВ_2023'!G258),IF('INHERENT MAP'!$B$5=2022,IF(#REF!="",C218,#REF!),IF('INHERENT MAP'!$B$5=2023,IF(#REF!="",C218,#REF!),IF('INHERENT MAP'!$B$5=2024,IF(#REF!="",C218,#REF!),IF('РЕЕСТР РИСКОВ_2023'!G258="",C218,'РЕЕСТР РИСКОВ_2023'!G258)))))</f>
        <v>#REF!</v>
      </c>
      <c r="D219" t="str">
        <f>IF('INHERENT MAP'!$B$5=2021,IF('РЕЕСТР РИСКОВ_2023'!H258="",D218,'РЕЕСТР РИСКОВ_2023'!H258),IF('INHERENT MAP'!$B$5=2022,IF(#REF!="",D218,#REF!),IF('INHERENT MAP'!$B$5=2023,IF(#REF!="",D218,#REF!),IF('INHERENT MAP'!$B$5=2024,IF(#REF!="",D218,#REF!),IF('РЕЕСТР РИСКОВ_2023'!H258="",D218,'РЕЕСТР РИСКОВ_2023'!H258)))))</f>
        <v>STTR-3</v>
      </c>
      <c r="E219" t="str">
        <f>IF('INHERENT MAP'!$B$5=2021,IF('РЕЕСТР РИСКОВ_2023'!I258="",E218,'РЕЕСТР РИСКОВ_2023'!I258),IF('INHERENT MAP'!$B$5=2022,IF(#REF!="",E218,#REF!),IF('INHERENT MAP'!$B$5=2023,IF(#REF!="",E218,#REF!),IF('INHERENT MAP'!$B$5=2024,IF(#REF!="",E218,#REF!),IF('РЕЕСТР РИСКОВ_2023'!I258="",E218,'РЕЕСТР РИСКОВ_2023'!I258)))))</f>
        <v>Ц</v>
      </c>
      <c r="F219" t="str">
        <f>IF('INHERENT MAP'!$B$5=2021,IF('РЕЕСТР РИСКОВ_2023'!J258="",F218,'РЕЕСТР РИСКОВ_2023'!J258),IF('INHERENT MAP'!$B$5=2022,IF(#REF!="",F218,#REF!),IF('INHERENT MAP'!$B$5=2023,IF(#REF!="",F218,#REF!),IF('INHERENT MAP'!$B$5=2024,IF(#REF!="",F218,#REF!),IF('РЕЕСТР РИСКОВ_2023'!J258="",F218,'РЕЕСТР РИСКОВ_2023'!J258)))))</f>
        <v>ЦКР</v>
      </c>
      <c r="G219" t="str">
        <f>IF('INHERENT MAP'!$B$5=2021,IF('РЕЕСТР РИСКОВ_2023'!K258="",G218,'РЕЕСТР РИСКОВ_2023'!K258),IF('INHERENT MAP'!$B$5=2022,IF(#REF!="",G218,#REF!),IF('INHERENT MAP'!$B$5=2023,IF(#REF!="",G218,#REF!),IF('INHERENT MAP'!$B$5=2024,IF(#REF!="",G218,#REF!),IF('РЕЕСТР РИСКОВ_2023'!K258="",G218,'РЕЕСТР РИСКОВ_2023'!K258)))))</f>
        <v>Не исполнения Плана мероприятий по реализации Стратегии развития АО "НК "КТЖ" до 2029 года</v>
      </c>
      <c r="H219">
        <f>IF('INHERENT MAP'!$B$5=2021,'РЕЕСТР РИСКОВ_2023'!L258,IF('INHERENT MAP'!$B$5=2022,#REF!,IF('INHERENT MAP'!$B$5=2023,#REF!,IF('INHERENT MAP'!$B$5=2024,#REF!,#REF!))))</f>
        <v>0</v>
      </c>
      <c r="I219">
        <f>IF('INHERENT MAP'!$B$5=2021,'РЕЕСТР РИСКОВ_2023'!M258,IF('INHERENT MAP'!$B$5=2022,#REF!,IF('INHERENT MAP'!$B$5=2023,#REF!,IF('INHERENT MAP'!$B$5=2024,#REF!,#REF!))))</f>
        <v>0</v>
      </c>
      <c r="J219">
        <f>IF('INHERENT MAP'!$B$5=2021,'РЕЕСТР РИСКОВ_2023'!N258,IF('INHERENT MAP'!$B$5=2022,#REF!,IF('INHERENT MAP'!$B$5=2023,#REF!,IF('INHERENT MAP'!$B$5=2024,#REF!,#REF!))))</f>
        <v>0</v>
      </c>
      <c r="K219">
        <f>IF('INHERENT MAP'!$B$5=2021,'РЕЕСТР РИСКОВ_2023'!O258,IF('INHERENT MAP'!$B$5=2022,#REF!,IF('INHERENT MAP'!$B$5=2023,#REF!,IF('INHERENT MAP'!$B$5=2024,#REF!,#REF!))))</f>
        <v>0</v>
      </c>
      <c r="L219">
        <f>IF('INHERENT MAP'!$B$5=2021,'РЕЕСТР РИСКОВ_2023'!P258,IF('INHERENT MAP'!$B$5=2022,#REF!,IF('INHERENT MAP'!$B$5=2023,#REF!,IF('INHERENT MAP'!$B$5=2024,#REF!,#REF!))))</f>
        <v>0</v>
      </c>
      <c r="M219" t="str">
        <f>IF('INHERENT MAP'!$B$5=2021,IF('РЕЕСТР РИСКОВ_2023'!Q258="",M218,'РЕЕСТР РИСКОВ_2023'!Q258),IF('INHERENT MAP'!$B$5=2022,IF(#REF!="",M218,#REF!),IF('INHERENT MAP'!$B$5=2023,IF(#REF!="",M218,#REF!),IF('INHERENT MAP'!$B$5=2024,IF(#REF!="",M218,#REF!),IF('РЕЕСТР РИСКОВ_2023'!Q258="",M218,'РЕЕСТР РИСКОВ_2023'!Q258)))))</f>
        <v>Не исполнения Плана мероприятий по ЦЕЛИ №4
"Гарантирование безопасности движения поездов".</v>
      </c>
      <c r="N219" t="str">
        <f>IF('INHERENT MAP'!$B$5=2021,IF('РЕЕСТР РИСКОВ_2023'!R258="",N218,'РЕЕСТР РИСКОВ_2023'!R258),IF('INHERENT MAP'!$B$5=2022,IF(#REF!="",N218,#REF!),IF('INHERENT MAP'!$B$5=2023,IF(#REF!="",N218,#REF!),IF('INHERENT MAP'!$B$5=2024,IF(#REF!="",N218,#REF!),IF('РЕЕСТР РИСКОВ_2023'!R258="",N218,'РЕЕСТР РИСКОВ_2023'!R258)))))</f>
        <v>1. Не реализация Плана мероприятий, направленного на достижение условий нулевого травматизма.
2. Несоблюдение работниками производства техники безопасности.  
3. Воздействия природых явлений, сторонних лиц на безопасность инфраструктуры и движения поездов.</v>
      </c>
      <c r="O219">
        <f>'РЕЕСТР РИСКОВ_2023'!T258</f>
        <v>0</v>
      </c>
      <c r="P219" t="e">
        <f>IF('РЕЕСТР РИСКОВ_2023'!U258="",P218,'РЕЕСТР РИСКОВ_2023'!U258)</f>
        <v>#REF!</v>
      </c>
      <c r="Q219" t="str">
        <f>IF('РЕЕСТР РИСКОВ_2023'!V258="",Q218,'РЕЕСТР РИСКОВ_2023'!V258)</f>
        <v>Угрозы</v>
      </c>
      <c r="R219" t="str">
        <f>IF('РЕЕСТР РИСКОВ_2023'!W258="",R218,'РЕЕСТР РИСКОВ_2023'!W258)</f>
        <v>1. корректировки, предложенные внешним аудитором 2. корректировки, предложенные Единственным  акционером</v>
      </c>
      <c r="S219">
        <f>'РЕЕСТР РИСКОВ_2023'!X258</f>
        <v>0</v>
      </c>
      <c r="T219" s="94">
        <f>IF('INHERENT MAP'!$B$5=2021,'РЕЕСТР РИСКОВ_2023'!Y258,IF('INHERENT MAP'!$B$5=2022,#REF!,IF('INHERENT MAP'!$B$5=2023,#REF!,IF('INHERENT MAP'!$B$5=2024,#REF!,#REF!))))</f>
        <v>0.05</v>
      </c>
      <c r="U219">
        <f>IF('INHERENT MAP'!$B$5=2021,'РЕЕСТР РИСКОВ_2023'!Z258,IF('INHERENT MAP'!$B$5=2022,#REF!,IF('INHERENT MAP'!$B$5=2023,#REF!,IF('INHERENT MAP'!$B$5=2024,#REF!,#REF!))))</f>
        <v>1</v>
      </c>
      <c r="V219">
        <f>IF('INHERENT MAP'!$B$5=2021,'РЕЕСТР РИСКОВ_2023'!AA258,IF('INHERENT MAP'!$B$5=2022,#REF!,IF('INHERENT MAP'!$B$5=2023,#REF!,IF('INHERENT MAP'!$B$5=2024,#REF!,#REF!))))</f>
        <v>0.05</v>
      </c>
      <c r="W219">
        <f>IF('INHERENT MAP'!$B$5=2021,'РЕЕСТР РИСКОВ_2023'!AB258,IF('INHERENT MAP'!$B$5=2022,#REF!,IF('INHERENT MAP'!$B$5=2023,#REF!,IF('INHERENT MAP'!$B$5=2024,#REF!,#REF!))))</f>
        <v>0</v>
      </c>
      <c r="X219" s="94">
        <f>IF('INHERENT MAP'!$B$5=2021,'РЕЕСТР РИСКОВ_2023'!AC258,IF('INHERENT MAP'!$B$5=2022,#REF!,IF('INHERENT MAP'!$B$5=2023,#REF!,IF('INHERENT MAP'!$B$5=2024,#REF!,#REF!))))</f>
        <v>0.05</v>
      </c>
      <c r="Y219">
        <f>IF('INHERENT MAP'!$B$5=2021,'РЕЕСТР РИСКОВ_2023'!AD258,IF('INHERENT MAP'!$B$5=2022,#REF!,IF('INHERENT MAP'!$B$5=2023,#REF!,IF('INHERENT MAP'!$B$5=2024,#REF!,#REF!))))</f>
        <v>1</v>
      </c>
      <c r="Z219">
        <f>IF('INHERENT MAP'!$B$5=2021,'РЕЕСТР РИСКОВ_2023'!AE258,IF('INHERENT MAP'!$B$5=2022,#REF!,IF('INHERENT MAP'!$B$5=2023,#REF!,IF('INHERENT MAP'!$B$5=2024,#REF!,#REF!))))</f>
        <v>0.05</v>
      </c>
      <c r="AA219">
        <f>IF('INHERENT MAP'!$B$5=2021,'РЕЕСТР РИСКОВ_2023'!AF258,IF('INHERENT MAP'!$B$5=2022,#REF!,IF('INHERENT MAP'!$B$5=2023,#REF!,IF('INHERENT MAP'!$B$5=2024,#REF!,#REF!))))</f>
        <v>0</v>
      </c>
      <c r="AB219">
        <f>IF('INHERENT MAP'!$B$5=2021,'РЕЕСТР РИСКОВ_2023'!AG258,IF('INHERENT MAP'!$B$5=2022,#REF!,IF('INHERENT MAP'!$B$5=2023,#REF!,IF('INHERENT MAP'!$B$5=2024,#REF!,#REF!))))</f>
        <v>0</v>
      </c>
      <c r="AC219">
        <f>IF('INHERENT MAP'!$B$5=2021,'РЕЕСТР РИСКОВ_2023'!AH258,IF('INHERENT MAP'!$B$5=2022,#REF!,IF('INHERENT MAP'!$B$5=2023,#REF!,IF('INHERENT MAP'!$B$5=2024,#REF!,#REF!))))</f>
        <v>0</v>
      </c>
      <c r="AD219" t="str">
        <f>IF('INHERENT MAP'!$B$5=2021,'РЕЕСТР РИСКОВ_2023'!AI258,IF('INHERENT MAP'!$B$5=2022,#REF!,IF('INHERENT MAP'!$B$5=2023,#REF!,IF('INHERENT MAP'!$B$5=2024,#REF!,#REF!))))</f>
        <v>1.Мониторинг и анализ исполнения Плана мероприятий по реализации Стратегии развития АО «НК «ҚТЖ» до 2029 года по итогам 2022 года.
2.Совершенствование системы управления безопасностью перевозочного процесса.
3.Реализация Плана мероприятий, направленного на достижение условий нулевого травматизма.</v>
      </c>
      <c r="AE219" t="str">
        <f>IF('INHERENT MAP'!$B$5=2021,'РЕЕСТР РИСКОВ_2023'!AK258,IF('INHERENT MAP'!$B$5=2022,#REF!,IF('INHERENT MAP'!$B$5=2023,#REF!,IF('INHERENT MAP'!$B$5=2024,#REF!,#REF!))))</f>
        <v>ЦКР, причастные  СП, ДЗО</v>
      </c>
      <c r="AF219">
        <f>IF('INHERENT MAP'!$B$5=2021,'РЕЕСТР РИСКОВ_2023'!AL258,IF('INHERENT MAP'!$B$5=2022,#REF!,IF('INHERENT MAP'!$B$5=2023,#REF!,IF('INHERENT MAP'!$B$5=2024,#REF!,#REF!))))</f>
        <v>0</v>
      </c>
      <c r="AG219">
        <f>IF('INHERENT MAP'!$B$5=2021,'РЕЕСТР РИСКОВ_2023'!AM258,IF('INHERENT MAP'!$B$5=2022,#REF!,IF('INHERENT MAP'!$B$5=2023,#REF!,IF('INHERENT MAP'!$B$5=2024,#REF!,#REF!))))</f>
        <v>0</v>
      </c>
      <c r="AH219">
        <f>IF('INHERENT MAP'!$B$5=2021,'РЕЕСТР РИСКОВ_2023'!AN258,IF('INHERENT MAP'!$B$5=2022,#REF!,IF('INHERENT MAP'!$B$5=2023,#REF!,IF('INHERENT MAP'!$B$5=2024,#REF!,#REF!))))</f>
        <v>0</v>
      </c>
      <c r="AI219">
        <f>IF('INHERENT MAP'!$B$5=2021,'РЕЕСТР РИСКОВ_2023'!AO258,IF('INHERENT MAP'!$B$5=2022,#REF!,IF('INHERENT MAP'!$B$5=2023,#REF!,IF('INHERENT MAP'!$B$5=2024,#REF!,#REF!))))</f>
        <v>0</v>
      </c>
      <c r="AJ219">
        <f>IF('INHERENT MAP'!$B$5=2021,'РЕЕСТР РИСКОВ_2023'!AP258,IF('INHERENT MAP'!$B$5=2022,#REF!,IF('INHERENT MAP'!$B$5=2023,#REF!,IF('INHERENT MAP'!$B$5=2024,#REF!,#REF!))))</f>
        <v>0</v>
      </c>
      <c r="AK219">
        <f>IF('РЕЕСТР РИСКОВ_2023'!AQ258="",AK218,'РЕЕСТР РИСКОВ_2023'!AQ258)</f>
        <v>0</v>
      </c>
      <c r="AL219">
        <f>IF('РЕЕСТР РИСКОВ_2023'!AR258="",AL218,'РЕЕСТР РИСКОВ_2023'!AR258)</f>
        <v>0.125</v>
      </c>
      <c r="AM219">
        <f>IF('РЕЕСТР РИСКОВ_2023'!AS258="",AM218,'РЕЕСТР РИСКОВ_2023'!AS258)</f>
        <v>0</v>
      </c>
      <c r="AN219">
        <f>IF('РЕЕСТР РИСКОВ_2023'!AT258="",AN218,'РЕЕСТР РИСКОВ_2023'!AT258)</f>
        <v>0</v>
      </c>
      <c r="AO219" t="e">
        <f>IF('РЕЕСТР РИСКОВ_2023'!AU258="",AO218,'РЕЕСТР РИСКОВ_2023'!AU258)</f>
        <v>#REF!</v>
      </c>
    </row>
    <row r="220" spans="2:41">
      <c r="B220" t="str">
        <f>IF('INHERENT MAP'!$B$5=2021,IF('РЕЕСТР РИСКОВ_2023'!F259="",B219,'РЕЕСТР РИСКОВ_2023'!F259),IF('INHERENT MAP'!$B$5=2022,IF(#REF!="",B219,#REF!),IF('INHERENT MAP'!$B$5=2023,IF(#REF!="",B219,#REF!),IF('INHERENT MAP'!$B$5=2024,IF(#REF!="",B219,#REF!),IF('РЕЕСТР РИСКОВ_2023'!F259="",B219,'РЕЕСТР РИСКОВ_2023'!F259)))))</f>
        <v>СТРАТЕГИЧЕСКИЙ РИСК</v>
      </c>
      <c r="C220" t="e">
        <f>IF('INHERENT MAP'!$B$5=2021,IF('РЕЕСТР РИСКОВ_2023'!G259="",C219,'РЕЕСТР РИСКОВ_2023'!G259),IF('INHERENT MAP'!$B$5=2022,IF(#REF!="",C219,#REF!),IF('INHERENT MAP'!$B$5=2023,IF(#REF!="",C219,#REF!),IF('INHERENT MAP'!$B$5=2024,IF(#REF!="",C219,#REF!),IF('РЕЕСТР РИСКОВ_2023'!G259="",C219,'РЕЕСТР РИСКОВ_2023'!G259)))))</f>
        <v>#REF!</v>
      </c>
      <c r="D220" t="str">
        <f>IF('INHERENT MAP'!$B$5=2021,IF('РЕЕСТР РИСКОВ_2023'!H259="",D219,'РЕЕСТР РИСКОВ_2023'!H259),IF('INHERENT MAP'!$B$5=2022,IF(#REF!="",D219,#REF!),IF('INHERENT MAP'!$B$5=2023,IF(#REF!="",D219,#REF!),IF('INHERENT MAP'!$B$5=2024,IF(#REF!="",D219,#REF!),IF('РЕЕСТР РИСКОВ_2023'!H259="",D219,'РЕЕСТР РИСКОВ_2023'!H259)))))</f>
        <v>STTR-3</v>
      </c>
      <c r="E220" t="str">
        <f>IF('INHERENT MAP'!$B$5=2021,IF('РЕЕСТР РИСКОВ_2023'!I259="",E219,'РЕЕСТР РИСКОВ_2023'!I259),IF('INHERENT MAP'!$B$5=2022,IF(#REF!="",E219,#REF!),IF('INHERENT MAP'!$B$5=2023,IF(#REF!="",E219,#REF!),IF('INHERENT MAP'!$B$5=2024,IF(#REF!="",E219,#REF!),IF('РЕЕСТР РИСКОВ_2023'!I259="",E219,'РЕЕСТР РИСКОВ_2023'!I259)))))</f>
        <v>Ц</v>
      </c>
      <c r="F220" t="str">
        <f>IF('INHERENT MAP'!$B$5=2021,IF('РЕЕСТР РИСКОВ_2023'!J259="",F219,'РЕЕСТР РИСКОВ_2023'!J259),IF('INHERENT MAP'!$B$5=2022,IF(#REF!="",F219,#REF!),IF('INHERENT MAP'!$B$5=2023,IF(#REF!="",F219,#REF!),IF('INHERENT MAP'!$B$5=2024,IF(#REF!="",F219,#REF!),IF('РЕЕСТР РИСКОВ_2023'!J259="",F219,'РЕЕСТР РИСКОВ_2023'!J259)))))</f>
        <v>ЦКР</v>
      </c>
      <c r="G220" t="str">
        <f>IF('INHERENT MAP'!$B$5=2021,IF('РЕЕСТР РИСКОВ_2023'!K259="",G219,'РЕЕСТР РИСКОВ_2023'!K259),IF('INHERENT MAP'!$B$5=2022,IF(#REF!="",G219,#REF!),IF('INHERENT MAP'!$B$5=2023,IF(#REF!="",G219,#REF!),IF('INHERENT MAP'!$B$5=2024,IF(#REF!="",G219,#REF!),IF('РЕЕСТР РИСКОВ_2023'!K259="",G219,'РЕЕСТР РИСКОВ_2023'!K259)))))</f>
        <v>Не исполнения Плана мероприятий по реализации Стратегии развития АО "НК "КТЖ" до 2029 года</v>
      </c>
      <c r="H220">
        <f>IF('INHERENT MAP'!$B$5=2021,'РЕЕСТР РИСКОВ_2023'!L259,IF('INHERENT MAP'!$B$5=2022,#REF!,IF('INHERENT MAP'!$B$5=2023,#REF!,IF('INHERENT MAP'!$B$5=2024,#REF!,#REF!))))</f>
        <v>0</v>
      </c>
      <c r="I220">
        <f>IF('INHERENT MAP'!$B$5=2021,'РЕЕСТР РИСКОВ_2023'!M259,IF('INHERENT MAP'!$B$5=2022,#REF!,IF('INHERENT MAP'!$B$5=2023,#REF!,IF('INHERENT MAP'!$B$5=2024,#REF!,#REF!))))</f>
        <v>0</v>
      </c>
      <c r="J220">
        <f>IF('INHERENT MAP'!$B$5=2021,'РЕЕСТР РИСКОВ_2023'!N259,IF('INHERENT MAP'!$B$5=2022,#REF!,IF('INHERENT MAP'!$B$5=2023,#REF!,IF('INHERENT MAP'!$B$5=2024,#REF!,#REF!))))</f>
        <v>0</v>
      </c>
      <c r="K220">
        <f>IF('INHERENT MAP'!$B$5=2021,'РЕЕСТР РИСКОВ_2023'!O259,IF('INHERENT MAP'!$B$5=2022,#REF!,IF('INHERENT MAP'!$B$5=2023,#REF!,IF('INHERENT MAP'!$B$5=2024,#REF!,#REF!))))</f>
        <v>0</v>
      </c>
      <c r="L220">
        <f>IF('INHERENT MAP'!$B$5=2021,'РЕЕСТР РИСКОВ_2023'!P259,IF('INHERENT MAP'!$B$5=2022,#REF!,IF('INHERENT MAP'!$B$5=2023,#REF!,IF('INHERENT MAP'!$B$5=2024,#REF!,#REF!))))</f>
        <v>0</v>
      </c>
      <c r="M220" t="str">
        <f>IF('INHERENT MAP'!$B$5=2021,IF('РЕЕСТР РИСКОВ_2023'!Q259="",M219,'РЕЕСТР РИСКОВ_2023'!Q259),IF('INHERENT MAP'!$B$5=2022,IF(#REF!="",M219,#REF!),IF('INHERENT MAP'!$B$5=2023,IF(#REF!="",M219,#REF!),IF('INHERENT MAP'!$B$5=2024,IF(#REF!="",M219,#REF!),IF('РЕЕСТР РИСКОВ_2023'!Q259="",M219,'РЕЕСТР РИСКОВ_2023'!Q259)))))</f>
        <v>Не исполнения Плана мероприятий по ЦЕЛИ №5
"Обеспечение устойчивого развития Компании".</v>
      </c>
      <c r="N220" t="str">
        <f>IF('INHERENT MAP'!$B$5=2021,IF('РЕЕСТР РИСКОВ_2023'!R259="",N219,'РЕЕСТР РИСКОВ_2023'!R259),IF('INHERENT MAP'!$B$5=2022,IF(#REF!="",N219,#REF!),IF('INHERENT MAP'!$B$5=2023,IF(#REF!="",N219,#REF!),IF('INHERENT MAP'!$B$5=2024,IF(#REF!="",N219,#REF!),IF('РЕЕСТР РИСКОВ_2023'!R259="",N219,'РЕЕСТР РИСКОВ_2023'!R259)))))</f>
        <v>1. Снижение социальной стабильности и развития кадрового потенциала.
2. Несоблюдения работниками техники безопасности на рабочих местах.  
3. Несоблюдение экологического законодательства.
Превышение предельно-допустимой концентрации эмиссиии в окружающую среду при нарушениях требований в части содержания и обслуживания подвижного состава и объектов инфраструктуры.
4. Страновой риск из-за изменения внешних политических / экономических условий, санкций или других ограничений.</v>
      </c>
      <c r="O220">
        <f>'РЕЕСТР РИСКОВ_2023'!T259</f>
        <v>0</v>
      </c>
      <c r="P220" t="e">
        <f>IF('РЕЕСТР РИСКОВ_2023'!U259="",P219,'РЕЕСТР РИСКОВ_2023'!U259)</f>
        <v>#REF!</v>
      </c>
      <c r="Q220" t="str">
        <f>IF('РЕЕСТР РИСКОВ_2023'!V259="",Q219,'РЕЕСТР РИСКОВ_2023'!V259)</f>
        <v>Угрозы</v>
      </c>
      <c r="R220" t="str">
        <f>IF('РЕЕСТР РИСКОВ_2023'!W259="",R219,'РЕЕСТР РИСКОВ_2023'!W259)</f>
        <v>1. корректировки, предложенные внешним аудитором 2. корректировки, предложенные Единственным  акционером</v>
      </c>
      <c r="S220">
        <f>'РЕЕСТР РИСКОВ_2023'!X259</f>
        <v>0</v>
      </c>
      <c r="T220" s="94">
        <f>IF('INHERENT MAP'!$B$5=2021,'РЕЕСТР РИСКОВ_2023'!Y259,IF('INHERENT MAP'!$B$5=2022,#REF!,IF('INHERENT MAP'!$B$5=2023,#REF!,IF('INHERENT MAP'!$B$5=2024,#REF!,#REF!))))</f>
        <v>0.05</v>
      </c>
      <c r="U220">
        <f>IF('INHERENT MAP'!$B$5=2021,'РЕЕСТР РИСКОВ_2023'!Z259,IF('INHERENT MAP'!$B$5=2022,#REF!,IF('INHERENT MAP'!$B$5=2023,#REF!,IF('INHERENT MAP'!$B$5=2024,#REF!,#REF!))))</f>
        <v>1</v>
      </c>
      <c r="V220">
        <f>IF('INHERENT MAP'!$B$5=2021,'РЕЕСТР РИСКОВ_2023'!AA259,IF('INHERENT MAP'!$B$5=2022,#REF!,IF('INHERENT MAP'!$B$5=2023,#REF!,IF('INHERENT MAP'!$B$5=2024,#REF!,#REF!))))</f>
        <v>0.05</v>
      </c>
      <c r="W220">
        <f>IF('INHERENT MAP'!$B$5=2021,'РЕЕСТР РИСКОВ_2023'!AB259,IF('INHERENT MAP'!$B$5=2022,#REF!,IF('INHERENT MAP'!$B$5=2023,#REF!,IF('INHERENT MAP'!$B$5=2024,#REF!,#REF!))))</f>
        <v>0</v>
      </c>
      <c r="X220" s="94">
        <f>IF('INHERENT MAP'!$B$5=2021,'РЕЕСТР РИСКОВ_2023'!AC259,IF('INHERENT MAP'!$B$5=2022,#REF!,IF('INHERENT MAP'!$B$5=2023,#REF!,IF('INHERENT MAP'!$B$5=2024,#REF!,#REF!))))</f>
        <v>0.05</v>
      </c>
      <c r="Y220">
        <f>IF('INHERENT MAP'!$B$5=2021,'РЕЕСТР РИСКОВ_2023'!AD259,IF('INHERENT MAP'!$B$5=2022,#REF!,IF('INHERENT MAP'!$B$5=2023,#REF!,IF('INHERENT MAP'!$B$5=2024,#REF!,#REF!))))</f>
        <v>1</v>
      </c>
      <c r="Z220">
        <f>IF('INHERENT MAP'!$B$5=2021,'РЕЕСТР РИСКОВ_2023'!AE259,IF('INHERENT MAP'!$B$5=2022,#REF!,IF('INHERENT MAP'!$B$5=2023,#REF!,IF('INHERENT MAP'!$B$5=2024,#REF!,#REF!))))</f>
        <v>0.05</v>
      </c>
      <c r="AA220">
        <f>IF('INHERENT MAP'!$B$5=2021,'РЕЕСТР РИСКОВ_2023'!AF259,IF('INHERENT MAP'!$B$5=2022,#REF!,IF('INHERENT MAP'!$B$5=2023,#REF!,IF('INHERENT MAP'!$B$5=2024,#REF!,#REF!))))</f>
        <v>0</v>
      </c>
      <c r="AB220">
        <f>IF('INHERENT MAP'!$B$5=2021,'РЕЕСТР РИСКОВ_2023'!AG259,IF('INHERENT MAP'!$B$5=2022,#REF!,IF('INHERENT MAP'!$B$5=2023,#REF!,IF('INHERENT MAP'!$B$5=2024,#REF!,#REF!))))</f>
        <v>0</v>
      </c>
      <c r="AC220">
        <f>IF('INHERENT MAP'!$B$5=2021,'РЕЕСТР РИСКОВ_2023'!AH259,IF('INHERENT MAP'!$B$5=2022,#REF!,IF('INHERENT MAP'!$B$5=2023,#REF!,IF('INHERENT MAP'!$B$5=2024,#REF!,#REF!))))</f>
        <v>0</v>
      </c>
      <c r="AD220" t="str">
        <f>IF('INHERENT MAP'!$B$5=2021,'РЕЕСТР РИСКОВ_2023'!AI259,IF('INHERENT MAP'!$B$5=2022,#REF!,IF('INHERENT MAP'!$B$5=2023,#REF!,IF('INHERENT MAP'!$B$5=2024,#REF!,#REF!))))</f>
        <v xml:space="preserve">1.Мониторинг и анализ исполнения Плана мероприятий по реализации Стратегии развития АО «НК «ҚТЖ» до 2029 года по итогам 2022 года.
2.Реализация Плана мероприятий по совершенствованию системы корпоративного управления: будет продолжена работа  по повышению эффективности  Совета директоров и исполнительного органа, эффективности системы управления рисками, внутреннего контроля, устойчивого развития и прозрачности деятельности.
3.Повышение социальной стабильности и развития кадрового потенциала: сохранение уровня социальной стабильности персонала в позитивной зоне. </v>
      </c>
      <c r="AE220" t="str">
        <f>IF('INHERENT MAP'!$B$5=2021,'РЕЕСТР РИСКОВ_2023'!AK259,IF('INHERENT MAP'!$B$5=2022,#REF!,IF('INHERENT MAP'!$B$5=2023,#REF!,IF('INHERENT MAP'!$B$5=2024,#REF!,#REF!))))</f>
        <v>ЦКР, причастные  СП, ДЗО</v>
      </c>
      <c r="AF220">
        <f>IF('INHERENT MAP'!$B$5=2021,'РЕЕСТР РИСКОВ_2023'!AL259,IF('INHERENT MAP'!$B$5=2022,#REF!,IF('INHERENT MAP'!$B$5=2023,#REF!,IF('INHERENT MAP'!$B$5=2024,#REF!,#REF!))))</f>
        <v>0</v>
      </c>
      <c r="AG220">
        <f>IF('INHERENT MAP'!$B$5=2021,'РЕЕСТР РИСКОВ_2023'!AM259,IF('INHERENT MAP'!$B$5=2022,#REF!,IF('INHERENT MAP'!$B$5=2023,#REF!,IF('INHERENT MAP'!$B$5=2024,#REF!,#REF!))))</f>
        <v>0</v>
      </c>
      <c r="AH220">
        <f>IF('INHERENT MAP'!$B$5=2021,'РЕЕСТР РИСКОВ_2023'!AN259,IF('INHERENT MAP'!$B$5=2022,#REF!,IF('INHERENT MAP'!$B$5=2023,#REF!,IF('INHERENT MAP'!$B$5=2024,#REF!,#REF!))))</f>
        <v>0</v>
      </c>
      <c r="AI220">
        <f>IF('INHERENT MAP'!$B$5=2021,'РЕЕСТР РИСКОВ_2023'!AO259,IF('INHERENT MAP'!$B$5=2022,#REF!,IF('INHERENT MAP'!$B$5=2023,#REF!,IF('INHERENT MAP'!$B$5=2024,#REF!,#REF!))))</f>
        <v>0</v>
      </c>
      <c r="AJ220">
        <f>IF('INHERENT MAP'!$B$5=2021,'РЕЕСТР РИСКОВ_2023'!AP259,IF('INHERENT MAP'!$B$5=2022,#REF!,IF('INHERENT MAP'!$B$5=2023,#REF!,IF('INHERENT MAP'!$B$5=2024,#REF!,#REF!))))</f>
        <v>0</v>
      </c>
      <c r="AK220">
        <f>IF('РЕЕСТР РИСКОВ_2023'!AQ259="",AK219,'РЕЕСТР РИСКОВ_2023'!AQ259)</f>
        <v>0</v>
      </c>
      <c r="AL220">
        <f>IF('РЕЕСТР РИСКОВ_2023'!AR259="",AL219,'РЕЕСТР РИСКОВ_2023'!AR259)</f>
        <v>0.125</v>
      </c>
      <c r="AM220">
        <f>IF('РЕЕСТР РИСКОВ_2023'!AS259="",AM219,'РЕЕСТР РИСКОВ_2023'!AS259)</f>
        <v>0</v>
      </c>
      <c r="AN220">
        <f>IF('РЕЕСТР РИСКОВ_2023'!AT259="",AN219,'РЕЕСТР РИСКОВ_2023'!AT259)</f>
        <v>0</v>
      </c>
      <c r="AO220" t="e">
        <f>IF('РЕЕСТР РИСКОВ_2023'!AU259="",AO219,'РЕЕСТР РИСКОВ_2023'!AU259)</f>
        <v>#REF!</v>
      </c>
    </row>
    <row r="221" spans="2:41">
      <c r="B221" t="e">
        <f>IF('INHERENT MAP'!$B$5=2021,IF('РЕЕСТР РИСКОВ_2023'!#REF!="",B220,'РЕЕСТР РИСКОВ_2023'!#REF!),IF('INHERENT MAP'!$B$5=2022,IF(#REF!="",B220,#REF!),IF('INHERENT MAP'!$B$5=2023,IF(#REF!="",B220,#REF!),IF('INHERENT MAP'!$B$5=2024,IF(#REF!="",B220,#REF!),IF('РЕЕСТР РИСКОВ_2023'!#REF!="",B220,'РЕЕСТР РИСКОВ_2023'!#REF!)))))</f>
        <v>#REF!</v>
      </c>
      <c r="C221" t="e">
        <f>IF('INHERENT MAP'!$B$5=2021,IF('РЕЕСТР РИСКОВ_2023'!#REF!="",C220,'РЕЕСТР РИСКОВ_2023'!#REF!),IF('INHERENT MAP'!$B$5=2022,IF(#REF!="",C220,#REF!),IF('INHERENT MAP'!$B$5=2023,IF(#REF!="",C220,#REF!),IF('INHERENT MAP'!$B$5=2024,IF(#REF!="",C220,#REF!),IF('РЕЕСТР РИСКОВ_2023'!#REF!="",C220,'РЕЕСТР РИСКОВ_2023'!#REF!)))))</f>
        <v>#REF!</v>
      </c>
      <c r="D221" t="e">
        <f>IF('INHERENT MAP'!$B$5=2021,IF('РЕЕСТР РИСКОВ_2023'!#REF!="",D220,'РЕЕСТР РИСКОВ_2023'!#REF!),IF('INHERENT MAP'!$B$5=2022,IF(#REF!="",D220,#REF!),IF('INHERENT MAP'!$B$5=2023,IF(#REF!="",D220,#REF!),IF('INHERENT MAP'!$B$5=2024,IF(#REF!="",D220,#REF!),IF('РЕЕСТР РИСКОВ_2023'!#REF!="",D220,'РЕЕСТР РИСКОВ_2023'!#REF!)))))</f>
        <v>#REF!</v>
      </c>
      <c r="E221" t="e">
        <f>IF('INHERENT MAP'!$B$5=2021,IF('РЕЕСТР РИСКОВ_2023'!#REF!="",E220,'РЕЕСТР РИСКОВ_2023'!#REF!),IF('INHERENT MAP'!$B$5=2022,IF(#REF!="",E220,#REF!),IF('INHERENT MAP'!$B$5=2023,IF(#REF!="",E220,#REF!),IF('INHERENT MAP'!$B$5=2024,IF(#REF!="",E220,#REF!),IF('РЕЕСТР РИСКОВ_2023'!#REF!="",E220,'РЕЕСТР РИСКОВ_2023'!#REF!)))))</f>
        <v>#REF!</v>
      </c>
      <c r="F221" t="e">
        <f>IF('INHERENT MAP'!$B$5=2021,IF('РЕЕСТР РИСКОВ_2023'!#REF!="",F220,'РЕЕСТР РИСКОВ_2023'!#REF!),IF('INHERENT MAP'!$B$5=2022,IF(#REF!="",F220,#REF!),IF('INHERENT MAP'!$B$5=2023,IF(#REF!="",F220,#REF!),IF('INHERENT MAP'!$B$5=2024,IF(#REF!="",F220,#REF!),IF('РЕЕСТР РИСКОВ_2023'!#REF!="",F220,'РЕЕСТР РИСКОВ_2023'!#REF!)))))</f>
        <v>#REF!</v>
      </c>
      <c r="G221" t="e">
        <f>IF('INHERENT MAP'!$B$5=2021,IF('РЕЕСТР РИСКОВ_2023'!#REF!="",G220,'РЕЕСТР РИСКОВ_2023'!#REF!),IF('INHERENT MAP'!$B$5=2022,IF(#REF!="",G220,#REF!),IF('INHERENT MAP'!$B$5=2023,IF(#REF!="",G220,#REF!),IF('INHERENT MAP'!$B$5=2024,IF(#REF!="",G220,#REF!),IF('РЕЕСТР РИСКОВ_2023'!#REF!="",G220,'РЕЕСТР РИСКОВ_2023'!#REF!)))))</f>
        <v>#REF!</v>
      </c>
      <c r="H221" t="e">
        <f>IF('INHERENT MAP'!$B$5=2021,'РЕЕСТР РИСКОВ_2023'!#REF!,IF('INHERENT MAP'!$B$5=2022,#REF!,IF('INHERENT MAP'!$B$5=2023,#REF!,IF('INHERENT MAP'!$B$5=2024,#REF!,#REF!))))</f>
        <v>#REF!</v>
      </c>
      <c r="I221" t="e">
        <f>IF('INHERENT MAP'!$B$5=2021,'РЕЕСТР РИСКОВ_2023'!#REF!,IF('INHERENT MAP'!$B$5=2022,#REF!,IF('INHERENT MAP'!$B$5=2023,#REF!,IF('INHERENT MAP'!$B$5=2024,#REF!,#REF!))))</f>
        <v>#REF!</v>
      </c>
      <c r="J221" t="e">
        <f>IF('INHERENT MAP'!$B$5=2021,'РЕЕСТР РИСКОВ_2023'!#REF!,IF('INHERENT MAP'!$B$5=2022,#REF!,IF('INHERENT MAP'!$B$5=2023,#REF!,IF('INHERENT MAP'!$B$5=2024,#REF!,#REF!))))</f>
        <v>#REF!</v>
      </c>
      <c r="K221" t="e">
        <f>IF('INHERENT MAP'!$B$5=2021,'РЕЕСТР РИСКОВ_2023'!#REF!,IF('INHERENT MAP'!$B$5=2022,#REF!,IF('INHERENT MAP'!$B$5=2023,#REF!,IF('INHERENT MAP'!$B$5=2024,#REF!,#REF!))))</f>
        <v>#REF!</v>
      </c>
      <c r="L221" t="e">
        <f>IF('INHERENT MAP'!$B$5=2021,'РЕЕСТР РИСКОВ_2023'!#REF!,IF('INHERENT MAP'!$B$5=2022,#REF!,IF('INHERENT MAP'!$B$5=2023,#REF!,IF('INHERENT MAP'!$B$5=2024,#REF!,#REF!))))</f>
        <v>#REF!</v>
      </c>
      <c r="M221" t="e">
        <f>IF('INHERENT MAP'!$B$5=2021,IF('РЕЕСТР РИСКОВ_2023'!#REF!="",M220,'РЕЕСТР РИСКОВ_2023'!#REF!),IF('INHERENT MAP'!$B$5=2022,IF(#REF!="",M220,#REF!),IF('INHERENT MAP'!$B$5=2023,IF(#REF!="",M220,#REF!),IF('INHERENT MAP'!$B$5=2024,IF(#REF!="",M220,#REF!),IF('РЕЕСТР РИСКОВ_2023'!#REF!="",M220,'РЕЕСТР РИСКОВ_2023'!#REF!)))))</f>
        <v>#REF!</v>
      </c>
      <c r="N221" t="e">
        <f>IF('INHERENT MAP'!$B$5=2021,IF('РЕЕСТР РИСКОВ_2023'!#REF!="",N220,'РЕЕСТР РИСКОВ_2023'!#REF!),IF('INHERENT MAP'!$B$5=2022,IF(#REF!="",N220,#REF!),IF('INHERENT MAP'!$B$5=2023,IF(#REF!="",N220,#REF!),IF('INHERENT MAP'!$B$5=2024,IF(#REF!="",N220,#REF!),IF('РЕЕСТР РИСКОВ_2023'!#REF!="",N220,'РЕЕСТР РИСКОВ_2023'!#REF!)))))</f>
        <v>#REF!</v>
      </c>
      <c r="O221" t="e">
        <f>'РЕЕСТР РИСКОВ_2023'!#REF!</f>
        <v>#REF!</v>
      </c>
      <c r="P221" t="e">
        <f>IF('РЕЕСТР РИСКОВ_2023'!#REF!="",P220,'РЕЕСТР РИСКОВ_2023'!#REF!)</f>
        <v>#REF!</v>
      </c>
      <c r="Q221" t="e">
        <f>IF('РЕЕСТР РИСКОВ_2023'!#REF!="",Q220,'РЕЕСТР РИСКОВ_2023'!#REF!)</f>
        <v>#REF!</v>
      </c>
      <c r="R221" t="e">
        <f>IF('РЕЕСТР РИСКОВ_2023'!#REF!="",R220,'РЕЕСТР РИСКОВ_2023'!#REF!)</f>
        <v>#REF!</v>
      </c>
      <c r="S221" t="e">
        <f>'РЕЕСТР РИСКОВ_2023'!#REF!</f>
        <v>#REF!</v>
      </c>
      <c r="T221" s="94" t="e">
        <f>IF('INHERENT MAP'!$B$5=2021,'РЕЕСТР РИСКОВ_2023'!#REF!,IF('INHERENT MAP'!$B$5=2022,#REF!,IF('INHERENT MAP'!$B$5=2023,#REF!,IF('INHERENT MAP'!$B$5=2024,#REF!,#REF!))))</f>
        <v>#REF!</v>
      </c>
      <c r="U221" t="e">
        <f>IF('INHERENT MAP'!$B$5=2021,'РЕЕСТР РИСКОВ_2023'!#REF!,IF('INHERENT MAP'!$B$5=2022,#REF!,IF('INHERENT MAP'!$B$5=2023,#REF!,IF('INHERENT MAP'!$B$5=2024,#REF!,#REF!))))</f>
        <v>#REF!</v>
      </c>
      <c r="V221" t="e">
        <f>IF('INHERENT MAP'!$B$5=2021,'РЕЕСТР РИСКОВ_2023'!#REF!,IF('INHERENT MAP'!$B$5=2022,#REF!,IF('INHERENT MAP'!$B$5=2023,#REF!,IF('INHERENT MAP'!$B$5=2024,#REF!,#REF!))))</f>
        <v>#REF!</v>
      </c>
      <c r="W221" t="e">
        <f>IF('INHERENT MAP'!$B$5=2021,'РЕЕСТР РИСКОВ_2023'!#REF!,IF('INHERENT MAP'!$B$5=2022,#REF!,IF('INHERENT MAP'!$B$5=2023,#REF!,IF('INHERENT MAP'!$B$5=2024,#REF!,#REF!))))</f>
        <v>#REF!</v>
      </c>
      <c r="X221" s="94" t="e">
        <f>IF('INHERENT MAP'!$B$5=2021,'РЕЕСТР РИСКОВ_2023'!#REF!,IF('INHERENT MAP'!$B$5=2022,#REF!,IF('INHERENT MAP'!$B$5=2023,#REF!,IF('INHERENT MAP'!$B$5=2024,#REF!,#REF!))))</f>
        <v>#REF!</v>
      </c>
      <c r="Y221" t="e">
        <f>IF('INHERENT MAP'!$B$5=2021,'РЕЕСТР РИСКОВ_2023'!#REF!,IF('INHERENT MAP'!$B$5=2022,#REF!,IF('INHERENT MAP'!$B$5=2023,#REF!,IF('INHERENT MAP'!$B$5=2024,#REF!,#REF!))))</f>
        <v>#REF!</v>
      </c>
      <c r="Z221" t="e">
        <f>IF('INHERENT MAP'!$B$5=2021,'РЕЕСТР РИСКОВ_2023'!#REF!,IF('INHERENT MAP'!$B$5=2022,#REF!,IF('INHERENT MAP'!$B$5=2023,#REF!,IF('INHERENT MAP'!$B$5=2024,#REF!,#REF!))))</f>
        <v>#REF!</v>
      </c>
      <c r="AA221" t="e">
        <f>IF('INHERENT MAP'!$B$5=2021,'РЕЕСТР РИСКОВ_2023'!#REF!,IF('INHERENT MAP'!$B$5=2022,#REF!,IF('INHERENT MAP'!$B$5=2023,#REF!,IF('INHERENT MAP'!$B$5=2024,#REF!,#REF!))))</f>
        <v>#REF!</v>
      </c>
      <c r="AB221" t="e">
        <f>IF('INHERENT MAP'!$B$5=2021,'РЕЕСТР РИСКОВ_2023'!#REF!,IF('INHERENT MAP'!$B$5=2022,#REF!,IF('INHERENT MAP'!$B$5=2023,#REF!,IF('INHERENT MAP'!$B$5=2024,#REF!,#REF!))))</f>
        <v>#REF!</v>
      </c>
      <c r="AC221" t="e">
        <f>IF('INHERENT MAP'!$B$5=2021,'РЕЕСТР РИСКОВ_2023'!#REF!,IF('INHERENT MAP'!$B$5=2022,#REF!,IF('INHERENT MAP'!$B$5=2023,#REF!,IF('INHERENT MAP'!$B$5=2024,#REF!,#REF!))))</f>
        <v>#REF!</v>
      </c>
      <c r="AD221" t="e">
        <f>IF('INHERENT MAP'!$B$5=2021,'РЕЕСТР РИСКОВ_2023'!#REF!,IF('INHERENT MAP'!$B$5=2022,#REF!,IF('INHERENT MAP'!$B$5=2023,#REF!,IF('INHERENT MAP'!$B$5=2024,#REF!,#REF!))))</f>
        <v>#REF!</v>
      </c>
      <c r="AE221" t="e">
        <f>IF('INHERENT MAP'!$B$5=2021,'РЕЕСТР РИСКОВ_2023'!#REF!,IF('INHERENT MAP'!$B$5=2022,#REF!,IF('INHERENT MAP'!$B$5=2023,#REF!,IF('INHERENT MAP'!$B$5=2024,#REF!,#REF!))))</f>
        <v>#REF!</v>
      </c>
      <c r="AF221" t="e">
        <f>IF('INHERENT MAP'!$B$5=2021,'РЕЕСТР РИСКОВ_2023'!#REF!,IF('INHERENT MAP'!$B$5=2022,#REF!,IF('INHERENT MAP'!$B$5=2023,#REF!,IF('INHERENT MAP'!$B$5=2024,#REF!,#REF!))))</f>
        <v>#REF!</v>
      </c>
      <c r="AG221" t="e">
        <f>IF('INHERENT MAP'!$B$5=2021,'РЕЕСТР РИСКОВ_2023'!#REF!,IF('INHERENT MAP'!$B$5=2022,#REF!,IF('INHERENT MAP'!$B$5=2023,#REF!,IF('INHERENT MAP'!$B$5=2024,#REF!,#REF!))))</f>
        <v>#REF!</v>
      </c>
      <c r="AH221" t="e">
        <f>IF('INHERENT MAP'!$B$5=2021,'РЕЕСТР РИСКОВ_2023'!#REF!,IF('INHERENT MAP'!$B$5=2022,#REF!,IF('INHERENT MAP'!$B$5=2023,#REF!,IF('INHERENT MAP'!$B$5=2024,#REF!,#REF!))))</f>
        <v>#REF!</v>
      </c>
      <c r="AI221" t="e">
        <f>IF('INHERENT MAP'!$B$5=2021,'РЕЕСТР РИСКОВ_2023'!#REF!,IF('INHERENT MAP'!$B$5=2022,#REF!,IF('INHERENT MAP'!$B$5=2023,#REF!,IF('INHERENT MAP'!$B$5=2024,#REF!,#REF!))))</f>
        <v>#REF!</v>
      </c>
      <c r="AJ221" t="e">
        <f>IF('INHERENT MAP'!$B$5=2021,'РЕЕСТР РИСКОВ_2023'!#REF!,IF('INHERENT MAP'!$B$5=2022,#REF!,IF('INHERENT MAP'!$B$5=2023,#REF!,IF('INHERENT MAP'!$B$5=2024,#REF!,#REF!))))</f>
        <v>#REF!</v>
      </c>
      <c r="AK221" t="e">
        <f>IF('РЕЕСТР РИСКОВ_2023'!#REF!="",AK220,'РЕЕСТР РИСКОВ_2023'!#REF!)</f>
        <v>#REF!</v>
      </c>
      <c r="AL221" t="e">
        <f>IF('РЕЕСТР РИСКОВ_2023'!#REF!="",AL220,'РЕЕСТР РИСКОВ_2023'!#REF!)</f>
        <v>#REF!</v>
      </c>
      <c r="AM221" t="e">
        <f>IF('РЕЕСТР РИСКОВ_2023'!#REF!="",AM220,'РЕЕСТР РИСКОВ_2023'!#REF!)</f>
        <v>#REF!</v>
      </c>
      <c r="AN221" t="e">
        <f>IF('РЕЕСТР РИСКОВ_2023'!#REF!="",AN220,'РЕЕСТР РИСКОВ_2023'!#REF!)</f>
        <v>#REF!</v>
      </c>
      <c r="AO221" t="e">
        <f>IF('РЕЕСТР РИСКОВ_2023'!#REF!="",AO220,'РЕЕСТР РИСКОВ_2023'!#REF!)</f>
        <v>#REF!</v>
      </c>
    </row>
    <row r="222" spans="2:41">
      <c r="B222" t="e">
        <f>IF('INHERENT MAP'!$B$5=2021,IF('РЕЕСТР РИСКОВ_2023'!#REF!="",B221,'РЕЕСТР РИСКОВ_2023'!#REF!),IF('INHERENT MAP'!$B$5=2022,IF(#REF!="",B221,#REF!),IF('INHERENT MAP'!$B$5=2023,IF(#REF!="",B221,#REF!),IF('INHERENT MAP'!$B$5=2024,IF(#REF!="",B221,#REF!),IF('РЕЕСТР РИСКОВ_2023'!#REF!="",B221,'РЕЕСТР РИСКОВ_2023'!#REF!)))))</f>
        <v>#REF!</v>
      </c>
      <c r="C222" t="e">
        <f>IF('INHERENT MAP'!$B$5=2021,IF('РЕЕСТР РИСКОВ_2023'!#REF!="",C221,'РЕЕСТР РИСКОВ_2023'!#REF!),IF('INHERENT MAP'!$B$5=2022,IF(#REF!="",C221,#REF!),IF('INHERENT MAP'!$B$5=2023,IF(#REF!="",C221,#REF!),IF('INHERENT MAP'!$B$5=2024,IF(#REF!="",C221,#REF!),IF('РЕЕСТР РИСКОВ_2023'!#REF!="",C221,'РЕЕСТР РИСКОВ_2023'!#REF!)))))</f>
        <v>#REF!</v>
      </c>
      <c r="D222" t="e">
        <f>IF('INHERENT MAP'!$B$5=2021,IF('РЕЕСТР РИСКОВ_2023'!#REF!="",D221,'РЕЕСТР РИСКОВ_2023'!#REF!),IF('INHERENT MAP'!$B$5=2022,IF(#REF!="",D221,#REF!),IF('INHERENT MAP'!$B$5=2023,IF(#REF!="",D221,#REF!),IF('INHERENT MAP'!$B$5=2024,IF(#REF!="",D221,#REF!),IF('РЕЕСТР РИСКОВ_2023'!#REF!="",D221,'РЕЕСТР РИСКОВ_2023'!#REF!)))))</f>
        <v>#REF!</v>
      </c>
      <c r="E222" t="e">
        <f>IF('INHERENT MAP'!$B$5=2021,IF('РЕЕСТР РИСКОВ_2023'!#REF!="",E221,'РЕЕСТР РИСКОВ_2023'!#REF!),IF('INHERENT MAP'!$B$5=2022,IF(#REF!="",E221,#REF!),IF('INHERENT MAP'!$B$5=2023,IF(#REF!="",E221,#REF!),IF('INHERENT MAP'!$B$5=2024,IF(#REF!="",E221,#REF!),IF('РЕЕСТР РИСКОВ_2023'!#REF!="",E221,'РЕЕСТР РИСКОВ_2023'!#REF!)))))</f>
        <v>#REF!</v>
      </c>
      <c r="F222" t="e">
        <f>IF('INHERENT MAP'!$B$5=2021,IF('РЕЕСТР РИСКОВ_2023'!#REF!="",F221,'РЕЕСТР РИСКОВ_2023'!#REF!),IF('INHERENT MAP'!$B$5=2022,IF(#REF!="",F221,#REF!),IF('INHERENT MAP'!$B$5=2023,IF(#REF!="",F221,#REF!),IF('INHERENT MAP'!$B$5=2024,IF(#REF!="",F221,#REF!),IF('РЕЕСТР РИСКОВ_2023'!#REF!="",F221,'РЕЕСТР РИСКОВ_2023'!#REF!)))))</f>
        <v>#REF!</v>
      </c>
      <c r="G222" t="e">
        <f>IF('INHERENT MAP'!$B$5=2021,IF('РЕЕСТР РИСКОВ_2023'!#REF!="",G221,'РЕЕСТР РИСКОВ_2023'!#REF!),IF('INHERENT MAP'!$B$5=2022,IF(#REF!="",G221,#REF!),IF('INHERENT MAP'!$B$5=2023,IF(#REF!="",G221,#REF!),IF('INHERENT MAP'!$B$5=2024,IF(#REF!="",G221,#REF!),IF('РЕЕСТР РИСКОВ_2023'!#REF!="",G221,'РЕЕСТР РИСКОВ_2023'!#REF!)))))</f>
        <v>#REF!</v>
      </c>
      <c r="H222" t="e">
        <f>IF('INHERENT MAP'!$B$5=2021,'РЕЕСТР РИСКОВ_2023'!#REF!,IF('INHERENT MAP'!$B$5=2022,#REF!,IF('INHERENT MAP'!$B$5=2023,#REF!,IF('INHERENT MAP'!$B$5=2024,#REF!,#REF!))))</f>
        <v>#REF!</v>
      </c>
      <c r="I222" t="e">
        <f>IF('INHERENT MAP'!$B$5=2021,'РЕЕСТР РИСКОВ_2023'!#REF!,IF('INHERENT MAP'!$B$5=2022,#REF!,IF('INHERENT MAP'!$B$5=2023,#REF!,IF('INHERENT MAP'!$B$5=2024,#REF!,#REF!))))</f>
        <v>#REF!</v>
      </c>
      <c r="J222" t="e">
        <f>IF('INHERENT MAP'!$B$5=2021,'РЕЕСТР РИСКОВ_2023'!#REF!,IF('INHERENT MAP'!$B$5=2022,#REF!,IF('INHERENT MAP'!$B$5=2023,#REF!,IF('INHERENT MAP'!$B$5=2024,#REF!,#REF!))))</f>
        <v>#REF!</v>
      </c>
      <c r="K222" t="e">
        <f>IF('INHERENT MAP'!$B$5=2021,'РЕЕСТР РИСКОВ_2023'!#REF!,IF('INHERENT MAP'!$B$5=2022,#REF!,IF('INHERENT MAP'!$B$5=2023,#REF!,IF('INHERENT MAP'!$B$5=2024,#REF!,#REF!))))</f>
        <v>#REF!</v>
      </c>
      <c r="L222" t="e">
        <f>IF('INHERENT MAP'!$B$5=2021,'РЕЕСТР РИСКОВ_2023'!#REF!,IF('INHERENT MAP'!$B$5=2022,#REF!,IF('INHERENT MAP'!$B$5=2023,#REF!,IF('INHERENT MAP'!$B$5=2024,#REF!,#REF!))))</f>
        <v>#REF!</v>
      </c>
      <c r="M222" t="e">
        <f>IF('INHERENT MAP'!$B$5=2021,IF('РЕЕСТР РИСКОВ_2023'!#REF!="",M221,'РЕЕСТР РИСКОВ_2023'!#REF!),IF('INHERENT MAP'!$B$5=2022,IF(#REF!="",M221,#REF!),IF('INHERENT MAP'!$B$5=2023,IF(#REF!="",M221,#REF!),IF('INHERENT MAP'!$B$5=2024,IF(#REF!="",M221,#REF!),IF('РЕЕСТР РИСКОВ_2023'!#REF!="",M221,'РЕЕСТР РИСКОВ_2023'!#REF!)))))</f>
        <v>#REF!</v>
      </c>
      <c r="N222" t="e">
        <f>IF('INHERENT MAP'!$B$5=2021,IF('РЕЕСТР РИСКОВ_2023'!#REF!="",N221,'РЕЕСТР РИСКОВ_2023'!#REF!),IF('INHERENT MAP'!$B$5=2022,IF(#REF!="",N221,#REF!),IF('INHERENT MAP'!$B$5=2023,IF(#REF!="",N221,#REF!),IF('INHERENT MAP'!$B$5=2024,IF(#REF!="",N221,#REF!),IF('РЕЕСТР РИСКОВ_2023'!#REF!="",N221,'РЕЕСТР РИСКОВ_2023'!#REF!)))))</f>
        <v>#REF!</v>
      </c>
      <c r="O222" t="e">
        <f>'РЕЕСТР РИСКОВ_2023'!#REF!</f>
        <v>#REF!</v>
      </c>
      <c r="P222" t="e">
        <f>IF('РЕЕСТР РИСКОВ_2023'!#REF!="",P221,'РЕЕСТР РИСКОВ_2023'!#REF!)</f>
        <v>#REF!</v>
      </c>
      <c r="Q222" t="e">
        <f>IF('РЕЕСТР РИСКОВ_2023'!#REF!="",Q221,'РЕЕСТР РИСКОВ_2023'!#REF!)</f>
        <v>#REF!</v>
      </c>
      <c r="R222" t="e">
        <f>IF('РЕЕСТР РИСКОВ_2023'!#REF!="",R221,'РЕЕСТР РИСКОВ_2023'!#REF!)</f>
        <v>#REF!</v>
      </c>
      <c r="S222" t="e">
        <f>'РЕЕСТР РИСКОВ_2023'!#REF!</f>
        <v>#REF!</v>
      </c>
      <c r="T222" s="94" t="e">
        <f>IF('INHERENT MAP'!$B$5=2021,'РЕЕСТР РИСКОВ_2023'!#REF!,IF('INHERENT MAP'!$B$5=2022,#REF!,IF('INHERENT MAP'!$B$5=2023,#REF!,IF('INHERENT MAP'!$B$5=2024,#REF!,#REF!))))</f>
        <v>#REF!</v>
      </c>
      <c r="U222" t="e">
        <f>IF('INHERENT MAP'!$B$5=2021,'РЕЕСТР РИСКОВ_2023'!#REF!,IF('INHERENT MAP'!$B$5=2022,#REF!,IF('INHERENT MAP'!$B$5=2023,#REF!,IF('INHERENT MAP'!$B$5=2024,#REF!,#REF!))))</f>
        <v>#REF!</v>
      </c>
      <c r="V222" t="e">
        <f>IF('INHERENT MAP'!$B$5=2021,'РЕЕСТР РИСКОВ_2023'!#REF!,IF('INHERENT MAP'!$B$5=2022,#REF!,IF('INHERENT MAP'!$B$5=2023,#REF!,IF('INHERENT MAP'!$B$5=2024,#REF!,#REF!))))</f>
        <v>#REF!</v>
      </c>
      <c r="W222" t="e">
        <f>IF('INHERENT MAP'!$B$5=2021,'РЕЕСТР РИСКОВ_2023'!#REF!,IF('INHERENT MAP'!$B$5=2022,#REF!,IF('INHERENT MAP'!$B$5=2023,#REF!,IF('INHERENT MAP'!$B$5=2024,#REF!,#REF!))))</f>
        <v>#REF!</v>
      </c>
      <c r="X222" s="94" t="e">
        <f>IF('INHERENT MAP'!$B$5=2021,'РЕЕСТР РИСКОВ_2023'!#REF!,IF('INHERENT MAP'!$B$5=2022,#REF!,IF('INHERENT MAP'!$B$5=2023,#REF!,IF('INHERENT MAP'!$B$5=2024,#REF!,#REF!))))</f>
        <v>#REF!</v>
      </c>
      <c r="Y222" t="e">
        <f>IF('INHERENT MAP'!$B$5=2021,'РЕЕСТР РИСКОВ_2023'!#REF!,IF('INHERENT MAP'!$B$5=2022,#REF!,IF('INHERENT MAP'!$B$5=2023,#REF!,IF('INHERENT MAP'!$B$5=2024,#REF!,#REF!))))</f>
        <v>#REF!</v>
      </c>
      <c r="Z222" t="e">
        <f>IF('INHERENT MAP'!$B$5=2021,'РЕЕСТР РИСКОВ_2023'!#REF!,IF('INHERENT MAP'!$B$5=2022,#REF!,IF('INHERENT MAP'!$B$5=2023,#REF!,IF('INHERENT MAP'!$B$5=2024,#REF!,#REF!))))</f>
        <v>#REF!</v>
      </c>
      <c r="AA222" t="e">
        <f>IF('INHERENT MAP'!$B$5=2021,'РЕЕСТР РИСКОВ_2023'!#REF!,IF('INHERENT MAP'!$B$5=2022,#REF!,IF('INHERENT MAP'!$B$5=2023,#REF!,IF('INHERENT MAP'!$B$5=2024,#REF!,#REF!))))</f>
        <v>#REF!</v>
      </c>
      <c r="AB222" t="e">
        <f>IF('INHERENT MAP'!$B$5=2021,'РЕЕСТР РИСКОВ_2023'!#REF!,IF('INHERENT MAP'!$B$5=2022,#REF!,IF('INHERENT MAP'!$B$5=2023,#REF!,IF('INHERENT MAP'!$B$5=2024,#REF!,#REF!))))</f>
        <v>#REF!</v>
      </c>
      <c r="AC222" t="e">
        <f>IF('INHERENT MAP'!$B$5=2021,'РЕЕСТР РИСКОВ_2023'!#REF!,IF('INHERENT MAP'!$B$5=2022,#REF!,IF('INHERENT MAP'!$B$5=2023,#REF!,IF('INHERENT MAP'!$B$5=2024,#REF!,#REF!))))</f>
        <v>#REF!</v>
      </c>
      <c r="AD222" t="e">
        <f>IF('INHERENT MAP'!$B$5=2021,'РЕЕСТР РИСКОВ_2023'!#REF!,IF('INHERENT MAP'!$B$5=2022,#REF!,IF('INHERENT MAP'!$B$5=2023,#REF!,IF('INHERENT MAP'!$B$5=2024,#REF!,#REF!))))</f>
        <v>#REF!</v>
      </c>
      <c r="AE222" t="e">
        <f>IF('INHERENT MAP'!$B$5=2021,'РЕЕСТР РИСКОВ_2023'!#REF!,IF('INHERENT MAP'!$B$5=2022,#REF!,IF('INHERENT MAP'!$B$5=2023,#REF!,IF('INHERENT MAP'!$B$5=2024,#REF!,#REF!))))</f>
        <v>#REF!</v>
      </c>
      <c r="AF222" t="e">
        <f>IF('INHERENT MAP'!$B$5=2021,'РЕЕСТР РИСКОВ_2023'!#REF!,IF('INHERENT MAP'!$B$5=2022,#REF!,IF('INHERENT MAP'!$B$5=2023,#REF!,IF('INHERENT MAP'!$B$5=2024,#REF!,#REF!))))</f>
        <v>#REF!</v>
      </c>
      <c r="AG222" t="e">
        <f>IF('INHERENT MAP'!$B$5=2021,'РЕЕСТР РИСКОВ_2023'!#REF!,IF('INHERENT MAP'!$B$5=2022,#REF!,IF('INHERENT MAP'!$B$5=2023,#REF!,IF('INHERENT MAP'!$B$5=2024,#REF!,#REF!))))</f>
        <v>#REF!</v>
      </c>
      <c r="AH222" t="e">
        <f>IF('INHERENT MAP'!$B$5=2021,'РЕЕСТР РИСКОВ_2023'!#REF!,IF('INHERENT MAP'!$B$5=2022,#REF!,IF('INHERENT MAP'!$B$5=2023,#REF!,IF('INHERENT MAP'!$B$5=2024,#REF!,#REF!))))</f>
        <v>#REF!</v>
      </c>
      <c r="AI222" t="e">
        <f>IF('INHERENT MAP'!$B$5=2021,'РЕЕСТР РИСКОВ_2023'!#REF!,IF('INHERENT MAP'!$B$5=2022,#REF!,IF('INHERENT MAP'!$B$5=2023,#REF!,IF('INHERENT MAP'!$B$5=2024,#REF!,#REF!))))</f>
        <v>#REF!</v>
      </c>
      <c r="AJ222" t="e">
        <f>IF('INHERENT MAP'!$B$5=2021,'РЕЕСТР РИСКОВ_2023'!#REF!,IF('INHERENT MAP'!$B$5=2022,#REF!,IF('INHERENT MAP'!$B$5=2023,#REF!,IF('INHERENT MAP'!$B$5=2024,#REF!,#REF!))))</f>
        <v>#REF!</v>
      </c>
      <c r="AK222" t="e">
        <f>IF('РЕЕСТР РИСКОВ_2023'!#REF!="",AK221,'РЕЕСТР РИСКОВ_2023'!#REF!)</f>
        <v>#REF!</v>
      </c>
      <c r="AL222" t="e">
        <f>IF('РЕЕСТР РИСКОВ_2023'!#REF!="",AL221,'РЕЕСТР РИСКОВ_2023'!#REF!)</f>
        <v>#REF!</v>
      </c>
      <c r="AM222" t="e">
        <f>IF('РЕЕСТР РИСКОВ_2023'!#REF!="",AM221,'РЕЕСТР РИСКОВ_2023'!#REF!)</f>
        <v>#REF!</v>
      </c>
      <c r="AN222" t="e">
        <f>IF('РЕЕСТР РИСКОВ_2023'!#REF!="",AN221,'РЕЕСТР РИСКОВ_2023'!#REF!)</f>
        <v>#REF!</v>
      </c>
      <c r="AO222" t="e">
        <f>IF('РЕЕСТР РИСКОВ_2023'!#REF!="",AO221,'РЕЕСТР РИСКОВ_2023'!#REF!)</f>
        <v>#REF!</v>
      </c>
    </row>
    <row r="223" spans="2:41">
      <c r="B223" t="str">
        <f>IF('INHERENT MAP'!$B$5=2021,IF('РЕЕСТР РИСКОВ_2023'!F260="",B222,'РЕЕСТР РИСКОВ_2023'!F260),IF('INHERENT MAP'!$B$5=2022,IF(#REF!="",B222,#REF!),IF('INHERENT MAP'!$B$5=2023,IF(#REF!="",B222,#REF!),IF('INHERENT MAP'!$B$5=2024,IF(#REF!="",B222,#REF!),IF('РЕЕСТР РИСКОВ_2023'!F260="",B222,'РЕЕСТР РИСКОВ_2023'!F260)))))</f>
        <v>ТЕХНОЛОГИЧЕСКИЕ РИСКИ</v>
      </c>
      <c r="C223" t="e">
        <f>IF('INHERENT MAP'!$B$5=2021,IF('РЕЕСТР РИСКОВ_2023'!G260="",C222,'РЕЕСТР РИСКОВ_2023'!G260),IF('INHERENT MAP'!$B$5=2022,IF(#REF!="",C222,#REF!),IF('INHERENT MAP'!$B$5=2023,IF(#REF!="",C222,#REF!),IF('INHERENT MAP'!$B$5=2024,IF(#REF!="",C222,#REF!),IF('РЕЕСТР РИСКОВ_2023'!G260="",C222,'РЕЕСТР РИСКОВ_2023'!G260)))))</f>
        <v>#REF!</v>
      </c>
      <c r="D223" t="e">
        <f>IF('INHERENT MAP'!$B$5=2021,IF('РЕЕСТР РИСКОВ_2023'!H260="",D222,'РЕЕСТР РИСКОВ_2023'!H260),IF('INHERENT MAP'!$B$5=2022,IF(#REF!="",D222,#REF!),IF('INHERENT MAP'!$B$5=2023,IF(#REF!="",D222,#REF!),IF('INHERENT MAP'!$B$5=2024,IF(#REF!="",D222,#REF!),IF('РЕЕСТР РИСКОВ_2023'!H260="",D222,'РЕЕСТР РИСКОВ_2023'!H260)))))</f>
        <v>#REF!</v>
      </c>
      <c r="E223" t="e">
        <f>IF('INHERENT MAP'!$B$5=2021,IF('РЕЕСТР РИСКОВ_2023'!I260="",E222,'РЕЕСТР РИСКОВ_2023'!I260),IF('INHERENT MAP'!$B$5=2022,IF(#REF!="",E222,#REF!),IF('INHERENT MAP'!$B$5=2023,IF(#REF!="",E222,#REF!),IF('INHERENT MAP'!$B$5=2024,IF(#REF!="",E222,#REF!),IF('РЕЕСТР РИСКОВ_2023'!I260="",E222,'РЕЕСТР РИСКОВ_2023'!I260)))))</f>
        <v>#REF!</v>
      </c>
      <c r="F223" t="e">
        <f>IF('INHERENT MAP'!$B$5=2021,IF('РЕЕСТР РИСКОВ_2023'!J260="",F222,'РЕЕСТР РИСКОВ_2023'!J260),IF('INHERENT MAP'!$B$5=2022,IF(#REF!="",F222,#REF!),IF('INHERENT MAP'!$B$5=2023,IF(#REF!="",F222,#REF!),IF('INHERENT MAP'!$B$5=2024,IF(#REF!="",F222,#REF!),IF('РЕЕСТР РИСКОВ_2023'!J260="",F222,'РЕЕСТР РИСКОВ_2023'!J260)))))</f>
        <v>#REF!</v>
      </c>
      <c r="G223" t="str">
        <f>IF('INHERENT MAP'!$B$5=2021,IF('РЕЕСТР РИСКОВ_2023'!K260="",G222,'РЕЕСТР РИСКОВ_2023'!K260),IF('INHERENT MAP'!$B$5=2022,IF(#REF!="",G222,#REF!),IF('INHERENT MAP'!$B$5=2023,IF(#REF!="",G222,#REF!),IF('INHERENT MAP'!$B$5=2024,IF(#REF!="",G222,#REF!),IF('РЕЕСТР РИСКОВ_2023'!K260="",G222,'РЕЕСТР РИСКОВ_2023'!K260)))))</f>
        <v>Отставание ликвидации ограничений смежных видов транспорта (мощностей портов, складских терминалов) от реализации
инвестиционной программы или программы развития компании</v>
      </c>
      <c r="H223">
        <f>IF('INHERENT MAP'!$B$5=2021,'РЕЕСТР РИСКОВ_2023'!L260,IF('INHERENT MAP'!$B$5=2022,#REF!,IF('INHERENT MAP'!$B$5=2023,#REF!,IF('INHERENT MAP'!$B$5=2024,#REF!,#REF!))))</f>
        <v>0</v>
      </c>
      <c r="I223">
        <f>IF('INHERENT MAP'!$B$5=2021,'РЕЕСТР РИСКОВ_2023'!M260,IF('INHERENT MAP'!$B$5=2022,#REF!,IF('INHERENT MAP'!$B$5=2023,#REF!,IF('INHERENT MAP'!$B$5=2024,#REF!,#REF!))))</f>
        <v>0</v>
      </c>
      <c r="J223">
        <f>IF('INHERENT MAP'!$B$5=2021,'РЕЕСТР РИСКОВ_2023'!N260,IF('INHERENT MAP'!$B$5=2022,#REF!,IF('INHERENT MAP'!$B$5=2023,#REF!,IF('INHERENT MAP'!$B$5=2024,#REF!,#REF!))))</f>
        <v>0</v>
      </c>
      <c r="K223">
        <f>IF('INHERENT MAP'!$B$5=2021,'РЕЕСТР РИСКОВ_2023'!O260,IF('INHERENT MAP'!$B$5=2022,#REF!,IF('INHERENT MAP'!$B$5=2023,#REF!,IF('INHERENT MAP'!$B$5=2024,#REF!,#REF!))))</f>
        <v>0</v>
      </c>
      <c r="L223">
        <f>IF('INHERENT MAP'!$B$5=2021,'РЕЕСТР РИСКОВ_2023'!P260,IF('INHERENT MAP'!$B$5=2022,#REF!,IF('INHERENT MAP'!$B$5=2023,#REF!,IF('INHERENT MAP'!$B$5=2024,#REF!,#REF!))))</f>
        <v>0</v>
      </c>
      <c r="M223" t="e">
        <f>IF('INHERENT MAP'!$B$5=2021,IF('РЕЕСТР РИСКОВ_2023'!Q260="",M222,'РЕЕСТР РИСКОВ_2023'!Q260),IF('INHERENT MAP'!$B$5=2022,IF(#REF!="",M222,#REF!),IF('INHERENT MAP'!$B$5=2023,IF(#REF!="",M222,#REF!),IF('INHERENT MAP'!$B$5=2024,IF(#REF!="",M222,#REF!),IF('РЕЕСТР РИСКОВ_2023'!Q260="",M222,'РЕЕСТР РИСКОВ_2023'!Q260)))))</f>
        <v>#REF!</v>
      </c>
      <c r="N223" t="e">
        <f>IF('INHERENT MAP'!$B$5=2021,IF('РЕЕСТР РИСКОВ_2023'!R260="",N222,'РЕЕСТР РИСКОВ_2023'!R260),IF('INHERENT MAP'!$B$5=2022,IF(#REF!="",N222,#REF!),IF('INHERENT MAP'!$B$5=2023,IF(#REF!="",N222,#REF!),IF('INHERENT MAP'!$B$5=2024,IF(#REF!="",N222,#REF!),IF('РЕЕСТР РИСКОВ_2023'!R260="",N222,'РЕЕСТР РИСКОВ_2023'!R260)))))</f>
        <v>#REF!</v>
      </c>
      <c r="O223">
        <f>'РЕЕСТР РИСКОВ_2023'!T260</f>
        <v>0</v>
      </c>
      <c r="P223" t="e">
        <f>IF('РЕЕСТР РИСКОВ_2023'!U260="",P222,'РЕЕСТР РИСКОВ_2023'!U260)</f>
        <v>#REF!</v>
      </c>
      <c r="Q223" t="str">
        <f>IF('РЕЕСТР РИСКОВ_2023'!V260="",Q222,'РЕЕСТР РИСКОВ_2023'!V260)</f>
        <v>Слабые стороны</v>
      </c>
      <c r="R223" t="e">
        <f>IF('РЕЕСТР РИСКОВ_2023'!W260="",R222,'РЕЕСТР РИСКОВ_2023'!W260)</f>
        <v>#REF!</v>
      </c>
      <c r="S223">
        <f>'РЕЕСТР РИСКОВ_2023'!X260</f>
        <v>0</v>
      </c>
      <c r="T223" s="94">
        <f>IF('INHERENT MAP'!$B$5=2021,'РЕЕСТР РИСКОВ_2023'!Y260,IF('INHERENT MAP'!$B$5=2022,#REF!,IF('INHERENT MAP'!$B$5=2023,#REF!,IF('INHERENT MAP'!$B$5=2024,#REF!,#REF!))))</f>
        <v>0.4</v>
      </c>
      <c r="U223">
        <f>IF('INHERENT MAP'!$B$5=2021,'РЕЕСТР РИСКОВ_2023'!Z260,IF('INHERENT MAP'!$B$5=2022,#REF!,IF('INHERENT MAP'!$B$5=2023,#REF!,IF('INHERENT MAP'!$B$5=2024,#REF!,#REF!))))</f>
        <v>0</v>
      </c>
      <c r="V223">
        <f>IF('INHERENT MAP'!$B$5=2021,'РЕЕСТР РИСКОВ_2023'!AA260,IF('INHERENT MAP'!$B$5=2022,#REF!,IF('INHERENT MAP'!$B$5=2023,#REF!,IF('INHERENT MAP'!$B$5=2024,#REF!,#REF!))))</f>
        <v>0</v>
      </c>
      <c r="W223">
        <f>IF('INHERENT MAP'!$B$5=2021,'РЕЕСТР РИСКОВ_2023'!AB260,IF('INHERENT MAP'!$B$5=2022,#REF!,IF('INHERENT MAP'!$B$5=2023,#REF!,IF('INHERENT MAP'!$B$5=2024,#REF!,#REF!))))</f>
        <v>0</v>
      </c>
      <c r="X223" s="94">
        <f>IF('INHERENT MAP'!$B$5=2021,'РЕЕСТР РИСКОВ_2023'!AC260,IF('INHERENT MAP'!$B$5=2022,#REF!,IF('INHERENT MAP'!$B$5=2023,#REF!,IF('INHERENT MAP'!$B$5=2024,#REF!,#REF!))))</f>
        <v>0.4</v>
      </c>
      <c r="Y223">
        <f>IF('INHERENT MAP'!$B$5=2021,'РЕЕСТР РИСКОВ_2023'!AD260,IF('INHERENT MAP'!$B$5=2022,#REF!,IF('INHERENT MAP'!$B$5=2023,#REF!,IF('INHERENT MAP'!$B$5=2024,#REF!,#REF!))))</f>
        <v>0</v>
      </c>
      <c r="Z223">
        <f>IF('INHERENT MAP'!$B$5=2021,'РЕЕСТР РИСКОВ_2023'!AE260,IF('INHERENT MAP'!$B$5=2022,#REF!,IF('INHERENT MAP'!$B$5=2023,#REF!,IF('INHERENT MAP'!$B$5=2024,#REF!,#REF!))))</f>
        <v>0</v>
      </c>
      <c r="AA223">
        <f>IF('INHERENT MAP'!$B$5=2021,'РЕЕСТР РИСКОВ_2023'!AF260,IF('INHERENT MAP'!$B$5=2022,#REF!,IF('INHERENT MAP'!$B$5=2023,#REF!,IF('INHERENT MAP'!$B$5=2024,#REF!,#REF!))))</f>
        <v>0</v>
      </c>
      <c r="AB223">
        <f>IF('INHERENT MAP'!$B$5=2021,'РЕЕСТР РИСКОВ_2023'!AG260,IF('INHERENT MAP'!$B$5=2022,#REF!,IF('INHERENT MAP'!$B$5=2023,#REF!,IF('INHERENT MAP'!$B$5=2024,#REF!,#REF!))))</f>
        <v>0</v>
      </c>
      <c r="AC223">
        <f>IF('INHERENT MAP'!$B$5=2021,'РЕЕСТР РИСКОВ_2023'!AH260,IF('INHERENT MAP'!$B$5=2022,#REF!,IF('INHERENT MAP'!$B$5=2023,#REF!,IF('INHERENT MAP'!$B$5=2024,#REF!,#REF!))))</f>
        <v>0</v>
      </c>
      <c r="AD223">
        <f>IF('INHERENT MAP'!$B$5=2021,'РЕЕСТР РИСКОВ_2023'!AI260,IF('INHERENT MAP'!$B$5=2022,#REF!,IF('INHERENT MAP'!$B$5=2023,#REF!,IF('INHERENT MAP'!$B$5=2024,#REF!,#REF!))))</f>
        <v>0</v>
      </c>
      <c r="AE223">
        <f>IF('INHERENT MAP'!$B$5=2021,'РЕЕСТР РИСКОВ_2023'!AK260,IF('INHERENT MAP'!$B$5=2022,#REF!,IF('INHERENT MAP'!$B$5=2023,#REF!,IF('INHERENT MAP'!$B$5=2024,#REF!,#REF!))))</f>
        <v>0</v>
      </c>
      <c r="AF223">
        <f>IF('INHERENT MAP'!$B$5=2021,'РЕЕСТР РИСКОВ_2023'!AL260,IF('INHERENT MAP'!$B$5=2022,#REF!,IF('INHERENT MAP'!$B$5=2023,#REF!,IF('INHERENT MAP'!$B$5=2024,#REF!,#REF!))))</f>
        <v>0</v>
      </c>
      <c r="AG223" t="str">
        <f>IF('INHERENT MAP'!$B$5=2021,'РЕЕСТР РИСКОВ_2023'!AM260,IF('INHERENT MAP'!$B$5=2022,#REF!,IF('INHERENT MAP'!$B$5=2023,#REF!,IF('INHERENT MAP'!$B$5=2024,#REF!,#REF!))))</f>
        <v>средняя</v>
      </c>
      <c r="AH223">
        <f>IF('INHERENT MAP'!$B$5=2021,'РЕЕСТР РИСКОВ_2023'!AN260,IF('INHERENT MAP'!$B$5=2022,#REF!,IF('INHERENT MAP'!$B$5=2023,#REF!,IF('INHERENT MAP'!$B$5=2024,#REF!,#REF!))))</f>
        <v>0.2</v>
      </c>
      <c r="AI223">
        <f>IF('INHERENT MAP'!$B$5=2021,'РЕЕСТР РИСКОВ_2023'!AO260,IF('INHERENT MAP'!$B$5=2022,#REF!,IF('INHERENT MAP'!$B$5=2023,#REF!,IF('INHERENT MAP'!$B$5=2024,#REF!,#REF!))))</f>
        <v>0</v>
      </c>
      <c r="AJ223">
        <f>IF('INHERENT MAP'!$B$5=2021,'РЕЕСТР РИСКОВ_2023'!AP260,IF('INHERENT MAP'!$B$5=2022,#REF!,IF('INHERENT MAP'!$B$5=2023,#REF!,IF('INHERENT MAP'!$B$5=2024,#REF!,#REF!))))</f>
        <v>0</v>
      </c>
      <c r="AK223">
        <f>IF('РЕЕСТР РИСКОВ_2023'!AQ260="",AK222,'РЕЕСТР РИСКОВ_2023'!AQ260)</f>
        <v>0</v>
      </c>
      <c r="AL223">
        <f>IF('РЕЕСТР РИСКОВ_2023'!AR260="",AL222,'РЕЕСТР РИСКОВ_2023'!AR260)</f>
        <v>0.2</v>
      </c>
      <c r="AM223">
        <f>IF('РЕЕСТР РИСКОВ_2023'!AS260="",AM222,'РЕЕСТР РИСКОВ_2023'!AS260)</f>
        <v>0</v>
      </c>
      <c r="AN223">
        <f>IF('РЕЕСТР РИСКОВ_2023'!AT260="",AN222,'РЕЕСТР РИСКОВ_2023'!AT260)</f>
        <v>0</v>
      </c>
      <c r="AO223" t="e">
        <f>IF('РЕЕСТР РИСКОВ_2023'!AU260="",AO222,'РЕЕСТР РИСКОВ_2023'!AU260)</f>
        <v>#REF!</v>
      </c>
    </row>
    <row r="224" spans="2:41">
      <c r="B224" t="str">
        <f>IF('INHERENT MAP'!$B$5=2021,IF('РЕЕСТР РИСКОВ_2023'!F261="",B223,'РЕЕСТР РИСКОВ_2023'!F261),IF('INHERENT MAP'!$B$5=2022,IF(#REF!="",B223,#REF!),IF('INHERENT MAP'!$B$5=2023,IF(#REF!="",B223,#REF!),IF('INHERENT MAP'!$B$5=2024,IF(#REF!="",B223,#REF!),IF('РЕЕСТР РИСКОВ_2023'!F261="",B223,'РЕЕСТР РИСКОВ_2023'!F261)))))</f>
        <v>ТЕХНОЛОГИЧЕСКИЕ РИСКИ</v>
      </c>
      <c r="C224" t="e">
        <f>IF('INHERENT MAP'!$B$5=2021,IF('РЕЕСТР РИСКОВ_2023'!G261="",C223,'РЕЕСТР РИСКОВ_2023'!G261),IF('INHERENT MAP'!$B$5=2022,IF(#REF!="",C223,#REF!),IF('INHERENT MAP'!$B$5=2023,IF(#REF!="",C223,#REF!),IF('INHERENT MAP'!$B$5=2024,IF(#REF!="",C223,#REF!),IF('РЕЕСТР РИСКОВ_2023'!G261="",C223,'РЕЕСТР РИСКОВ_2023'!G261)))))</f>
        <v>#REF!</v>
      </c>
      <c r="D224" t="e">
        <f>IF('INHERENT MAP'!$B$5=2021,IF('РЕЕСТР РИСКОВ_2023'!H261="",D223,'РЕЕСТР РИСКОВ_2023'!H261),IF('INHERENT MAP'!$B$5=2022,IF(#REF!="",D223,#REF!),IF('INHERENT MAP'!$B$5=2023,IF(#REF!="",D223,#REF!),IF('INHERENT MAP'!$B$5=2024,IF(#REF!="",D223,#REF!),IF('РЕЕСТР РИСКОВ_2023'!H261="",D223,'РЕЕСТР РИСКОВ_2023'!H261)))))</f>
        <v>#REF!</v>
      </c>
      <c r="E224" t="e">
        <f>IF('INHERENT MAP'!$B$5=2021,IF('РЕЕСТР РИСКОВ_2023'!I261="",E223,'РЕЕСТР РИСКОВ_2023'!I261),IF('INHERENT MAP'!$B$5=2022,IF(#REF!="",E223,#REF!),IF('INHERENT MAP'!$B$5=2023,IF(#REF!="",E223,#REF!),IF('INHERENT MAP'!$B$5=2024,IF(#REF!="",E223,#REF!),IF('РЕЕСТР РИСКОВ_2023'!I261="",E223,'РЕЕСТР РИСКОВ_2023'!I261)))))</f>
        <v>#REF!</v>
      </c>
      <c r="F224" t="e">
        <f>IF('INHERENT MAP'!$B$5=2021,IF('РЕЕСТР РИСКОВ_2023'!J261="",F223,'РЕЕСТР РИСКОВ_2023'!J261),IF('INHERENT MAP'!$B$5=2022,IF(#REF!="",F223,#REF!),IF('INHERENT MAP'!$B$5=2023,IF(#REF!="",F223,#REF!),IF('INHERENT MAP'!$B$5=2024,IF(#REF!="",F223,#REF!),IF('РЕЕСТР РИСКОВ_2023'!J261="",F223,'РЕЕСТР РИСКОВ_2023'!J261)))))</f>
        <v>#REF!</v>
      </c>
      <c r="G224" t="str">
        <f>IF('INHERENT MAP'!$B$5=2021,IF('РЕЕСТР РИСКОВ_2023'!K261="",G223,'РЕЕСТР РИСКОВ_2023'!K261),IF('INHERENT MAP'!$B$5=2022,IF(#REF!="",G223,#REF!),IF('INHERENT MAP'!$B$5=2023,IF(#REF!="",G223,#REF!),IF('INHERENT MAP'!$B$5=2024,IF(#REF!="",G223,#REF!),IF('РЕЕСТР РИСКОВ_2023'!K261="",G223,'РЕЕСТР РИСКОВ_2023'!K261)))))</f>
        <v>Неудовлетворение потребностей рынка грузовых перевозок вследствие неэффективной работы парка грузовых вагонов</v>
      </c>
      <c r="H224">
        <f>IF('INHERENT MAP'!$B$5=2021,'РЕЕСТР РИСКОВ_2023'!L261,IF('INHERENT MAP'!$B$5=2022,#REF!,IF('INHERENT MAP'!$B$5=2023,#REF!,IF('INHERENT MAP'!$B$5=2024,#REF!,#REF!))))</f>
        <v>0</v>
      </c>
      <c r="I224">
        <f>IF('INHERENT MAP'!$B$5=2021,'РЕЕСТР РИСКОВ_2023'!M261,IF('INHERENT MAP'!$B$5=2022,#REF!,IF('INHERENT MAP'!$B$5=2023,#REF!,IF('INHERENT MAP'!$B$5=2024,#REF!,#REF!))))</f>
        <v>0</v>
      </c>
      <c r="J224">
        <f>IF('INHERENT MAP'!$B$5=2021,'РЕЕСТР РИСКОВ_2023'!N261,IF('INHERENT MAP'!$B$5=2022,#REF!,IF('INHERENT MAP'!$B$5=2023,#REF!,IF('INHERENT MAP'!$B$5=2024,#REF!,#REF!))))</f>
        <v>0</v>
      </c>
      <c r="K224">
        <f>IF('INHERENT MAP'!$B$5=2021,'РЕЕСТР РИСКОВ_2023'!O261,IF('INHERENT MAP'!$B$5=2022,#REF!,IF('INHERENT MAP'!$B$5=2023,#REF!,IF('INHERENT MAP'!$B$5=2024,#REF!,#REF!))))</f>
        <v>0</v>
      </c>
      <c r="L224">
        <f>IF('INHERENT MAP'!$B$5=2021,'РЕЕСТР РИСКОВ_2023'!P261,IF('INHERENT MAP'!$B$5=2022,#REF!,IF('INHERENT MAP'!$B$5=2023,#REF!,IF('INHERENT MAP'!$B$5=2024,#REF!,#REF!))))</f>
        <v>0</v>
      </c>
      <c r="M224" t="e">
        <f>IF('INHERENT MAP'!$B$5=2021,IF('РЕЕСТР РИСКОВ_2023'!Q261="",M223,'РЕЕСТР РИСКОВ_2023'!Q261),IF('INHERENT MAP'!$B$5=2022,IF(#REF!="",M223,#REF!),IF('INHERENT MAP'!$B$5=2023,IF(#REF!="",M223,#REF!),IF('INHERENT MAP'!$B$5=2024,IF(#REF!="",M223,#REF!),IF('РЕЕСТР РИСКОВ_2023'!Q261="",M223,'РЕЕСТР РИСКОВ_2023'!Q261)))))</f>
        <v>#REF!</v>
      </c>
      <c r="N224" t="e">
        <f>IF('INHERENT MAP'!$B$5=2021,IF('РЕЕСТР РИСКОВ_2023'!R261="",N223,'РЕЕСТР РИСКОВ_2023'!R261),IF('INHERENT MAP'!$B$5=2022,IF(#REF!="",N223,#REF!),IF('INHERENT MAP'!$B$5=2023,IF(#REF!="",N223,#REF!),IF('INHERENT MAP'!$B$5=2024,IF(#REF!="",N223,#REF!),IF('РЕЕСТР РИСКОВ_2023'!R261="",N223,'РЕЕСТР РИСКОВ_2023'!R261)))))</f>
        <v>#REF!</v>
      </c>
      <c r="O224">
        <f>'РЕЕСТР РИСКОВ_2023'!T261</f>
        <v>0</v>
      </c>
      <c r="P224" t="e">
        <f>IF('РЕЕСТР РИСКОВ_2023'!U261="",P223,'РЕЕСТР РИСКОВ_2023'!U261)</f>
        <v>#REF!</v>
      </c>
      <c r="Q224" t="str">
        <f>IF('РЕЕСТР РИСКОВ_2023'!V261="",Q223,'РЕЕСТР РИСКОВ_2023'!V261)</f>
        <v>Угрозы</v>
      </c>
      <c r="R224" t="str">
        <f>IF('РЕЕСТР РИСКОВ_2023'!W261="",R223,'РЕЕСТР РИСКОВ_2023'!W261)</f>
        <v>1. корректировки, предложенные внешним аудитором 2. корректировки, предложенные Единственным  акционером</v>
      </c>
      <c r="S224">
        <f>'РЕЕСТР РИСКОВ_2023'!X261</f>
        <v>0</v>
      </c>
      <c r="T224" s="94">
        <f>IF('INHERENT MAP'!$B$5=2021,'РЕЕСТР РИСКОВ_2023'!Y261,IF('INHERENT MAP'!$B$5=2022,#REF!,IF('INHERENT MAP'!$B$5=2023,#REF!,IF('INHERENT MAP'!$B$5=2024,#REF!,#REF!))))</f>
        <v>0.25</v>
      </c>
      <c r="U224">
        <f>IF('INHERENT MAP'!$B$5=2021,'РЕЕСТР РИСКОВ_2023'!Z261,IF('INHERENT MAP'!$B$5=2022,#REF!,IF('INHERENT MAP'!$B$5=2023,#REF!,IF('INHERENT MAP'!$B$5=2024,#REF!,#REF!))))</f>
        <v>0</v>
      </c>
      <c r="V224">
        <f>IF('INHERENT MAP'!$B$5=2021,'РЕЕСТР РИСКОВ_2023'!AA261,IF('INHERENT MAP'!$B$5=2022,#REF!,IF('INHERENT MAP'!$B$5=2023,#REF!,IF('INHERENT MAP'!$B$5=2024,#REF!,#REF!))))</f>
        <v>0</v>
      </c>
      <c r="W224">
        <f>IF('INHERENT MAP'!$B$5=2021,'РЕЕСТР РИСКОВ_2023'!AB261,IF('INHERENT MAP'!$B$5=2022,#REF!,IF('INHERENT MAP'!$B$5=2023,#REF!,IF('INHERENT MAP'!$B$5=2024,#REF!,#REF!))))</f>
        <v>0</v>
      </c>
      <c r="X224" s="94">
        <f>IF('INHERENT MAP'!$B$5=2021,'РЕЕСТР РИСКОВ_2023'!AC261,IF('INHERENT MAP'!$B$5=2022,#REF!,IF('INHERENT MAP'!$B$5=2023,#REF!,IF('INHERENT MAP'!$B$5=2024,#REF!,#REF!))))</f>
        <v>0.25</v>
      </c>
      <c r="Y224">
        <f>IF('INHERENT MAP'!$B$5=2021,'РЕЕСТР РИСКОВ_2023'!AD261,IF('INHERENT MAP'!$B$5=2022,#REF!,IF('INHERENT MAP'!$B$5=2023,#REF!,IF('INHERENT MAP'!$B$5=2024,#REF!,#REF!))))</f>
        <v>0</v>
      </c>
      <c r="Z224">
        <f>IF('INHERENT MAP'!$B$5=2021,'РЕЕСТР РИСКОВ_2023'!AE261,IF('INHERENT MAP'!$B$5=2022,#REF!,IF('INHERENT MAP'!$B$5=2023,#REF!,IF('INHERENT MAP'!$B$5=2024,#REF!,#REF!))))</f>
        <v>0</v>
      </c>
      <c r="AA224">
        <f>IF('INHERENT MAP'!$B$5=2021,'РЕЕСТР РИСКОВ_2023'!AF261,IF('INHERENT MAP'!$B$5=2022,#REF!,IF('INHERENT MAP'!$B$5=2023,#REF!,IF('INHERENT MAP'!$B$5=2024,#REF!,#REF!))))</f>
        <v>0</v>
      </c>
      <c r="AB224">
        <f>IF('INHERENT MAP'!$B$5=2021,'РЕЕСТР РИСКОВ_2023'!AG261,IF('INHERENT MAP'!$B$5=2022,#REF!,IF('INHERENT MAP'!$B$5=2023,#REF!,IF('INHERENT MAP'!$B$5=2024,#REF!,#REF!))))</f>
        <v>0</v>
      </c>
      <c r="AC224">
        <f>IF('INHERENT MAP'!$B$5=2021,'РЕЕСТР РИСКОВ_2023'!AH261,IF('INHERENT MAP'!$B$5=2022,#REF!,IF('INHERENT MAP'!$B$5=2023,#REF!,IF('INHERENT MAP'!$B$5=2024,#REF!,#REF!))))</f>
        <v>0</v>
      </c>
      <c r="AD224">
        <f>IF('INHERENT MAP'!$B$5=2021,'РЕЕСТР РИСКОВ_2023'!AI261,IF('INHERENT MAP'!$B$5=2022,#REF!,IF('INHERENT MAP'!$B$5=2023,#REF!,IF('INHERENT MAP'!$B$5=2024,#REF!,#REF!))))</f>
        <v>0</v>
      </c>
      <c r="AE224">
        <f>IF('INHERENT MAP'!$B$5=2021,'РЕЕСТР РИСКОВ_2023'!AK261,IF('INHERENT MAP'!$B$5=2022,#REF!,IF('INHERENT MAP'!$B$5=2023,#REF!,IF('INHERENT MAP'!$B$5=2024,#REF!,#REF!))))</f>
        <v>0</v>
      </c>
      <c r="AF224">
        <f>IF('INHERENT MAP'!$B$5=2021,'РЕЕСТР РИСКОВ_2023'!AL261,IF('INHERENT MAP'!$B$5=2022,#REF!,IF('INHERENT MAP'!$B$5=2023,#REF!,IF('INHERENT MAP'!$B$5=2024,#REF!,#REF!))))</f>
        <v>0</v>
      </c>
      <c r="AG224" t="str">
        <f>IF('INHERENT MAP'!$B$5=2021,'РЕЕСТР РИСКОВ_2023'!AM261,IF('INHERENT MAP'!$B$5=2022,#REF!,IF('INHERENT MAP'!$B$5=2023,#REF!,IF('INHERENT MAP'!$B$5=2024,#REF!,#REF!))))</f>
        <v>средняя</v>
      </c>
      <c r="AH224">
        <f>IF('INHERENT MAP'!$B$5=2021,'РЕЕСТР РИСКОВ_2023'!AN261,IF('INHERENT MAP'!$B$5=2022,#REF!,IF('INHERENT MAP'!$B$5=2023,#REF!,IF('INHERENT MAP'!$B$5=2024,#REF!,#REF!))))</f>
        <v>0.125</v>
      </c>
      <c r="AI224">
        <f>IF('INHERENT MAP'!$B$5=2021,'РЕЕСТР РИСКОВ_2023'!AO261,IF('INHERENT MAP'!$B$5=2022,#REF!,IF('INHERENT MAP'!$B$5=2023,#REF!,IF('INHERENT MAP'!$B$5=2024,#REF!,#REF!))))</f>
        <v>0</v>
      </c>
      <c r="AJ224">
        <f>IF('INHERENT MAP'!$B$5=2021,'РЕЕСТР РИСКОВ_2023'!AP261,IF('INHERENT MAP'!$B$5=2022,#REF!,IF('INHERENT MAP'!$B$5=2023,#REF!,IF('INHERENT MAP'!$B$5=2024,#REF!,#REF!))))</f>
        <v>0</v>
      </c>
      <c r="AK224">
        <f>IF('РЕЕСТР РИСКОВ_2023'!AQ261="",AK223,'РЕЕСТР РИСКОВ_2023'!AQ261)</f>
        <v>0</v>
      </c>
      <c r="AL224">
        <f>IF('РЕЕСТР РИСКОВ_2023'!AR261="",AL223,'РЕЕСТР РИСКОВ_2023'!AR261)</f>
        <v>0.125</v>
      </c>
      <c r="AM224">
        <f>IF('РЕЕСТР РИСКОВ_2023'!AS261="",AM223,'РЕЕСТР РИСКОВ_2023'!AS261)</f>
        <v>0</v>
      </c>
      <c r="AN224">
        <f>IF('РЕЕСТР РИСКОВ_2023'!AT261="",AN223,'РЕЕСТР РИСКОВ_2023'!AT261)</f>
        <v>0</v>
      </c>
      <c r="AO224" t="e">
        <f>IF('РЕЕСТР РИСКОВ_2023'!AU261="",AO223,'РЕЕСТР РИСКОВ_2023'!AU261)</f>
        <v>#REF!</v>
      </c>
    </row>
    <row r="225" spans="2:41">
      <c r="B225" t="str">
        <f>IF('INHERENT MAP'!$B$5=2021,IF('РЕЕСТР РИСКОВ_2023'!F262="",B224,'РЕЕСТР РИСКОВ_2023'!F262),IF('INHERENT MAP'!$B$5=2022,IF(#REF!="",B224,#REF!),IF('INHERENT MAP'!$B$5=2023,IF(#REF!="",B224,#REF!),IF('INHERENT MAP'!$B$5=2024,IF(#REF!="",B224,#REF!),IF('РЕЕСТР РИСКОВ_2023'!F262="",B224,'РЕЕСТР РИСКОВ_2023'!F262)))))</f>
        <v>РИСКИ НИОКР</v>
      </c>
      <c r="C225" t="e">
        <f>IF('INHERENT MAP'!$B$5=2021,IF('РЕЕСТР РИСКОВ_2023'!G262="",C224,'РЕЕСТР РИСКОВ_2023'!G262),IF('INHERENT MAP'!$B$5=2022,IF(#REF!="",C224,#REF!),IF('INHERENT MAP'!$B$5=2023,IF(#REF!="",C224,#REF!),IF('INHERENT MAP'!$B$5=2024,IF(#REF!="",C224,#REF!),IF('РЕЕСТР РИСКОВ_2023'!G262="",C224,'РЕЕСТР РИСКОВ_2023'!G262)))))</f>
        <v>#REF!</v>
      </c>
      <c r="D225" t="e">
        <f>IF('INHERENT MAP'!$B$5=2021,IF('РЕЕСТР РИСКОВ_2023'!H262="",D224,'РЕЕСТР РИСКОВ_2023'!H262),IF('INHERENT MAP'!$B$5=2022,IF(#REF!="",D224,#REF!),IF('INHERENT MAP'!$B$5=2023,IF(#REF!="",D224,#REF!),IF('INHERENT MAP'!$B$5=2024,IF(#REF!="",D224,#REF!),IF('РЕЕСТР РИСКОВ_2023'!H262="",D224,'РЕЕСТР РИСКОВ_2023'!H262)))))</f>
        <v>#REF!</v>
      </c>
      <c r="E225" t="e">
        <f>IF('INHERENT MAP'!$B$5=2021,IF('РЕЕСТР РИСКОВ_2023'!I262="",E224,'РЕЕСТР РИСКОВ_2023'!I262),IF('INHERENT MAP'!$B$5=2022,IF(#REF!="",E224,#REF!),IF('INHERENT MAP'!$B$5=2023,IF(#REF!="",E224,#REF!),IF('INHERENT MAP'!$B$5=2024,IF(#REF!="",E224,#REF!),IF('РЕЕСТР РИСКОВ_2023'!I262="",E224,'РЕЕСТР РИСКОВ_2023'!I262)))))</f>
        <v>#REF!</v>
      </c>
      <c r="F225" t="e">
        <f>IF('INHERENT MAP'!$B$5=2021,IF('РЕЕСТР РИСКОВ_2023'!J262="",F224,'РЕЕСТР РИСКОВ_2023'!J262),IF('INHERENT MAP'!$B$5=2022,IF(#REF!="",F224,#REF!),IF('INHERENT MAP'!$B$5=2023,IF(#REF!="",F224,#REF!),IF('INHERENT MAP'!$B$5=2024,IF(#REF!="",F224,#REF!),IF('РЕЕСТР РИСКОВ_2023'!J262="",F224,'РЕЕСТР РИСКОВ_2023'!J262)))))</f>
        <v>#REF!</v>
      </c>
      <c r="G225" t="str">
        <f>IF('INHERENT MAP'!$B$5=2021,IF('РЕЕСТР РИСКОВ_2023'!K262="",G224,'РЕЕСТР РИСКОВ_2023'!K262),IF('INHERENT MAP'!$B$5=2022,IF(#REF!="",G224,#REF!),IF('INHERENT MAP'!$B$5=2023,IF(#REF!="",G224,#REF!),IF('INHERENT MAP'!$B$5=2024,IF(#REF!="",G224,#REF!),IF('РЕЕСТР РИСКОВ_2023'!K262="",G224,'РЕЕСТР РИСКОВ_2023'!K262)))))</f>
        <v>Снижение конкурентоспособности железнодорожного транспорта вследствие отставания от технического и технологического
развития других видов транспорта</v>
      </c>
      <c r="H225">
        <f>IF('INHERENT MAP'!$B$5=2021,'РЕЕСТР РИСКОВ_2023'!L262,IF('INHERENT MAP'!$B$5=2022,#REF!,IF('INHERENT MAP'!$B$5=2023,#REF!,IF('INHERENT MAP'!$B$5=2024,#REF!,#REF!))))</f>
        <v>0</v>
      </c>
      <c r="I225">
        <f>IF('INHERENT MAP'!$B$5=2021,'РЕЕСТР РИСКОВ_2023'!M262,IF('INHERENT MAP'!$B$5=2022,#REF!,IF('INHERENT MAP'!$B$5=2023,#REF!,IF('INHERENT MAP'!$B$5=2024,#REF!,#REF!))))</f>
        <v>0</v>
      </c>
      <c r="J225">
        <f>IF('INHERENT MAP'!$B$5=2021,'РЕЕСТР РИСКОВ_2023'!N262,IF('INHERENT MAP'!$B$5=2022,#REF!,IF('INHERENT MAP'!$B$5=2023,#REF!,IF('INHERENT MAP'!$B$5=2024,#REF!,#REF!))))</f>
        <v>0</v>
      </c>
      <c r="K225">
        <f>IF('INHERENT MAP'!$B$5=2021,'РЕЕСТР РИСКОВ_2023'!O262,IF('INHERENT MAP'!$B$5=2022,#REF!,IF('INHERENT MAP'!$B$5=2023,#REF!,IF('INHERENT MAP'!$B$5=2024,#REF!,#REF!))))</f>
        <v>0</v>
      </c>
      <c r="L225">
        <f>IF('INHERENT MAP'!$B$5=2021,'РЕЕСТР РИСКОВ_2023'!P262,IF('INHERENT MAP'!$B$5=2022,#REF!,IF('INHERENT MAP'!$B$5=2023,#REF!,IF('INHERENT MAP'!$B$5=2024,#REF!,#REF!))))</f>
        <v>0</v>
      </c>
      <c r="M225" t="e">
        <f>IF('INHERENT MAP'!$B$5=2021,IF('РЕЕСТР РИСКОВ_2023'!Q262="",M224,'РЕЕСТР РИСКОВ_2023'!Q262),IF('INHERENT MAP'!$B$5=2022,IF(#REF!="",M224,#REF!),IF('INHERENT MAP'!$B$5=2023,IF(#REF!="",M224,#REF!),IF('INHERENT MAP'!$B$5=2024,IF(#REF!="",M224,#REF!),IF('РЕЕСТР РИСКОВ_2023'!Q262="",M224,'РЕЕСТР РИСКОВ_2023'!Q262)))))</f>
        <v>#REF!</v>
      </c>
      <c r="N225" t="e">
        <f>IF('INHERENT MAP'!$B$5=2021,IF('РЕЕСТР РИСКОВ_2023'!R262="",N224,'РЕЕСТР РИСКОВ_2023'!R262),IF('INHERENT MAP'!$B$5=2022,IF(#REF!="",N224,#REF!),IF('INHERENT MAP'!$B$5=2023,IF(#REF!="",N224,#REF!),IF('INHERENT MAP'!$B$5=2024,IF(#REF!="",N224,#REF!),IF('РЕЕСТР РИСКОВ_2023'!R262="",N224,'РЕЕСТР РИСКОВ_2023'!R262)))))</f>
        <v>#REF!</v>
      </c>
      <c r="O225">
        <f>'РЕЕСТР РИСКОВ_2023'!T262</f>
        <v>0</v>
      </c>
      <c r="P225" t="e">
        <f>IF('РЕЕСТР РИСКОВ_2023'!U262="",P224,'РЕЕСТР РИСКОВ_2023'!U262)</f>
        <v>#REF!</v>
      </c>
      <c r="Q225" t="str">
        <f>IF('РЕЕСТР РИСКОВ_2023'!V262="",Q224,'РЕЕСТР РИСКОВ_2023'!V262)</f>
        <v>Слабые стороны</v>
      </c>
      <c r="R225" t="str">
        <f>IF('РЕЕСТР РИСКОВ_2023'!W262="",R224,'РЕЕСТР РИСКОВ_2023'!W262)</f>
        <v>1. корректировки, предложенные внешним аудитором 2. корректировки, предложенные Единственным  акционером</v>
      </c>
      <c r="S225">
        <f>'РЕЕСТР РИСКОВ_2023'!X262</f>
        <v>0</v>
      </c>
      <c r="T225" s="94">
        <f>IF('INHERENT MAP'!$B$5=2021,'РЕЕСТР РИСКОВ_2023'!Y262,IF('INHERENT MAP'!$B$5=2022,#REF!,IF('INHERENT MAP'!$B$5=2023,#REF!,IF('INHERENT MAP'!$B$5=2024,#REF!,#REF!))))</f>
        <v>0.4</v>
      </c>
      <c r="U225">
        <f>IF('INHERENT MAP'!$B$5=2021,'РЕЕСТР РИСКОВ_2023'!Z262,IF('INHERENT MAP'!$B$5=2022,#REF!,IF('INHERENT MAP'!$B$5=2023,#REF!,IF('INHERENT MAP'!$B$5=2024,#REF!,#REF!))))</f>
        <v>0</v>
      </c>
      <c r="V225">
        <f>IF('INHERENT MAP'!$B$5=2021,'РЕЕСТР РИСКОВ_2023'!AA262,IF('INHERENT MAP'!$B$5=2022,#REF!,IF('INHERENT MAP'!$B$5=2023,#REF!,IF('INHERENT MAP'!$B$5=2024,#REF!,#REF!))))</f>
        <v>0</v>
      </c>
      <c r="W225">
        <f>IF('INHERENT MAP'!$B$5=2021,'РЕЕСТР РИСКОВ_2023'!AB262,IF('INHERENT MAP'!$B$5=2022,#REF!,IF('INHERENT MAP'!$B$5=2023,#REF!,IF('INHERENT MAP'!$B$5=2024,#REF!,#REF!))))</f>
        <v>0</v>
      </c>
      <c r="X225" s="94">
        <f>IF('INHERENT MAP'!$B$5=2021,'РЕЕСТР РИСКОВ_2023'!AC262,IF('INHERENT MAP'!$B$5=2022,#REF!,IF('INHERENT MAP'!$B$5=2023,#REF!,IF('INHERENT MAP'!$B$5=2024,#REF!,#REF!))))</f>
        <v>0.4</v>
      </c>
      <c r="Y225">
        <f>IF('INHERENT MAP'!$B$5=2021,'РЕЕСТР РИСКОВ_2023'!AD262,IF('INHERENT MAP'!$B$5=2022,#REF!,IF('INHERENT MAP'!$B$5=2023,#REF!,IF('INHERENT MAP'!$B$5=2024,#REF!,#REF!))))</f>
        <v>0</v>
      </c>
      <c r="Z225">
        <f>IF('INHERENT MAP'!$B$5=2021,'РЕЕСТР РИСКОВ_2023'!AE262,IF('INHERENT MAP'!$B$5=2022,#REF!,IF('INHERENT MAP'!$B$5=2023,#REF!,IF('INHERENT MAP'!$B$5=2024,#REF!,#REF!))))</f>
        <v>0</v>
      </c>
      <c r="AA225">
        <f>IF('INHERENT MAP'!$B$5=2021,'РЕЕСТР РИСКОВ_2023'!AF262,IF('INHERENT MAP'!$B$5=2022,#REF!,IF('INHERENT MAP'!$B$5=2023,#REF!,IF('INHERENT MAP'!$B$5=2024,#REF!,#REF!))))</f>
        <v>0</v>
      </c>
      <c r="AB225">
        <f>IF('INHERENT MAP'!$B$5=2021,'РЕЕСТР РИСКОВ_2023'!AG262,IF('INHERENT MAP'!$B$5=2022,#REF!,IF('INHERENT MAP'!$B$5=2023,#REF!,IF('INHERENT MAP'!$B$5=2024,#REF!,#REF!))))</f>
        <v>0</v>
      </c>
      <c r="AC225">
        <f>IF('INHERENT MAP'!$B$5=2021,'РЕЕСТР РИСКОВ_2023'!AH262,IF('INHERENT MAP'!$B$5=2022,#REF!,IF('INHERENT MAP'!$B$5=2023,#REF!,IF('INHERENT MAP'!$B$5=2024,#REF!,#REF!))))</f>
        <v>0</v>
      </c>
      <c r="AD225">
        <f>IF('INHERENT MAP'!$B$5=2021,'РЕЕСТР РИСКОВ_2023'!AI262,IF('INHERENT MAP'!$B$5=2022,#REF!,IF('INHERENT MAP'!$B$5=2023,#REF!,IF('INHERENT MAP'!$B$5=2024,#REF!,#REF!))))</f>
        <v>0</v>
      </c>
      <c r="AE225">
        <f>IF('INHERENT MAP'!$B$5=2021,'РЕЕСТР РИСКОВ_2023'!AK262,IF('INHERENT MAP'!$B$5=2022,#REF!,IF('INHERENT MAP'!$B$5=2023,#REF!,IF('INHERENT MAP'!$B$5=2024,#REF!,#REF!))))</f>
        <v>0</v>
      </c>
      <c r="AF225">
        <f>IF('INHERENT MAP'!$B$5=2021,'РЕЕСТР РИСКОВ_2023'!AL262,IF('INHERENT MAP'!$B$5=2022,#REF!,IF('INHERENT MAP'!$B$5=2023,#REF!,IF('INHERENT MAP'!$B$5=2024,#REF!,#REF!))))</f>
        <v>0</v>
      </c>
      <c r="AG225" t="str">
        <f>IF('INHERENT MAP'!$B$5=2021,'РЕЕСТР РИСКОВ_2023'!AM262,IF('INHERENT MAP'!$B$5=2022,#REF!,IF('INHERENT MAP'!$B$5=2023,#REF!,IF('INHERENT MAP'!$B$5=2024,#REF!,#REF!))))</f>
        <v>средняя</v>
      </c>
      <c r="AH225">
        <f>IF('INHERENT MAP'!$B$5=2021,'РЕЕСТР РИСКОВ_2023'!AN262,IF('INHERENT MAP'!$B$5=2022,#REF!,IF('INHERENT MAP'!$B$5=2023,#REF!,IF('INHERENT MAP'!$B$5=2024,#REF!,#REF!))))</f>
        <v>0.2</v>
      </c>
      <c r="AI225">
        <f>IF('INHERENT MAP'!$B$5=2021,'РЕЕСТР РИСКОВ_2023'!AO262,IF('INHERENT MAP'!$B$5=2022,#REF!,IF('INHERENT MAP'!$B$5=2023,#REF!,IF('INHERENT MAP'!$B$5=2024,#REF!,#REF!))))</f>
        <v>0</v>
      </c>
      <c r="AJ225">
        <f>IF('INHERENT MAP'!$B$5=2021,'РЕЕСТР РИСКОВ_2023'!AP262,IF('INHERENT MAP'!$B$5=2022,#REF!,IF('INHERENT MAP'!$B$5=2023,#REF!,IF('INHERENT MAP'!$B$5=2024,#REF!,#REF!))))</f>
        <v>0</v>
      </c>
      <c r="AK225">
        <f>IF('РЕЕСТР РИСКОВ_2023'!AQ262="",AK224,'РЕЕСТР РИСКОВ_2023'!AQ262)</f>
        <v>0</v>
      </c>
      <c r="AL225">
        <f>IF('РЕЕСТР РИСКОВ_2023'!AR262="",AL224,'РЕЕСТР РИСКОВ_2023'!AR262)</f>
        <v>0.2</v>
      </c>
      <c r="AM225">
        <f>IF('РЕЕСТР РИСКОВ_2023'!AS262="",AM224,'РЕЕСТР РИСКОВ_2023'!AS262)</f>
        <v>0</v>
      </c>
      <c r="AN225">
        <f>IF('РЕЕСТР РИСКОВ_2023'!AT262="",AN224,'РЕЕСТР РИСКОВ_2023'!AT262)</f>
        <v>0</v>
      </c>
      <c r="AO225" t="e">
        <f>IF('РЕЕСТР РИСКОВ_2023'!AU262="",AO224,'РЕЕСТР РИСКОВ_2023'!AU262)</f>
        <v>#REF!</v>
      </c>
    </row>
    <row r="226" spans="2:41">
      <c r="B226" t="str">
        <f>IF('INHERENT MAP'!$B$5=2021,IF('РЕЕСТР РИСКОВ_2023'!F263="",B225,'РЕЕСТР РИСКОВ_2023'!F263),IF('INHERENT MAP'!$B$5=2022,IF(#REF!="",B225,#REF!),IF('INHERENT MAP'!$B$5=2023,IF(#REF!="",B225,#REF!),IF('INHERENT MAP'!$B$5=2024,IF(#REF!="",B225,#REF!),IF('РЕЕСТР РИСКОВ_2023'!F263="",B225,'РЕЕСТР РИСКОВ_2023'!F263)))))</f>
        <v>РИСКИ НИОКР</v>
      </c>
      <c r="C226" t="e">
        <f>IF('INHERENT MAP'!$B$5=2021,IF('РЕЕСТР РИСКОВ_2023'!G263="",C225,'РЕЕСТР РИСКОВ_2023'!G263),IF('INHERENT MAP'!$B$5=2022,IF(#REF!="",C225,#REF!),IF('INHERENT MAP'!$B$5=2023,IF(#REF!="",C225,#REF!),IF('INHERENT MAP'!$B$5=2024,IF(#REF!="",C225,#REF!),IF('РЕЕСТР РИСКОВ_2023'!G263="",C225,'РЕЕСТР РИСКОВ_2023'!G263)))))</f>
        <v>#REF!</v>
      </c>
      <c r="D226" t="e">
        <f>IF('INHERENT MAP'!$B$5=2021,IF('РЕЕСТР РИСКОВ_2023'!H263="",D225,'РЕЕСТР РИСКОВ_2023'!H263),IF('INHERENT MAP'!$B$5=2022,IF(#REF!="",D225,#REF!),IF('INHERENT MAP'!$B$5=2023,IF(#REF!="",D225,#REF!),IF('INHERENT MAP'!$B$5=2024,IF(#REF!="",D225,#REF!),IF('РЕЕСТР РИСКОВ_2023'!H263="",D225,'РЕЕСТР РИСКОВ_2023'!H263)))))</f>
        <v>#REF!</v>
      </c>
      <c r="E226" t="e">
        <f>IF('INHERENT MAP'!$B$5=2021,IF('РЕЕСТР РИСКОВ_2023'!I263="",E225,'РЕЕСТР РИСКОВ_2023'!I263),IF('INHERENT MAP'!$B$5=2022,IF(#REF!="",E225,#REF!),IF('INHERENT MAP'!$B$5=2023,IF(#REF!="",E225,#REF!),IF('INHERENT MAP'!$B$5=2024,IF(#REF!="",E225,#REF!),IF('РЕЕСТР РИСКОВ_2023'!I263="",E225,'РЕЕСТР РИСКОВ_2023'!I263)))))</f>
        <v>#REF!</v>
      </c>
      <c r="F226" t="e">
        <f>IF('INHERENT MAP'!$B$5=2021,IF('РЕЕСТР РИСКОВ_2023'!J263="",F225,'РЕЕСТР РИСКОВ_2023'!J263),IF('INHERENT MAP'!$B$5=2022,IF(#REF!="",F225,#REF!),IF('INHERENT MAP'!$B$5=2023,IF(#REF!="",F225,#REF!),IF('INHERENT MAP'!$B$5=2024,IF(#REF!="",F225,#REF!),IF('РЕЕСТР РИСКОВ_2023'!J263="",F225,'РЕЕСТР РИСКОВ_2023'!J263)))))</f>
        <v>#REF!</v>
      </c>
      <c r="G226" t="str">
        <f>IF('INHERENT MAP'!$B$5=2021,IF('РЕЕСТР РИСКОВ_2023'!K263="",G225,'РЕЕСТР РИСКОВ_2023'!K263),IF('INHERENT MAP'!$B$5=2022,IF(#REF!="",G225,#REF!),IF('INHERENT MAP'!$B$5=2023,IF(#REF!="",G225,#REF!),IF('INHERENT MAP'!$B$5=2024,IF(#REF!="",G225,#REF!),IF('РЕЕСТР РИСКОВ_2023'!K263="",G225,'РЕЕСТР РИСКОВ_2023'!K263)))))</f>
        <v>Недостаточный уровень внедрения и использования современных научно-технических разработок</v>
      </c>
      <c r="H226">
        <f>IF('INHERENT MAP'!$B$5=2021,'РЕЕСТР РИСКОВ_2023'!L263,IF('INHERENT MAP'!$B$5=2022,#REF!,IF('INHERENT MAP'!$B$5=2023,#REF!,IF('INHERENT MAP'!$B$5=2024,#REF!,#REF!))))</f>
        <v>0</v>
      </c>
      <c r="I226">
        <f>IF('INHERENT MAP'!$B$5=2021,'РЕЕСТР РИСКОВ_2023'!M263,IF('INHERENT MAP'!$B$5=2022,#REF!,IF('INHERENT MAP'!$B$5=2023,#REF!,IF('INHERENT MAP'!$B$5=2024,#REF!,#REF!))))</f>
        <v>0</v>
      </c>
      <c r="J226">
        <f>IF('INHERENT MAP'!$B$5=2021,'РЕЕСТР РИСКОВ_2023'!N263,IF('INHERENT MAP'!$B$5=2022,#REF!,IF('INHERENT MAP'!$B$5=2023,#REF!,IF('INHERENT MAP'!$B$5=2024,#REF!,#REF!))))</f>
        <v>0</v>
      </c>
      <c r="K226">
        <f>IF('INHERENT MAP'!$B$5=2021,'РЕЕСТР РИСКОВ_2023'!O263,IF('INHERENT MAP'!$B$5=2022,#REF!,IF('INHERENT MAP'!$B$5=2023,#REF!,IF('INHERENT MAP'!$B$5=2024,#REF!,#REF!))))</f>
        <v>0</v>
      </c>
      <c r="L226">
        <f>IF('INHERENT MAP'!$B$5=2021,'РЕЕСТР РИСКОВ_2023'!P263,IF('INHERENT MAP'!$B$5=2022,#REF!,IF('INHERENT MAP'!$B$5=2023,#REF!,IF('INHERENT MAP'!$B$5=2024,#REF!,#REF!))))</f>
        <v>0</v>
      </c>
      <c r="M226" t="e">
        <f>IF('INHERENT MAP'!$B$5=2021,IF('РЕЕСТР РИСКОВ_2023'!Q263="",M225,'РЕЕСТР РИСКОВ_2023'!Q263),IF('INHERENT MAP'!$B$5=2022,IF(#REF!="",M225,#REF!),IF('INHERENT MAP'!$B$5=2023,IF(#REF!="",M225,#REF!),IF('INHERENT MAP'!$B$5=2024,IF(#REF!="",M225,#REF!),IF('РЕЕСТР РИСКОВ_2023'!Q263="",M225,'РЕЕСТР РИСКОВ_2023'!Q263)))))</f>
        <v>#REF!</v>
      </c>
      <c r="N226" t="e">
        <f>IF('INHERENT MAP'!$B$5=2021,IF('РЕЕСТР РИСКОВ_2023'!R263="",N225,'РЕЕСТР РИСКОВ_2023'!R263),IF('INHERENT MAP'!$B$5=2022,IF(#REF!="",N225,#REF!),IF('INHERENT MAP'!$B$5=2023,IF(#REF!="",N225,#REF!),IF('INHERENT MAP'!$B$5=2024,IF(#REF!="",N225,#REF!),IF('РЕЕСТР РИСКОВ_2023'!R263="",N225,'РЕЕСТР РИСКОВ_2023'!R263)))))</f>
        <v>#REF!</v>
      </c>
      <c r="O226">
        <f>'РЕЕСТР РИСКОВ_2023'!T263</f>
        <v>0</v>
      </c>
      <c r="P226" t="e">
        <f>IF('РЕЕСТР РИСКОВ_2023'!U263="",P225,'РЕЕСТР РИСКОВ_2023'!U263)</f>
        <v>#REF!</v>
      </c>
      <c r="Q226" t="str">
        <f>IF('РЕЕСТР РИСКОВ_2023'!V263="",Q225,'РЕЕСТР РИСКОВ_2023'!V263)</f>
        <v>Угрозы</v>
      </c>
      <c r="R226" t="str">
        <f>IF('РЕЕСТР РИСКОВ_2023'!W263="",R225,'РЕЕСТР РИСКОВ_2023'!W263)</f>
        <v>1. корректировки, предложенные внешним аудитором 2. корректировки, предложенные Единственным  акционером</v>
      </c>
      <c r="S226">
        <f>'РЕЕСТР РИСКОВ_2023'!X263</f>
        <v>0</v>
      </c>
      <c r="T226" s="94">
        <f>IF('INHERENT MAP'!$B$5=2021,'РЕЕСТР РИСКОВ_2023'!Y263,IF('INHERENT MAP'!$B$5=2022,#REF!,IF('INHERENT MAP'!$B$5=2023,#REF!,IF('INHERENT MAP'!$B$5=2024,#REF!,#REF!))))</f>
        <v>0.25</v>
      </c>
      <c r="U226">
        <f>IF('INHERENT MAP'!$B$5=2021,'РЕЕСТР РИСКОВ_2023'!Z263,IF('INHERENT MAP'!$B$5=2022,#REF!,IF('INHERENT MAP'!$B$5=2023,#REF!,IF('INHERENT MAP'!$B$5=2024,#REF!,#REF!))))</f>
        <v>0</v>
      </c>
      <c r="V226">
        <f>IF('INHERENT MAP'!$B$5=2021,'РЕЕСТР РИСКОВ_2023'!AA263,IF('INHERENT MAP'!$B$5=2022,#REF!,IF('INHERENT MAP'!$B$5=2023,#REF!,IF('INHERENT MAP'!$B$5=2024,#REF!,#REF!))))</f>
        <v>0</v>
      </c>
      <c r="W226">
        <f>IF('INHERENT MAP'!$B$5=2021,'РЕЕСТР РИСКОВ_2023'!AB263,IF('INHERENT MAP'!$B$5=2022,#REF!,IF('INHERENT MAP'!$B$5=2023,#REF!,IF('INHERENT MAP'!$B$5=2024,#REF!,#REF!))))</f>
        <v>0</v>
      </c>
      <c r="X226" s="94">
        <f>IF('INHERENT MAP'!$B$5=2021,'РЕЕСТР РИСКОВ_2023'!AC263,IF('INHERENT MAP'!$B$5=2022,#REF!,IF('INHERENT MAP'!$B$5=2023,#REF!,IF('INHERENT MAP'!$B$5=2024,#REF!,#REF!))))</f>
        <v>0.25</v>
      </c>
      <c r="Y226">
        <f>IF('INHERENT MAP'!$B$5=2021,'РЕЕСТР РИСКОВ_2023'!AD263,IF('INHERENT MAP'!$B$5=2022,#REF!,IF('INHERENT MAP'!$B$5=2023,#REF!,IF('INHERENT MAP'!$B$5=2024,#REF!,#REF!))))</f>
        <v>0</v>
      </c>
      <c r="Z226">
        <f>IF('INHERENT MAP'!$B$5=2021,'РЕЕСТР РИСКОВ_2023'!AE263,IF('INHERENT MAP'!$B$5=2022,#REF!,IF('INHERENT MAP'!$B$5=2023,#REF!,IF('INHERENT MAP'!$B$5=2024,#REF!,#REF!))))</f>
        <v>0</v>
      </c>
      <c r="AA226">
        <f>IF('INHERENT MAP'!$B$5=2021,'РЕЕСТР РИСКОВ_2023'!AF263,IF('INHERENT MAP'!$B$5=2022,#REF!,IF('INHERENT MAP'!$B$5=2023,#REF!,IF('INHERENT MAP'!$B$5=2024,#REF!,#REF!))))</f>
        <v>0</v>
      </c>
      <c r="AB226">
        <f>IF('INHERENT MAP'!$B$5=2021,'РЕЕСТР РИСКОВ_2023'!AG263,IF('INHERENT MAP'!$B$5=2022,#REF!,IF('INHERENT MAP'!$B$5=2023,#REF!,IF('INHERENT MAP'!$B$5=2024,#REF!,#REF!))))</f>
        <v>0</v>
      </c>
      <c r="AC226">
        <f>IF('INHERENT MAP'!$B$5=2021,'РЕЕСТР РИСКОВ_2023'!AH263,IF('INHERENT MAP'!$B$5=2022,#REF!,IF('INHERENT MAP'!$B$5=2023,#REF!,IF('INHERENT MAP'!$B$5=2024,#REF!,#REF!))))</f>
        <v>0</v>
      </c>
      <c r="AD226">
        <f>IF('INHERENT MAP'!$B$5=2021,'РЕЕСТР РИСКОВ_2023'!AI263,IF('INHERENT MAP'!$B$5=2022,#REF!,IF('INHERENT MAP'!$B$5=2023,#REF!,IF('INHERENT MAP'!$B$5=2024,#REF!,#REF!))))</f>
        <v>0</v>
      </c>
      <c r="AE226">
        <f>IF('INHERENT MAP'!$B$5=2021,'РЕЕСТР РИСКОВ_2023'!AK263,IF('INHERENT MAP'!$B$5=2022,#REF!,IF('INHERENT MAP'!$B$5=2023,#REF!,IF('INHERENT MAP'!$B$5=2024,#REF!,#REF!))))</f>
        <v>0</v>
      </c>
      <c r="AF226">
        <f>IF('INHERENT MAP'!$B$5=2021,'РЕЕСТР РИСКОВ_2023'!AL263,IF('INHERENT MAP'!$B$5=2022,#REF!,IF('INHERENT MAP'!$B$5=2023,#REF!,IF('INHERENT MAP'!$B$5=2024,#REF!,#REF!))))</f>
        <v>0</v>
      </c>
      <c r="AG226" t="str">
        <f>IF('INHERENT MAP'!$B$5=2021,'РЕЕСТР РИСКОВ_2023'!AM263,IF('INHERENT MAP'!$B$5=2022,#REF!,IF('INHERENT MAP'!$B$5=2023,#REF!,IF('INHERENT MAP'!$B$5=2024,#REF!,#REF!))))</f>
        <v>средняя</v>
      </c>
      <c r="AH226">
        <f>IF('INHERENT MAP'!$B$5=2021,'РЕЕСТР РИСКОВ_2023'!AN263,IF('INHERENT MAP'!$B$5=2022,#REF!,IF('INHERENT MAP'!$B$5=2023,#REF!,IF('INHERENT MAP'!$B$5=2024,#REF!,#REF!))))</f>
        <v>0.125</v>
      </c>
      <c r="AI226">
        <f>IF('INHERENT MAP'!$B$5=2021,'РЕЕСТР РИСКОВ_2023'!AO263,IF('INHERENT MAP'!$B$5=2022,#REF!,IF('INHERENT MAP'!$B$5=2023,#REF!,IF('INHERENT MAP'!$B$5=2024,#REF!,#REF!))))</f>
        <v>0</v>
      </c>
      <c r="AJ226">
        <f>IF('INHERENT MAP'!$B$5=2021,'РЕЕСТР РИСКОВ_2023'!AP263,IF('INHERENT MAP'!$B$5=2022,#REF!,IF('INHERENT MAP'!$B$5=2023,#REF!,IF('INHERENT MAP'!$B$5=2024,#REF!,#REF!))))</f>
        <v>0</v>
      </c>
      <c r="AK226">
        <f>IF('РЕЕСТР РИСКОВ_2023'!AQ263="",AK225,'РЕЕСТР РИСКОВ_2023'!AQ263)</f>
        <v>0</v>
      </c>
      <c r="AL226">
        <f>IF('РЕЕСТР РИСКОВ_2023'!AR263="",AL225,'РЕЕСТР РИСКОВ_2023'!AR263)</f>
        <v>0.125</v>
      </c>
      <c r="AM226">
        <f>IF('РЕЕСТР РИСКОВ_2023'!AS263="",AM225,'РЕЕСТР РИСКОВ_2023'!AS263)</f>
        <v>0</v>
      </c>
      <c r="AN226">
        <f>IF('РЕЕСТР РИСКОВ_2023'!AT263="",AN225,'РЕЕСТР РИСКОВ_2023'!AT263)</f>
        <v>0</v>
      </c>
      <c r="AO226" t="e">
        <f>IF('РЕЕСТР РИСКОВ_2023'!AU263="",AO225,'РЕЕСТР РИСКОВ_2023'!AU263)</f>
        <v>#REF!</v>
      </c>
    </row>
    <row r="227" spans="2:41">
      <c r="B227" t="str">
        <f>IF('INHERENT MAP'!$B$5=2021,IF('РЕЕСТР РИСКОВ_2023'!F264="",B226,'РЕЕСТР РИСКОВ_2023'!F264),IF('INHERENT MAP'!$B$5=2022,IF(#REF!="",B226,#REF!),IF('INHERENT MAP'!$B$5=2023,IF(#REF!="",B226,#REF!),IF('INHERENT MAP'!$B$5=2024,IF(#REF!="",B226,#REF!),IF('РЕЕСТР РИСКОВ_2023'!F264="",B226,'РЕЕСТР РИСКОВ_2023'!F264)))))</f>
        <v>РИСКИ НИОКР</v>
      </c>
      <c r="C227" t="e">
        <f>IF('INHERENT MAP'!$B$5=2021,IF('РЕЕСТР РИСКОВ_2023'!G264="",C226,'РЕЕСТР РИСКОВ_2023'!G264),IF('INHERENT MAP'!$B$5=2022,IF(#REF!="",C226,#REF!),IF('INHERENT MAP'!$B$5=2023,IF(#REF!="",C226,#REF!),IF('INHERENT MAP'!$B$5=2024,IF(#REF!="",C226,#REF!),IF('РЕЕСТР РИСКОВ_2023'!G264="",C226,'РЕЕСТР РИСКОВ_2023'!G264)))))</f>
        <v>#REF!</v>
      </c>
      <c r="D227" t="e">
        <f>IF('INHERENT MAP'!$B$5=2021,IF('РЕЕСТР РИСКОВ_2023'!H264="",D226,'РЕЕСТР РИСКОВ_2023'!H264),IF('INHERENT MAP'!$B$5=2022,IF(#REF!="",D226,#REF!),IF('INHERENT MAP'!$B$5=2023,IF(#REF!="",D226,#REF!),IF('INHERENT MAP'!$B$5=2024,IF(#REF!="",D226,#REF!),IF('РЕЕСТР РИСКОВ_2023'!H264="",D226,'РЕЕСТР РИСКОВ_2023'!H264)))))</f>
        <v>#REF!</v>
      </c>
      <c r="E227" t="e">
        <f>IF('INHERENT MAP'!$B$5=2021,IF('РЕЕСТР РИСКОВ_2023'!I264="",E226,'РЕЕСТР РИСКОВ_2023'!I264),IF('INHERENT MAP'!$B$5=2022,IF(#REF!="",E226,#REF!),IF('INHERENT MAP'!$B$5=2023,IF(#REF!="",E226,#REF!),IF('INHERENT MAP'!$B$5=2024,IF(#REF!="",E226,#REF!),IF('РЕЕСТР РИСКОВ_2023'!I264="",E226,'РЕЕСТР РИСКОВ_2023'!I264)))))</f>
        <v>#REF!</v>
      </c>
      <c r="F227" t="e">
        <f>IF('INHERENT MAP'!$B$5=2021,IF('РЕЕСТР РИСКОВ_2023'!J264="",F226,'РЕЕСТР РИСКОВ_2023'!J264),IF('INHERENT MAP'!$B$5=2022,IF(#REF!="",F226,#REF!),IF('INHERENT MAP'!$B$5=2023,IF(#REF!="",F226,#REF!),IF('INHERENT MAP'!$B$5=2024,IF(#REF!="",F226,#REF!),IF('РЕЕСТР РИСКОВ_2023'!J264="",F226,'РЕЕСТР РИСКОВ_2023'!J264)))))</f>
        <v>#REF!</v>
      </c>
      <c r="G227" t="str">
        <f>IF('INHERENT MAP'!$B$5=2021,IF('РЕЕСТР РИСКОВ_2023'!K264="",G226,'РЕЕСТР РИСКОВ_2023'!K264),IF('INHERENT MAP'!$B$5=2022,IF(#REF!="",G226,#REF!),IF('INHERENT MAP'!$B$5=2023,IF(#REF!="",G226,#REF!),IF('INHERENT MAP'!$B$5=2024,IF(#REF!="",G226,#REF!),IF('РЕЕСТР РИСКОВ_2023'!K264="",G226,'РЕЕСТР РИСКОВ_2023'!K264)))))</f>
        <v>Недостаточный уровень кооперации с зарубежными лидерами в области развития и использования инновационных
технологий в сфере железнодорожного машиностроения</v>
      </c>
      <c r="H227">
        <f>IF('INHERENT MAP'!$B$5=2021,'РЕЕСТР РИСКОВ_2023'!L264,IF('INHERENT MAP'!$B$5=2022,#REF!,IF('INHERENT MAP'!$B$5=2023,#REF!,IF('INHERENT MAP'!$B$5=2024,#REF!,#REF!))))</f>
        <v>0</v>
      </c>
      <c r="I227">
        <f>IF('INHERENT MAP'!$B$5=2021,'РЕЕСТР РИСКОВ_2023'!M264,IF('INHERENT MAP'!$B$5=2022,#REF!,IF('INHERENT MAP'!$B$5=2023,#REF!,IF('INHERENT MAP'!$B$5=2024,#REF!,#REF!))))</f>
        <v>0</v>
      </c>
      <c r="J227">
        <f>IF('INHERENT MAP'!$B$5=2021,'РЕЕСТР РИСКОВ_2023'!N264,IF('INHERENT MAP'!$B$5=2022,#REF!,IF('INHERENT MAP'!$B$5=2023,#REF!,IF('INHERENT MAP'!$B$5=2024,#REF!,#REF!))))</f>
        <v>0</v>
      </c>
      <c r="K227">
        <f>IF('INHERENT MAP'!$B$5=2021,'РЕЕСТР РИСКОВ_2023'!O264,IF('INHERENT MAP'!$B$5=2022,#REF!,IF('INHERENT MAP'!$B$5=2023,#REF!,IF('INHERENT MAP'!$B$5=2024,#REF!,#REF!))))</f>
        <v>0</v>
      </c>
      <c r="L227">
        <f>IF('INHERENT MAP'!$B$5=2021,'РЕЕСТР РИСКОВ_2023'!P264,IF('INHERENT MAP'!$B$5=2022,#REF!,IF('INHERENT MAP'!$B$5=2023,#REF!,IF('INHERENT MAP'!$B$5=2024,#REF!,#REF!))))</f>
        <v>0</v>
      </c>
      <c r="M227" t="e">
        <f>IF('INHERENT MAP'!$B$5=2021,IF('РЕЕСТР РИСКОВ_2023'!Q264="",M226,'РЕЕСТР РИСКОВ_2023'!Q264),IF('INHERENT MAP'!$B$5=2022,IF(#REF!="",M226,#REF!),IF('INHERENT MAP'!$B$5=2023,IF(#REF!="",M226,#REF!),IF('INHERENT MAP'!$B$5=2024,IF(#REF!="",M226,#REF!),IF('РЕЕСТР РИСКОВ_2023'!Q264="",M226,'РЕЕСТР РИСКОВ_2023'!Q264)))))</f>
        <v>#REF!</v>
      </c>
      <c r="N227" t="e">
        <f>IF('INHERENT MAP'!$B$5=2021,IF('РЕЕСТР РИСКОВ_2023'!R264="",N226,'РЕЕСТР РИСКОВ_2023'!R264),IF('INHERENT MAP'!$B$5=2022,IF(#REF!="",N226,#REF!),IF('INHERENT MAP'!$B$5=2023,IF(#REF!="",N226,#REF!),IF('INHERENT MAP'!$B$5=2024,IF(#REF!="",N226,#REF!),IF('РЕЕСТР РИСКОВ_2023'!R264="",N226,'РЕЕСТР РИСКОВ_2023'!R264)))))</f>
        <v>#REF!</v>
      </c>
      <c r="O227">
        <f>'РЕЕСТР РИСКОВ_2023'!T264</f>
        <v>0</v>
      </c>
      <c r="P227" t="e">
        <f>IF('РЕЕСТР РИСКОВ_2023'!U264="",P226,'РЕЕСТР РИСКОВ_2023'!U264)</f>
        <v>#REF!</v>
      </c>
      <c r="Q227" t="str">
        <f>IF('РЕЕСТР РИСКОВ_2023'!V264="",Q226,'РЕЕСТР РИСКОВ_2023'!V264)</f>
        <v>Угрозы</v>
      </c>
      <c r="R227" t="str">
        <f>IF('РЕЕСТР РИСКОВ_2023'!W264="",R226,'РЕЕСТР РИСКОВ_2023'!W264)</f>
        <v>1. корректировки, предложенные внешним аудитором 2. корректировки, предложенные Единственным  акционером</v>
      </c>
      <c r="S227">
        <f>'РЕЕСТР РИСКОВ_2023'!X264</f>
        <v>0</v>
      </c>
      <c r="T227" s="94">
        <f>IF('INHERENT MAP'!$B$5=2021,'РЕЕСТР РИСКОВ_2023'!Y264,IF('INHERENT MAP'!$B$5=2022,#REF!,IF('INHERENT MAP'!$B$5=2023,#REF!,IF('INHERENT MAP'!$B$5=2024,#REF!,#REF!))))</f>
        <v>0</v>
      </c>
      <c r="U227">
        <f>IF('INHERENT MAP'!$B$5=2021,'РЕЕСТР РИСКОВ_2023'!Z264,IF('INHERENT MAP'!$B$5=2022,#REF!,IF('INHERENT MAP'!$B$5=2023,#REF!,IF('INHERENT MAP'!$B$5=2024,#REF!,#REF!))))</f>
        <v>0</v>
      </c>
      <c r="V227">
        <f>IF('INHERENT MAP'!$B$5=2021,'РЕЕСТР РИСКОВ_2023'!AA264,IF('INHERENT MAP'!$B$5=2022,#REF!,IF('INHERENT MAP'!$B$5=2023,#REF!,IF('INHERENT MAP'!$B$5=2024,#REF!,#REF!))))</f>
        <v>0</v>
      </c>
      <c r="W227">
        <f>IF('INHERENT MAP'!$B$5=2021,'РЕЕСТР РИСКОВ_2023'!AB264,IF('INHERENT MAP'!$B$5=2022,#REF!,IF('INHERENT MAP'!$B$5=2023,#REF!,IF('INHERENT MAP'!$B$5=2024,#REF!,#REF!))))</f>
        <v>0</v>
      </c>
      <c r="X227" s="94">
        <f>IF('INHERENT MAP'!$B$5=2021,'РЕЕСТР РИСКОВ_2023'!AC264,IF('INHERENT MAP'!$B$5=2022,#REF!,IF('INHERENT MAP'!$B$5=2023,#REF!,IF('INHERENT MAP'!$B$5=2024,#REF!,#REF!))))</f>
        <v>0</v>
      </c>
      <c r="Y227">
        <f>IF('INHERENT MAP'!$B$5=2021,'РЕЕСТР РИСКОВ_2023'!AD264,IF('INHERENT MAP'!$B$5=2022,#REF!,IF('INHERENT MAP'!$B$5=2023,#REF!,IF('INHERENT MAP'!$B$5=2024,#REF!,#REF!))))</f>
        <v>0</v>
      </c>
      <c r="Z227">
        <f>IF('INHERENT MAP'!$B$5=2021,'РЕЕСТР РИСКОВ_2023'!AE264,IF('INHERENT MAP'!$B$5=2022,#REF!,IF('INHERENT MAP'!$B$5=2023,#REF!,IF('INHERENT MAP'!$B$5=2024,#REF!,#REF!))))</f>
        <v>0</v>
      </c>
      <c r="AA227">
        <f>IF('INHERENT MAP'!$B$5=2021,'РЕЕСТР РИСКОВ_2023'!AF264,IF('INHERENT MAP'!$B$5=2022,#REF!,IF('INHERENT MAP'!$B$5=2023,#REF!,IF('INHERENT MAP'!$B$5=2024,#REF!,#REF!))))</f>
        <v>0</v>
      </c>
      <c r="AB227">
        <f>IF('INHERENT MAP'!$B$5=2021,'РЕЕСТР РИСКОВ_2023'!AG264,IF('INHERENT MAP'!$B$5=2022,#REF!,IF('INHERENT MAP'!$B$5=2023,#REF!,IF('INHERENT MAP'!$B$5=2024,#REF!,#REF!))))</f>
        <v>0</v>
      </c>
      <c r="AC227">
        <f>IF('INHERENT MAP'!$B$5=2021,'РЕЕСТР РИСКОВ_2023'!AH264,IF('INHERENT MAP'!$B$5=2022,#REF!,IF('INHERENT MAP'!$B$5=2023,#REF!,IF('INHERENT MAP'!$B$5=2024,#REF!,#REF!))))</f>
        <v>0</v>
      </c>
      <c r="AD227">
        <f>IF('INHERENT MAP'!$B$5=2021,'РЕЕСТР РИСКОВ_2023'!AI264,IF('INHERENT MAP'!$B$5=2022,#REF!,IF('INHERENT MAP'!$B$5=2023,#REF!,IF('INHERENT MAP'!$B$5=2024,#REF!,#REF!))))</f>
        <v>0</v>
      </c>
      <c r="AE227">
        <f>IF('INHERENT MAP'!$B$5=2021,'РЕЕСТР РИСКОВ_2023'!AK264,IF('INHERENT MAP'!$B$5=2022,#REF!,IF('INHERENT MAP'!$B$5=2023,#REF!,IF('INHERENT MAP'!$B$5=2024,#REF!,#REF!))))</f>
        <v>0</v>
      </c>
      <c r="AF227">
        <f>IF('INHERENT MAP'!$B$5=2021,'РЕЕСТР РИСКОВ_2023'!AL264,IF('INHERENT MAP'!$B$5=2022,#REF!,IF('INHERENT MAP'!$B$5=2023,#REF!,IF('INHERENT MAP'!$B$5=2024,#REF!,#REF!))))</f>
        <v>0</v>
      </c>
      <c r="AG227">
        <f>IF('INHERENT MAP'!$B$5=2021,'РЕЕСТР РИСКОВ_2023'!AM264,IF('INHERENT MAP'!$B$5=2022,#REF!,IF('INHERENT MAP'!$B$5=2023,#REF!,IF('INHERENT MAP'!$B$5=2024,#REF!,#REF!))))</f>
        <v>0</v>
      </c>
      <c r="AH227">
        <f>IF('INHERENT MAP'!$B$5=2021,'РЕЕСТР РИСКОВ_2023'!AN264,IF('INHERENT MAP'!$B$5=2022,#REF!,IF('INHERENT MAP'!$B$5=2023,#REF!,IF('INHERENT MAP'!$B$5=2024,#REF!,#REF!))))</f>
        <v>0</v>
      </c>
      <c r="AI227">
        <f>IF('INHERENT MAP'!$B$5=2021,'РЕЕСТР РИСКОВ_2023'!AO264,IF('INHERENT MAP'!$B$5=2022,#REF!,IF('INHERENT MAP'!$B$5=2023,#REF!,IF('INHERENT MAP'!$B$5=2024,#REF!,#REF!))))</f>
        <v>0</v>
      </c>
      <c r="AJ227">
        <f>IF('INHERENT MAP'!$B$5=2021,'РЕЕСТР РИСКОВ_2023'!AP264,IF('INHERENT MAP'!$B$5=2022,#REF!,IF('INHERENT MAP'!$B$5=2023,#REF!,IF('INHERENT MAP'!$B$5=2024,#REF!,#REF!))))</f>
        <v>0</v>
      </c>
      <c r="AK227">
        <f>IF('РЕЕСТР РИСКОВ_2023'!AQ264="",AK226,'РЕЕСТР РИСКОВ_2023'!AQ264)</f>
        <v>0</v>
      </c>
      <c r="AL227">
        <f>IF('РЕЕСТР РИСКОВ_2023'!AR264="",AL226,'РЕЕСТР РИСКОВ_2023'!AR264)</f>
        <v>0.125</v>
      </c>
      <c r="AM227">
        <f>IF('РЕЕСТР РИСКОВ_2023'!AS264="",AM226,'РЕЕСТР РИСКОВ_2023'!AS264)</f>
        <v>0</v>
      </c>
      <c r="AN227">
        <f>IF('РЕЕСТР РИСКОВ_2023'!AT264="",AN226,'РЕЕСТР РИСКОВ_2023'!AT264)</f>
        <v>0</v>
      </c>
      <c r="AO227" t="e">
        <f>IF('РЕЕСТР РИСКОВ_2023'!AU264="",AO226,'РЕЕСТР РИСКОВ_2023'!AU264)</f>
        <v>#REF!</v>
      </c>
    </row>
    <row r="228" spans="2:41">
      <c r="B228" t="str">
        <f>IF('INHERENT MAP'!$B$5=2021,IF('РЕЕСТР РИСКОВ_2023'!F265="",B227,'РЕЕСТР РИСКОВ_2023'!F265),IF('INHERENT MAP'!$B$5=2022,IF(#REF!="",B227,#REF!),IF('INHERENT MAP'!$B$5=2023,IF(#REF!="",B227,#REF!),IF('INHERENT MAP'!$B$5=2024,IF(#REF!="",B227,#REF!),IF('РЕЕСТР РИСКОВ_2023'!F265="",B227,'РЕЕСТР РИСКОВ_2023'!F265)))))</f>
        <v>ЭКОЛОГИЧЕСКИЕ И КЛИМАТИЧЕСКИЕ РИСКИ (ESG)</v>
      </c>
      <c r="C228" t="e">
        <f>IF('INHERENT MAP'!$B$5=2021,IF('РЕЕСТР РИСКОВ_2023'!G265="",C227,'РЕЕСТР РИСКОВ_2023'!G265),IF('INHERENT MAP'!$B$5=2022,IF(#REF!="",C227,#REF!),IF('INHERENT MAP'!$B$5=2023,IF(#REF!="",C227,#REF!),IF('INHERENT MAP'!$B$5=2024,IF(#REF!="",C227,#REF!),IF('РЕЕСТР РИСКОВ_2023'!G265="",C227,'РЕЕСТР РИСКОВ_2023'!G265)))))</f>
        <v>#REF!</v>
      </c>
      <c r="D228" t="str">
        <f>IF('INHERENT MAP'!$B$5=2021,IF('РЕЕСТР РИСКОВ_2023'!H265="",D227,'РЕЕСТР РИСКОВ_2023'!H265),IF('INHERENT MAP'!$B$5=2022,IF(#REF!="",D227,#REF!),IF('INHERENT MAP'!$B$5=2023,IF(#REF!="",D227,#REF!),IF('INHERENT MAP'!$B$5=2024,IF(#REF!="",D227,#REF!),IF('РЕЕСТР РИСКОВ_2023'!H265="",D227,'РЕЕСТР РИСКОВ_2023'!H265)))))</f>
        <v>ESG-1</v>
      </c>
      <c r="E228" t="str">
        <f>IF('INHERENT MAP'!$B$5=2021,IF('РЕЕСТР РИСКОВ_2023'!I265="",E227,'РЕЕСТР РИСКОВ_2023'!I265),IF('INHERENT MAP'!$B$5=2022,IF(#REF!="",E227,#REF!),IF('INHERENT MAP'!$B$5=2023,IF(#REF!="",E227,#REF!),IF('INHERENT MAP'!$B$5=2024,IF(#REF!="",E227,#REF!),IF('РЕЕСТР РИСКОВ_2023'!I265="",E227,'РЕЕСТР РИСКОВ_2023'!I265)))))</f>
        <v>ЦЗЛ</v>
      </c>
      <c r="F228" t="str">
        <f>IF('INHERENT MAP'!$B$5=2021,IF('РЕЕСТР РИСКОВ_2023'!J265="",F227,'РЕЕСТР РИСКОВ_2023'!J265),IF('INHERENT MAP'!$B$5=2022,IF(#REF!="",F227,#REF!),IF('INHERENT MAP'!$B$5=2023,IF(#REF!="",F227,#REF!),IF('INHERENT MAP'!$B$5=2024,IF(#REF!="",F227,#REF!),IF('РЕЕСТР РИСКОВ_2023'!J265="",F227,'РЕЕСТР РИСКОВ_2023'!J265)))))</f>
        <v>АМТП, Порт Курык</v>
      </c>
      <c r="G228" t="str">
        <f>IF('INHERENT MAP'!$B$5=2021,IF('РЕЕСТР РИСКОВ_2023'!K265="",G227,'РЕЕСТР РИСКОВ_2023'!K265),IF('INHERENT MAP'!$B$5=2022,IF(#REF!="",G227,#REF!),IF('INHERENT MAP'!$B$5=2023,IF(#REF!="",G227,#REF!),IF('INHERENT MAP'!$B$5=2024,IF(#REF!="",G227,#REF!),IF('РЕЕСТР РИСКОВ_2023'!K265="",G227,'РЕЕСТР РИСКОВ_2023'!K265)))))</f>
        <v>Риск падения уровня Каспийского моря</v>
      </c>
      <c r="H228">
        <f>IF('INHERENT MAP'!$B$5=2021,'РЕЕСТР РИСКОВ_2023'!L265,IF('INHERENT MAP'!$B$5=2022,#REF!,IF('INHERENT MAP'!$B$5=2023,#REF!,IF('INHERENT MAP'!$B$5=2024,#REF!,#REF!))))</f>
        <v>0</v>
      </c>
      <c r="I228">
        <f>IF('INHERENT MAP'!$B$5=2021,'РЕЕСТР РИСКОВ_2023'!M265,IF('INHERENT MAP'!$B$5=2022,#REF!,IF('INHERENT MAP'!$B$5=2023,#REF!,IF('INHERENT MAP'!$B$5=2024,#REF!,#REF!))))</f>
        <v>0</v>
      </c>
      <c r="J228">
        <f>IF('INHERENT MAP'!$B$5=2021,'РЕЕСТР РИСКОВ_2023'!N265,IF('INHERENT MAP'!$B$5=2022,#REF!,IF('INHERENT MAP'!$B$5=2023,#REF!,IF('INHERENT MAP'!$B$5=2024,#REF!,#REF!))))</f>
        <v>0</v>
      </c>
      <c r="K228">
        <f>IF('INHERENT MAP'!$B$5=2021,'РЕЕСТР РИСКОВ_2023'!O265,IF('INHERENT MAP'!$B$5=2022,#REF!,IF('INHERENT MAP'!$B$5=2023,#REF!,IF('INHERENT MAP'!$B$5=2024,#REF!,#REF!))))</f>
        <v>0</v>
      </c>
      <c r="L228">
        <f>IF('INHERENT MAP'!$B$5=2021,'РЕЕСТР РИСКОВ_2023'!P265,IF('INHERENT MAP'!$B$5=2022,#REF!,IF('INHERENT MAP'!$B$5=2023,#REF!,IF('INHERENT MAP'!$B$5=2024,#REF!,#REF!))))</f>
        <v>0</v>
      </c>
      <c r="M228" t="str">
        <f>IF('INHERENT MAP'!$B$5=2021,IF('РЕЕСТР РИСКОВ_2023'!Q265="",M227,'РЕЕСТР РИСКОВ_2023'!Q265),IF('INHERENT MAP'!$B$5=2022,IF(#REF!="",M227,#REF!),IF('INHERENT MAP'!$B$5=2023,IF(#REF!="",M227,#REF!),IF('INHERENT MAP'!$B$5=2024,IF(#REF!="",M227,#REF!),IF('РЕЕСТР РИСКОВ_2023'!Q265="",M227,'РЕЕСТР РИСКОВ_2023'!Q265)))))</f>
        <v>Снижение эксплуатационных возможностей портовых причалов, судоходных путей, портовых акваторий, гидротехнических сооружений и безопасности мореплавания.</v>
      </c>
      <c r="N228" t="e">
        <f>IF('INHERENT MAP'!$B$5=2021,IF('РЕЕСТР РИСКОВ_2023'!R265="",N227,'РЕЕСТР РИСКОВ_2023'!R265),IF('INHERENT MAP'!$B$5=2022,IF(#REF!="",N227,#REF!),IF('INHERENT MAP'!$B$5=2023,IF(#REF!="",N227,#REF!),IF('INHERENT MAP'!$B$5=2024,IF(#REF!="",N227,#REF!),IF('РЕЕСТР РИСКОВ_2023'!R265="",N227,'РЕЕСТР РИСКОВ_2023'!R265)))))</f>
        <v>#REF!</v>
      </c>
      <c r="O228" t="str">
        <f>'РЕЕСТР РИСКОВ_2023'!T265</f>
        <v>уровень воды в порту Актау</v>
      </c>
      <c r="P228" t="e">
        <f>IF('РЕЕСТР РИСКОВ_2023'!U265="",P227,'РЕЕСТР РИСКОВ_2023'!U265)</f>
        <v>#REF!</v>
      </c>
      <c r="Q228" t="str">
        <f>IF('РЕЕСТР РИСКОВ_2023'!V265="",Q227,'РЕЕСТР РИСКОВ_2023'!V265)</f>
        <v>Угрозы</v>
      </c>
      <c r="R228" t="str">
        <f>IF('РЕЕСТР РИСКОВ_2023'!W265="",R227,'РЕЕСТР РИСКОВ_2023'!W265)</f>
        <v>1. корректировки, предложенные внешним аудитором 2. корректировки, предложенные Единственным  акционером</v>
      </c>
      <c r="S228">
        <f>'РЕЕСТР РИСКОВ_2023'!X265</f>
        <v>0</v>
      </c>
      <c r="T228" s="94">
        <f>IF('INHERENT MAP'!$B$5=2021,'РЕЕСТР РИСКОВ_2023'!Y265,IF('INHERENT MAP'!$B$5=2022,#REF!,IF('INHERENT MAP'!$B$5=2023,#REF!,IF('INHERENT MAP'!$B$5=2024,#REF!,#REF!))))</f>
        <v>0.4</v>
      </c>
      <c r="U228">
        <f>IF('INHERENT MAP'!$B$5=2021,'РЕЕСТР РИСКОВ_2023'!Z265,IF('INHERENT MAP'!$B$5=2022,#REF!,IF('INHERENT MAP'!$B$5=2023,#REF!,IF('INHERENT MAP'!$B$5=2024,#REF!,#REF!))))</f>
        <v>-13600</v>
      </c>
      <c r="V228">
        <f>IF('INHERENT MAP'!$B$5=2021,'РЕЕСТР РИСКОВ_2023'!AA265,IF('INHERENT MAP'!$B$5=2022,#REF!,IF('INHERENT MAP'!$B$5=2023,#REF!,IF('INHERENT MAP'!$B$5=2024,#REF!,#REF!))))</f>
        <v>-5440</v>
      </c>
      <c r="W228">
        <f>IF('INHERENT MAP'!$B$5=2021,'РЕЕСТР РИСКОВ_2023'!AB265,IF('INHERENT MAP'!$B$5=2022,#REF!,IF('INHERENT MAP'!$B$5=2023,#REF!,IF('INHERENT MAP'!$B$5=2024,#REF!,#REF!))))</f>
        <v>0</v>
      </c>
      <c r="X228" s="94">
        <f>IF('INHERENT MAP'!$B$5=2021,'РЕЕСТР РИСКОВ_2023'!AC265,IF('INHERENT MAP'!$B$5=2022,#REF!,IF('INHERENT MAP'!$B$5=2023,#REF!,IF('INHERENT MAP'!$B$5=2024,#REF!,#REF!))))</f>
        <v>0.4</v>
      </c>
      <c r="Y228">
        <f>IF('INHERENT MAP'!$B$5=2021,'РЕЕСТР РИСКОВ_2023'!AD265,IF('INHERENT MAP'!$B$5=2022,#REF!,IF('INHERENT MAP'!$B$5=2023,#REF!,IF('INHERENT MAP'!$B$5=2024,#REF!,#REF!))))</f>
        <v>-13600</v>
      </c>
      <c r="Z228">
        <f>IF('INHERENT MAP'!$B$5=2021,'РЕЕСТР РИСКОВ_2023'!AE265,IF('INHERENT MAP'!$B$5=2022,#REF!,IF('INHERENT MAP'!$B$5=2023,#REF!,IF('INHERENT MAP'!$B$5=2024,#REF!,#REF!))))</f>
        <v>-5440</v>
      </c>
      <c r="AA228">
        <f>IF('INHERENT MAP'!$B$5=2021,'РЕЕСТР РИСКОВ_2023'!AF265,IF('INHERENT MAP'!$B$5=2022,#REF!,IF('INHERENT MAP'!$B$5=2023,#REF!,IF('INHERENT MAP'!$B$5=2024,#REF!,#REF!))))</f>
        <v>0</v>
      </c>
      <c r="AB228">
        <f>IF('INHERENT MAP'!$B$5=2021,'РЕЕСТР РИСКОВ_2023'!AG265,IF('INHERENT MAP'!$B$5=2022,#REF!,IF('INHERENT MAP'!$B$5=2023,#REF!,IF('INHERENT MAP'!$B$5=2024,#REF!,#REF!))))</f>
        <v>0</v>
      </c>
      <c r="AC228">
        <f>IF('INHERENT MAP'!$B$5=2021,'РЕЕСТР РИСКОВ_2023'!AH265,IF('INHERENT MAP'!$B$5=2022,#REF!,IF('INHERENT MAP'!$B$5=2023,#REF!,IF('INHERENT MAP'!$B$5=2024,#REF!,#REF!))))</f>
        <v>0</v>
      </c>
      <c r="AD228" t="str">
        <f>IF('INHERENT MAP'!$B$5=2021,'РЕЕСТР РИСКОВ_2023'!AI265,IF('INHERENT MAP'!$B$5=2022,#REF!,IF('INHERENT MAP'!$B$5=2023,#REF!,IF('INHERENT MAP'!$B$5=2024,#REF!,#REF!))))</f>
        <v xml:space="preserve">1) проведение мероприятий по дноуглублению;
2) промер глубин (батиметрия)
</v>
      </c>
      <c r="AE228">
        <f>IF('INHERENT MAP'!$B$5=2021,'РЕЕСТР РИСКОВ_2023'!AK265,IF('INHERENT MAP'!$B$5=2022,#REF!,IF('INHERENT MAP'!$B$5=2023,#REF!,IF('INHERENT MAP'!$B$5=2024,#REF!,#REF!))))</f>
        <v>0</v>
      </c>
      <c r="AF228">
        <f>IF('INHERENT MAP'!$B$5=2021,'РЕЕСТР РИСКОВ_2023'!AL265,IF('INHERENT MAP'!$B$5=2022,#REF!,IF('INHERENT MAP'!$B$5=2023,#REF!,IF('INHERENT MAP'!$B$5=2024,#REF!,#REF!))))</f>
        <v>0</v>
      </c>
      <c r="AG228" t="str">
        <f>IF('INHERENT MAP'!$B$5=2021,'РЕЕСТР РИСКОВ_2023'!AM265,IF('INHERENT MAP'!$B$5=2022,#REF!,IF('INHERENT MAP'!$B$5=2023,#REF!,IF('INHERENT MAP'!$B$5=2024,#REF!,#REF!))))</f>
        <v>высокая</v>
      </c>
      <c r="AH228">
        <f>IF('INHERENT MAP'!$B$5=2021,'РЕЕСТР РИСКОВ_2023'!AN265,IF('INHERENT MAP'!$B$5=2022,#REF!,IF('INHERENT MAP'!$B$5=2023,#REF!,IF('INHERENT MAP'!$B$5=2024,#REF!,#REF!))))</f>
        <v>0.12</v>
      </c>
      <c r="AI228">
        <f>IF('INHERENT MAP'!$B$5=2021,'РЕЕСТР РИСКОВ_2023'!AO265,IF('INHERENT MAP'!$B$5=2022,#REF!,IF('INHERENT MAP'!$B$5=2023,#REF!,IF('INHERENT MAP'!$B$5=2024,#REF!,#REF!))))</f>
        <v>-4080</v>
      </c>
      <c r="AJ228">
        <f>IF('INHERENT MAP'!$B$5=2021,'РЕЕСТР РИСКОВ_2023'!AP265,IF('INHERENT MAP'!$B$5=2022,#REF!,IF('INHERENT MAP'!$B$5=2023,#REF!,IF('INHERENT MAP'!$B$5=2024,#REF!,#REF!))))</f>
        <v>-489.59999999999997</v>
      </c>
      <c r="AK228">
        <f>IF('РЕЕСТР РИСКОВ_2023'!AQ265="",AK227,'РЕЕСТР РИСКОВ_2023'!AQ265)</f>
        <v>-1632</v>
      </c>
      <c r="AL228">
        <f>IF('РЕЕСТР РИСКОВ_2023'!AR265="",AL227,'РЕЕСТР РИСКОВ_2023'!AR265)</f>
        <v>0.12</v>
      </c>
      <c r="AM228">
        <f>IF('РЕЕСТР РИСКОВ_2023'!AS265="",AM227,'РЕЕСТР РИСКОВ_2023'!AS265)</f>
        <v>-489.59999999999997</v>
      </c>
      <c r="AN228">
        <f>IF('РЕЕСТР РИСКОВ_2023'!AT265="",AN227,'РЕЕСТР РИСКОВ_2023'!AT265)</f>
        <v>-1632</v>
      </c>
      <c r="AO228" t="e">
        <f>IF('РЕЕСТР РИСКОВ_2023'!AU265="",AO227,'РЕЕСТР РИСКОВ_2023'!AU265)</f>
        <v>#REF!</v>
      </c>
    </row>
    <row r="229" spans="2:41">
      <c r="B229" t="str">
        <f>IF('INHERENT MAP'!$B$5=2021,IF('РЕЕСТР РИСКОВ_2023'!F266="",B228,'РЕЕСТР РИСКОВ_2023'!F266),IF('INHERENT MAP'!$B$5=2022,IF(#REF!="",B228,#REF!),IF('INHERENT MAP'!$B$5=2023,IF(#REF!="",B228,#REF!),IF('INHERENT MAP'!$B$5=2024,IF(#REF!="",B228,#REF!),IF('РЕЕСТР РИСКОВ_2023'!F266="",B228,'РЕЕСТР РИСКОВ_2023'!F266)))))</f>
        <v>ЭКОЛОГИЧЕСКИЕ И КЛИМАТИЧЕСКИЕ РИСКИ (ESG)</v>
      </c>
      <c r="C229" t="e">
        <f>IF('INHERENT MAP'!$B$5=2021,IF('РЕЕСТР РИСКОВ_2023'!G266="",C228,'РЕЕСТР РИСКОВ_2023'!G266),IF('INHERENT MAP'!$B$5=2022,IF(#REF!="",C228,#REF!),IF('INHERENT MAP'!$B$5=2023,IF(#REF!="",C228,#REF!),IF('INHERENT MAP'!$B$5=2024,IF(#REF!="",C228,#REF!),IF('РЕЕСТР РИСКОВ_2023'!G266="",C228,'РЕЕСТР РИСКОВ_2023'!G266)))))</f>
        <v>#REF!</v>
      </c>
      <c r="D229" t="str">
        <f>IF('INHERENT MAP'!$B$5=2021,IF('РЕЕСТР РИСКОВ_2023'!H266="",D228,'РЕЕСТР РИСКОВ_2023'!H266),IF('INHERENT MAP'!$B$5=2022,IF(#REF!="",D228,#REF!),IF('INHERENT MAP'!$B$5=2023,IF(#REF!="",D228,#REF!),IF('INHERENT MAP'!$B$5=2024,IF(#REF!="",D228,#REF!),IF('РЕЕСТР РИСКОВ_2023'!H266="",D228,'РЕЕСТР РИСКОВ_2023'!H266)))))</f>
        <v>ESG-2</v>
      </c>
      <c r="E229" t="str">
        <f>IF('INHERENT MAP'!$B$5=2021,IF('РЕЕСТР РИСКОВ_2023'!I266="",E228,'РЕЕСТР РИСКОВ_2023'!I266),IF('INHERENT MAP'!$B$5=2022,IF(#REF!="",E228,#REF!),IF('INHERENT MAP'!$B$5=2023,IF(#REF!="",E228,#REF!),IF('INHERENT MAP'!$B$5=2024,IF(#REF!="",E228,#REF!),IF('РЕЕСТР РИСКОВ_2023'!I266="",E228,'РЕЕСТР РИСКОВ_2023'!I266)))))</f>
        <v>Ц</v>
      </c>
      <c r="F229" t="str">
        <f>IF('INHERENT MAP'!$B$5=2021,IF('РЕЕСТР РИСКОВ_2023'!J266="",F228,'РЕЕСТР РИСКОВ_2023'!J266),IF('INHERENT MAP'!$B$5=2022,IF(#REF!="",F228,#REF!),IF('INHERENT MAP'!$B$5=2023,IF(#REF!="",F228,#REF!),IF('INHERENT MAP'!$B$5=2024,IF(#REF!="",F228,#REF!),IF('РЕЕСТР РИСКОВ_2023'!J266="",F228,'РЕЕСТР РИСКОВ_2023'!J266)))))</f>
        <v>ТОО "КТЖ-Грузовые перевозки", АО "Пассажирские перевозки", Дирекция магистральной сети</v>
      </c>
      <c r="G229" t="str">
        <f>IF('INHERENT MAP'!$B$5=2021,IF('РЕЕСТР РИСКОВ_2023'!K266="",G228,'РЕЕСТР РИСКОВ_2023'!K266),IF('INHERENT MAP'!$B$5=2022,IF(#REF!="",G228,#REF!),IF('INHERENT MAP'!$B$5=2023,IF(#REF!="",G228,#REF!),IF('INHERENT MAP'!$B$5=2024,IF(#REF!="",G228,#REF!),IF('РЕЕСТР РИСКОВ_2023'!K266="",G228,'РЕЕСТР РИСКОВ_2023'!K266)))))</f>
        <v>Риски, связанные с изменением физических параметров климата</v>
      </c>
      <c r="H229">
        <f>IF('INHERENT MAP'!$B$5=2021,'РЕЕСТР РИСКОВ_2023'!L266,IF('INHERENT MAP'!$B$5=2022,#REF!,IF('INHERENT MAP'!$B$5=2023,#REF!,IF('INHERENT MAP'!$B$5=2024,#REF!,#REF!))))</f>
        <v>0</v>
      </c>
      <c r="I229">
        <f>IF('INHERENT MAP'!$B$5=2021,'РЕЕСТР РИСКОВ_2023'!M266,IF('INHERENT MAP'!$B$5=2022,#REF!,IF('INHERENT MAP'!$B$5=2023,#REF!,IF('INHERENT MAP'!$B$5=2024,#REF!,#REF!))))</f>
        <v>0</v>
      </c>
      <c r="J229">
        <f>IF('INHERENT MAP'!$B$5=2021,'РЕЕСТР РИСКОВ_2023'!N266,IF('INHERENT MAP'!$B$5=2022,#REF!,IF('INHERENT MAP'!$B$5=2023,#REF!,IF('INHERENT MAP'!$B$5=2024,#REF!,#REF!))))</f>
        <v>0</v>
      </c>
      <c r="K229">
        <f>IF('INHERENT MAP'!$B$5=2021,'РЕЕСТР РИСКОВ_2023'!O266,IF('INHERENT MAP'!$B$5=2022,#REF!,IF('INHERENT MAP'!$B$5=2023,#REF!,IF('INHERENT MAP'!$B$5=2024,#REF!,#REF!))))</f>
        <v>0</v>
      </c>
      <c r="L229">
        <f>IF('INHERENT MAP'!$B$5=2021,'РЕЕСТР РИСКОВ_2023'!P266,IF('INHERENT MAP'!$B$5=2022,#REF!,IF('INHERENT MAP'!$B$5=2023,#REF!,IF('INHERENT MAP'!$B$5=2024,#REF!,#REF!))))</f>
        <v>0</v>
      </c>
      <c r="M229" t="str">
        <f>IF('INHERENT MAP'!$B$5=2021,IF('РЕЕСТР РИСКОВ_2023'!Q266="",M228,'РЕЕСТР РИСКОВ_2023'!Q266),IF('INHERENT MAP'!$B$5=2022,IF(#REF!="",M228,#REF!),IF('INHERENT MAP'!$B$5=2023,IF(#REF!="",M228,#REF!),IF('INHERENT MAP'!$B$5=2024,IF(#REF!="",M228,#REF!),IF('РЕЕСТР РИСКОВ_2023'!Q266="",M228,'РЕЕСТР РИСКОВ_2023'!Q266)))))</f>
        <v xml:space="preserve">1. Риск потопов, размытия дорожного полотна, искусственных сооружений и других объектов инфраструктуры
2. Риск повреждения объектов инфраструктуры вследсвие сильной жары/сильного мороза, а также засухи в регионах
3. Риск изменения структуры и объемов груза вследствие природных катаклизмов, связанных с изменением климата
</v>
      </c>
      <c r="N229" t="e">
        <f>IF('INHERENT MAP'!$B$5=2021,IF('РЕЕСТР РИСКОВ_2023'!R266="",N228,'РЕЕСТР РИСКОВ_2023'!R266),IF('INHERENT MAP'!$B$5=2022,IF(#REF!="",N228,#REF!),IF('INHERENT MAP'!$B$5=2023,IF(#REF!="",N228,#REF!),IF('INHERENT MAP'!$B$5=2024,IF(#REF!="",N228,#REF!),IF('РЕЕСТР РИСКОВ_2023'!R266="",N228,'РЕЕСТР РИСКОВ_2023'!R266)))))</f>
        <v>#REF!</v>
      </c>
      <c r="O229">
        <f>'РЕЕСТР РИСКОВ_2023'!T266</f>
        <v>0</v>
      </c>
      <c r="P229" t="e">
        <f>IF('РЕЕСТР РИСКОВ_2023'!U266="",P228,'РЕЕСТР РИСКОВ_2023'!U266)</f>
        <v>#REF!</v>
      </c>
      <c r="Q229" t="str">
        <f>IF('РЕЕСТР РИСКОВ_2023'!V266="",Q228,'РЕЕСТР РИСКОВ_2023'!V266)</f>
        <v>Угрозы</v>
      </c>
      <c r="R229" t="str">
        <f>IF('РЕЕСТР РИСКОВ_2023'!W266="",R228,'РЕЕСТР РИСКОВ_2023'!W266)</f>
        <v>1. корректировки, предложенные внешним аудитором 2. корректировки, предложенные Единственным  акционером</v>
      </c>
      <c r="S229">
        <f>'РЕЕСТР РИСКОВ_2023'!X266</f>
        <v>0</v>
      </c>
      <c r="T229" s="94">
        <f>IF('INHERENT MAP'!$B$5=2021,'РЕЕСТР РИСКОВ_2023'!Y266,IF('INHERENT MAP'!$B$5=2022,#REF!,IF('INHERENT MAP'!$B$5=2023,#REF!,IF('INHERENT MAP'!$B$5=2024,#REF!,#REF!))))</f>
        <v>0.25</v>
      </c>
      <c r="U229">
        <f>IF('INHERENT MAP'!$B$5=2021,'РЕЕСТР РИСКОВ_2023'!Z266,IF('INHERENT MAP'!$B$5=2022,#REF!,IF('INHERENT MAP'!$B$5=2023,#REF!,IF('INHERENT MAP'!$B$5=2024,#REF!,#REF!))))</f>
        <v>0</v>
      </c>
      <c r="V229">
        <f>IF('INHERENT MAP'!$B$5=2021,'РЕЕСТР РИСКОВ_2023'!AA266,IF('INHERENT MAP'!$B$5=2022,#REF!,IF('INHERENT MAP'!$B$5=2023,#REF!,IF('INHERENT MAP'!$B$5=2024,#REF!,#REF!))))</f>
        <v>0</v>
      </c>
      <c r="W229">
        <f>IF('INHERENT MAP'!$B$5=2021,'РЕЕСТР РИСКОВ_2023'!AB266,IF('INHERENT MAP'!$B$5=2022,#REF!,IF('INHERENT MAP'!$B$5=2023,#REF!,IF('INHERENT MAP'!$B$5=2024,#REF!,#REF!))))</f>
        <v>0</v>
      </c>
      <c r="X229" s="94">
        <f>IF('INHERENT MAP'!$B$5=2021,'РЕЕСТР РИСКОВ_2023'!AC266,IF('INHERENT MAP'!$B$5=2022,#REF!,IF('INHERENT MAP'!$B$5=2023,#REF!,IF('INHERENT MAP'!$B$5=2024,#REF!,#REF!))))</f>
        <v>0.25</v>
      </c>
      <c r="Y229">
        <f>IF('INHERENT MAP'!$B$5=2021,'РЕЕСТР РИСКОВ_2023'!AD266,IF('INHERENT MAP'!$B$5=2022,#REF!,IF('INHERENT MAP'!$B$5=2023,#REF!,IF('INHERENT MAP'!$B$5=2024,#REF!,#REF!))))</f>
        <v>0</v>
      </c>
      <c r="Z229">
        <f>IF('INHERENT MAP'!$B$5=2021,'РЕЕСТР РИСКОВ_2023'!AE266,IF('INHERENT MAP'!$B$5=2022,#REF!,IF('INHERENT MAP'!$B$5=2023,#REF!,IF('INHERENT MAP'!$B$5=2024,#REF!,#REF!))))</f>
        <v>0</v>
      </c>
      <c r="AA229">
        <f>IF('INHERENT MAP'!$B$5=2021,'РЕЕСТР РИСКОВ_2023'!AF266,IF('INHERENT MAP'!$B$5=2022,#REF!,IF('INHERENT MAP'!$B$5=2023,#REF!,IF('INHERENT MAP'!$B$5=2024,#REF!,#REF!))))</f>
        <v>0</v>
      </c>
      <c r="AB229">
        <f>IF('INHERENT MAP'!$B$5=2021,'РЕЕСТР РИСКОВ_2023'!AG266,IF('INHERENT MAP'!$B$5=2022,#REF!,IF('INHERENT MAP'!$B$5=2023,#REF!,IF('INHERENT MAP'!$B$5=2024,#REF!,#REF!))))</f>
        <v>0</v>
      </c>
      <c r="AC229">
        <f>IF('INHERENT MAP'!$B$5=2021,'РЕЕСТР РИСКОВ_2023'!AH266,IF('INHERENT MAP'!$B$5=2022,#REF!,IF('INHERENT MAP'!$B$5=2023,#REF!,IF('INHERENT MAP'!$B$5=2024,#REF!,#REF!))))</f>
        <v>0</v>
      </c>
      <c r="AD229">
        <f>IF('INHERENT MAP'!$B$5=2021,'РЕЕСТР РИСКОВ_2023'!AI266,IF('INHERENT MAP'!$B$5=2022,#REF!,IF('INHERENT MAP'!$B$5=2023,#REF!,IF('INHERENT MAP'!$B$5=2024,#REF!,#REF!))))</f>
        <v>0</v>
      </c>
      <c r="AE229">
        <f>IF('INHERENT MAP'!$B$5=2021,'РЕЕСТР РИСКОВ_2023'!AK266,IF('INHERENT MAP'!$B$5=2022,#REF!,IF('INHERENT MAP'!$B$5=2023,#REF!,IF('INHERENT MAP'!$B$5=2024,#REF!,#REF!))))</f>
        <v>0</v>
      </c>
      <c r="AF229">
        <f>IF('INHERENT MAP'!$B$5=2021,'РЕЕСТР РИСКОВ_2023'!AL266,IF('INHERENT MAP'!$B$5=2022,#REF!,IF('INHERENT MAP'!$B$5=2023,#REF!,IF('INHERENT MAP'!$B$5=2024,#REF!,#REF!))))</f>
        <v>0</v>
      </c>
      <c r="AG229" t="str">
        <f>IF('INHERENT MAP'!$B$5=2021,'РЕЕСТР РИСКОВ_2023'!AM266,IF('INHERENT MAP'!$B$5=2022,#REF!,IF('INHERENT MAP'!$B$5=2023,#REF!,IF('INHERENT MAP'!$B$5=2024,#REF!,#REF!))))</f>
        <v>средняя</v>
      </c>
      <c r="AH229">
        <f>IF('INHERENT MAP'!$B$5=2021,'РЕЕСТР РИСКОВ_2023'!AN266,IF('INHERENT MAP'!$B$5=2022,#REF!,IF('INHERENT MAP'!$B$5=2023,#REF!,IF('INHERENT MAP'!$B$5=2024,#REF!,#REF!))))</f>
        <v>0.125</v>
      </c>
      <c r="AI229">
        <f>IF('INHERENT MAP'!$B$5=2021,'РЕЕСТР РИСКОВ_2023'!AO266,IF('INHERENT MAP'!$B$5=2022,#REF!,IF('INHERENT MAP'!$B$5=2023,#REF!,IF('INHERENT MAP'!$B$5=2024,#REF!,#REF!))))</f>
        <v>0</v>
      </c>
      <c r="AJ229">
        <f>IF('INHERENT MAP'!$B$5=2021,'РЕЕСТР РИСКОВ_2023'!AP266,IF('INHERENT MAP'!$B$5=2022,#REF!,IF('INHERENT MAP'!$B$5=2023,#REF!,IF('INHERENT MAP'!$B$5=2024,#REF!,#REF!))))</f>
        <v>0</v>
      </c>
      <c r="AK229">
        <f>IF('РЕЕСТР РИСКОВ_2023'!AQ266="",AK228,'РЕЕСТР РИСКОВ_2023'!AQ266)</f>
        <v>0</v>
      </c>
      <c r="AL229">
        <f>IF('РЕЕСТР РИСКОВ_2023'!AR266="",AL228,'РЕЕСТР РИСКОВ_2023'!AR266)</f>
        <v>0.125</v>
      </c>
      <c r="AM229">
        <f>IF('РЕЕСТР РИСКОВ_2023'!AS266="",AM228,'РЕЕСТР РИСКОВ_2023'!AS266)</f>
        <v>0</v>
      </c>
      <c r="AN229">
        <f>IF('РЕЕСТР РИСКОВ_2023'!AT266="",AN228,'РЕЕСТР РИСКОВ_2023'!AT266)</f>
        <v>0</v>
      </c>
      <c r="AO229" t="e">
        <f>IF('РЕЕСТР РИСКОВ_2023'!AU266="",AO228,'РЕЕСТР РИСКОВ_2023'!AU266)</f>
        <v>#REF!</v>
      </c>
    </row>
    <row r="230" spans="2:41">
      <c r="B230" t="str">
        <f>IF('INHERENT MAP'!$B$5=2021,IF('РЕЕСТР РИСКОВ_2023'!F272="",B229,'РЕЕСТР РИСКОВ_2023'!F272),IF('INHERENT MAP'!$B$5=2022,IF(#REF!="",B229,#REF!),IF('INHERENT MAP'!$B$5=2023,IF(#REF!="",B229,#REF!),IF('INHERENT MAP'!$B$5=2024,IF(#REF!="",B229,#REF!),IF('РЕЕСТР РИСКОВ_2023'!F272="",B229,'РЕЕСТР РИСКОВ_2023'!F272)))))</f>
        <v>РИСКИ КОРПОРАТИВНОГО УПРАВЛЕНИЯ (ESG)</v>
      </c>
      <c r="C230" t="e">
        <f>IF('INHERENT MAP'!$B$5=2021,IF('РЕЕСТР РИСКОВ_2023'!G272="",C229,'РЕЕСТР РИСКОВ_2023'!G272),IF('INHERENT MAP'!$B$5=2022,IF(#REF!="",C229,#REF!),IF('INHERENT MAP'!$B$5=2023,IF(#REF!="",C229,#REF!),IF('INHERENT MAP'!$B$5=2024,IF(#REF!="",C229,#REF!),IF('РЕЕСТР РИСКОВ_2023'!G272="",C229,'РЕЕСТР РИСКОВ_2023'!G272)))))</f>
        <v>#REF!</v>
      </c>
      <c r="D230" t="str">
        <f>IF('INHERENT MAP'!$B$5=2021,IF('РЕЕСТР РИСКОВ_2023'!H272="",D229,'РЕЕСТР РИСКОВ_2023'!H272),IF('INHERENT MAP'!$B$5=2022,IF(#REF!="",D229,#REF!),IF('INHERENT MAP'!$B$5=2023,IF(#REF!="",D229,#REF!),IF('INHERENT MAP'!$B$5=2024,IF(#REF!="",D229,#REF!),IF('РЕЕСТР РИСКОВ_2023'!H272="",D229,'РЕЕСТР РИСКОВ_2023'!H272)))))</f>
        <v>CGR-1</v>
      </c>
      <c r="E230" t="str">
        <f>IF('INHERENT MAP'!$B$5=2021,IF('РЕЕСТР РИСКОВ_2023'!I272="",E229,'РЕЕСТР РИСКОВ_2023'!I272),IF('INHERENT MAP'!$B$5=2022,IF(#REF!="",E229,#REF!),IF('INHERENT MAP'!$B$5=2023,IF(#REF!="",E229,#REF!),IF('INHERENT MAP'!$B$5=2024,IF(#REF!="",E229,#REF!),IF('РЕЕСТР РИСКОВ_2023'!I272="",E229,'РЕЕСТР РИСКОВ_2023'!I272)))))</f>
        <v>ЦЗЦ-1</v>
      </c>
      <c r="F230" t="str">
        <f>IF('INHERENT MAP'!$B$5=2021,IF('РЕЕСТР РИСКОВ_2023'!J272="",F229,'РЕЕСТР РИСКОВ_2023'!J272),IF('INHERENT MAP'!$B$5=2022,IF(#REF!="",F229,#REF!),IF('INHERENT MAP'!$B$5=2023,IF(#REF!="",F229,#REF!),IF('INHERENT MAP'!$B$5=2024,IF(#REF!="",F229,#REF!),IF('РЕЕСТР РИСКОВ_2023'!J272="",F229,'РЕЕСТР РИСКОВ_2023'!J272)))))</f>
        <v>ЦБА</v>
      </c>
      <c r="G230" t="str">
        <f>IF('INHERENT MAP'!$B$5=2021,IF('РЕЕСТР РИСКОВ_2023'!K272="",G229,'РЕЕСТР РИСКОВ_2023'!K272),IF('INHERENT MAP'!$B$5=2022,IF(#REF!="",G229,#REF!),IF('INHERENT MAP'!$B$5=2023,IF(#REF!="",G229,#REF!),IF('INHERENT MAP'!$B$5=2024,IF(#REF!="",G229,#REF!),IF('РЕЕСТР РИСКОВ_2023'!K272="",G229,'РЕЕСТР РИСКОВ_2023'!K272)))))</f>
        <v>Риск отзыва сертификата соотвествия требованиям международных стандартов на  которые сертифицирована Компания.</v>
      </c>
      <c r="H230" t="str">
        <f>IF('INHERENT MAP'!$B$5=2021,'РЕЕСТР РИСКОВ_2023'!L272,IF('INHERENT MAP'!$B$5=2022,#REF!,IF('INHERENT MAP'!$B$5=2023,#REF!,IF('INHERENT MAP'!$B$5=2024,#REF!,#REF!))))</f>
        <v>Подверждение соотвествия системы управления Компании требованиям международных стандартов на  которые сертифицирована Компания.</v>
      </c>
      <c r="I230" t="str">
        <f>IF('INHERENT MAP'!$B$5=2021,'РЕЕСТР РИСКОВ_2023'!M272,IF('INHERENT MAP'!$B$5=2022,#REF!,IF('INHERENT MAP'!$B$5=2023,#REF!,IF('INHERENT MAP'!$B$5=2024,#REF!,#REF!))))</f>
        <v>до конца года</v>
      </c>
      <c r="J230" t="str">
        <f>IF('INHERENT MAP'!$B$5=2021,'РЕЕСТР РИСКОВ_2023'!N272,IF('INHERENT MAP'!$B$5=2022,#REF!,IF('INHERENT MAP'!$B$5=2023,#REF!,IF('INHERENT MAP'!$B$5=2024,#REF!,#REF!))))</f>
        <v>Отчет, представленный   органом по сертификации по итогам  инспекционного аудита</v>
      </c>
      <c r="K230">
        <f>IF('INHERENT MAP'!$B$5=2021,'РЕЕСТР РИСКОВ_2023'!O272,IF('INHERENT MAP'!$B$5=2022,#REF!,IF('INHERENT MAP'!$B$5=2023,#REF!,IF('INHERENT MAP'!$B$5=2024,#REF!,#REF!))))</f>
        <v>0</v>
      </c>
      <c r="L230">
        <f>IF('INHERENT MAP'!$B$5=2021,'РЕЕСТР РИСКОВ_2023'!P272,IF('INHERENT MAP'!$B$5=2022,#REF!,IF('INHERENT MAP'!$B$5=2023,#REF!,IF('INHERENT MAP'!$B$5=2024,#REF!,#REF!))))</f>
        <v>0</v>
      </c>
      <c r="M230" t="str">
        <f>IF('INHERENT MAP'!$B$5=2021,IF('РЕЕСТР РИСКОВ_2023'!Q272="",M229,'РЕЕСТР РИСКОВ_2023'!Q272),IF('INHERENT MAP'!$B$5=2022,IF(#REF!="",M229,#REF!),IF('INHERENT MAP'!$B$5=2023,IF(#REF!="",M229,#REF!),IF('INHERENT MAP'!$B$5=2024,IF(#REF!="",M229,#REF!),IF('РЕЕСТР РИСКОВ_2023'!Q272="",M229,'РЕЕСТР РИСКОВ_2023'!Q272)))))</f>
        <v>Риск отзыва сертификата соответствия требованиям международных стандартов на  которые сертифицирована Компания.</v>
      </c>
      <c r="N230" t="str">
        <f>IF('INHERENT MAP'!$B$5=2021,IF('РЕЕСТР РИСКОВ_2023'!R272="",N229,'РЕЕСТР РИСКОВ_2023'!R272),IF('INHERENT MAP'!$B$5=2022,IF(#REF!="",N229,#REF!),IF('INHERENT MAP'!$B$5=2023,IF(#REF!="",N229,#REF!),IF('INHERENT MAP'!$B$5=2024,IF(#REF!="",N229,#REF!),IF('РЕЕСТР РИСКОВ_2023'!R272="",N229,'РЕЕСТР РИСКОВ_2023'!R272)))))</f>
        <v>Невыполнение требований  нормативных правовых актов РК, внутренних актов  Компании, международных стандартов ISO 9001, 14001, 50001, 45001</v>
      </c>
      <c r="O230" t="str">
        <f>'РЕЕСТР РИСКОВ_2023'!T272</f>
        <v>Отчет, представленный   органом по сертификации по итогам  инспекционного аудита</v>
      </c>
      <c r="P230" t="e">
        <f>IF('РЕЕСТР РИСКОВ_2023'!U272="",P229,'РЕЕСТР РИСКОВ_2023'!U272)</f>
        <v>#REF!</v>
      </c>
      <c r="Q230" t="str">
        <f>IF('РЕЕСТР РИСКОВ_2023'!V272="",Q229,'РЕЕСТР РИСКОВ_2023'!V272)</f>
        <v>Слабые стороны</v>
      </c>
      <c r="R230" t="str">
        <f>IF('РЕЕСТР РИСКОВ_2023'!W272="",R229,'РЕЕСТР РИСКОВ_2023'!W272)</f>
        <v>1. корректировки, предложенные внешним аудитором 2. корректировки, предложенные Единственным  акционером</v>
      </c>
      <c r="S230">
        <f>'РЕЕСТР РИСКОВ_2023'!X272</f>
        <v>0</v>
      </c>
      <c r="T230" s="94">
        <f>IF('INHERENT MAP'!$B$5=2021,'РЕЕСТР РИСКОВ_2023'!Y272,IF('INHERENT MAP'!$B$5=2022,#REF!,IF('INHERENT MAP'!$B$5=2023,#REF!,IF('INHERENT MAP'!$B$5=2024,#REF!,#REF!))))</f>
        <v>0.05</v>
      </c>
      <c r="U230">
        <f>IF('INHERENT MAP'!$B$5=2021,'РЕЕСТР РИСКОВ_2023'!Z272,IF('INHERENT MAP'!$B$5=2022,#REF!,IF('INHERENT MAP'!$B$5=2023,#REF!,IF('INHERENT MAP'!$B$5=2024,#REF!,#REF!))))</f>
        <v>0</v>
      </c>
      <c r="V230">
        <f>IF('INHERENT MAP'!$B$5=2021,'РЕЕСТР РИСКОВ_2023'!AA272,IF('INHERENT MAP'!$B$5=2022,#REF!,IF('INHERENT MAP'!$B$5=2023,#REF!,IF('INHERENT MAP'!$B$5=2024,#REF!,#REF!))))</f>
        <v>0</v>
      </c>
      <c r="W230">
        <f>IF('INHERENT MAP'!$B$5=2021,'РЕЕСТР РИСКОВ_2023'!AB272,IF('INHERENT MAP'!$B$5=2022,#REF!,IF('INHERENT MAP'!$B$5=2023,#REF!,IF('INHERENT MAP'!$B$5=2024,#REF!,#REF!))))</f>
        <v>0</v>
      </c>
      <c r="X230" s="94">
        <f>IF('INHERENT MAP'!$B$5=2021,'РЕЕСТР РИСКОВ_2023'!AC272,IF('INHERENT MAP'!$B$5=2022,#REF!,IF('INHERENT MAP'!$B$5=2023,#REF!,IF('INHERENT MAP'!$B$5=2024,#REF!,#REF!))))</f>
        <v>0.05</v>
      </c>
      <c r="Y230">
        <f>IF('INHERENT MAP'!$B$5=2021,'РЕЕСТР РИСКОВ_2023'!AD272,IF('INHERENT MAP'!$B$5=2022,#REF!,IF('INHERENT MAP'!$B$5=2023,#REF!,IF('INHERENT MAP'!$B$5=2024,#REF!,#REF!))))</f>
        <v>0</v>
      </c>
      <c r="Z230">
        <f>IF('INHERENT MAP'!$B$5=2021,'РЕЕСТР РИСКОВ_2023'!AE272,IF('INHERENT MAP'!$B$5=2022,#REF!,IF('INHERENT MAP'!$B$5=2023,#REF!,IF('INHERENT MAP'!$B$5=2024,#REF!,#REF!))))</f>
        <v>0</v>
      </c>
      <c r="AA230" t="str">
        <f>IF('INHERENT MAP'!$B$5=2021,'РЕЕСТР РИСКОВ_2023'!AF272,IF('INHERENT MAP'!$B$5=2022,#REF!,IF('INHERENT MAP'!$B$5=2023,#REF!,IF('INHERENT MAP'!$B$5=2024,#REF!,#REF!))))</f>
        <v>в течение года</v>
      </c>
      <c r="AB230">
        <f>IF('INHERENT MAP'!$B$5=2021,'РЕЕСТР РИСКОВ_2023'!AG272,IF('INHERENT MAP'!$B$5=2022,#REF!,IF('INHERENT MAP'!$B$5=2023,#REF!,IF('INHERENT MAP'!$B$5=2024,#REF!,#REF!))))</f>
        <v>0</v>
      </c>
      <c r="AC230">
        <f>IF('INHERENT MAP'!$B$5=2021,'РЕЕСТР РИСКОВ_2023'!AH272,IF('INHERENT MAP'!$B$5=2022,#REF!,IF('INHERENT MAP'!$B$5=2023,#REF!,IF('INHERENT MAP'!$B$5=2024,#REF!,#REF!))))</f>
        <v>0</v>
      </c>
      <c r="AD230" t="str">
        <f>IF('INHERENT MAP'!$B$5=2021,'РЕЕСТР РИСКОВ_2023'!AI272,IF('INHERENT MAP'!$B$5=2022,#REF!,IF('INHERENT MAP'!$B$5=2023,#REF!,IF('INHERENT MAP'!$B$5=2024,#REF!,#REF!))))</f>
        <v>1. Актуализация локальных актов Компании в пределах компетенции Департамента, экспертиза локальных актов Компании.                                                                                                  
2. Мониторинг выполнения плана корректирующих действий, плана по выполнению рекомендаций и анализа результативности выполненых мероприятий по устранению несоответствий и рекомендаций, выявленных по итогам предыдущего внешнего аудита.                                                                                     
3. Планирование обучения работников Департамента по вопросам интегрированной системы менеджмента  (подача заявки на обучение, формирование списков на обучение, рассмотрение и согласование протокола выбора провайдера).                                                          
4. Проведение обучающих мероприятий (тренингов/семинаров/вебинаров) с работниками структурных подразделений по интегрированной системе менеджмента.
5. Проведение внутреннего аудита в структурных подразделениях Компании.</v>
      </c>
      <c r="AE230" t="str">
        <f>IF('INHERENT MAP'!$B$5=2021,'РЕЕСТР РИСКОВ_2023'!AK272,IF('INHERENT MAP'!$B$5=2022,#REF!,IF('INHERENT MAP'!$B$5=2023,#REF!,IF('INHERENT MAP'!$B$5=2024,#REF!,#REF!))))</f>
        <v>ЦБА</v>
      </c>
      <c r="AF230">
        <f>IF('INHERENT MAP'!$B$5=2021,'РЕЕСТР РИСКОВ_2023'!AL272,IF('INHERENT MAP'!$B$5=2022,#REF!,IF('INHERENT MAP'!$B$5=2023,#REF!,IF('INHERENT MAP'!$B$5=2024,#REF!,#REF!))))</f>
        <v>2023</v>
      </c>
      <c r="AG230" t="str">
        <f>IF('INHERENT MAP'!$B$5=2021,'РЕЕСТР РИСКОВ_2023'!AM272,IF('INHERENT MAP'!$B$5=2022,#REF!,IF('INHERENT MAP'!$B$5=2023,#REF!,IF('INHERENT MAP'!$B$5=2024,#REF!,#REF!))))</f>
        <v>высокая</v>
      </c>
      <c r="AH230">
        <f>IF('INHERENT MAP'!$B$5=2021,'РЕЕСТР РИСКОВ_2023'!AN272,IF('INHERENT MAP'!$B$5=2022,#REF!,IF('INHERENT MAP'!$B$5=2023,#REF!,IF('INHERENT MAP'!$B$5=2024,#REF!,#REF!))))</f>
        <v>1.4999999999999999E-2</v>
      </c>
      <c r="AI230">
        <f>IF('INHERENT MAP'!$B$5=2021,'РЕЕСТР РИСКОВ_2023'!AO272,IF('INHERENT MAP'!$B$5=2022,#REF!,IF('INHERENT MAP'!$B$5=2023,#REF!,IF('INHERENT MAP'!$B$5=2024,#REF!,#REF!))))</f>
        <v>0</v>
      </c>
      <c r="AJ230">
        <f>IF('INHERENT MAP'!$B$5=2021,'РЕЕСТР РИСКОВ_2023'!AP272,IF('INHERENT MAP'!$B$5=2022,#REF!,IF('INHERENT MAP'!$B$5=2023,#REF!,IF('INHERENT MAP'!$B$5=2024,#REF!,#REF!))))</f>
        <v>0</v>
      </c>
      <c r="AK230">
        <f>IF('РЕЕСТР РИСКОВ_2023'!AQ272="",AK229,'РЕЕСТР РИСКОВ_2023'!AQ272)</f>
        <v>0</v>
      </c>
      <c r="AL230">
        <f>IF('РЕЕСТР РИСКОВ_2023'!AR272="",AL229,'РЕЕСТР РИСКОВ_2023'!AR272)</f>
        <v>1.4999999999999999E-2</v>
      </c>
      <c r="AM230">
        <f>IF('РЕЕСТР РИСКОВ_2023'!AS272="",AM229,'РЕЕСТР РИСКОВ_2023'!AS272)</f>
        <v>0</v>
      </c>
      <c r="AN230">
        <f>IF('РЕЕСТР РИСКОВ_2023'!AT272="",AN229,'РЕЕСТР РИСКОВ_2023'!AT272)</f>
        <v>0</v>
      </c>
      <c r="AO230" t="e">
        <f>IF('РЕЕСТР РИСКОВ_2023'!AU272="",AO229,'РЕЕСТР РИСКОВ_2023'!AU272)</f>
        <v>#REF!</v>
      </c>
    </row>
    <row r="231" spans="2:41">
      <c r="B231" t="str">
        <f>IF('INHERENT MAP'!$B$5=2021,IF('РЕЕСТР РИСКОВ_2023'!F273="",B230,'РЕЕСТР РИСКОВ_2023'!F273),IF('INHERENT MAP'!$B$5=2022,IF(#REF!="",B230,#REF!),IF('INHERENT MAP'!$B$5=2023,IF(#REF!="",B230,#REF!),IF('INHERENT MAP'!$B$5=2024,IF(#REF!="",B230,#REF!),IF('РЕЕСТР РИСКОВ_2023'!F273="",B230,'РЕЕСТР РИСКОВ_2023'!F273)))))</f>
        <v>РИСКИ КОРПОРАТИВНОГО УПРАВЛЕНИЯ (ESG)</v>
      </c>
      <c r="C231" t="e">
        <f>IF('INHERENT MAP'!$B$5=2021,IF('РЕЕСТР РИСКОВ_2023'!G273="",C230,'РЕЕСТР РИСКОВ_2023'!G273),IF('INHERENT MAP'!$B$5=2022,IF(#REF!="",C230,#REF!),IF('INHERENT MAP'!$B$5=2023,IF(#REF!="",C230,#REF!),IF('INHERENT MAP'!$B$5=2024,IF(#REF!="",C230,#REF!),IF('РЕЕСТР РИСКОВ_2023'!G273="",C230,'РЕЕСТР РИСКОВ_2023'!G273)))))</f>
        <v>#REF!</v>
      </c>
      <c r="D231" t="str">
        <f>IF('INHERENT MAP'!$B$5=2021,IF('РЕЕСТР РИСКОВ_2023'!H273="",D230,'РЕЕСТР РИСКОВ_2023'!H273),IF('INHERENT MAP'!$B$5=2022,IF(#REF!="",D230,#REF!),IF('INHERENT MAP'!$B$5=2023,IF(#REF!="",D230,#REF!),IF('INHERENT MAP'!$B$5=2024,IF(#REF!="",D230,#REF!),IF('РЕЕСТР РИСКОВ_2023'!H273="",D230,'РЕЕСТР РИСКОВ_2023'!H273)))))</f>
        <v>CGR-1</v>
      </c>
      <c r="E231" t="str">
        <f>IF('INHERENT MAP'!$B$5=2021,IF('РЕЕСТР РИСКОВ_2023'!I273="",E230,'РЕЕСТР РИСКОВ_2023'!I273),IF('INHERENT MAP'!$B$5=2022,IF(#REF!="",E230,#REF!),IF('INHERENT MAP'!$B$5=2023,IF(#REF!="",E230,#REF!),IF('INHERENT MAP'!$B$5=2024,IF(#REF!="",E230,#REF!),IF('РЕЕСТР РИСКОВ_2023'!I273="",E230,'РЕЕСТР РИСКОВ_2023'!I273)))))</f>
        <v>ЦЗЦ-1</v>
      </c>
      <c r="F231" t="str">
        <f>IF('INHERENT MAP'!$B$5=2021,IF('РЕЕСТР РИСКОВ_2023'!J273="",F230,'РЕЕСТР РИСКОВ_2023'!J273),IF('INHERENT MAP'!$B$5=2022,IF(#REF!="",F230,#REF!),IF('INHERENT MAP'!$B$5=2023,IF(#REF!="",F230,#REF!),IF('INHERENT MAP'!$B$5=2024,IF(#REF!="",F230,#REF!),IF('РЕЕСТР РИСКОВ_2023'!J273="",F230,'РЕЕСТР РИСКОВ_2023'!J273)))))</f>
        <v>ЦБА</v>
      </c>
      <c r="G231" t="str">
        <f>IF('INHERENT MAP'!$B$5=2021,IF('РЕЕСТР РИСКОВ_2023'!K273="",G230,'РЕЕСТР РИСКОВ_2023'!K273),IF('INHERENT MAP'!$B$5=2022,IF(#REF!="",G230,#REF!),IF('INHERENT MAP'!$B$5=2023,IF(#REF!="",G230,#REF!),IF('INHERENT MAP'!$B$5=2024,IF(#REF!="",G230,#REF!),IF('РЕЕСТР РИСКОВ_2023'!K273="",G230,'РЕЕСТР РИСКОВ_2023'!K273)))))</f>
        <v>Риск отзыва сертификата соотвествия требованиям международных стандартов на  которые сертифицирована Компания.</v>
      </c>
      <c r="H231">
        <f>IF('INHERENT MAP'!$B$5=2021,'РЕЕСТР РИСКОВ_2023'!L273,IF('INHERENT MAP'!$B$5=2022,#REF!,IF('INHERENT MAP'!$B$5=2023,#REF!,IF('INHERENT MAP'!$B$5=2024,#REF!,#REF!))))</f>
        <v>0</v>
      </c>
      <c r="I231">
        <f>IF('INHERENT MAP'!$B$5=2021,'РЕЕСТР РИСКОВ_2023'!M273,IF('INHERENT MAP'!$B$5=2022,#REF!,IF('INHERENT MAP'!$B$5=2023,#REF!,IF('INHERENT MAP'!$B$5=2024,#REF!,#REF!))))</f>
        <v>0</v>
      </c>
      <c r="J231">
        <f>IF('INHERENT MAP'!$B$5=2021,'РЕЕСТР РИСКОВ_2023'!N273,IF('INHERENT MAP'!$B$5=2022,#REF!,IF('INHERENT MAP'!$B$5=2023,#REF!,IF('INHERENT MAP'!$B$5=2024,#REF!,#REF!))))</f>
        <v>0</v>
      </c>
      <c r="K231">
        <f>IF('INHERENT MAP'!$B$5=2021,'РЕЕСТР РИСКОВ_2023'!O273,IF('INHERENT MAP'!$B$5=2022,#REF!,IF('INHERENT MAP'!$B$5=2023,#REF!,IF('INHERENT MAP'!$B$5=2024,#REF!,#REF!))))</f>
        <v>0</v>
      </c>
      <c r="L231">
        <f>IF('INHERENT MAP'!$B$5=2021,'РЕЕСТР РИСКОВ_2023'!P273,IF('INHERENT MAP'!$B$5=2022,#REF!,IF('INHERENT MAP'!$B$5=2023,#REF!,IF('INHERENT MAP'!$B$5=2024,#REF!,#REF!))))</f>
        <v>0</v>
      </c>
      <c r="M231" t="str">
        <f>IF('INHERENT MAP'!$B$5=2021,IF('РЕЕСТР РИСКОВ_2023'!Q273="",M230,'РЕЕСТР РИСКОВ_2023'!Q273),IF('INHERENT MAP'!$B$5=2022,IF(#REF!="",M230,#REF!),IF('INHERENT MAP'!$B$5=2023,IF(#REF!="",M230,#REF!),IF('INHERENT MAP'!$B$5=2024,IF(#REF!="",M230,#REF!),IF('РЕЕСТР РИСКОВ_2023'!Q273="",M230,'РЕЕСТР РИСКОВ_2023'!Q273)))))</f>
        <v>Риск отзыва сертификата соответствия требованиям международных стандартов на  которые сертифицирована Компания.</v>
      </c>
      <c r="N231" t="str">
        <f>IF('INHERENT MAP'!$B$5=2021,IF('РЕЕСТР РИСКОВ_2023'!R273="",N230,'РЕЕСТР РИСКОВ_2023'!R273),IF('INHERENT MAP'!$B$5=2022,IF(#REF!="",N230,#REF!),IF('INHERENT MAP'!$B$5=2023,IF(#REF!="",N230,#REF!),IF('INHERENT MAP'!$B$5=2024,IF(#REF!="",N230,#REF!),IF('РЕЕСТР РИСКОВ_2023'!R273="",N230,'РЕЕСТР РИСКОВ_2023'!R273)))))</f>
        <v>Срыв проведения ежегодного внешнего аудита</v>
      </c>
      <c r="O231" t="str">
        <f>'РЕЕСТР РИСКОВ_2023'!T273</f>
        <v>Письмо от органа по сертификации об отзыва сертификато соотвествия</v>
      </c>
      <c r="P231" t="e">
        <f>IF('РЕЕСТР РИСКОВ_2023'!U273="",P230,'РЕЕСТР РИСКОВ_2023'!U273)</f>
        <v>#REF!</v>
      </c>
      <c r="Q231" t="str">
        <f>IF('РЕЕСТР РИСКОВ_2023'!V273="",Q230,'РЕЕСТР РИСКОВ_2023'!V273)</f>
        <v>Угрозы</v>
      </c>
      <c r="R231" t="str">
        <f>IF('РЕЕСТР РИСКОВ_2023'!W273="",R230,'РЕЕСТР РИСКОВ_2023'!W273)</f>
        <v>несвоевременное проведение закупочных процедур и заключение договора</v>
      </c>
      <c r="S231">
        <f>'РЕЕСТР РИСКОВ_2023'!X273</f>
        <v>0</v>
      </c>
      <c r="T231" s="94">
        <f>IF('INHERENT MAP'!$B$5=2021,'РЕЕСТР РИСКОВ_2023'!Y273,IF('INHERENT MAP'!$B$5=2022,#REF!,IF('INHERENT MAP'!$B$5=2023,#REF!,IF('INHERENT MAP'!$B$5=2024,#REF!,#REF!))))</f>
        <v>0.05</v>
      </c>
      <c r="U231">
        <f>IF('INHERENT MAP'!$B$5=2021,'РЕЕСТР РИСКОВ_2023'!Z273,IF('INHERENT MAP'!$B$5=2022,#REF!,IF('INHERENT MAP'!$B$5=2023,#REF!,IF('INHERENT MAP'!$B$5=2024,#REF!,#REF!))))</f>
        <v>0</v>
      </c>
      <c r="V231">
        <f>IF('INHERENT MAP'!$B$5=2021,'РЕЕСТР РИСКОВ_2023'!AA273,IF('INHERENT MAP'!$B$5=2022,#REF!,IF('INHERENT MAP'!$B$5=2023,#REF!,IF('INHERENT MAP'!$B$5=2024,#REF!,#REF!))))</f>
        <v>0</v>
      </c>
      <c r="W231">
        <f>IF('INHERENT MAP'!$B$5=2021,'РЕЕСТР РИСКОВ_2023'!AB273,IF('INHERENT MAP'!$B$5=2022,#REF!,IF('INHERENT MAP'!$B$5=2023,#REF!,IF('INHERENT MAP'!$B$5=2024,#REF!,#REF!))))</f>
        <v>0</v>
      </c>
      <c r="X231" s="94">
        <f>IF('INHERENT MAP'!$B$5=2021,'РЕЕСТР РИСКОВ_2023'!AC273,IF('INHERENT MAP'!$B$5=2022,#REF!,IF('INHERENT MAP'!$B$5=2023,#REF!,IF('INHERENT MAP'!$B$5=2024,#REF!,#REF!))))</f>
        <v>0.05</v>
      </c>
      <c r="Y231">
        <f>IF('INHERENT MAP'!$B$5=2021,'РЕЕСТР РИСКОВ_2023'!AD273,IF('INHERENT MAP'!$B$5=2022,#REF!,IF('INHERENT MAP'!$B$5=2023,#REF!,IF('INHERENT MAP'!$B$5=2024,#REF!,#REF!))))</f>
        <v>0</v>
      </c>
      <c r="Z231">
        <f>IF('INHERENT MAP'!$B$5=2021,'РЕЕСТР РИСКОВ_2023'!AE273,IF('INHERENT MAP'!$B$5=2022,#REF!,IF('INHERENT MAP'!$B$5=2023,#REF!,IF('INHERENT MAP'!$B$5=2024,#REF!,#REF!))))</f>
        <v>0</v>
      </c>
      <c r="AA231" t="str">
        <f>IF('INHERENT MAP'!$B$5=2021,'РЕЕСТР РИСКОВ_2023'!AF273,IF('INHERENT MAP'!$B$5=2022,#REF!,IF('INHERENT MAP'!$B$5=2023,#REF!,IF('INHERENT MAP'!$B$5=2024,#REF!,#REF!))))</f>
        <v>в течение года</v>
      </c>
      <c r="AB231">
        <f>IF('INHERENT MAP'!$B$5=2021,'РЕЕСТР РИСКОВ_2023'!AG273,IF('INHERENT MAP'!$B$5=2022,#REF!,IF('INHERENT MAP'!$B$5=2023,#REF!,IF('INHERENT MAP'!$B$5=2024,#REF!,#REF!))))</f>
        <v>0</v>
      </c>
      <c r="AC231">
        <f>IF('INHERENT MAP'!$B$5=2021,'РЕЕСТР РИСКОВ_2023'!AH273,IF('INHERENT MAP'!$B$5=2022,#REF!,IF('INHERENT MAP'!$B$5=2023,#REF!,IF('INHERENT MAP'!$B$5=2024,#REF!,#REF!))))</f>
        <v>0</v>
      </c>
      <c r="AD231" t="str">
        <f>IF('INHERENT MAP'!$B$5=2021,'РЕЕСТР РИСКОВ_2023'!AI273,IF('INHERENT MAP'!$B$5=2022,#REF!,IF('INHERENT MAP'!$B$5=2023,#REF!,IF('INHERENT MAP'!$B$5=2024,#REF!,#REF!))))</f>
        <v>1. Своевременная подача заявки на включение в План развития и План закупок Компании.              
2. Проведение работ по закупке услуг по проведению инспекционного аудита АО «НК «ҚТЖ».                                                                                                                                        
3. Организация проведения инспекционного  аудита на соответствие требованиям международных стандартов  ISO 9001:2015, ISO 14001:2015, ISO 45001:2018, ISO 50001:2018 ( в том числе взаимодействие с органом по сертификации в части согласования плана аудита).</v>
      </c>
      <c r="AE231" t="str">
        <f>IF('INHERENT MAP'!$B$5=2021,'РЕЕСТР РИСКОВ_2023'!AK273,IF('INHERENT MAP'!$B$5=2022,#REF!,IF('INHERENT MAP'!$B$5=2023,#REF!,IF('INHERENT MAP'!$B$5=2024,#REF!,#REF!))))</f>
        <v>ЦБА</v>
      </c>
      <c r="AF231">
        <f>IF('INHERENT MAP'!$B$5=2021,'РЕЕСТР РИСКОВ_2023'!AL273,IF('INHERENT MAP'!$B$5=2022,#REF!,IF('INHERENT MAP'!$B$5=2023,#REF!,IF('INHERENT MAP'!$B$5=2024,#REF!,#REF!))))</f>
        <v>2023</v>
      </c>
      <c r="AG231" t="str">
        <f>IF('INHERENT MAP'!$B$5=2021,'РЕЕСТР РИСКОВ_2023'!AM273,IF('INHERENT MAP'!$B$5=2022,#REF!,IF('INHERENT MAP'!$B$5=2023,#REF!,IF('INHERENT MAP'!$B$5=2024,#REF!,#REF!))))</f>
        <v>высокая</v>
      </c>
      <c r="AH231">
        <f>IF('INHERENT MAP'!$B$5=2021,'РЕЕСТР РИСКОВ_2023'!AN273,IF('INHERENT MAP'!$B$5=2022,#REF!,IF('INHERENT MAP'!$B$5=2023,#REF!,IF('INHERENT MAP'!$B$5=2024,#REF!,#REF!))))</f>
        <v>1.4999999999999999E-2</v>
      </c>
      <c r="AI231">
        <f>IF('INHERENT MAP'!$B$5=2021,'РЕЕСТР РИСКОВ_2023'!AO273,IF('INHERENT MAP'!$B$5=2022,#REF!,IF('INHERENT MAP'!$B$5=2023,#REF!,IF('INHERENT MAP'!$B$5=2024,#REF!,#REF!))))</f>
        <v>0</v>
      </c>
      <c r="AJ231">
        <f>IF('INHERENT MAP'!$B$5=2021,'РЕЕСТР РИСКОВ_2023'!AP273,IF('INHERENT MAP'!$B$5=2022,#REF!,IF('INHERENT MAP'!$B$5=2023,#REF!,IF('INHERENT MAP'!$B$5=2024,#REF!,#REF!))))</f>
        <v>0</v>
      </c>
      <c r="AK231">
        <f>IF('РЕЕСТР РИСКОВ_2023'!AQ273="",AK230,'РЕЕСТР РИСКОВ_2023'!AQ273)</f>
        <v>0</v>
      </c>
      <c r="AL231">
        <f>IF('РЕЕСТР РИСКОВ_2023'!AR273="",AL230,'РЕЕСТР РИСКОВ_2023'!AR273)</f>
        <v>1.4999999999999999E-2</v>
      </c>
      <c r="AM231">
        <f>IF('РЕЕСТР РИСКОВ_2023'!AS273="",AM230,'РЕЕСТР РИСКОВ_2023'!AS273)</f>
        <v>0</v>
      </c>
      <c r="AN231">
        <f>IF('РЕЕСТР РИСКОВ_2023'!AT273="",AN230,'РЕЕСТР РИСКОВ_2023'!AT273)</f>
        <v>0</v>
      </c>
      <c r="AO231" t="e">
        <f>IF('РЕЕСТР РИСКОВ_2023'!AU273="",AO230,'РЕЕСТР РИСКОВ_2023'!AU273)</f>
        <v>#REF!</v>
      </c>
    </row>
    <row r="232" spans="2:41">
      <c r="B232" t="str">
        <f>IF('INHERENT MAP'!$B$5=2021,IF('РЕЕСТР РИСКОВ_2023'!F274="",B231,'РЕЕСТР РИСКОВ_2023'!F274),IF('INHERENT MAP'!$B$5=2022,IF(#REF!="",B231,#REF!),IF('INHERENT MAP'!$B$5=2023,IF(#REF!="",B231,#REF!),IF('INHERENT MAP'!$B$5=2024,IF(#REF!="",B231,#REF!),IF('РЕЕСТР РИСКОВ_2023'!F274="",B231,'РЕЕСТР РИСКОВ_2023'!F274)))))</f>
        <v>МАКРО РИСК
(Super Risk)</v>
      </c>
      <c r="C232" t="e">
        <f>IF('INHERENT MAP'!$B$5=2021,IF('РЕЕСТР РИСКОВ_2023'!G274="",C231,'РЕЕСТР РИСКОВ_2023'!G274),IF('INHERENT MAP'!$B$5=2022,IF(#REF!="",C231,#REF!),IF('INHERENT MAP'!$B$5=2023,IF(#REF!="",C231,#REF!),IF('INHERENT MAP'!$B$5=2024,IF(#REF!="",C231,#REF!),IF('РЕЕСТР РИСКОВ_2023'!G274="",C231,'РЕЕСТР РИСКОВ_2023'!G274)))))</f>
        <v>#REF!</v>
      </c>
      <c r="D232" t="str">
        <f>IF('INHERENT MAP'!$B$5=2021,IF('РЕЕСТР РИСКОВ_2023'!H274="",D231,'РЕЕСТР РИСКОВ_2023'!H274),IF('INHERENT MAP'!$B$5=2022,IF(#REF!="",D231,#REF!),IF('INHERENT MAP'!$B$5=2023,IF(#REF!="",D231,#REF!),IF('INHERENT MAP'!$B$5=2024,IF(#REF!="",D231,#REF!),IF('РЕЕСТР РИСКОВ_2023'!H274="",D231,'РЕЕСТР РИСКОВ_2023'!H274)))))</f>
        <v>MR-1</v>
      </c>
      <c r="E232" t="str">
        <f>IF('INHERENT MAP'!$B$5=2021,IF('РЕЕСТР РИСКОВ_2023'!I274="",E231,'РЕЕСТР РИСКОВ_2023'!I274),IF('INHERENT MAP'!$B$5=2022,IF(#REF!="",E231,#REF!),IF('INHERENT MAP'!$B$5=2023,IF(#REF!="",E231,#REF!),IF('INHERENT MAP'!$B$5=2024,IF(#REF!="",E231,#REF!),IF('РЕЕСТР РИСКОВ_2023'!I274="",E231,'РЕЕСТР РИСКОВ_2023'!I274)))))</f>
        <v>ЦЗФ</v>
      </c>
      <c r="F232" t="str">
        <f>IF('INHERENT MAP'!$B$5=2021,IF('РЕЕСТР РИСКОВ_2023'!J274="",F231,'РЕЕСТР РИСКОВ_2023'!J274),IF('INHERENT MAP'!$B$5=2022,IF(#REF!="",F231,#REF!),IF('INHERENT MAP'!$B$5=2023,IF(#REF!="",F231,#REF!),IF('INHERENT MAP'!$B$5=2024,IF(#REF!="",F231,#REF!),IF('РЕЕСТР РИСКОВ_2023'!J274="",F231,'РЕЕСТР РИСКОВ_2023'!J274)))))</f>
        <v>ДО</v>
      </c>
      <c r="G232" t="str">
        <f>IF('INHERENT MAP'!$B$5=2021,IF('РЕЕСТР РИСКОВ_2023'!K274="",G231,'РЕЕСТР РИСКОВ_2023'!K274),IF('INHERENT MAP'!$B$5=2022,IF(#REF!="",G231,#REF!),IF('INHERENT MAP'!$B$5=2023,IF(#REF!="",G231,#REF!),IF('INHERENT MAP'!$B$5=2024,IF(#REF!="",G231,#REF!),IF('РЕЕСТР РИСКОВ_2023'!K274="",G231,'РЕЕСТР РИСКОВ_2023'!K274)))))</f>
        <v>Уровень гиперинфляции</v>
      </c>
      <c r="H232">
        <f>IF('INHERENT MAP'!$B$5=2021,'РЕЕСТР РИСКОВ_2023'!L274,IF('INHERENT MAP'!$B$5=2022,#REF!,IF('INHERENT MAP'!$B$5=2023,#REF!,IF('INHERENT MAP'!$B$5=2024,#REF!,#REF!))))</f>
        <v>0.05</v>
      </c>
      <c r="I232">
        <f>IF('INHERENT MAP'!$B$5=2021,'РЕЕСТР РИСКОВ_2023'!M274,IF('INHERENT MAP'!$B$5=2022,#REF!,IF('INHERENT MAP'!$B$5=2023,#REF!,IF('INHERENT MAP'!$B$5=2024,#REF!,#REF!))))</f>
        <v>0</v>
      </c>
      <c r="J232">
        <f>IF('INHERENT MAP'!$B$5=2021,'РЕЕСТР РИСКОВ_2023'!N274,IF('INHERENT MAP'!$B$5=2022,#REF!,IF('INHERENT MAP'!$B$5=2023,#REF!,IF('INHERENT MAP'!$B$5=2024,#REF!,#REF!))))</f>
        <v>0</v>
      </c>
      <c r="K232">
        <f>IF('INHERENT MAP'!$B$5=2021,'РЕЕСТР РИСКОВ_2023'!O274,IF('INHERENT MAP'!$B$5=2022,#REF!,IF('INHERENT MAP'!$B$5=2023,#REF!,IF('INHERENT MAP'!$B$5=2024,#REF!,#REF!))))</f>
        <v>0</v>
      </c>
      <c r="L232">
        <f>IF('INHERENT MAP'!$B$5=2021,'РЕЕСТР РИСКОВ_2023'!P274,IF('INHERENT MAP'!$B$5=2022,#REF!,IF('INHERENT MAP'!$B$5=2023,#REF!,IF('INHERENT MAP'!$B$5=2024,#REF!,#REF!))))</f>
        <v>0.17499999999999999</v>
      </c>
      <c r="M232" t="str">
        <f>IF('INHERENT MAP'!$B$5=2021,IF('РЕЕСТР РИСКОВ_2023'!Q274="",M231,'РЕЕСТР РИСКОВ_2023'!Q274),IF('INHERENT MAP'!$B$5=2022,IF(#REF!="",M231,#REF!),IF('INHERENT MAP'!$B$5=2023,IF(#REF!="",M231,#REF!),IF('INHERENT MAP'!$B$5=2024,IF(#REF!="",M231,#REF!),IF('РЕЕСТР РИСКОВ_2023'!Q274="",M231,'РЕЕСТР РИСКОВ_2023'!Q274)))))</f>
        <v>Уровень базовой инфляции на 2023 год является 5%</v>
      </c>
      <c r="N232" t="str">
        <f>IF('INHERENT MAP'!$B$5=2021,IF('РЕЕСТР РИСКОВ_2023'!R274="",N231,'РЕЕСТР РИСКОВ_2023'!R274),IF('INHERENT MAP'!$B$5=2022,IF(#REF!="",N231,#REF!),IF('INHERENT MAP'!$B$5=2023,IF(#REF!="",N231,#REF!),IF('INHERENT MAP'!$B$5=2024,IF(#REF!="",N231,#REF!),IF('РЕЕСТР РИСКОВ_2023'!R274="",N231,'РЕЕСТР РИСКОВ_2023'!R274)))))</f>
        <v>Срыв проведения ежегодного внешнего аудита</v>
      </c>
      <c r="O232">
        <f>'РЕЕСТР РИСКОВ_2023'!T274</f>
        <v>0</v>
      </c>
      <c r="P232" t="e">
        <f>IF('РЕЕСТР РИСКОВ_2023'!U274="",P231,'РЕЕСТР РИСКОВ_2023'!U274)</f>
        <v>#REF!</v>
      </c>
      <c r="Q232" t="str">
        <f>IF('РЕЕСТР РИСКОВ_2023'!V274="",Q231,'РЕЕСТР РИСКОВ_2023'!V274)</f>
        <v>Угрозы</v>
      </c>
      <c r="R232" t="str">
        <f>IF('РЕЕСТР РИСКОВ_2023'!W274="",R231,'РЕЕСТР РИСКОВ_2023'!W274)</f>
        <v>Себестоимость по Плану развития 1 373 667млн. тенге</v>
      </c>
      <c r="S232">
        <f>'РЕЕСТР РИСКОВ_2023'!X274</f>
        <v>0</v>
      </c>
      <c r="T232" s="94">
        <f>IF('INHERENT MAP'!$B$5=2021,'РЕЕСТР РИСКОВ_2023'!Y274,IF('INHERENT MAP'!$B$5=2022,#REF!,IF('INHERENT MAP'!$B$5=2023,#REF!,IF('INHERENT MAP'!$B$5=2024,#REF!,#REF!))))</f>
        <v>0.7</v>
      </c>
      <c r="U232">
        <f>IF('INHERENT MAP'!$B$5=2021,'РЕЕСТР РИСКОВ_2023'!Z274,IF('INHERENT MAP'!$B$5=2022,#REF!,IF('INHERENT MAP'!$B$5=2023,#REF!,IF('INHERENT MAP'!$B$5=2024,#REF!,#REF!))))</f>
        <v>-88000</v>
      </c>
      <c r="V232">
        <f>IF('INHERENT MAP'!$B$5=2021,'РЕЕСТР РИСКОВ_2023'!AA274,IF('INHERENT MAP'!$B$5=2022,#REF!,IF('INHERENT MAP'!$B$5=2023,#REF!,IF('INHERENT MAP'!$B$5=2024,#REF!,#REF!))))</f>
        <v>-61599.999999999993</v>
      </c>
      <c r="W232" t="str">
        <f>IF('INHERENT MAP'!$B$5=2021,'РЕЕСТР РИСКОВ_2023'!AB274,IF('INHERENT MAP'!$B$5=2022,#REF!,IF('INHERENT MAP'!$B$5=2023,#REF!,IF('INHERENT MAP'!$B$5=2024,#REF!,#REF!))))</f>
        <v>Доля расходов, подверженных инфляции = 699 млрд, с учетом рисков инфляции может составить 757 млрд. = разница 88 млрд тнг</v>
      </c>
      <c r="X232" s="94">
        <f>IF('INHERENT MAP'!$B$5=2021,'РЕЕСТР РИСКОВ_2023'!AC274,IF('INHERENT MAP'!$B$5=2022,#REF!,IF('INHERENT MAP'!$B$5=2023,#REF!,IF('INHERENT MAP'!$B$5=2024,#REF!,#REF!))))</f>
        <v>0.7</v>
      </c>
      <c r="Y232">
        <f>IF('INHERENT MAP'!$B$5=2021,'РЕЕСТР РИСКОВ_2023'!AD274,IF('INHERENT MAP'!$B$5=2022,#REF!,IF('INHERENT MAP'!$B$5=2023,#REF!,IF('INHERENT MAP'!$B$5=2024,#REF!,#REF!))))</f>
        <v>-88000</v>
      </c>
      <c r="Z232">
        <f>IF('INHERENT MAP'!$B$5=2021,'РЕЕСТР РИСКОВ_2023'!AE274,IF('INHERENT MAP'!$B$5=2022,#REF!,IF('INHERENT MAP'!$B$5=2023,#REF!,IF('INHERENT MAP'!$B$5=2024,#REF!,#REF!))))</f>
        <v>-61599.999999999993</v>
      </c>
      <c r="AA232">
        <f>IF('INHERENT MAP'!$B$5=2021,'РЕЕСТР РИСКОВ_2023'!AF274,IF('INHERENT MAP'!$B$5=2022,#REF!,IF('INHERENT MAP'!$B$5=2023,#REF!,IF('INHERENT MAP'!$B$5=2024,#REF!,#REF!))))</f>
        <v>0</v>
      </c>
      <c r="AB232">
        <f>IF('INHERENT MAP'!$B$5=2021,'РЕЕСТР РИСКОВ_2023'!AG274,IF('INHERENT MAP'!$B$5=2022,#REF!,IF('INHERENT MAP'!$B$5=2023,#REF!,IF('INHERENT MAP'!$B$5=2024,#REF!,#REF!))))</f>
        <v>0</v>
      </c>
      <c r="AC232">
        <f>IF('INHERENT MAP'!$B$5=2021,'РЕЕСТР РИСКОВ_2023'!AH274,IF('INHERENT MAP'!$B$5=2022,#REF!,IF('INHERENT MAP'!$B$5=2023,#REF!,IF('INHERENT MAP'!$B$5=2024,#REF!,#REF!))))</f>
        <v>0</v>
      </c>
      <c r="AD232">
        <f>IF('INHERENT MAP'!$B$5=2021,'РЕЕСТР РИСКОВ_2023'!AI274,IF('INHERENT MAP'!$B$5=2022,#REF!,IF('INHERENT MAP'!$B$5=2023,#REF!,IF('INHERENT MAP'!$B$5=2024,#REF!,#REF!))))</f>
        <v>0</v>
      </c>
      <c r="AE232">
        <f>IF('INHERENT MAP'!$B$5=2021,'РЕЕСТР РИСКОВ_2023'!AK274,IF('INHERENT MAP'!$B$5=2022,#REF!,IF('INHERENT MAP'!$B$5=2023,#REF!,IF('INHERENT MAP'!$B$5=2024,#REF!,#REF!))))</f>
        <v>0</v>
      </c>
      <c r="AF232">
        <f>IF('INHERENT MAP'!$B$5=2021,'РЕЕСТР РИСКОВ_2023'!AL274,IF('INHERENT MAP'!$B$5=2022,#REF!,IF('INHERENT MAP'!$B$5=2023,#REF!,IF('INHERENT MAP'!$B$5=2024,#REF!,#REF!))))</f>
        <v>0</v>
      </c>
      <c r="AG232" t="str">
        <f>IF('INHERENT MAP'!$B$5=2021,'РЕЕСТР РИСКОВ_2023'!AM274,IF('INHERENT MAP'!$B$5=2022,#REF!,IF('INHERENT MAP'!$B$5=2023,#REF!,IF('INHERENT MAP'!$B$5=2024,#REF!,#REF!))))</f>
        <v>низкая</v>
      </c>
      <c r="AH232">
        <f>IF('INHERENT MAP'!$B$5=2021,'РЕЕСТР РИСКОВ_2023'!AN274,IF('INHERENT MAP'!$B$5=2022,#REF!,IF('INHERENT MAP'!$B$5=2023,#REF!,IF('INHERENT MAP'!$B$5=2024,#REF!,#REF!))))</f>
        <v>0.7</v>
      </c>
      <c r="AI232">
        <f>IF('INHERENT MAP'!$B$5=2021,'РЕЕСТР РИСКОВ_2023'!AO274,IF('INHERENT MAP'!$B$5=2022,#REF!,IF('INHERENT MAP'!$B$5=2023,#REF!,IF('INHERENT MAP'!$B$5=2024,#REF!,#REF!))))</f>
        <v>-88000</v>
      </c>
      <c r="AJ232">
        <f>IF('INHERENT MAP'!$B$5=2021,'РЕЕСТР РИСКОВ_2023'!AP274,IF('INHERENT MAP'!$B$5=2022,#REF!,IF('INHERENT MAP'!$B$5=2023,#REF!,IF('INHERENT MAP'!$B$5=2024,#REF!,#REF!))))</f>
        <v>-61599.999999999993</v>
      </c>
      <c r="AK232">
        <f>IF('РЕЕСТР РИСКОВ_2023'!AQ274="",AK231,'РЕЕСТР РИСКОВ_2023'!AQ274)</f>
        <v>-61599.999999999993</v>
      </c>
      <c r="AL232">
        <f>IF('РЕЕСТР РИСКОВ_2023'!AR274="",AL231,'РЕЕСТР РИСКОВ_2023'!AR274)</f>
        <v>0.7</v>
      </c>
      <c r="AM232">
        <f>IF('РЕЕСТР РИСКОВ_2023'!AS274="",AM231,'РЕЕСТР РИСКОВ_2023'!AS274)</f>
        <v>-61599.999999999993</v>
      </c>
      <c r="AN232">
        <f>IF('РЕЕСТР РИСКОВ_2023'!AT274="",AN231,'РЕЕСТР РИСКОВ_2023'!AT274)</f>
        <v>-43119.999999999993</v>
      </c>
      <c r="AO232" t="e">
        <f>IF('РЕЕСТР РИСКОВ_2023'!AU274="",AO231,'РЕЕСТР РИСКОВ_2023'!AU274)</f>
        <v>#REF!</v>
      </c>
    </row>
    <row r="233" spans="2:41">
      <c r="B233" t="str">
        <f>IF('INHERENT MAP'!$B$5=2021,IF('РЕЕСТР РИСКОВ_2023'!F275="",B232,'РЕЕСТР РИСКОВ_2023'!F275),IF('INHERENT MAP'!$B$5=2022,IF(#REF!="",B232,#REF!),IF('INHERENT MAP'!$B$5=2023,IF(#REF!="",B232,#REF!),IF('INHERENT MAP'!$B$5=2024,IF(#REF!="",B232,#REF!),IF('РЕЕСТР РИСКОВ_2023'!F275="",B232,'РЕЕСТР РИСКОВ_2023'!F275)))))</f>
        <v>МАКРО РИСК
(Super Risk)</v>
      </c>
      <c r="C233" t="e">
        <f>IF('INHERENT MAP'!$B$5=2021,IF('РЕЕСТР РИСКОВ_2023'!G275="",C232,'РЕЕСТР РИСКОВ_2023'!G275),IF('INHERENT MAP'!$B$5=2022,IF(#REF!="",C232,#REF!),IF('INHERENT MAP'!$B$5=2023,IF(#REF!="",C232,#REF!),IF('INHERENT MAP'!$B$5=2024,IF(#REF!="",C232,#REF!),IF('РЕЕСТР РИСКОВ_2023'!G275="",C232,'РЕЕСТР РИСКОВ_2023'!G275)))))</f>
        <v>#REF!</v>
      </c>
      <c r="D233" t="str">
        <f>IF('INHERENT MAP'!$B$5=2021,IF('РЕЕСТР РИСКОВ_2023'!H275="",D232,'РЕЕСТР РИСКОВ_2023'!H275),IF('INHERENT MAP'!$B$5=2022,IF(#REF!="",D232,#REF!),IF('INHERENT MAP'!$B$5=2023,IF(#REF!="",D232,#REF!),IF('INHERENT MAP'!$B$5=2024,IF(#REF!="",D232,#REF!),IF('РЕЕСТР РИСКОВ_2023'!H275="",D232,'РЕЕСТР РИСКОВ_2023'!H275)))))</f>
        <v>MR-2</v>
      </c>
      <c r="E233" t="str">
        <f>IF('INHERENT MAP'!$B$5=2021,IF('РЕЕСТР РИСКОВ_2023'!I275="",E232,'РЕЕСТР РИСКОВ_2023'!I275),IF('INHERENT MAP'!$B$5=2022,IF(#REF!="",E232,#REF!),IF('INHERENT MAP'!$B$5=2023,IF(#REF!="",E232,#REF!),IF('INHERENT MAP'!$B$5=2024,IF(#REF!="",E232,#REF!),IF('РЕЕСТР РИСКОВ_2023'!I275="",E232,'РЕЕСТР РИСКОВ_2023'!I275)))))</f>
        <v>Ц</v>
      </c>
      <c r="F233" t="str">
        <f>IF('INHERENT MAP'!$B$5=2021,IF('РЕЕСТР РИСКОВ_2023'!J275="",F232,'РЕЕСТР РИСКОВ_2023'!J275),IF('INHERENT MAP'!$B$5=2022,IF(#REF!="",F232,#REF!),IF('INHERENT MAP'!$B$5=2023,IF(#REF!="",F232,#REF!),IF('INHERENT MAP'!$B$5=2024,IF(#REF!="",F232,#REF!),IF('РЕЕСТР РИСКОВ_2023'!J275="",F232,'РЕЕСТР РИСКОВ_2023'!J275)))))</f>
        <v>Цсоц</v>
      </c>
      <c r="G233" t="str">
        <f>IF('INHERENT MAP'!$B$5=2021,IF('РЕЕСТР РИСКОВ_2023'!K275="",G232,'РЕЕСТР РИСКОВ_2023'!K275),IF('INHERENT MAP'!$B$5=2022,IF(#REF!="",G232,#REF!),IF('INHERENT MAP'!$B$5=2023,IF(#REF!="",G232,#REF!),IF('INHERENT MAP'!$B$5=2024,IF(#REF!="",G232,#REF!),IF('РЕЕСТР РИСКОВ_2023'!K275="",G232,'РЕЕСТР РИСКОВ_2023'!K275)))))</f>
        <v>Нестабильные политические и экономические условия</v>
      </c>
      <c r="H233">
        <f>IF('INHERENT MAP'!$B$5=2021,'РЕЕСТР РИСКОВ_2023'!L275,IF('INHERENT MAP'!$B$5=2022,#REF!,IF('INHERENT MAP'!$B$5=2023,#REF!,IF('INHERENT MAP'!$B$5=2024,#REF!,#REF!))))</f>
        <v>0</v>
      </c>
      <c r="I233">
        <f>IF('INHERENT MAP'!$B$5=2021,'РЕЕСТР РИСКОВ_2023'!M275,IF('INHERENT MAP'!$B$5=2022,#REF!,IF('INHERENT MAP'!$B$5=2023,#REF!,IF('INHERENT MAP'!$B$5=2024,#REF!,#REF!))))</f>
        <v>0</v>
      </c>
      <c r="J233">
        <f>IF('INHERENT MAP'!$B$5=2021,'РЕЕСТР РИСКОВ_2023'!N275,IF('INHERENT MAP'!$B$5=2022,#REF!,IF('INHERENT MAP'!$B$5=2023,#REF!,IF('INHERENT MAP'!$B$5=2024,#REF!,#REF!))))</f>
        <v>0</v>
      </c>
      <c r="K233">
        <f>IF('INHERENT MAP'!$B$5=2021,'РЕЕСТР РИСКОВ_2023'!O275,IF('INHERENT MAP'!$B$5=2022,#REF!,IF('INHERENT MAP'!$B$5=2023,#REF!,IF('INHERENT MAP'!$B$5=2024,#REF!,#REF!))))</f>
        <v>0</v>
      </c>
      <c r="L233">
        <f>IF('INHERENT MAP'!$B$5=2021,'РЕЕСТР РИСКОВ_2023'!P275,IF('INHERENT MAP'!$B$5=2022,#REF!,IF('INHERENT MAP'!$B$5=2023,#REF!,IF('INHERENT MAP'!$B$5=2024,#REF!,#REF!))))</f>
        <v>0</v>
      </c>
      <c r="M233" t="str">
        <f>IF('INHERENT MAP'!$B$5=2021,IF('РЕЕСТР РИСКОВ_2023'!Q275="",M232,'РЕЕСТР РИСКОВ_2023'!Q275),IF('INHERENT MAP'!$B$5=2022,IF(#REF!="",M232,#REF!),IF('INHERENT MAP'!$B$5=2023,IF(#REF!="",M232,#REF!),IF('INHERENT MAP'!$B$5=2024,IF(#REF!="",M232,#REF!),IF('РЕЕСТР РИСКОВ_2023'!Q275="",M232,'РЕЕСТР РИСКОВ_2023'!Q275)))))</f>
        <v>Уровень базовой инфляции на 2023 год является 5%</v>
      </c>
      <c r="N233" t="str">
        <f>IF('INHERENT MAP'!$B$5=2021,IF('РЕЕСТР РИСКОВ_2023'!R275="",N232,'РЕЕСТР РИСКОВ_2023'!R275),IF('INHERENT MAP'!$B$5=2022,IF(#REF!="",N232,#REF!),IF('INHERENT MAP'!$B$5=2023,IF(#REF!="",N232,#REF!),IF('INHERENT MAP'!$B$5=2024,IF(#REF!="",N232,#REF!),IF('РЕЕСТР РИСКОВ_2023'!R275="",N232,'РЕЕСТР РИСКОВ_2023'!R275)))))</f>
        <v>Срыв проведения ежегодного внешнего аудита</v>
      </c>
      <c r="O233">
        <f>'РЕЕСТР РИСКОВ_2023'!T275</f>
        <v>0</v>
      </c>
      <c r="P233" t="e">
        <f>IF('РЕЕСТР РИСКОВ_2023'!U275="",P232,'РЕЕСТР РИСКОВ_2023'!U275)</f>
        <v>#REF!</v>
      </c>
      <c r="Q233" t="str">
        <f>IF('РЕЕСТР РИСКОВ_2023'!V275="",Q232,'РЕЕСТР РИСКОВ_2023'!V275)</f>
        <v>Угрозы</v>
      </c>
      <c r="R233" t="str">
        <f>IF('РЕЕСТР РИСКОВ_2023'!W275="",R232,'РЕЕСТР РИСКОВ_2023'!W275)</f>
        <v>Себестоимость по Плану развития 1 373 667млн. тенге</v>
      </c>
      <c r="S233">
        <f>'РЕЕСТР РИСКОВ_2023'!X275</f>
        <v>0</v>
      </c>
      <c r="T233" s="94">
        <f>IF('INHERENT MAP'!$B$5=2021,'РЕЕСТР РИСКОВ_2023'!Y275,IF('INHERENT MAP'!$B$5=2022,#REF!,IF('INHERENT MAP'!$B$5=2023,#REF!,IF('INHERENT MAP'!$B$5=2024,#REF!,#REF!))))</f>
        <v>0.4</v>
      </c>
      <c r="U233">
        <f>IF('INHERENT MAP'!$B$5=2021,'РЕЕСТР РИСКОВ_2023'!Z275,IF('INHERENT MAP'!$B$5=2022,#REF!,IF('INHERENT MAP'!$B$5=2023,#REF!,IF('INHERENT MAP'!$B$5=2024,#REF!,#REF!))))</f>
        <v>0</v>
      </c>
      <c r="V233">
        <f>IF('INHERENT MAP'!$B$5=2021,'РЕЕСТР РИСКОВ_2023'!AA275,IF('INHERENT MAP'!$B$5=2022,#REF!,IF('INHERENT MAP'!$B$5=2023,#REF!,IF('INHERENT MAP'!$B$5=2024,#REF!,#REF!))))</f>
        <v>0</v>
      </c>
      <c r="W233">
        <f>IF('INHERENT MAP'!$B$5=2021,'РЕЕСТР РИСКОВ_2023'!AB275,IF('INHERENT MAP'!$B$5=2022,#REF!,IF('INHERENT MAP'!$B$5=2023,#REF!,IF('INHERENT MAP'!$B$5=2024,#REF!,#REF!))))</f>
        <v>0</v>
      </c>
      <c r="X233" s="94">
        <f>IF('INHERENT MAP'!$B$5=2021,'РЕЕСТР РИСКОВ_2023'!AC275,IF('INHERENT MAP'!$B$5=2022,#REF!,IF('INHERENT MAP'!$B$5=2023,#REF!,IF('INHERENT MAP'!$B$5=2024,#REF!,#REF!))))</f>
        <v>0</v>
      </c>
      <c r="Y233">
        <f>IF('INHERENT MAP'!$B$5=2021,'РЕЕСТР РИСКОВ_2023'!AD275,IF('INHERENT MAP'!$B$5=2022,#REF!,IF('INHERENT MAP'!$B$5=2023,#REF!,IF('INHERENT MAP'!$B$5=2024,#REF!,#REF!))))</f>
        <v>0</v>
      </c>
      <c r="Z233">
        <f>IF('INHERENT MAP'!$B$5=2021,'РЕЕСТР РИСКОВ_2023'!AE275,IF('INHERENT MAP'!$B$5=2022,#REF!,IF('INHERENT MAP'!$B$5=2023,#REF!,IF('INHERENT MAP'!$B$5=2024,#REF!,#REF!))))</f>
        <v>0</v>
      </c>
      <c r="AA233">
        <f>IF('INHERENT MAP'!$B$5=2021,'РЕЕСТР РИСКОВ_2023'!AF275,IF('INHERENT MAP'!$B$5=2022,#REF!,IF('INHERENT MAP'!$B$5=2023,#REF!,IF('INHERENT MAP'!$B$5=2024,#REF!,#REF!))))</f>
        <v>0</v>
      </c>
      <c r="AB233">
        <f>IF('INHERENT MAP'!$B$5=2021,'РЕЕСТР РИСКОВ_2023'!AG275,IF('INHERENT MAP'!$B$5=2022,#REF!,IF('INHERENT MAP'!$B$5=2023,#REF!,IF('INHERENT MAP'!$B$5=2024,#REF!,#REF!))))</f>
        <v>0</v>
      </c>
      <c r="AC233">
        <f>IF('INHERENT MAP'!$B$5=2021,'РЕЕСТР РИСКОВ_2023'!AH275,IF('INHERENT MAP'!$B$5=2022,#REF!,IF('INHERENT MAP'!$B$5=2023,#REF!,IF('INHERENT MAP'!$B$5=2024,#REF!,#REF!))))</f>
        <v>0</v>
      </c>
      <c r="AD233">
        <f>IF('INHERENT MAP'!$B$5=2021,'РЕЕСТР РИСКОВ_2023'!AI275,IF('INHERENT MAP'!$B$5=2022,#REF!,IF('INHERENT MAP'!$B$5=2023,#REF!,IF('INHERENT MAP'!$B$5=2024,#REF!,#REF!))))</f>
        <v>0</v>
      </c>
      <c r="AE233">
        <f>IF('INHERENT MAP'!$B$5=2021,'РЕЕСТР РИСКОВ_2023'!AK275,IF('INHERENT MAP'!$B$5=2022,#REF!,IF('INHERENT MAP'!$B$5=2023,#REF!,IF('INHERENT MAP'!$B$5=2024,#REF!,#REF!))))</f>
        <v>0</v>
      </c>
      <c r="AF233">
        <f>IF('INHERENT MAP'!$B$5=2021,'РЕЕСТР РИСКОВ_2023'!AL275,IF('INHERENT MAP'!$B$5=2022,#REF!,IF('INHERENT MAP'!$B$5=2023,#REF!,IF('INHERENT MAP'!$B$5=2024,#REF!,#REF!))))</f>
        <v>0</v>
      </c>
      <c r="AG233" t="str">
        <f>IF('INHERENT MAP'!$B$5=2021,'РЕЕСТР РИСКОВ_2023'!AM275,IF('INHERENT MAP'!$B$5=2022,#REF!,IF('INHERENT MAP'!$B$5=2023,#REF!,IF('INHERENT MAP'!$B$5=2024,#REF!,#REF!))))</f>
        <v>низкая</v>
      </c>
      <c r="AH233">
        <f>IF('INHERENT MAP'!$B$5=2021,'РЕЕСТР РИСКОВ_2023'!AN275,IF('INHERENT MAP'!$B$5=2022,#REF!,IF('INHERENT MAP'!$B$5=2023,#REF!,IF('INHERENT MAP'!$B$5=2024,#REF!,#REF!))))</f>
        <v>0.4</v>
      </c>
      <c r="AI233">
        <f>IF('INHERENT MAP'!$B$5=2021,'РЕЕСТР РИСКОВ_2023'!AO275,IF('INHERENT MAP'!$B$5=2022,#REF!,IF('INHERENT MAP'!$B$5=2023,#REF!,IF('INHERENT MAP'!$B$5=2024,#REF!,#REF!))))</f>
        <v>0</v>
      </c>
      <c r="AJ233">
        <f>IF('INHERENT MAP'!$B$5=2021,'РЕЕСТР РИСКОВ_2023'!AP275,IF('INHERENT MAP'!$B$5=2022,#REF!,IF('INHERENT MAP'!$B$5=2023,#REF!,IF('INHERENT MAP'!$B$5=2024,#REF!,#REF!))))</f>
        <v>0</v>
      </c>
      <c r="AK233">
        <f>IF('РЕЕСТР РИСКОВ_2023'!AQ275="",AK232,'РЕЕСТР РИСКОВ_2023'!AQ275)</f>
        <v>0</v>
      </c>
      <c r="AL233">
        <f>IF('РЕЕСТР РИСКОВ_2023'!AR275="",AL232,'РЕЕСТР РИСКОВ_2023'!AR275)</f>
        <v>0.4</v>
      </c>
      <c r="AM233">
        <f>IF('РЕЕСТР РИСКОВ_2023'!AS275="",AM232,'РЕЕСТР РИСКОВ_2023'!AS275)</f>
        <v>0</v>
      </c>
      <c r="AN233">
        <f>IF('РЕЕСТР РИСКОВ_2023'!AT275="",AN232,'РЕЕСТР РИСКОВ_2023'!AT275)</f>
        <v>0</v>
      </c>
      <c r="AO233" t="e">
        <f>IF('РЕЕСТР РИСКОВ_2023'!AU275="",AO232,'РЕЕСТР РИСКОВ_2023'!AU275)</f>
        <v>#REF!</v>
      </c>
    </row>
    <row r="234" spans="2:41">
      <c r="B234" t="str">
        <f>IF('INHERENT MAP'!$B$5=2021,IF('РЕЕСТР РИСКОВ_2023'!F276="",B233,'РЕЕСТР РИСКОВ_2023'!F276),IF('INHERENT MAP'!$B$5=2022,IF(#REF!="",B233,#REF!),IF('INHERENT MAP'!$B$5=2023,IF(#REF!="",B233,#REF!),IF('INHERENT MAP'!$B$5=2024,IF(#REF!="",B233,#REF!),IF('РЕЕСТР РИСКОВ_2023'!F276="",B233,'РЕЕСТР РИСКОВ_2023'!F276)))))</f>
        <v>МАКРО РИСК
(Super Risk)</v>
      </c>
      <c r="C234" t="e">
        <f>IF('INHERENT MAP'!$B$5=2021,IF('РЕЕСТР РИСКОВ_2023'!G276="",C233,'РЕЕСТР РИСКОВ_2023'!G276),IF('INHERENT MAP'!$B$5=2022,IF(#REF!="",C233,#REF!),IF('INHERENT MAP'!$B$5=2023,IF(#REF!="",C233,#REF!),IF('INHERENT MAP'!$B$5=2024,IF(#REF!="",C233,#REF!),IF('РЕЕСТР РИСКОВ_2023'!G276="",C233,'РЕЕСТР РИСКОВ_2023'!G276)))))</f>
        <v>#REF!</v>
      </c>
      <c r="D234" t="str">
        <f>IF('INHERENT MAP'!$B$5=2021,IF('РЕЕСТР РИСКОВ_2023'!H276="",D233,'РЕЕСТР РИСКОВ_2023'!H276),IF('INHERENT MAP'!$B$5=2022,IF(#REF!="",D233,#REF!),IF('INHERENT MAP'!$B$5=2023,IF(#REF!="",D233,#REF!),IF('INHERENT MAP'!$B$5=2024,IF(#REF!="",D233,#REF!),IF('РЕЕСТР РИСКОВ_2023'!H276="",D233,'РЕЕСТР РИСКОВ_2023'!H276)))))</f>
        <v>MR-3</v>
      </c>
      <c r="E234" t="str">
        <f>IF('INHERENT MAP'!$B$5=2021,IF('РЕЕСТР РИСКОВ_2023'!I276="",E233,'РЕЕСТР РИСКОВ_2023'!I276),IF('INHERENT MAP'!$B$5=2022,IF(#REF!="",E233,#REF!),IF('INHERENT MAP'!$B$5=2023,IF(#REF!="",E233,#REF!),IF('INHERENT MAP'!$B$5=2024,IF(#REF!="",E233,#REF!),IF('РЕЕСТР РИСКОВ_2023'!I276="",E233,'РЕЕСТР РИСКОВ_2023'!I276)))))</f>
        <v>ЦЗФ</v>
      </c>
      <c r="F234" t="str">
        <f>IF('INHERENT MAP'!$B$5=2021,IF('РЕЕСТР РИСКОВ_2023'!J276="",F233,'РЕЕСТР РИСКОВ_2023'!J276),IF('INHERENT MAP'!$B$5=2022,IF(#REF!="",F233,#REF!),IF('INHERENT MAP'!$B$5=2023,IF(#REF!="",F233,#REF!),IF('INHERENT MAP'!$B$5=2024,IF(#REF!="",F233,#REF!),IF('РЕЕСТР РИСКОВ_2023'!J276="",F233,'РЕЕСТР РИСКОВ_2023'!J276)))))</f>
        <v>ДО</v>
      </c>
      <c r="G234" t="str">
        <f>IF('INHERENT MAP'!$B$5=2021,IF('РЕЕСТР РИСКОВ_2023'!K276="",G233,'РЕЕСТР РИСКОВ_2023'!K276),IF('INHERENT MAP'!$B$5=2022,IF(#REF!="",G233,#REF!),IF('INHERENT MAP'!$B$5=2023,IF(#REF!="",G233,#REF!),IF('INHERENT MAP'!$B$5=2024,IF(#REF!="",G233,#REF!),IF('РЕЕСТР РИСКОВ_2023'!K276="",G233,'РЕЕСТР РИСКОВ_2023'!K276)))))</f>
        <v>Обесценение активов</v>
      </c>
      <c r="H234">
        <f>IF('INHERENT MAP'!$B$5=2021,'РЕЕСТР РИСКОВ_2023'!L276,IF('INHERENT MAP'!$B$5=2022,#REF!,IF('INHERENT MAP'!$B$5=2023,#REF!,IF('INHERENT MAP'!$B$5=2024,#REF!,#REF!))))</f>
        <v>0</v>
      </c>
      <c r="I234">
        <f>IF('INHERENT MAP'!$B$5=2021,'РЕЕСТР РИСКОВ_2023'!M276,IF('INHERENT MAP'!$B$5=2022,#REF!,IF('INHERENT MAP'!$B$5=2023,#REF!,IF('INHERENT MAP'!$B$5=2024,#REF!,#REF!))))</f>
        <v>0</v>
      </c>
      <c r="J234">
        <f>IF('INHERENT MAP'!$B$5=2021,'РЕЕСТР РИСКОВ_2023'!N276,IF('INHERENT MAP'!$B$5=2022,#REF!,IF('INHERENT MAP'!$B$5=2023,#REF!,IF('INHERENT MAP'!$B$5=2024,#REF!,#REF!))))</f>
        <v>0</v>
      </c>
      <c r="K234">
        <f>IF('INHERENT MAP'!$B$5=2021,'РЕЕСТР РИСКОВ_2023'!O276,IF('INHERENT MAP'!$B$5=2022,#REF!,IF('INHERENT MAP'!$B$5=2023,#REF!,IF('INHERENT MAP'!$B$5=2024,#REF!,#REF!))))</f>
        <v>0</v>
      </c>
      <c r="L234">
        <f>IF('INHERENT MAP'!$B$5=2021,'РЕЕСТР РИСКОВ_2023'!P276,IF('INHERENT MAP'!$B$5=2022,#REF!,IF('INHERENT MAP'!$B$5=2023,#REF!,IF('INHERENT MAP'!$B$5=2024,#REF!,#REF!))))</f>
        <v>0</v>
      </c>
      <c r="M234" t="str">
        <f>IF('INHERENT MAP'!$B$5=2021,IF('РЕЕСТР РИСКОВ_2023'!Q276="",M233,'РЕЕСТР РИСКОВ_2023'!Q276),IF('INHERENT MAP'!$B$5=2022,IF(#REF!="",M233,#REF!),IF('INHERENT MAP'!$B$5=2023,IF(#REF!="",M233,#REF!),IF('INHERENT MAP'!$B$5=2024,IF(#REF!="",M233,#REF!),IF('РЕЕСТР РИСКОВ_2023'!Q276="",M233,'РЕЕСТР РИСКОВ_2023'!Q276)))))</f>
        <v>Обесценение активов и снижение стоимоcти компании вследствие воздействия внешних и внутренних факторов</v>
      </c>
      <c r="N234" t="str">
        <f>IF('INHERENT MAP'!$B$5=2021,IF('РЕЕСТР РИСКОВ_2023'!R276="",N233,'РЕЕСТР РИСКОВ_2023'!R276),IF('INHERENT MAP'!$B$5=2022,IF(#REF!="",N233,#REF!),IF('INHERENT MAP'!$B$5=2023,IF(#REF!="",N233,#REF!),IF('INHERENT MAP'!$B$5=2024,IF(#REF!="",N233,#REF!),IF('РЕЕСТР РИСКОВ_2023'!R276="",N233,'РЕЕСТР РИСКОВ_2023'!R276)))))</f>
        <v>Срыв проведения ежегодного внешнего аудита</v>
      </c>
      <c r="O234">
        <f>'РЕЕСТР РИСКОВ_2023'!T276</f>
        <v>0</v>
      </c>
      <c r="P234" t="e">
        <f>IF('РЕЕСТР РИСКОВ_2023'!U276="",P233,'РЕЕСТР РИСКОВ_2023'!U276)</f>
        <v>#REF!</v>
      </c>
      <c r="Q234" t="str">
        <f>IF('РЕЕСТР РИСКОВ_2023'!V276="",Q233,'РЕЕСТР РИСКОВ_2023'!V276)</f>
        <v>Угрозы</v>
      </c>
      <c r="R234" t="str">
        <f>IF('РЕЕСТР РИСКОВ_2023'!W276="",R233,'РЕЕСТР РИСКОВ_2023'!W276)</f>
        <v>Себестоимость по Плану развития 1 373 667млн. тенге</v>
      </c>
      <c r="S234">
        <f>'РЕЕСТР РИСКОВ_2023'!X276</f>
        <v>0</v>
      </c>
      <c r="T234" s="94">
        <f>IF('INHERENT MAP'!$B$5=2021,'РЕЕСТР РИСКОВ_2023'!Y276,IF('INHERENT MAP'!$B$5=2022,#REF!,IF('INHERENT MAP'!$B$5=2023,#REF!,IF('INHERENT MAP'!$B$5=2024,#REF!,#REF!))))</f>
        <v>0.5</v>
      </c>
      <c r="U234">
        <f>IF('INHERENT MAP'!$B$5=2021,'РЕЕСТР РИСКОВ_2023'!Z276,IF('INHERENT MAP'!$B$5=2022,#REF!,IF('INHERENT MAP'!$B$5=2023,#REF!,IF('INHERENT MAP'!$B$5=2024,#REF!,#REF!))))</f>
        <v>0</v>
      </c>
      <c r="V234">
        <f>IF('INHERENT MAP'!$B$5=2021,'РЕЕСТР РИСКОВ_2023'!AA276,IF('INHERENT MAP'!$B$5=2022,#REF!,IF('INHERENT MAP'!$B$5=2023,#REF!,IF('INHERENT MAP'!$B$5=2024,#REF!,#REF!))))</f>
        <v>0</v>
      </c>
      <c r="W234">
        <f>IF('INHERENT MAP'!$B$5=2021,'РЕЕСТР РИСКОВ_2023'!AB276,IF('INHERENT MAP'!$B$5=2022,#REF!,IF('INHERENT MAP'!$B$5=2023,#REF!,IF('INHERENT MAP'!$B$5=2024,#REF!,#REF!))))</f>
        <v>0</v>
      </c>
      <c r="X234" s="94">
        <f>IF('INHERENT MAP'!$B$5=2021,'РЕЕСТР РИСКОВ_2023'!AC276,IF('INHERENT MAP'!$B$5=2022,#REF!,IF('INHERENT MAP'!$B$5=2023,#REF!,IF('INHERENT MAP'!$B$5=2024,#REF!,#REF!))))</f>
        <v>0</v>
      </c>
      <c r="Y234">
        <f>IF('INHERENT MAP'!$B$5=2021,'РЕЕСТР РИСКОВ_2023'!AD276,IF('INHERENT MAP'!$B$5=2022,#REF!,IF('INHERENT MAP'!$B$5=2023,#REF!,IF('INHERENT MAP'!$B$5=2024,#REF!,#REF!))))</f>
        <v>0</v>
      </c>
      <c r="Z234">
        <f>IF('INHERENT MAP'!$B$5=2021,'РЕЕСТР РИСКОВ_2023'!AE276,IF('INHERENT MAP'!$B$5=2022,#REF!,IF('INHERENT MAP'!$B$5=2023,#REF!,IF('INHERENT MAP'!$B$5=2024,#REF!,#REF!))))</f>
        <v>0</v>
      </c>
      <c r="AA234">
        <f>IF('INHERENT MAP'!$B$5=2021,'РЕЕСТР РИСКОВ_2023'!AF276,IF('INHERENT MAP'!$B$5=2022,#REF!,IF('INHERENT MAP'!$B$5=2023,#REF!,IF('INHERENT MAP'!$B$5=2024,#REF!,#REF!))))</f>
        <v>0</v>
      </c>
      <c r="AB234">
        <f>IF('INHERENT MAP'!$B$5=2021,'РЕЕСТР РИСКОВ_2023'!AG276,IF('INHERENT MAP'!$B$5=2022,#REF!,IF('INHERENT MAP'!$B$5=2023,#REF!,IF('INHERENT MAP'!$B$5=2024,#REF!,#REF!))))</f>
        <v>0</v>
      </c>
      <c r="AC234">
        <f>IF('INHERENT MAP'!$B$5=2021,'РЕЕСТР РИСКОВ_2023'!AH276,IF('INHERENT MAP'!$B$5=2022,#REF!,IF('INHERENT MAP'!$B$5=2023,#REF!,IF('INHERENT MAP'!$B$5=2024,#REF!,#REF!))))</f>
        <v>0</v>
      </c>
      <c r="AD234">
        <f>IF('INHERENT MAP'!$B$5=2021,'РЕЕСТР РИСКОВ_2023'!AI276,IF('INHERENT MAP'!$B$5=2022,#REF!,IF('INHERENT MAP'!$B$5=2023,#REF!,IF('INHERENT MAP'!$B$5=2024,#REF!,#REF!))))</f>
        <v>0</v>
      </c>
      <c r="AE234">
        <f>IF('INHERENT MAP'!$B$5=2021,'РЕЕСТР РИСКОВ_2023'!AK276,IF('INHERENT MAP'!$B$5=2022,#REF!,IF('INHERENT MAP'!$B$5=2023,#REF!,IF('INHERENT MAP'!$B$5=2024,#REF!,#REF!))))</f>
        <v>0</v>
      </c>
      <c r="AF234">
        <f>IF('INHERENT MAP'!$B$5=2021,'РЕЕСТР РИСКОВ_2023'!AL276,IF('INHERENT MAP'!$B$5=2022,#REF!,IF('INHERENT MAP'!$B$5=2023,#REF!,IF('INHERENT MAP'!$B$5=2024,#REF!,#REF!))))</f>
        <v>0</v>
      </c>
      <c r="AG234" t="str">
        <f>IF('INHERENT MAP'!$B$5=2021,'РЕЕСТР РИСКОВ_2023'!AM276,IF('INHERENT MAP'!$B$5=2022,#REF!,IF('INHERENT MAP'!$B$5=2023,#REF!,IF('INHERENT MAP'!$B$5=2024,#REF!,#REF!))))</f>
        <v>низкая</v>
      </c>
      <c r="AH234">
        <f>IF('INHERENT MAP'!$B$5=2021,'РЕЕСТР РИСКОВ_2023'!AN276,IF('INHERENT MAP'!$B$5=2022,#REF!,IF('INHERENT MAP'!$B$5=2023,#REF!,IF('INHERENT MAP'!$B$5=2024,#REF!,#REF!))))</f>
        <v>0.5</v>
      </c>
      <c r="AI234">
        <f>IF('INHERENT MAP'!$B$5=2021,'РЕЕСТР РИСКОВ_2023'!AO276,IF('INHERENT MAP'!$B$5=2022,#REF!,IF('INHERENT MAP'!$B$5=2023,#REF!,IF('INHERENT MAP'!$B$5=2024,#REF!,#REF!))))</f>
        <v>0</v>
      </c>
      <c r="AJ234">
        <f>IF('INHERENT MAP'!$B$5=2021,'РЕЕСТР РИСКОВ_2023'!AP276,IF('INHERENT MAP'!$B$5=2022,#REF!,IF('INHERENT MAP'!$B$5=2023,#REF!,IF('INHERENT MAP'!$B$5=2024,#REF!,#REF!))))</f>
        <v>0</v>
      </c>
      <c r="AK234">
        <f>IF('РЕЕСТР РИСКОВ_2023'!AQ276="",AK233,'РЕЕСТР РИСКОВ_2023'!AQ276)</f>
        <v>0</v>
      </c>
      <c r="AL234">
        <f>IF('РЕЕСТР РИСКОВ_2023'!AR276="",AL233,'РЕЕСТР РИСКОВ_2023'!AR276)</f>
        <v>0.5</v>
      </c>
      <c r="AM234">
        <f>IF('РЕЕСТР РИСКОВ_2023'!AS276="",AM233,'РЕЕСТР РИСКОВ_2023'!AS276)</f>
        <v>0</v>
      </c>
      <c r="AN234">
        <f>IF('РЕЕСТР РИСКОВ_2023'!AT276="",AN233,'РЕЕСТР РИСКОВ_2023'!AT276)</f>
        <v>0</v>
      </c>
      <c r="AO234" t="e">
        <f>IF('РЕЕСТР РИСКОВ_2023'!AU276="",AO233,'РЕЕСТР РИСКОВ_2023'!AU276)</f>
        <v>#REF!</v>
      </c>
    </row>
    <row r="235" spans="2:41">
      <c r="B235" t="e">
        <f>IF('INHERENT MAP'!$B$5=2021,IF('РЕЕСТР РИСКОВ_2023'!#REF!="",B234,'РЕЕСТР РИСКОВ_2023'!#REF!),IF('INHERENT MAP'!$B$5=2022,IF(#REF!="",B234,#REF!),IF('INHERENT MAP'!$B$5=2023,IF(#REF!="",B234,#REF!),IF('INHERENT MAP'!$B$5=2024,IF(#REF!="",B234,#REF!),IF('РЕЕСТР РИСКОВ_2023'!#REF!="",B234,'РЕЕСТР РИСКОВ_2023'!#REF!)))))</f>
        <v>#REF!</v>
      </c>
      <c r="C235" t="e">
        <f>IF('INHERENT MAP'!$B$5=2021,IF('РЕЕСТР РИСКОВ_2023'!#REF!="",C234,'РЕЕСТР РИСКОВ_2023'!#REF!),IF('INHERENT MAP'!$B$5=2022,IF(#REF!="",C234,#REF!),IF('INHERENT MAP'!$B$5=2023,IF(#REF!="",C234,#REF!),IF('INHERENT MAP'!$B$5=2024,IF(#REF!="",C234,#REF!),IF('РЕЕСТР РИСКОВ_2023'!#REF!="",C234,'РЕЕСТР РИСКОВ_2023'!#REF!)))))</f>
        <v>#REF!</v>
      </c>
      <c r="D235" t="e">
        <f>IF('INHERENT MAP'!$B$5=2021,IF('РЕЕСТР РИСКОВ_2023'!#REF!="",D234,'РЕЕСТР РИСКОВ_2023'!#REF!),IF('INHERENT MAP'!$B$5=2022,IF(#REF!="",D234,#REF!),IF('INHERENT MAP'!$B$5=2023,IF(#REF!="",D234,#REF!),IF('INHERENT MAP'!$B$5=2024,IF(#REF!="",D234,#REF!),IF('РЕЕСТР РИСКОВ_2023'!#REF!="",D234,'РЕЕСТР РИСКОВ_2023'!#REF!)))))</f>
        <v>#REF!</v>
      </c>
      <c r="E235" t="e">
        <f>IF('INHERENT MAP'!$B$5=2021,IF('РЕЕСТР РИСКОВ_2023'!#REF!="",E234,'РЕЕСТР РИСКОВ_2023'!#REF!),IF('INHERENT MAP'!$B$5=2022,IF(#REF!="",E234,#REF!),IF('INHERENT MAP'!$B$5=2023,IF(#REF!="",E234,#REF!),IF('INHERENT MAP'!$B$5=2024,IF(#REF!="",E234,#REF!),IF('РЕЕСТР РИСКОВ_2023'!#REF!="",E234,'РЕЕСТР РИСКОВ_2023'!#REF!)))))</f>
        <v>#REF!</v>
      </c>
      <c r="F235" t="e">
        <f>IF('INHERENT MAP'!$B$5=2021,IF('РЕЕСТР РИСКОВ_2023'!#REF!="",F234,'РЕЕСТР РИСКОВ_2023'!#REF!),IF('INHERENT MAP'!$B$5=2022,IF(#REF!="",F234,#REF!),IF('INHERENT MAP'!$B$5=2023,IF(#REF!="",F234,#REF!),IF('INHERENT MAP'!$B$5=2024,IF(#REF!="",F234,#REF!),IF('РЕЕСТР РИСКОВ_2023'!#REF!="",F234,'РЕЕСТР РИСКОВ_2023'!#REF!)))))</f>
        <v>#REF!</v>
      </c>
      <c r="G235" t="e">
        <f>IF('INHERENT MAP'!$B$5=2021,IF('РЕЕСТР РИСКОВ_2023'!#REF!="",G234,'РЕЕСТР РИСКОВ_2023'!#REF!),IF('INHERENT MAP'!$B$5=2022,IF(#REF!="",G234,#REF!),IF('INHERENT MAP'!$B$5=2023,IF(#REF!="",G234,#REF!),IF('INHERENT MAP'!$B$5=2024,IF(#REF!="",G234,#REF!),IF('РЕЕСТР РИСКОВ_2023'!#REF!="",G234,'РЕЕСТР РИСКОВ_2023'!#REF!)))))</f>
        <v>#REF!</v>
      </c>
      <c r="H235" t="e">
        <f>IF('INHERENT MAP'!$B$5=2021,'РЕЕСТР РИСКОВ_2023'!#REF!,IF('INHERENT MAP'!$B$5=2022,#REF!,IF('INHERENT MAP'!$B$5=2023,#REF!,IF('INHERENT MAP'!$B$5=2024,#REF!,#REF!))))</f>
        <v>#REF!</v>
      </c>
      <c r="I235" t="e">
        <f>IF('INHERENT MAP'!$B$5=2021,'РЕЕСТР РИСКОВ_2023'!#REF!,IF('INHERENT MAP'!$B$5=2022,#REF!,IF('INHERENT MAP'!$B$5=2023,#REF!,IF('INHERENT MAP'!$B$5=2024,#REF!,#REF!))))</f>
        <v>#REF!</v>
      </c>
      <c r="J235" t="e">
        <f>IF('INHERENT MAP'!$B$5=2021,'РЕЕСТР РИСКОВ_2023'!#REF!,IF('INHERENT MAP'!$B$5=2022,#REF!,IF('INHERENT MAP'!$B$5=2023,#REF!,IF('INHERENT MAP'!$B$5=2024,#REF!,#REF!))))</f>
        <v>#REF!</v>
      </c>
      <c r="K235" t="e">
        <f>IF('INHERENT MAP'!$B$5=2021,'РЕЕСТР РИСКОВ_2023'!#REF!,IF('INHERENT MAP'!$B$5=2022,#REF!,IF('INHERENT MAP'!$B$5=2023,#REF!,IF('INHERENT MAP'!$B$5=2024,#REF!,#REF!))))</f>
        <v>#REF!</v>
      </c>
      <c r="L235" t="e">
        <f>IF('INHERENT MAP'!$B$5=2021,'РЕЕСТР РИСКОВ_2023'!#REF!,IF('INHERENT MAP'!$B$5=2022,#REF!,IF('INHERENT MAP'!$B$5=2023,#REF!,IF('INHERENT MAP'!$B$5=2024,#REF!,#REF!))))</f>
        <v>#REF!</v>
      </c>
      <c r="M235" t="e">
        <f>IF('INHERENT MAP'!$B$5=2021,IF('РЕЕСТР РИСКОВ_2023'!#REF!="",M234,'РЕЕСТР РИСКОВ_2023'!#REF!),IF('INHERENT MAP'!$B$5=2022,IF(#REF!="",M234,#REF!),IF('INHERENT MAP'!$B$5=2023,IF(#REF!="",M234,#REF!),IF('INHERENT MAP'!$B$5=2024,IF(#REF!="",M234,#REF!),IF('РЕЕСТР РИСКОВ_2023'!#REF!="",M234,'РЕЕСТР РИСКОВ_2023'!#REF!)))))</f>
        <v>#REF!</v>
      </c>
      <c r="N235" t="e">
        <f>IF('INHERENT MAP'!$B$5=2021,IF('РЕЕСТР РИСКОВ_2023'!#REF!="",N234,'РЕЕСТР РИСКОВ_2023'!#REF!),IF('INHERENT MAP'!$B$5=2022,IF(#REF!="",N234,#REF!),IF('INHERENT MAP'!$B$5=2023,IF(#REF!="",N234,#REF!),IF('INHERENT MAP'!$B$5=2024,IF(#REF!="",N234,#REF!),IF('РЕЕСТР РИСКОВ_2023'!#REF!="",N234,'РЕЕСТР РИСКОВ_2023'!#REF!)))))</f>
        <v>#REF!</v>
      </c>
      <c r="O235" t="e">
        <f>'РЕЕСТР РИСКОВ_2023'!#REF!</f>
        <v>#REF!</v>
      </c>
      <c r="P235" t="e">
        <f>IF('РЕЕСТР РИСКОВ_2023'!#REF!="",P234,'РЕЕСТР РИСКОВ_2023'!#REF!)</f>
        <v>#REF!</v>
      </c>
      <c r="Q235" t="e">
        <f>IF('РЕЕСТР РИСКОВ_2023'!#REF!="",Q234,'РЕЕСТР РИСКОВ_2023'!#REF!)</f>
        <v>#REF!</v>
      </c>
      <c r="R235" t="e">
        <f>IF('РЕЕСТР РИСКОВ_2023'!#REF!="",R234,'РЕЕСТР РИСКОВ_2023'!#REF!)</f>
        <v>#REF!</v>
      </c>
      <c r="S235" t="e">
        <f>'РЕЕСТР РИСКОВ_2023'!#REF!</f>
        <v>#REF!</v>
      </c>
      <c r="T235" s="94" t="e">
        <f>IF('INHERENT MAP'!$B$5=2021,'РЕЕСТР РИСКОВ_2023'!#REF!,IF('INHERENT MAP'!$B$5=2022,#REF!,IF('INHERENT MAP'!$B$5=2023,#REF!,IF('INHERENT MAP'!$B$5=2024,#REF!,#REF!))))</f>
        <v>#REF!</v>
      </c>
      <c r="U235" t="e">
        <f>IF('INHERENT MAP'!$B$5=2021,'РЕЕСТР РИСКОВ_2023'!#REF!,IF('INHERENT MAP'!$B$5=2022,#REF!,IF('INHERENT MAP'!$B$5=2023,#REF!,IF('INHERENT MAP'!$B$5=2024,#REF!,#REF!))))</f>
        <v>#REF!</v>
      </c>
      <c r="V235" t="e">
        <f>IF('INHERENT MAP'!$B$5=2021,'РЕЕСТР РИСКОВ_2023'!#REF!,IF('INHERENT MAP'!$B$5=2022,#REF!,IF('INHERENT MAP'!$B$5=2023,#REF!,IF('INHERENT MAP'!$B$5=2024,#REF!,#REF!))))</f>
        <v>#REF!</v>
      </c>
      <c r="W235" t="e">
        <f>IF('INHERENT MAP'!$B$5=2021,'РЕЕСТР РИСКОВ_2023'!#REF!,IF('INHERENT MAP'!$B$5=2022,#REF!,IF('INHERENT MAP'!$B$5=2023,#REF!,IF('INHERENT MAP'!$B$5=2024,#REF!,#REF!))))</f>
        <v>#REF!</v>
      </c>
      <c r="X235" s="94" t="e">
        <f>IF('INHERENT MAP'!$B$5=2021,'РЕЕСТР РИСКОВ_2023'!#REF!,IF('INHERENT MAP'!$B$5=2022,#REF!,IF('INHERENT MAP'!$B$5=2023,#REF!,IF('INHERENT MAP'!$B$5=2024,#REF!,#REF!))))</f>
        <v>#REF!</v>
      </c>
      <c r="Y235" t="e">
        <f>IF('INHERENT MAP'!$B$5=2021,'РЕЕСТР РИСКОВ_2023'!#REF!,IF('INHERENT MAP'!$B$5=2022,#REF!,IF('INHERENT MAP'!$B$5=2023,#REF!,IF('INHERENT MAP'!$B$5=2024,#REF!,#REF!))))</f>
        <v>#REF!</v>
      </c>
      <c r="Z235" t="e">
        <f>IF('INHERENT MAP'!$B$5=2021,'РЕЕСТР РИСКОВ_2023'!#REF!,IF('INHERENT MAP'!$B$5=2022,#REF!,IF('INHERENT MAP'!$B$5=2023,#REF!,IF('INHERENT MAP'!$B$5=2024,#REF!,#REF!))))</f>
        <v>#REF!</v>
      </c>
      <c r="AA235" t="e">
        <f>IF('INHERENT MAP'!$B$5=2021,'РЕЕСТР РИСКОВ_2023'!#REF!,IF('INHERENT MAP'!$B$5=2022,#REF!,IF('INHERENT MAP'!$B$5=2023,#REF!,IF('INHERENT MAP'!$B$5=2024,#REF!,#REF!))))</f>
        <v>#REF!</v>
      </c>
      <c r="AB235" t="e">
        <f>IF('INHERENT MAP'!$B$5=2021,'РЕЕСТР РИСКОВ_2023'!#REF!,IF('INHERENT MAP'!$B$5=2022,#REF!,IF('INHERENT MAP'!$B$5=2023,#REF!,IF('INHERENT MAP'!$B$5=2024,#REF!,#REF!))))</f>
        <v>#REF!</v>
      </c>
      <c r="AC235" t="e">
        <f>IF('INHERENT MAP'!$B$5=2021,'РЕЕСТР РИСКОВ_2023'!#REF!,IF('INHERENT MAP'!$B$5=2022,#REF!,IF('INHERENT MAP'!$B$5=2023,#REF!,IF('INHERENT MAP'!$B$5=2024,#REF!,#REF!))))</f>
        <v>#REF!</v>
      </c>
      <c r="AD235" t="e">
        <f>IF('INHERENT MAP'!$B$5=2021,'РЕЕСТР РИСКОВ_2023'!#REF!,IF('INHERENT MAP'!$B$5=2022,#REF!,IF('INHERENT MAP'!$B$5=2023,#REF!,IF('INHERENT MAP'!$B$5=2024,#REF!,#REF!))))</f>
        <v>#REF!</v>
      </c>
      <c r="AE235" t="e">
        <f>IF('INHERENT MAP'!$B$5=2021,'РЕЕСТР РИСКОВ_2023'!#REF!,IF('INHERENT MAP'!$B$5=2022,#REF!,IF('INHERENT MAP'!$B$5=2023,#REF!,IF('INHERENT MAP'!$B$5=2024,#REF!,#REF!))))</f>
        <v>#REF!</v>
      </c>
      <c r="AF235" t="e">
        <f>IF('INHERENT MAP'!$B$5=2021,'РЕЕСТР РИСКОВ_2023'!#REF!,IF('INHERENT MAP'!$B$5=2022,#REF!,IF('INHERENT MAP'!$B$5=2023,#REF!,IF('INHERENT MAP'!$B$5=2024,#REF!,#REF!))))</f>
        <v>#REF!</v>
      </c>
      <c r="AG235" t="e">
        <f>IF('INHERENT MAP'!$B$5=2021,'РЕЕСТР РИСКОВ_2023'!#REF!,IF('INHERENT MAP'!$B$5=2022,#REF!,IF('INHERENT MAP'!$B$5=2023,#REF!,IF('INHERENT MAP'!$B$5=2024,#REF!,#REF!))))</f>
        <v>#REF!</v>
      </c>
      <c r="AH235" t="e">
        <f>IF('INHERENT MAP'!$B$5=2021,'РЕЕСТР РИСКОВ_2023'!#REF!,IF('INHERENT MAP'!$B$5=2022,#REF!,IF('INHERENT MAP'!$B$5=2023,#REF!,IF('INHERENT MAP'!$B$5=2024,#REF!,#REF!))))</f>
        <v>#REF!</v>
      </c>
      <c r="AI235" t="e">
        <f>IF('INHERENT MAP'!$B$5=2021,'РЕЕСТР РИСКОВ_2023'!#REF!,IF('INHERENT MAP'!$B$5=2022,#REF!,IF('INHERENT MAP'!$B$5=2023,#REF!,IF('INHERENT MAP'!$B$5=2024,#REF!,#REF!))))</f>
        <v>#REF!</v>
      </c>
      <c r="AJ235" t="e">
        <f>IF('INHERENT MAP'!$B$5=2021,'РЕЕСТР РИСКОВ_2023'!#REF!,IF('INHERENT MAP'!$B$5=2022,#REF!,IF('INHERENT MAP'!$B$5=2023,#REF!,IF('INHERENT MAP'!$B$5=2024,#REF!,#REF!))))</f>
        <v>#REF!</v>
      </c>
      <c r="AK235" t="e">
        <f>IF('РЕЕСТР РИСКОВ_2023'!#REF!="",AK234,'РЕЕСТР РИСКОВ_2023'!#REF!)</f>
        <v>#REF!</v>
      </c>
      <c r="AL235" t="e">
        <f>IF('РЕЕСТР РИСКОВ_2023'!#REF!="",AL234,'РЕЕСТР РИСКОВ_2023'!#REF!)</f>
        <v>#REF!</v>
      </c>
      <c r="AM235" t="e">
        <f>IF('РЕЕСТР РИСКОВ_2023'!#REF!="",AM234,'РЕЕСТР РИСКОВ_2023'!#REF!)</f>
        <v>#REF!</v>
      </c>
      <c r="AN235" t="e">
        <f>IF('РЕЕСТР РИСКОВ_2023'!#REF!="",AN234,'РЕЕСТР РИСКОВ_2023'!#REF!)</f>
        <v>#REF!</v>
      </c>
      <c r="AO235" t="e">
        <f>IF('РЕЕСТР РИСКОВ_2023'!#REF!="",AO234,'РЕЕСТР РИСКОВ_2023'!#REF!)</f>
        <v>#REF!</v>
      </c>
    </row>
    <row r="236" spans="2:41">
      <c r="B236" t="e">
        <f>IF('INHERENT MAP'!$B$5=2021,IF('РЕЕСТР РИСКОВ_2023'!#REF!="",B235,'РЕЕСТР РИСКОВ_2023'!#REF!),IF('INHERENT MAP'!$B$5=2022,IF(#REF!="",B235,#REF!),IF('INHERENT MAP'!$B$5=2023,IF(#REF!="",B235,#REF!),IF('INHERENT MAP'!$B$5=2024,IF(#REF!="",B235,#REF!),IF('РЕЕСТР РИСКОВ_2023'!#REF!="",B235,'РЕЕСТР РИСКОВ_2023'!#REF!)))))</f>
        <v>#REF!</v>
      </c>
      <c r="C236" t="e">
        <f>IF('INHERENT MAP'!$B$5=2021,IF('РЕЕСТР РИСКОВ_2023'!#REF!="",C235,'РЕЕСТР РИСКОВ_2023'!#REF!),IF('INHERENT MAP'!$B$5=2022,IF(#REF!="",C235,#REF!),IF('INHERENT MAP'!$B$5=2023,IF(#REF!="",C235,#REF!),IF('INHERENT MAP'!$B$5=2024,IF(#REF!="",C235,#REF!),IF('РЕЕСТР РИСКОВ_2023'!#REF!="",C235,'РЕЕСТР РИСКОВ_2023'!#REF!)))))</f>
        <v>#REF!</v>
      </c>
      <c r="D236" t="e">
        <f>IF('INHERENT MAP'!$B$5=2021,IF('РЕЕСТР РИСКОВ_2023'!#REF!="",D235,'РЕЕСТР РИСКОВ_2023'!#REF!),IF('INHERENT MAP'!$B$5=2022,IF(#REF!="",D235,#REF!),IF('INHERENT MAP'!$B$5=2023,IF(#REF!="",D235,#REF!),IF('INHERENT MAP'!$B$5=2024,IF(#REF!="",D235,#REF!),IF('РЕЕСТР РИСКОВ_2023'!#REF!="",D235,'РЕЕСТР РИСКОВ_2023'!#REF!)))))</f>
        <v>#REF!</v>
      </c>
      <c r="E236" t="e">
        <f>IF('INHERENT MAP'!$B$5=2021,IF('РЕЕСТР РИСКОВ_2023'!#REF!="",E235,'РЕЕСТР РИСКОВ_2023'!#REF!),IF('INHERENT MAP'!$B$5=2022,IF(#REF!="",E235,#REF!),IF('INHERENT MAP'!$B$5=2023,IF(#REF!="",E235,#REF!),IF('INHERENT MAP'!$B$5=2024,IF(#REF!="",E235,#REF!),IF('РЕЕСТР РИСКОВ_2023'!#REF!="",E235,'РЕЕСТР РИСКОВ_2023'!#REF!)))))</f>
        <v>#REF!</v>
      </c>
      <c r="F236" t="e">
        <f>IF('INHERENT MAP'!$B$5=2021,IF('РЕЕСТР РИСКОВ_2023'!#REF!="",F235,'РЕЕСТР РИСКОВ_2023'!#REF!),IF('INHERENT MAP'!$B$5=2022,IF(#REF!="",F235,#REF!),IF('INHERENT MAP'!$B$5=2023,IF(#REF!="",F235,#REF!),IF('INHERENT MAP'!$B$5=2024,IF(#REF!="",F235,#REF!),IF('РЕЕСТР РИСКОВ_2023'!#REF!="",F235,'РЕЕСТР РИСКОВ_2023'!#REF!)))))</f>
        <v>#REF!</v>
      </c>
      <c r="G236" t="e">
        <f>IF('INHERENT MAP'!$B$5=2021,IF('РЕЕСТР РИСКОВ_2023'!#REF!="",G235,'РЕЕСТР РИСКОВ_2023'!#REF!),IF('INHERENT MAP'!$B$5=2022,IF(#REF!="",G235,#REF!),IF('INHERENT MAP'!$B$5=2023,IF(#REF!="",G235,#REF!),IF('INHERENT MAP'!$B$5=2024,IF(#REF!="",G235,#REF!),IF('РЕЕСТР РИСКОВ_2023'!#REF!="",G235,'РЕЕСТР РИСКОВ_2023'!#REF!)))))</f>
        <v>#REF!</v>
      </c>
      <c r="H236" t="e">
        <f>IF('INHERENT MAP'!$B$5=2021,'РЕЕСТР РИСКОВ_2023'!#REF!,IF('INHERENT MAP'!$B$5=2022,#REF!,IF('INHERENT MAP'!$B$5=2023,#REF!,IF('INHERENT MAP'!$B$5=2024,#REF!,#REF!))))</f>
        <v>#REF!</v>
      </c>
      <c r="I236" t="e">
        <f>IF('INHERENT MAP'!$B$5=2021,'РЕЕСТР РИСКОВ_2023'!#REF!,IF('INHERENT MAP'!$B$5=2022,#REF!,IF('INHERENT MAP'!$B$5=2023,#REF!,IF('INHERENT MAP'!$B$5=2024,#REF!,#REF!))))</f>
        <v>#REF!</v>
      </c>
      <c r="J236" t="e">
        <f>IF('INHERENT MAP'!$B$5=2021,'РЕЕСТР РИСКОВ_2023'!#REF!,IF('INHERENT MAP'!$B$5=2022,#REF!,IF('INHERENT MAP'!$B$5=2023,#REF!,IF('INHERENT MAP'!$B$5=2024,#REF!,#REF!))))</f>
        <v>#REF!</v>
      </c>
      <c r="K236" t="e">
        <f>IF('INHERENT MAP'!$B$5=2021,'РЕЕСТР РИСКОВ_2023'!#REF!,IF('INHERENT MAP'!$B$5=2022,#REF!,IF('INHERENT MAP'!$B$5=2023,#REF!,IF('INHERENT MAP'!$B$5=2024,#REF!,#REF!))))</f>
        <v>#REF!</v>
      </c>
      <c r="L236" t="e">
        <f>IF('INHERENT MAP'!$B$5=2021,'РЕЕСТР РИСКОВ_2023'!#REF!,IF('INHERENT MAP'!$B$5=2022,#REF!,IF('INHERENT MAP'!$B$5=2023,#REF!,IF('INHERENT MAP'!$B$5=2024,#REF!,#REF!))))</f>
        <v>#REF!</v>
      </c>
      <c r="M236" t="e">
        <f>IF('INHERENT MAP'!$B$5=2021,IF('РЕЕСТР РИСКОВ_2023'!#REF!="",M235,'РЕЕСТР РИСКОВ_2023'!#REF!),IF('INHERENT MAP'!$B$5=2022,IF(#REF!="",M235,#REF!),IF('INHERENT MAP'!$B$5=2023,IF(#REF!="",M235,#REF!),IF('INHERENT MAP'!$B$5=2024,IF(#REF!="",M235,#REF!),IF('РЕЕСТР РИСКОВ_2023'!#REF!="",M235,'РЕЕСТР РИСКОВ_2023'!#REF!)))))</f>
        <v>#REF!</v>
      </c>
      <c r="N236" t="e">
        <f>IF('INHERENT MAP'!$B$5=2021,IF('РЕЕСТР РИСКОВ_2023'!#REF!="",N235,'РЕЕСТР РИСКОВ_2023'!#REF!),IF('INHERENT MAP'!$B$5=2022,IF(#REF!="",N235,#REF!),IF('INHERENT MAP'!$B$5=2023,IF(#REF!="",N235,#REF!),IF('INHERENT MAP'!$B$5=2024,IF(#REF!="",N235,#REF!),IF('РЕЕСТР РИСКОВ_2023'!#REF!="",N235,'РЕЕСТР РИСКОВ_2023'!#REF!)))))</f>
        <v>#REF!</v>
      </c>
      <c r="O236" t="e">
        <f>'РЕЕСТР РИСКОВ_2023'!#REF!</f>
        <v>#REF!</v>
      </c>
      <c r="P236" t="e">
        <f>IF('РЕЕСТР РИСКОВ_2023'!#REF!="",P235,'РЕЕСТР РИСКОВ_2023'!#REF!)</f>
        <v>#REF!</v>
      </c>
      <c r="Q236" t="e">
        <f>IF('РЕЕСТР РИСКОВ_2023'!#REF!="",Q235,'РЕЕСТР РИСКОВ_2023'!#REF!)</f>
        <v>#REF!</v>
      </c>
      <c r="R236" t="e">
        <f>IF('РЕЕСТР РИСКОВ_2023'!#REF!="",R235,'РЕЕСТР РИСКОВ_2023'!#REF!)</f>
        <v>#REF!</v>
      </c>
      <c r="S236" t="e">
        <f>'РЕЕСТР РИСКОВ_2023'!#REF!</f>
        <v>#REF!</v>
      </c>
      <c r="T236" s="94" t="e">
        <f>IF('INHERENT MAP'!$B$5=2021,'РЕЕСТР РИСКОВ_2023'!#REF!,IF('INHERENT MAP'!$B$5=2022,#REF!,IF('INHERENT MAP'!$B$5=2023,#REF!,IF('INHERENT MAP'!$B$5=2024,#REF!,#REF!))))</f>
        <v>#REF!</v>
      </c>
      <c r="U236" t="e">
        <f>IF('INHERENT MAP'!$B$5=2021,'РЕЕСТР РИСКОВ_2023'!#REF!,IF('INHERENT MAP'!$B$5=2022,#REF!,IF('INHERENT MAP'!$B$5=2023,#REF!,IF('INHERENT MAP'!$B$5=2024,#REF!,#REF!))))</f>
        <v>#REF!</v>
      </c>
      <c r="V236" t="e">
        <f>IF('INHERENT MAP'!$B$5=2021,'РЕЕСТР РИСКОВ_2023'!#REF!,IF('INHERENT MAP'!$B$5=2022,#REF!,IF('INHERENT MAP'!$B$5=2023,#REF!,IF('INHERENT MAP'!$B$5=2024,#REF!,#REF!))))</f>
        <v>#REF!</v>
      </c>
      <c r="W236" t="e">
        <f>IF('INHERENT MAP'!$B$5=2021,'РЕЕСТР РИСКОВ_2023'!#REF!,IF('INHERENT MAP'!$B$5=2022,#REF!,IF('INHERENT MAP'!$B$5=2023,#REF!,IF('INHERENT MAP'!$B$5=2024,#REF!,#REF!))))</f>
        <v>#REF!</v>
      </c>
      <c r="X236" s="94" t="e">
        <f>IF('INHERENT MAP'!$B$5=2021,'РЕЕСТР РИСКОВ_2023'!#REF!,IF('INHERENT MAP'!$B$5=2022,#REF!,IF('INHERENT MAP'!$B$5=2023,#REF!,IF('INHERENT MAP'!$B$5=2024,#REF!,#REF!))))</f>
        <v>#REF!</v>
      </c>
      <c r="Y236" t="e">
        <f>IF('INHERENT MAP'!$B$5=2021,'РЕЕСТР РИСКОВ_2023'!#REF!,IF('INHERENT MAP'!$B$5=2022,#REF!,IF('INHERENT MAP'!$B$5=2023,#REF!,IF('INHERENT MAP'!$B$5=2024,#REF!,#REF!))))</f>
        <v>#REF!</v>
      </c>
      <c r="Z236" t="e">
        <f>IF('INHERENT MAP'!$B$5=2021,'РЕЕСТР РИСКОВ_2023'!#REF!,IF('INHERENT MAP'!$B$5=2022,#REF!,IF('INHERENT MAP'!$B$5=2023,#REF!,IF('INHERENT MAP'!$B$5=2024,#REF!,#REF!))))</f>
        <v>#REF!</v>
      </c>
      <c r="AA236" t="e">
        <f>IF('INHERENT MAP'!$B$5=2021,'РЕЕСТР РИСКОВ_2023'!#REF!,IF('INHERENT MAP'!$B$5=2022,#REF!,IF('INHERENT MAP'!$B$5=2023,#REF!,IF('INHERENT MAP'!$B$5=2024,#REF!,#REF!))))</f>
        <v>#REF!</v>
      </c>
      <c r="AB236" t="e">
        <f>IF('INHERENT MAP'!$B$5=2021,'РЕЕСТР РИСКОВ_2023'!#REF!,IF('INHERENT MAP'!$B$5=2022,#REF!,IF('INHERENT MAP'!$B$5=2023,#REF!,IF('INHERENT MAP'!$B$5=2024,#REF!,#REF!))))</f>
        <v>#REF!</v>
      </c>
      <c r="AC236" t="e">
        <f>IF('INHERENT MAP'!$B$5=2021,'РЕЕСТР РИСКОВ_2023'!#REF!,IF('INHERENT MAP'!$B$5=2022,#REF!,IF('INHERENT MAP'!$B$5=2023,#REF!,IF('INHERENT MAP'!$B$5=2024,#REF!,#REF!))))</f>
        <v>#REF!</v>
      </c>
      <c r="AD236" t="e">
        <f>IF('INHERENT MAP'!$B$5=2021,'РЕЕСТР РИСКОВ_2023'!#REF!,IF('INHERENT MAP'!$B$5=2022,#REF!,IF('INHERENT MAP'!$B$5=2023,#REF!,IF('INHERENT MAP'!$B$5=2024,#REF!,#REF!))))</f>
        <v>#REF!</v>
      </c>
      <c r="AE236" t="e">
        <f>IF('INHERENT MAP'!$B$5=2021,'РЕЕСТР РИСКОВ_2023'!#REF!,IF('INHERENT MAP'!$B$5=2022,#REF!,IF('INHERENT MAP'!$B$5=2023,#REF!,IF('INHERENT MAP'!$B$5=2024,#REF!,#REF!))))</f>
        <v>#REF!</v>
      </c>
      <c r="AF236" t="e">
        <f>IF('INHERENT MAP'!$B$5=2021,'РЕЕСТР РИСКОВ_2023'!#REF!,IF('INHERENT MAP'!$B$5=2022,#REF!,IF('INHERENT MAP'!$B$5=2023,#REF!,IF('INHERENT MAP'!$B$5=2024,#REF!,#REF!))))</f>
        <v>#REF!</v>
      </c>
      <c r="AG236" t="e">
        <f>IF('INHERENT MAP'!$B$5=2021,'РЕЕСТР РИСКОВ_2023'!#REF!,IF('INHERENT MAP'!$B$5=2022,#REF!,IF('INHERENT MAP'!$B$5=2023,#REF!,IF('INHERENT MAP'!$B$5=2024,#REF!,#REF!))))</f>
        <v>#REF!</v>
      </c>
      <c r="AH236" t="e">
        <f>IF('INHERENT MAP'!$B$5=2021,'РЕЕСТР РИСКОВ_2023'!#REF!,IF('INHERENT MAP'!$B$5=2022,#REF!,IF('INHERENT MAP'!$B$5=2023,#REF!,IF('INHERENT MAP'!$B$5=2024,#REF!,#REF!))))</f>
        <v>#REF!</v>
      </c>
      <c r="AI236" t="e">
        <f>IF('INHERENT MAP'!$B$5=2021,'РЕЕСТР РИСКОВ_2023'!#REF!,IF('INHERENT MAP'!$B$5=2022,#REF!,IF('INHERENT MAP'!$B$5=2023,#REF!,IF('INHERENT MAP'!$B$5=2024,#REF!,#REF!))))</f>
        <v>#REF!</v>
      </c>
      <c r="AJ236" t="e">
        <f>IF('INHERENT MAP'!$B$5=2021,'РЕЕСТР РИСКОВ_2023'!#REF!,IF('INHERENT MAP'!$B$5=2022,#REF!,IF('INHERENT MAP'!$B$5=2023,#REF!,IF('INHERENT MAP'!$B$5=2024,#REF!,#REF!))))</f>
        <v>#REF!</v>
      </c>
      <c r="AK236" t="e">
        <f>IF('РЕЕСТР РИСКОВ_2023'!#REF!="",AK235,'РЕЕСТР РИСКОВ_2023'!#REF!)</f>
        <v>#REF!</v>
      </c>
      <c r="AL236" t="e">
        <f>IF('РЕЕСТР РИСКОВ_2023'!#REF!="",AL235,'РЕЕСТР РИСКОВ_2023'!#REF!)</f>
        <v>#REF!</v>
      </c>
      <c r="AM236" t="e">
        <f>IF('РЕЕСТР РИСКОВ_2023'!#REF!="",AM235,'РЕЕСТР РИСКОВ_2023'!#REF!)</f>
        <v>#REF!</v>
      </c>
      <c r="AN236" t="e">
        <f>IF('РЕЕСТР РИСКОВ_2023'!#REF!="",AN235,'РЕЕСТР РИСКОВ_2023'!#REF!)</f>
        <v>#REF!</v>
      </c>
      <c r="AO236" t="e">
        <f>IF('РЕЕСТР РИСКОВ_2023'!#REF!="",AO235,'РЕЕСТР РИСКОВ_2023'!#REF!)</f>
        <v>#REF!</v>
      </c>
    </row>
    <row r="237" spans="2:41">
      <c r="B237" t="e">
        <f>IF('INHERENT MAP'!$B$5=2021,IF('РЕЕСТР РИСКОВ_2023'!F277="",B236,'РЕЕСТР РИСКОВ_2023'!F277),IF('INHERENT MAP'!$B$5=2022,IF(#REF!="",B236,#REF!),IF('INHERENT MAP'!$B$5=2023,IF(#REF!="",B236,#REF!),IF('INHERENT MAP'!$B$5=2024,IF(#REF!="",B236,#REF!),IF('РЕЕСТР РИСКОВ_2023'!F277="",B236,'РЕЕСТР РИСКОВ_2023'!F277)))))</f>
        <v>#REF!</v>
      </c>
      <c r="C237" t="e">
        <f>IF('INHERENT MAP'!$B$5=2021,IF('РЕЕСТР РИСКОВ_2023'!G277="",C236,'РЕЕСТР РИСКОВ_2023'!G277),IF('INHERENT MAP'!$B$5=2022,IF(#REF!="",C236,#REF!),IF('INHERENT MAP'!$B$5=2023,IF(#REF!="",C236,#REF!),IF('INHERENT MAP'!$B$5=2024,IF(#REF!="",C236,#REF!),IF('РЕЕСТР РИСКОВ_2023'!G277="",C236,'РЕЕСТР РИСКОВ_2023'!G277)))))</f>
        <v>#REF!</v>
      </c>
      <c r="D237" t="str">
        <f>IF('INHERENT MAP'!$B$5=2021,IF('РЕЕСТР РИСКОВ_2023'!H277="",D236,'РЕЕСТР РИСКОВ_2023'!H277),IF('INHERENT MAP'!$B$5=2022,IF(#REF!="",D236,#REF!),IF('INHERENT MAP'!$B$5=2023,IF(#REF!="",D236,#REF!),IF('INHERENT MAP'!$B$5=2024,IF(#REF!="",D236,#REF!),IF('РЕЕСТР РИСКОВ_2023'!H277="",D236,'РЕЕСТР РИСКОВ_2023'!H277)))))</f>
        <v>MR-4</v>
      </c>
      <c r="E237" t="str">
        <f>IF('INHERENT MAP'!$B$5=2021,IF('РЕЕСТР РИСКОВ_2023'!I277="",E236,'РЕЕСТР РИСКОВ_2023'!I277),IF('INHERENT MAP'!$B$5=2022,IF(#REF!="",E236,#REF!),IF('INHERENT MAP'!$B$5=2023,IF(#REF!="",E236,#REF!),IF('INHERENT MAP'!$B$5=2024,IF(#REF!="",E236,#REF!),IF('РЕЕСТР РИСКОВ_2023'!I277="",E236,'РЕЕСТР РИСКОВ_2023'!I277)))))</f>
        <v>ЦЗФ</v>
      </c>
      <c r="F237" t="str">
        <f>IF('INHERENT MAP'!$B$5=2021,IF('РЕЕСТР РИСКОВ_2023'!J277="",F236,'РЕЕСТР РИСКОВ_2023'!J277),IF('INHERENT MAP'!$B$5=2022,IF(#REF!="",F236,#REF!),IF('INHERENT MAP'!$B$5=2023,IF(#REF!="",F236,#REF!),IF('INHERENT MAP'!$B$5=2024,IF(#REF!="",F236,#REF!),IF('РЕЕСТР РИСКОВ_2023'!J277="",F236,'РЕЕСТР РИСКОВ_2023'!J277)))))</f>
        <v>Цзайм</v>
      </c>
      <c r="G237" t="str">
        <f>IF('INHERENT MAP'!$B$5=2021,IF('РЕЕСТР РИСКОВ_2023'!K277="",G236,'РЕЕСТР РИСКОВ_2023'!K277),IF('INHERENT MAP'!$B$5=2022,IF(#REF!="",G236,#REF!),IF('INHERENT MAP'!$B$5=2023,IF(#REF!="",G236,#REF!),IF('INHERENT MAP'!$B$5=2024,IF(#REF!="",G236,#REF!),IF('РЕЕСТР РИСКОВ_2023'!K277="",G236,'РЕЕСТР РИСКОВ_2023'!K277)))))</f>
        <v>Снижение кредитного рейтинга</v>
      </c>
      <c r="H237">
        <f>IF('INHERENT MAP'!$B$5=2021,'РЕЕСТР РИСКОВ_2023'!L277,IF('INHERENT MAP'!$B$5=2022,#REF!,IF('INHERENT MAP'!$B$5=2023,#REF!,IF('INHERENT MAP'!$B$5=2024,#REF!,#REF!))))</f>
        <v>0</v>
      </c>
      <c r="I237">
        <f>IF('INHERENT MAP'!$B$5=2021,'РЕЕСТР РИСКОВ_2023'!M277,IF('INHERENT MAP'!$B$5=2022,#REF!,IF('INHERENT MAP'!$B$5=2023,#REF!,IF('INHERENT MAP'!$B$5=2024,#REF!,#REF!))))</f>
        <v>0</v>
      </c>
      <c r="J237">
        <f>IF('INHERENT MAP'!$B$5=2021,'РЕЕСТР РИСКОВ_2023'!N277,IF('INHERENT MAP'!$B$5=2022,#REF!,IF('INHERENT MAP'!$B$5=2023,#REF!,IF('INHERENT MAP'!$B$5=2024,#REF!,#REF!))))</f>
        <v>0</v>
      </c>
      <c r="K237">
        <f>IF('INHERENT MAP'!$B$5=2021,'РЕЕСТР РИСКОВ_2023'!O277,IF('INHERENT MAP'!$B$5=2022,#REF!,IF('INHERENT MAP'!$B$5=2023,#REF!,IF('INHERENT MAP'!$B$5=2024,#REF!,#REF!))))</f>
        <v>0</v>
      </c>
      <c r="L237">
        <f>IF('INHERENT MAP'!$B$5=2021,'РЕЕСТР РИСКОВ_2023'!P277,IF('INHERENT MAP'!$B$5=2022,#REF!,IF('INHERENT MAP'!$B$5=2023,#REF!,IF('INHERENT MAP'!$B$5=2024,#REF!,#REF!))))</f>
        <v>0</v>
      </c>
      <c r="M237" t="e">
        <f>IF('INHERENT MAP'!$B$5=2021,IF('РЕЕСТР РИСКОВ_2023'!Q277="",M236,'РЕЕСТР РИСКОВ_2023'!Q277),IF('INHERENT MAP'!$B$5=2022,IF(#REF!="",M236,#REF!),IF('INHERENT MAP'!$B$5=2023,IF(#REF!="",M236,#REF!),IF('INHERENT MAP'!$B$5=2024,IF(#REF!="",M236,#REF!),IF('РЕЕСТР РИСКОВ_2023'!Q277="",M236,'РЕЕСТР РИСКОВ_2023'!Q277)))))</f>
        <v>#REF!</v>
      </c>
      <c r="N237" t="e">
        <f>IF('INHERENT MAP'!$B$5=2021,IF('РЕЕСТР РИСКОВ_2023'!R277="",N236,'РЕЕСТР РИСКОВ_2023'!R277),IF('INHERENT MAP'!$B$5=2022,IF(#REF!="",N236,#REF!),IF('INHERENT MAP'!$B$5=2023,IF(#REF!="",N236,#REF!),IF('INHERENT MAP'!$B$5=2024,IF(#REF!="",N236,#REF!),IF('РЕЕСТР РИСКОВ_2023'!R277="",N236,'РЕЕСТР РИСКОВ_2023'!R277)))))</f>
        <v>#REF!</v>
      </c>
      <c r="O237">
        <f>'РЕЕСТР РИСКОВ_2023'!T277</f>
        <v>0</v>
      </c>
      <c r="P237" t="e">
        <f>IF('РЕЕСТР РИСКОВ_2023'!U277="",P236,'РЕЕСТР РИСКОВ_2023'!U277)</f>
        <v>#REF!</v>
      </c>
      <c r="Q237" t="str">
        <f>IF('РЕЕСТР РИСКОВ_2023'!V277="",Q236,'РЕЕСТР РИСКОВ_2023'!V277)</f>
        <v>Угрозы</v>
      </c>
      <c r="R237" t="e">
        <f>IF('РЕЕСТР РИСКОВ_2023'!W277="",R236,'РЕЕСТР РИСКОВ_2023'!W277)</f>
        <v>#REF!</v>
      </c>
      <c r="S237">
        <f>'РЕЕСТР РИСКОВ_2023'!X277</f>
        <v>0</v>
      </c>
      <c r="T237" s="94">
        <f>IF('INHERENT MAP'!$B$5=2021,'РЕЕСТР РИСКОВ_2023'!Y277,IF('INHERENT MAP'!$B$5=2022,#REF!,IF('INHERENT MAP'!$B$5=2023,#REF!,IF('INHERENT MAP'!$B$5=2024,#REF!,#REF!))))</f>
        <v>0.65</v>
      </c>
      <c r="U237">
        <f>IF('INHERENT MAP'!$B$5=2021,'РЕЕСТР РИСКОВ_2023'!Z277,IF('INHERENT MAP'!$B$5=2022,#REF!,IF('INHERENT MAP'!$B$5=2023,#REF!,IF('INHERENT MAP'!$B$5=2024,#REF!,#REF!))))</f>
        <v>0</v>
      </c>
      <c r="V237">
        <f>IF('INHERENT MAP'!$B$5=2021,'РЕЕСТР РИСКОВ_2023'!AA277,IF('INHERENT MAP'!$B$5=2022,#REF!,IF('INHERENT MAP'!$B$5=2023,#REF!,IF('INHERENT MAP'!$B$5=2024,#REF!,#REF!))))</f>
        <v>0</v>
      </c>
      <c r="W237">
        <f>IF('INHERENT MAP'!$B$5=2021,'РЕЕСТР РИСКОВ_2023'!AB277,IF('INHERENT MAP'!$B$5=2022,#REF!,IF('INHERENT MAP'!$B$5=2023,#REF!,IF('INHERENT MAP'!$B$5=2024,#REF!,#REF!))))</f>
        <v>0</v>
      </c>
      <c r="X237" s="94">
        <f>IF('INHERENT MAP'!$B$5=2021,'РЕЕСТР РИСКОВ_2023'!AC277,IF('INHERENT MAP'!$B$5=2022,#REF!,IF('INHERENT MAP'!$B$5=2023,#REF!,IF('INHERENT MAP'!$B$5=2024,#REF!,#REF!))))</f>
        <v>0.05</v>
      </c>
      <c r="Y237">
        <f>IF('INHERENT MAP'!$B$5=2021,'РЕЕСТР РИСКОВ_2023'!AD277,IF('INHERENT MAP'!$B$5=2022,#REF!,IF('INHERENT MAP'!$B$5=2023,#REF!,IF('INHERENT MAP'!$B$5=2024,#REF!,#REF!))))</f>
        <v>0</v>
      </c>
      <c r="Z237">
        <f>IF('INHERENT MAP'!$B$5=2021,'РЕЕСТР РИСКОВ_2023'!AE277,IF('INHERENT MAP'!$B$5=2022,#REF!,IF('INHERENT MAP'!$B$5=2023,#REF!,IF('INHERENT MAP'!$B$5=2024,#REF!,#REF!))))</f>
        <v>0</v>
      </c>
      <c r="AA237">
        <f>IF('INHERENT MAP'!$B$5=2021,'РЕЕСТР РИСКОВ_2023'!AF277,IF('INHERENT MAP'!$B$5=2022,#REF!,IF('INHERENT MAP'!$B$5=2023,#REF!,IF('INHERENT MAP'!$B$5=2024,#REF!,#REF!))))</f>
        <v>0</v>
      </c>
      <c r="AB237">
        <f>IF('INHERENT MAP'!$B$5=2021,'РЕЕСТР РИСКОВ_2023'!AG277,IF('INHERENT MAP'!$B$5=2022,#REF!,IF('INHERENT MAP'!$B$5=2023,#REF!,IF('INHERENT MAP'!$B$5=2024,#REF!,#REF!))))</f>
        <v>0</v>
      </c>
      <c r="AC237">
        <f>IF('INHERENT MAP'!$B$5=2021,'РЕЕСТР РИСКОВ_2023'!AH277,IF('INHERENT MAP'!$B$5=2022,#REF!,IF('INHERENT MAP'!$B$5=2023,#REF!,IF('INHERENT MAP'!$B$5=2024,#REF!,#REF!))))</f>
        <v>0</v>
      </c>
      <c r="AD237">
        <f>IF('INHERENT MAP'!$B$5=2021,'РЕЕСТР РИСКОВ_2023'!AI277,IF('INHERENT MAP'!$B$5=2022,#REF!,IF('INHERENT MAP'!$B$5=2023,#REF!,IF('INHERENT MAP'!$B$5=2024,#REF!,#REF!))))</f>
        <v>0</v>
      </c>
      <c r="AE237">
        <f>IF('INHERENT MAP'!$B$5=2021,'РЕЕСТР РИСКОВ_2023'!AK277,IF('INHERENT MAP'!$B$5=2022,#REF!,IF('INHERENT MAP'!$B$5=2023,#REF!,IF('INHERENT MAP'!$B$5=2024,#REF!,#REF!))))</f>
        <v>0</v>
      </c>
      <c r="AF237">
        <f>IF('INHERENT MAP'!$B$5=2021,'РЕЕСТР РИСКОВ_2023'!AL277,IF('INHERENT MAP'!$B$5=2022,#REF!,IF('INHERENT MAP'!$B$5=2023,#REF!,IF('INHERENT MAP'!$B$5=2024,#REF!,#REF!))))</f>
        <v>0</v>
      </c>
      <c r="AG237" t="str">
        <f>IF('INHERENT MAP'!$B$5=2021,'РЕЕСТР РИСКОВ_2023'!AM277,IF('INHERENT MAP'!$B$5=2022,#REF!,IF('INHERENT MAP'!$B$5=2023,#REF!,IF('INHERENT MAP'!$B$5=2024,#REF!,#REF!))))</f>
        <v>низкая</v>
      </c>
      <c r="AH237">
        <f>IF('INHERENT MAP'!$B$5=2021,'РЕЕСТР РИСКОВ_2023'!AN277,IF('INHERENT MAP'!$B$5=2022,#REF!,IF('INHERENT MAP'!$B$5=2023,#REF!,IF('INHERENT MAP'!$B$5=2024,#REF!,#REF!))))</f>
        <v>0.65</v>
      </c>
      <c r="AI237">
        <f>IF('INHERENT MAP'!$B$5=2021,'РЕЕСТР РИСКОВ_2023'!AO277,IF('INHERENT MAP'!$B$5=2022,#REF!,IF('INHERENT MAP'!$B$5=2023,#REF!,IF('INHERENT MAP'!$B$5=2024,#REF!,#REF!))))</f>
        <v>0</v>
      </c>
      <c r="AJ237">
        <f>IF('INHERENT MAP'!$B$5=2021,'РЕЕСТР РИСКОВ_2023'!AP277,IF('INHERENT MAP'!$B$5=2022,#REF!,IF('INHERENT MAP'!$B$5=2023,#REF!,IF('INHERENT MAP'!$B$5=2024,#REF!,#REF!))))</f>
        <v>0</v>
      </c>
      <c r="AK237">
        <f>IF('РЕЕСТР РИСКОВ_2023'!AQ277="",AK236,'РЕЕСТР РИСКОВ_2023'!AQ277)</f>
        <v>0</v>
      </c>
      <c r="AL237">
        <f>IF('РЕЕСТР РИСКОВ_2023'!AR277="",AL236,'РЕЕСТР РИСКОВ_2023'!AR277)</f>
        <v>0.65</v>
      </c>
      <c r="AM237">
        <f>IF('РЕЕСТР РИСКОВ_2023'!AS277="",AM236,'РЕЕСТР РИСКОВ_2023'!AS277)</f>
        <v>0</v>
      </c>
      <c r="AN237">
        <f>IF('РЕЕСТР РИСКОВ_2023'!AT277="",AN236,'РЕЕСТР РИСКОВ_2023'!AT277)</f>
        <v>0</v>
      </c>
      <c r="AO237" t="e">
        <f>IF('РЕЕСТР РИСКОВ_2023'!AU277="",AO236,'РЕЕСТР РИСКОВ_2023'!AU277)</f>
        <v>#REF!</v>
      </c>
    </row>
    <row r="238" spans="2:41">
      <c r="B238" t="str">
        <f>IF('INHERENT MAP'!$B$5=2021,IF('РЕЕСТР РИСКОВ_2023'!F278="",B237,'РЕЕСТР РИСКОВ_2023'!F278),IF('INHERENT MAP'!$B$5=2022,IF(#REF!="",B237,#REF!),IF('INHERENT MAP'!$B$5=2023,IF(#REF!="",B237,#REF!),IF('INHERENT MAP'!$B$5=2024,IF(#REF!="",B237,#REF!),IF('РЕЕСТР РИСКОВ_2023'!F278="",B237,'РЕЕСТР РИСКОВ_2023'!F278)))))</f>
        <v>РИСКИ САНКЦИЙ И ОГРАНИЧЕНИЙ
(Super Risk)</v>
      </c>
      <c r="C238" t="e">
        <f>IF('INHERENT MAP'!$B$5=2021,IF('РЕЕСТР РИСКОВ_2023'!G278="",C237,'РЕЕСТР РИСКОВ_2023'!G278),IF('INHERENT MAP'!$B$5=2022,IF(#REF!="",C237,#REF!),IF('INHERENT MAP'!$B$5=2023,IF(#REF!="",C237,#REF!),IF('INHERENT MAP'!$B$5=2024,IF(#REF!="",C237,#REF!),IF('РЕЕСТР РИСКОВ_2023'!G278="",C237,'РЕЕСТР РИСКОВ_2023'!G278)))))</f>
        <v>#REF!</v>
      </c>
      <c r="D238" t="str">
        <f>IF('INHERENT MAP'!$B$5=2021,IF('РЕЕСТР РИСКОВ_2023'!H278="",D237,'РЕЕСТР РИСКОВ_2023'!H278),IF('INHERENT MAP'!$B$5=2022,IF(#REF!="",D237,#REF!),IF('INHERENT MAP'!$B$5=2023,IF(#REF!="",D237,#REF!),IF('INHERENT MAP'!$B$5=2024,IF(#REF!="",D237,#REF!),IF('РЕЕСТР РИСКОВ_2023'!H278="",D237,'РЕЕСТР РИСКОВ_2023'!H278)))))</f>
        <v>SR-1</v>
      </c>
      <c r="E238" t="str">
        <f>IF('INHERENT MAP'!$B$5=2021,IF('РЕЕСТР РИСКОВ_2023'!I278="",E237,'РЕЕСТР РИСКОВ_2023'!I278),IF('INHERENT MAP'!$B$5=2022,IF(#REF!="",E237,#REF!),IF('INHERENT MAP'!$B$5=2023,IF(#REF!="",E237,#REF!),IF('INHERENT MAP'!$B$5=2024,IF(#REF!="",E237,#REF!),IF('РЕЕСТР РИСКОВ_2023'!I278="",E237,'РЕЕСТР РИСКОВ_2023'!I278)))))</f>
        <v>ЦЗЛ</v>
      </c>
      <c r="F238" t="str">
        <f>IF('INHERENT MAP'!$B$5=2021,IF('РЕЕСТР РИСКОВ_2023'!J278="",F237,'РЕЕСТР РИСКОВ_2023'!J278),IF('INHERENT MAP'!$B$5=2022,IF(#REF!="",F237,#REF!),IF('INHERENT MAP'!$B$5=2023,IF(#REF!="",F237,#REF!),IF('INHERENT MAP'!$B$5=2024,IF(#REF!="",F237,#REF!),IF('РЕЕСТР РИСКОВ_2023'!J278="",F237,'РЕЕСТР РИСКОВ_2023'!J278)))))</f>
        <v>ТОО "КТЖ-ГП", KTZE</v>
      </c>
      <c r="G238" t="str">
        <f>IF('INHERENT MAP'!$B$5=2021,IF('РЕЕСТР РИСКОВ_2023'!K278="",G237,'РЕЕСТР РИСКОВ_2023'!K278),IF('INHERENT MAP'!$B$5=2022,IF(#REF!="",G237,#REF!),IF('INHERENT MAP'!$B$5=2023,IF(#REF!="",G237,#REF!),IF('INHERENT MAP'!$B$5=2024,IF(#REF!="",G237,#REF!),IF('РЕЕСТР РИСКОВ_2023'!K278="",G237,'РЕЕСТР РИСКОВ_2023'!K278)))))</f>
        <v>Влияние на грузооборот (CTR-4)</v>
      </c>
      <c r="H238">
        <f>IF('INHERENT MAP'!$B$5=2021,'РЕЕСТР РИСКОВ_2023'!L278,IF('INHERENT MAP'!$B$5=2022,#REF!,IF('INHERENT MAP'!$B$5=2023,#REF!,IF('INHERENT MAP'!$B$5=2024,#REF!,#REF!))))</f>
        <v>0</v>
      </c>
      <c r="I238">
        <f>IF('INHERENT MAP'!$B$5=2021,'РЕЕСТР РИСКОВ_2023'!M278,IF('INHERENT MAP'!$B$5=2022,#REF!,IF('INHERENT MAP'!$B$5=2023,#REF!,IF('INHERENT MAP'!$B$5=2024,#REF!,#REF!))))</f>
        <v>0</v>
      </c>
      <c r="J238">
        <f>IF('INHERENT MAP'!$B$5=2021,'РЕЕСТР РИСКОВ_2023'!N278,IF('INHERENT MAP'!$B$5=2022,#REF!,IF('INHERENT MAP'!$B$5=2023,#REF!,IF('INHERENT MAP'!$B$5=2024,#REF!,#REF!))))</f>
        <v>0</v>
      </c>
      <c r="K238">
        <f>IF('INHERENT MAP'!$B$5=2021,'РЕЕСТР РИСКОВ_2023'!O278,IF('INHERENT MAP'!$B$5=2022,#REF!,IF('INHERENT MAP'!$B$5=2023,#REF!,IF('INHERENT MAP'!$B$5=2024,#REF!,#REF!))))</f>
        <v>0</v>
      </c>
      <c r="L238">
        <f>IF('INHERENT MAP'!$B$5=2021,'РЕЕСТР РИСКОВ_2023'!P278,IF('INHERENT MAP'!$B$5=2022,#REF!,IF('INHERENT MAP'!$B$5=2023,#REF!,IF('INHERENT MAP'!$B$5=2024,#REF!,#REF!))))</f>
        <v>0</v>
      </c>
      <c r="M238" t="str">
        <f>IF('INHERENT MAP'!$B$5=2021,IF('РЕЕСТР РИСКОВ_2023'!Q278="",M237,'РЕЕСТР РИСКОВ_2023'!Q278),IF('INHERENT MAP'!$B$5=2022,IF(#REF!="",M237,#REF!),IF('INHERENT MAP'!$B$5=2023,IF(#REF!="",M237,#REF!),IF('INHERENT MAP'!$B$5=2024,IF(#REF!="",M237,#REF!),IF('РЕЕСТР РИСКОВ_2023'!Q278="",M237,'РЕЕСТР РИСКОВ_2023'!Q278)))))</f>
        <v>Влияние на маршрут КНР-ЕС-КНР</v>
      </c>
      <c r="N238" t="str">
        <f>IF('INHERENT MAP'!$B$5=2021,IF('РЕЕСТР РИСКОВ_2023'!R278="",N237,'РЕЕСТР РИСКОВ_2023'!R278),IF('INHERENT MAP'!$B$5=2022,IF(#REF!="",N237,#REF!),IF('INHERENT MAP'!$B$5=2023,IF(#REF!="",N237,#REF!),IF('INHERENT MAP'!$B$5=2024,IF(#REF!="",N237,#REF!),IF('РЕЕСТР РИСКОВ_2023'!R278="",N237,'РЕЕСТР РИСКОВ_2023'!R278)))))</f>
        <v>Снижение привлекательности Северного маршрута
Операционные риски ТМТМ
Операционные риски Южного маршрута</v>
      </c>
      <c r="O238">
        <f>'РЕЕСТР РИСКОВ_2023'!T278</f>
        <v>0</v>
      </c>
      <c r="P238" t="e">
        <f>IF('РЕЕСТР РИСКОВ_2023'!U278="",P237,'РЕЕСТР РИСКОВ_2023'!U278)</f>
        <v>#REF!</v>
      </c>
      <c r="Q238" t="str">
        <f>IF('РЕЕСТР РИСКОВ_2023'!V278="",Q237,'РЕЕСТР РИСКОВ_2023'!V278)</f>
        <v>Угрозы</v>
      </c>
      <c r="R238" t="e">
        <f>IF('РЕЕСТР РИСКОВ_2023'!W278="",R237,'РЕЕСТР РИСКОВ_2023'!W278)</f>
        <v>#REF!</v>
      </c>
      <c r="S238">
        <f>'РЕЕСТР РИСКОВ_2023'!X278</f>
        <v>0</v>
      </c>
      <c r="T238" s="94">
        <f>IF('INHERENT MAP'!$B$5=2021,'РЕЕСТР РИСКОВ_2023'!Y278,IF('INHERENT MAP'!$B$5=2022,#REF!,IF('INHERENT MAP'!$B$5=2023,#REF!,IF('INHERENT MAP'!$B$5=2024,#REF!,#REF!))))</f>
        <v>0.5</v>
      </c>
      <c r="U238">
        <f>IF('INHERENT MAP'!$B$5=2021,'РЕЕСТР РИСКОВ_2023'!Z278,IF('INHERENT MAP'!$B$5=2022,#REF!,IF('INHERENT MAP'!$B$5=2023,#REF!,IF('INHERENT MAP'!$B$5=2024,#REF!,#REF!))))</f>
        <v>0</v>
      </c>
      <c r="V238">
        <f>IF('INHERENT MAP'!$B$5=2021,'РЕЕСТР РИСКОВ_2023'!AA278,IF('INHERENT MAP'!$B$5=2022,#REF!,IF('INHERENT MAP'!$B$5=2023,#REF!,IF('INHERENT MAP'!$B$5=2024,#REF!,#REF!))))</f>
        <v>0</v>
      </c>
      <c r="W238">
        <f>IF('INHERENT MAP'!$B$5=2021,'РЕЕСТР РИСКОВ_2023'!AB278,IF('INHERENT MAP'!$B$5=2022,#REF!,IF('INHERENT MAP'!$B$5=2023,#REF!,IF('INHERENT MAP'!$B$5=2024,#REF!,#REF!))))</f>
        <v>0</v>
      </c>
      <c r="X238" s="94">
        <f>IF('INHERENT MAP'!$B$5=2021,'РЕЕСТР РИСКОВ_2023'!AC278,IF('INHERENT MAP'!$B$5=2022,#REF!,IF('INHERENT MAP'!$B$5=2023,#REF!,IF('INHERENT MAP'!$B$5=2024,#REF!,#REF!))))</f>
        <v>0.5</v>
      </c>
      <c r="Y238">
        <f>IF('INHERENT MAP'!$B$5=2021,'РЕЕСТР РИСКОВ_2023'!AD278,IF('INHERENT MAP'!$B$5=2022,#REF!,IF('INHERENT MAP'!$B$5=2023,#REF!,IF('INHERENT MAP'!$B$5=2024,#REF!,#REF!))))</f>
        <v>0</v>
      </c>
      <c r="Z238">
        <f>IF('INHERENT MAP'!$B$5=2021,'РЕЕСТР РИСКОВ_2023'!AE278,IF('INHERENT MAP'!$B$5=2022,#REF!,IF('INHERENT MAP'!$B$5=2023,#REF!,IF('INHERENT MAP'!$B$5=2024,#REF!,#REF!))))</f>
        <v>0</v>
      </c>
      <c r="AA238">
        <f>IF('INHERENT MAP'!$B$5=2021,'РЕЕСТР РИСКОВ_2023'!AF278,IF('INHERENT MAP'!$B$5=2022,#REF!,IF('INHERENT MAP'!$B$5=2023,#REF!,IF('INHERENT MAP'!$B$5=2024,#REF!,#REF!))))</f>
        <v>0</v>
      </c>
      <c r="AB238">
        <f>IF('INHERENT MAP'!$B$5=2021,'РЕЕСТР РИСКОВ_2023'!AG278,IF('INHERENT MAP'!$B$5=2022,#REF!,IF('INHERENT MAP'!$B$5=2023,#REF!,IF('INHERENT MAP'!$B$5=2024,#REF!,#REF!))))</f>
        <v>0</v>
      </c>
      <c r="AC238">
        <f>IF('INHERENT MAP'!$B$5=2021,'РЕЕСТР РИСКОВ_2023'!AH278,IF('INHERENT MAP'!$B$5=2022,#REF!,IF('INHERENT MAP'!$B$5=2023,#REF!,IF('INHERENT MAP'!$B$5=2024,#REF!,#REF!))))</f>
        <v>0</v>
      </c>
      <c r="AD238">
        <f>IF('INHERENT MAP'!$B$5=2021,'РЕЕСТР РИСКОВ_2023'!AI278,IF('INHERENT MAP'!$B$5=2022,#REF!,IF('INHERENT MAP'!$B$5=2023,#REF!,IF('INHERENT MAP'!$B$5=2024,#REF!,#REF!))))</f>
        <v>0</v>
      </c>
      <c r="AE238">
        <f>IF('INHERENT MAP'!$B$5=2021,'РЕЕСТР РИСКОВ_2023'!AK278,IF('INHERENT MAP'!$B$5=2022,#REF!,IF('INHERENT MAP'!$B$5=2023,#REF!,IF('INHERENT MAP'!$B$5=2024,#REF!,#REF!))))</f>
        <v>0</v>
      </c>
      <c r="AF238">
        <f>IF('INHERENT MAP'!$B$5=2021,'РЕЕСТР РИСКОВ_2023'!AL278,IF('INHERENT MAP'!$B$5=2022,#REF!,IF('INHERENT MAP'!$B$5=2023,#REF!,IF('INHERENT MAP'!$B$5=2024,#REF!,#REF!))))</f>
        <v>0</v>
      </c>
      <c r="AG238" t="str">
        <f>IF('INHERENT MAP'!$B$5=2021,'РЕЕСТР РИСКОВ_2023'!AM278,IF('INHERENT MAP'!$B$5=2022,#REF!,IF('INHERENT MAP'!$B$5=2023,#REF!,IF('INHERENT MAP'!$B$5=2024,#REF!,#REF!))))</f>
        <v>низкая</v>
      </c>
      <c r="AH238">
        <f>IF('INHERENT MAP'!$B$5=2021,'РЕЕСТР РИСКОВ_2023'!AN278,IF('INHERENT MAP'!$B$5=2022,#REF!,IF('INHERENT MAP'!$B$5=2023,#REF!,IF('INHERENT MAP'!$B$5=2024,#REF!,#REF!))))</f>
        <v>0.5</v>
      </c>
      <c r="AI238">
        <f>IF('INHERENT MAP'!$B$5=2021,'РЕЕСТР РИСКОВ_2023'!AO278,IF('INHERENT MAP'!$B$5=2022,#REF!,IF('INHERENT MAP'!$B$5=2023,#REF!,IF('INHERENT MAP'!$B$5=2024,#REF!,#REF!))))</f>
        <v>0</v>
      </c>
      <c r="AJ238">
        <f>IF('INHERENT MAP'!$B$5=2021,'РЕЕСТР РИСКОВ_2023'!AP278,IF('INHERENT MAP'!$B$5=2022,#REF!,IF('INHERENT MAP'!$B$5=2023,#REF!,IF('INHERENT MAP'!$B$5=2024,#REF!,#REF!))))</f>
        <v>0</v>
      </c>
      <c r="AK238">
        <f>IF('РЕЕСТР РИСКОВ_2023'!AQ278="",AK237,'РЕЕСТР РИСКОВ_2023'!AQ278)</f>
        <v>0</v>
      </c>
      <c r="AL238" t="b">
        <f>IF('РЕЕСТР РИСКОВ_2023'!AR278="",AL237,'РЕЕСТР РИСКОВ_2023'!AR278)</f>
        <v>0</v>
      </c>
      <c r="AM238">
        <f>IF('РЕЕСТР РИСКОВ_2023'!AS278="",AM237,'РЕЕСТР РИСКОВ_2023'!AS278)</f>
        <v>0</v>
      </c>
      <c r="AN238">
        <f>IF('РЕЕСТР РИСКОВ_2023'!AT278="",AN237,'РЕЕСТР РИСКОВ_2023'!AT278)</f>
        <v>0</v>
      </c>
      <c r="AO238" t="e">
        <f>IF('РЕЕСТР РИСКОВ_2023'!AU278="",AO237,'РЕЕСТР РИСКОВ_2023'!AU278)</f>
        <v>#REF!</v>
      </c>
    </row>
    <row r="239" spans="2:41">
      <c r="B239" t="str">
        <f>IF('INHERENT MAP'!$B$5=2021,IF('РЕЕСТР РИСКОВ_2023'!F279="",B238,'РЕЕСТР РИСКОВ_2023'!F279),IF('INHERENT MAP'!$B$5=2022,IF(#REF!="",B238,#REF!),IF('INHERENT MAP'!$B$5=2023,IF(#REF!="",B238,#REF!),IF('INHERENT MAP'!$B$5=2024,IF(#REF!="",B238,#REF!),IF('РЕЕСТР РИСКОВ_2023'!F279="",B238,'РЕЕСТР РИСКОВ_2023'!F279)))))</f>
        <v>РИСКИ САНКЦИЙ И ОГРАНИЧЕНИЙ
(Super Risk)</v>
      </c>
      <c r="C239" t="e">
        <f>IF('INHERENT MAP'!$B$5=2021,IF('РЕЕСТР РИСКОВ_2023'!G279="",C238,'РЕЕСТР РИСКОВ_2023'!G279),IF('INHERENT MAP'!$B$5=2022,IF(#REF!="",C238,#REF!),IF('INHERENT MAP'!$B$5=2023,IF(#REF!="",C238,#REF!),IF('INHERENT MAP'!$B$5=2024,IF(#REF!="",C238,#REF!),IF('РЕЕСТР РИСКОВ_2023'!G279="",C238,'РЕЕСТР РИСКОВ_2023'!G279)))))</f>
        <v>#REF!</v>
      </c>
      <c r="D239" t="str">
        <f>IF('INHERENT MAP'!$B$5=2021,IF('РЕЕСТР РИСКОВ_2023'!H279="",D238,'РЕЕСТР РИСКОВ_2023'!H279),IF('INHERENT MAP'!$B$5=2022,IF(#REF!="",D238,#REF!),IF('INHERENT MAP'!$B$5=2023,IF(#REF!="",D238,#REF!),IF('INHERENT MAP'!$B$5=2024,IF(#REF!="",D238,#REF!),IF('РЕЕСТР РИСКОВ_2023'!H279="",D238,'РЕЕСТР РИСКОВ_2023'!H279)))))</f>
        <v>SR-1</v>
      </c>
      <c r="E239" t="str">
        <f>IF('INHERENT MAP'!$B$5=2021,IF('РЕЕСТР РИСКОВ_2023'!I279="",E238,'РЕЕСТР РИСКОВ_2023'!I279),IF('INHERENT MAP'!$B$5=2022,IF(#REF!="",E238,#REF!),IF('INHERENT MAP'!$B$5=2023,IF(#REF!="",E238,#REF!),IF('INHERENT MAP'!$B$5=2024,IF(#REF!="",E238,#REF!),IF('РЕЕСТР РИСКОВ_2023'!I279="",E238,'РЕЕСТР РИСКОВ_2023'!I279)))))</f>
        <v>ЦЗЛ</v>
      </c>
      <c r="F239" t="str">
        <f>IF('INHERENT MAP'!$B$5=2021,IF('РЕЕСТР РИСКОВ_2023'!J279="",F238,'РЕЕСТР РИСКОВ_2023'!J279),IF('INHERENT MAP'!$B$5=2022,IF(#REF!="",F238,#REF!),IF('INHERENT MAP'!$B$5=2023,IF(#REF!="",F238,#REF!),IF('INHERENT MAP'!$B$5=2024,IF(#REF!="",F238,#REF!),IF('РЕЕСТР РИСКОВ_2023'!J279="",F238,'РЕЕСТР РИСКОВ_2023'!J279)))))</f>
        <v>ТОО "КТЖ-ГП", KTZE</v>
      </c>
      <c r="G239" t="str">
        <f>IF('INHERENT MAP'!$B$5=2021,IF('РЕЕСТР РИСКОВ_2023'!K279="",G238,'РЕЕСТР РИСКОВ_2023'!K279),IF('INHERENT MAP'!$B$5=2022,IF(#REF!="",G238,#REF!),IF('INHERENT MAP'!$B$5=2023,IF(#REF!="",G238,#REF!),IF('INHERENT MAP'!$B$5=2024,IF(#REF!="",G238,#REF!),IF('РЕЕСТР РИСКОВ_2023'!K279="",G238,'РЕЕСТР РИСКОВ_2023'!K279)))))</f>
        <v>Влияние на грузооборот (CTR-4)</v>
      </c>
      <c r="H239">
        <f>IF('INHERENT MAP'!$B$5=2021,'РЕЕСТР РИСКОВ_2023'!L279,IF('INHERENT MAP'!$B$5=2022,#REF!,IF('INHERENT MAP'!$B$5=2023,#REF!,IF('INHERENT MAP'!$B$5=2024,#REF!,#REF!))))</f>
        <v>0</v>
      </c>
      <c r="I239">
        <f>IF('INHERENT MAP'!$B$5=2021,'РЕЕСТР РИСКОВ_2023'!M279,IF('INHERENT MAP'!$B$5=2022,#REF!,IF('INHERENT MAP'!$B$5=2023,#REF!,IF('INHERENT MAP'!$B$5=2024,#REF!,#REF!))))</f>
        <v>0</v>
      </c>
      <c r="J239">
        <f>IF('INHERENT MAP'!$B$5=2021,'РЕЕСТР РИСКОВ_2023'!N279,IF('INHERENT MAP'!$B$5=2022,#REF!,IF('INHERENT MAP'!$B$5=2023,#REF!,IF('INHERENT MAP'!$B$5=2024,#REF!,#REF!))))</f>
        <v>0</v>
      </c>
      <c r="K239">
        <f>IF('INHERENT MAP'!$B$5=2021,'РЕЕСТР РИСКОВ_2023'!O279,IF('INHERENT MAP'!$B$5=2022,#REF!,IF('INHERENT MAP'!$B$5=2023,#REF!,IF('INHERENT MAP'!$B$5=2024,#REF!,#REF!))))</f>
        <v>0</v>
      </c>
      <c r="L239">
        <f>IF('INHERENT MAP'!$B$5=2021,'РЕЕСТР РИСКОВ_2023'!P279,IF('INHERENT MAP'!$B$5=2022,#REF!,IF('INHERENT MAP'!$B$5=2023,#REF!,IF('INHERENT MAP'!$B$5=2024,#REF!,#REF!))))</f>
        <v>0</v>
      </c>
      <c r="M239" t="str">
        <f>IF('INHERENT MAP'!$B$5=2021,IF('РЕЕСТР РИСКОВ_2023'!Q279="",M238,'РЕЕСТР РИСКОВ_2023'!Q279),IF('INHERENT MAP'!$B$5=2022,IF(#REF!="",M238,#REF!),IF('INHERENT MAP'!$B$5=2023,IF(#REF!="",M238,#REF!),IF('INHERENT MAP'!$B$5=2024,IF(#REF!="",M238,#REF!),IF('РЕЕСТР РИСКОВ_2023'!Q279="",M238,'РЕЕСТР РИСКОВ_2023'!Q279)))))</f>
        <v>Влияние на маршрут КНР-РФ-КНР</v>
      </c>
      <c r="N239" t="str">
        <f>IF('INHERENT MAP'!$B$5=2021,IF('РЕЕСТР РИСКОВ_2023'!R279="",N238,'РЕЕСТР РИСКОВ_2023'!R279),IF('INHERENT MAP'!$B$5=2022,IF(#REF!="",N238,#REF!),IF('INHERENT MAP'!$B$5=2023,IF(#REF!="",N238,#REF!),IF('INHERENT MAP'!$B$5=2024,IF(#REF!="",N238,#REF!),IF('РЕЕСТР РИСКОВ_2023'!R279="",N238,'РЕЕСТР РИСКОВ_2023'!R279)))))</f>
        <v>Рецессия экономики европейских стран</v>
      </c>
      <c r="O239">
        <f>'РЕЕСТР РИСКОВ_2023'!T279</f>
        <v>0</v>
      </c>
      <c r="P239" t="e">
        <f>IF('РЕЕСТР РИСКОВ_2023'!U279="",P238,'РЕЕСТР РИСКОВ_2023'!U279)</f>
        <v>#REF!</v>
      </c>
      <c r="Q239" t="str">
        <f>IF('РЕЕСТР РИСКОВ_2023'!V279="",Q238,'РЕЕСТР РИСКОВ_2023'!V279)</f>
        <v>Угрозы</v>
      </c>
      <c r="R239" t="e">
        <f>IF('РЕЕСТР РИСКОВ_2023'!W279="",R238,'РЕЕСТР РИСКОВ_2023'!W279)</f>
        <v>#REF!</v>
      </c>
      <c r="S239">
        <f>'РЕЕСТР РИСКОВ_2023'!X279</f>
        <v>0</v>
      </c>
      <c r="T239" s="94">
        <f>IF('INHERENT MAP'!$B$5=2021,'РЕЕСТР РИСКОВ_2023'!Y279,IF('INHERENT MAP'!$B$5=2022,#REF!,IF('INHERENT MAP'!$B$5=2023,#REF!,IF('INHERENT MAP'!$B$5=2024,#REF!,#REF!))))</f>
        <v>0.5</v>
      </c>
      <c r="U239">
        <f>IF('INHERENT MAP'!$B$5=2021,'РЕЕСТР РИСКОВ_2023'!Z279,IF('INHERENT MAP'!$B$5=2022,#REF!,IF('INHERENT MAP'!$B$5=2023,#REF!,IF('INHERENT MAP'!$B$5=2024,#REF!,#REF!))))</f>
        <v>0</v>
      </c>
      <c r="V239">
        <f>IF('INHERENT MAP'!$B$5=2021,'РЕЕСТР РИСКОВ_2023'!AA279,IF('INHERENT MAP'!$B$5=2022,#REF!,IF('INHERENT MAP'!$B$5=2023,#REF!,IF('INHERENT MAP'!$B$5=2024,#REF!,#REF!))))</f>
        <v>0</v>
      </c>
      <c r="W239">
        <f>IF('INHERENT MAP'!$B$5=2021,'РЕЕСТР РИСКОВ_2023'!AB279,IF('INHERENT MAP'!$B$5=2022,#REF!,IF('INHERENT MAP'!$B$5=2023,#REF!,IF('INHERENT MAP'!$B$5=2024,#REF!,#REF!))))</f>
        <v>0</v>
      </c>
      <c r="X239" s="94">
        <f>IF('INHERENT MAP'!$B$5=2021,'РЕЕСТР РИСКОВ_2023'!AC279,IF('INHERENT MAP'!$B$5=2022,#REF!,IF('INHERENT MAP'!$B$5=2023,#REF!,IF('INHERENT MAP'!$B$5=2024,#REF!,#REF!))))</f>
        <v>0.5</v>
      </c>
      <c r="Y239">
        <f>IF('INHERENT MAP'!$B$5=2021,'РЕЕСТР РИСКОВ_2023'!AD279,IF('INHERENT MAP'!$B$5=2022,#REF!,IF('INHERENT MAP'!$B$5=2023,#REF!,IF('INHERENT MAP'!$B$5=2024,#REF!,#REF!))))</f>
        <v>0</v>
      </c>
      <c r="Z239">
        <f>IF('INHERENT MAP'!$B$5=2021,'РЕЕСТР РИСКОВ_2023'!AE279,IF('INHERENT MAP'!$B$5=2022,#REF!,IF('INHERENT MAP'!$B$5=2023,#REF!,IF('INHERENT MAP'!$B$5=2024,#REF!,#REF!))))</f>
        <v>0</v>
      </c>
      <c r="AA239">
        <f>IF('INHERENT MAP'!$B$5=2021,'РЕЕСТР РИСКОВ_2023'!AF279,IF('INHERENT MAP'!$B$5=2022,#REF!,IF('INHERENT MAP'!$B$5=2023,#REF!,IF('INHERENT MAP'!$B$5=2024,#REF!,#REF!))))</f>
        <v>0</v>
      </c>
      <c r="AB239">
        <f>IF('INHERENT MAP'!$B$5=2021,'РЕЕСТР РИСКОВ_2023'!AG279,IF('INHERENT MAP'!$B$5=2022,#REF!,IF('INHERENT MAP'!$B$5=2023,#REF!,IF('INHERENT MAP'!$B$5=2024,#REF!,#REF!))))</f>
        <v>0</v>
      </c>
      <c r="AC239">
        <f>IF('INHERENT MAP'!$B$5=2021,'РЕЕСТР РИСКОВ_2023'!AH279,IF('INHERENT MAP'!$B$5=2022,#REF!,IF('INHERENT MAP'!$B$5=2023,#REF!,IF('INHERENT MAP'!$B$5=2024,#REF!,#REF!))))</f>
        <v>0</v>
      </c>
      <c r="AD239">
        <f>IF('INHERENT MAP'!$B$5=2021,'РЕЕСТР РИСКОВ_2023'!AI279,IF('INHERENT MAP'!$B$5=2022,#REF!,IF('INHERENT MAP'!$B$5=2023,#REF!,IF('INHERENT MAP'!$B$5=2024,#REF!,#REF!))))</f>
        <v>0</v>
      </c>
      <c r="AE239">
        <f>IF('INHERENT MAP'!$B$5=2021,'РЕЕСТР РИСКОВ_2023'!AK279,IF('INHERENT MAP'!$B$5=2022,#REF!,IF('INHERENT MAP'!$B$5=2023,#REF!,IF('INHERENT MAP'!$B$5=2024,#REF!,#REF!))))</f>
        <v>0</v>
      </c>
      <c r="AF239">
        <f>IF('INHERENT MAP'!$B$5=2021,'РЕЕСТР РИСКОВ_2023'!AL279,IF('INHERENT MAP'!$B$5=2022,#REF!,IF('INHERENT MAP'!$B$5=2023,#REF!,IF('INHERENT MAP'!$B$5=2024,#REF!,#REF!))))</f>
        <v>0</v>
      </c>
      <c r="AG239" t="str">
        <f>IF('INHERENT MAP'!$B$5=2021,'РЕЕСТР РИСКОВ_2023'!AM279,IF('INHERENT MAP'!$B$5=2022,#REF!,IF('INHERENT MAP'!$B$5=2023,#REF!,IF('INHERENT MAP'!$B$5=2024,#REF!,#REF!))))</f>
        <v>низкая</v>
      </c>
      <c r="AH239">
        <f>IF('INHERENT MAP'!$B$5=2021,'РЕЕСТР РИСКОВ_2023'!AN279,IF('INHERENT MAP'!$B$5=2022,#REF!,IF('INHERENT MAP'!$B$5=2023,#REF!,IF('INHERENT MAP'!$B$5=2024,#REF!,#REF!))))</f>
        <v>0.5</v>
      </c>
      <c r="AI239">
        <f>IF('INHERENT MAP'!$B$5=2021,'РЕЕСТР РИСКОВ_2023'!AO279,IF('INHERENT MAP'!$B$5=2022,#REF!,IF('INHERENT MAP'!$B$5=2023,#REF!,IF('INHERENT MAP'!$B$5=2024,#REF!,#REF!))))</f>
        <v>0</v>
      </c>
      <c r="AJ239">
        <f>IF('INHERENT MAP'!$B$5=2021,'РЕЕСТР РИСКОВ_2023'!AP279,IF('INHERENT MAP'!$B$5=2022,#REF!,IF('INHERENT MAP'!$B$5=2023,#REF!,IF('INHERENT MAP'!$B$5=2024,#REF!,#REF!))))</f>
        <v>0</v>
      </c>
      <c r="AK239">
        <f>IF('РЕЕСТР РИСКОВ_2023'!AQ279="",AK238,'РЕЕСТР РИСКОВ_2023'!AQ279)</f>
        <v>0</v>
      </c>
      <c r="AL239" t="b">
        <f>IF('РЕЕСТР РИСКОВ_2023'!AR279="",AL238,'РЕЕСТР РИСКОВ_2023'!AR279)</f>
        <v>0</v>
      </c>
      <c r="AM239">
        <f>IF('РЕЕСТР РИСКОВ_2023'!AS279="",AM238,'РЕЕСТР РИСКОВ_2023'!AS279)</f>
        <v>0</v>
      </c>
      <c r="AN239">
        <f>IF('РЕЕСТР РИСКОВ_2023'!AT279="",AN238,'РЕЕСТР РИСКОВ_2023'!AT279)</f>
        <v>0</v>
      </c>
      <c r="AO239" t="e">
        <f>IF('РЕЕСТР РИСКОВ_2023'!AU279="",AO238,'РЕЕСТР РИСКОВ_2023'!AU279)</f>
        <v>#REF!</v>
      </c>
    </row>
    <row r="240" spans="2:41">
      <c r="B240" t="str">
        <f>IF('INHERENT MAP'!$B$5=2021,IF('РЕЕСТР РИСКОВ_2023'!F280="",B239,'РЕЕСТР РИСКОВ_2023'!F280),IF('INHERENT MAP'!$B$5=2022,IF(#REF!="",B239,#REF!),IF('INHERENT MAP'!$B$5=2023,IF(#REF!="",B239,#REF!),IF('INHERENT MAP'!$B$5=2024,IF(#REF!="",B239,#REF!),IF('РЕЕСТР РИСКОВ_2023'!F280="",B239,'РЕЕСТР РИСКОВ_2023'!F280)))))</f>
        <v>РИСКИ САНКЦИЙ И ОГРАНИЧЕНИЙ
(Super Risk)</v>
      </c>
      <c r="C240" t="e">
        <f>IF('INHERENT MAP'!$B$5=2021,IF('РЕЕСТР РИСКОВ_2023'!G280="",C239,'РЕЕСТР РИСКОВ_2023'!G280),IF('INHERENT MAP'!$B$5=2022,IF(#REF!="",C239,#REF!),IF('INHERENT MAP'!$B$5=2023,IF(#REF!="",C239,#REF!),IF('INHERENT MAP'!$B$5=2024,IF(#REF!="",C239,#REF!),IF('РЕЕСТР РИСКОВ_2023'!G280="",C239,'РЕЕСТР РИСКОВ_2023'!G280)))))</f>
        <v>#REF!</v>
      </c>
      <c r="D240" t="str">
        <f>IF('INHERENT MAP'!$B$5=2021,IF('РЕЕСТР РИСКОВ_2023'!H280="",D239,'РЕЕСТР РИСКОВ_2023'!H280),IF('INHERENT MAP'!$B$5=2022,IF(#REF!="",D239,#REF!),IF('INHERENT MAP'!$B$5=2023,IF(#REF!="",D239,#REF!),IF('INHERENT MAP'!$B$5=2024,IF(#REF!="",D239,#REF!),IF('РЕЕСТР РИСКОВ_2023'!H280="",D239,'РЕЕСТР РИСКОВ_2023'!H280)))))</f>
        <v>SR-1</v>
      </c>
      <c r="E240" t="str">
        <f>IF('INHERENT MAP'!$B$5=2021,IF('РЕЕСТР РИСКОВ_2023'!I280="",E239,'РЕЕСТР РИСКОВ_2023'!I280),IF('INHERENT MAP'!$B$5=2022,IF(#REF!="",E239,#REF!),IF('INHERENT MAP'!$B$5=2023,IF(#REF!="",E239,#REF!),IF('INHERENT MAP'!$B$5=2024,IF(#REF!="",E239,#REF!),IF('РЕЕСТР РИСКОВ_2023'!I280="",E239,'РЕЕСТР РИСКОВ_2023'!I280)))))</f>
        <v>ЦЗЛ</v>
      </c>
      <c r="F240" t="str">
        <f>IF('INHERENT MAP'!$B$5=2021,IF('РЕЕСТР РИСКОВ_2023'!J280="",F239,'РЕЕСТР РИСКОВ_2023'!J280),IF('INHERENT MAP'!$B$5=2022,IF(#REF!="",F239,#REF!),IF('INHERENT MAP'!$B$5=2023,IF(#REF!="",F239,#REF!),IF('INHERENT MAP'!$B$5=2024,IF(#REF!="",F239,#REF!),IF('РЕЕСТР РИСКОВ_2023'!J280="",F239,'РЕЕСТР РИСКОВ_2023'!J280)))))</f>
        <v>ТОО "КТЖ-ГП", KTZE</v>
      </c>
      <c r="G240" t="str">
        <f>IF('INHERENT MAP'!$B$5=2021,IF('РЕЕСТР РИСКОВ_2023'!K280="",G239,'РЕЕСТР РИСКОВ_2023'!K280),IF('INHERENT MAP'!$B$5=2022,IF(#REF!="",G239,#REF!),IF('INHERENT MAP'!$B$5=2023,IF(#REF!="",G239,#REF!),IF('INHERENT MAP'!$B$5=2024,IF(#REF!="",G239,#REF!),IF('РЕЕСТР РИСКОВ_2023'!K280="",G239,'РЕЕСТР РИСКОВ_2023'!K280)))))</f>
        <v>Влияние на грузооборот (CTR-4)</v>
      </c>
      <c r="H240">
        <f>IF('INHERENT MAP'!$B$5=2021,'РЕЕСТР РИСКОВ_2023'!L280,IF('INHERENT MAP'!$B$5=2022,#REF!,IF('INHERENT MAP'!$B$5=2023,#REF!,IF('INHERENT MAP'!$B$5=2024,#REF!,#REF!))))</f>
        <v>0</v>
      </c>
      <c r="I240">
        <f>IF('INHERENT MAP'!$B$5=2021,'РЕЕСТР РИСКОВ_2023'!M280,IF('INHERENT MAP'!$B$5=2022,#REF!,IF('INHERENT MAP'!$B$5=2023,#REF!,IF('INHERENT MAP'!$B$5=2024,#REF!,#REF!))))</f>
        <v>0</v>
      </c>
      <c r="J240">
        <f>IF('INHERENT MAP'!$B$5=2021,'РЕЕСТР РИСКОВ_2023'!N280,IF('INHERENT MAP'!$B$5=2022,#REF!,IF('INHERENT MAP'!$B$5=2023,#REF!,IF('INHERENT MAP'!$B$5=2024,#REF!,#REF!))))</f>
        <v>0</v>
      </c>
      <c r="K240">
        <f>IF('INHERENT MAP'!$B$5=2021,'РЕЕСТР РИСКОВ_2023'!O280,IF('INHERENT MAP'!$B$5=2022,#REF!,IF('INHERENT MAP'!$B$5=2023,#REF!,IF('INHERENT MAP'!$B$5=2024,#REF!,#REF!))))</f>
        <v>0</v>
      </c>
      <c r="L240">
        <f>IF('INHERENT MAP'!$B$5=2021,'РЕЕСТР РИСКОВ_2023'!P280,IF('INHERENT MAP'!$B$5=2022,#REF!,IF('INHERENT MAP'!$B$5=2023,#REF!,IF('INHERENT MAP'!$B$5=2024,#REF!,#REF!))))</f>
        <v>0</v>
      </c>
      <c r="M240" t="str">
        <f>IF('INHERENT MAP'!$B$5=2021,IF('РЕЕСТР РИСКОВ_2023'!Q280="",M239,'РЕЕСТР РИСКОВ_2023'!Q280),IF('INHERENT MAP'!$B$5=2022,IF(#REF!="",M239,#REF!),IF('INHERENT MAP'!$B$5=2023,IF(#REF!="",M239,#REF!),IF('INHERENT MAP'!$B$5=2024,IF(#REF!="",M239,#REF!),IF('РЕЕСТР РИСКОВ_2023'!Q280="",M239,'РЕЕСТР РИСКОВ_2023'!Q280)))))</f>
        <v>Влияние на маршрут КНР-ЦА</v>
      </c>
      <c r="N240" t="str">
        <f>IF('INHERENT MAP'!$B$5=2021,IF('РЕЕСТР РИСКОВ_2023'!R280="",N239,'РЕЕСТР РИСКОВ_2023'!R280),IF('INHERENT MAP'!$B$5=2022,IF(#REF!="",N239,#REF!),IF('INHERENT MAP'!$B$5=2023,IF(#REF!="",N239,#REF!),IF('INHERENT MAP'!$B$5=2024,IF(#REF!="",N239,#REF!),IF('РЕЕСТР РИСКОВ_2023'!R280="",N239,'РЕЕСТР РИСКОВ_2023'!R280)))))</f>
        <v>Рецессия экономики европейских стран</v>
      </c>
      <c r="O240">
        <f>'РЕЕСТР РИСКОВ_2023'!T280</f>
        <v>0</v>
      </c>
      <c r="P240" t="e">
        <f>IF('РЕЕСТР РИСКОВ_2023'!U280="",P239,'РЕЕСТР РИСКОВ_2023'!U280)</f>
        <v>#REF!</v>
      </c>
      <c r="Q240" t="str">
        <f>IF('РЕЕСТР РИСКОВ_2023'!V280="",Q239,'РЕЕСТР РИСКОВ_2023'!V280)</f>
        <v>Угрозы</v>
      </c>
      <c r="R240" t="e">
        <f>IF('РЕЕСТР РИСКОВ_2023'!W280="",R239,'РЕЕСТР РИСКОВ_2023'!W280)</f>
        <v>#REF!</v>
      </c>
      <c r="S240">
        <f>'РЕЕСТР РИСКОВ_2023'!X280</f>
        <v>0</v>
      </c>
      <c r="T240" s="94">
        <f>IF('INHERENT MAP'!$B$5=2021,'РЕЕСТР РИСКОВ_2023'!Y280,IF('INHERENT MAP'!$B$5=2022,#REF!,IF('INHERENT MAP'!$B$5=2023,#REF!,IF('INHERENT MAP'!$B$5=2024,#REF!,#REF!))))</f>
        <v>0.5</v>
      </c>
      <c r="U240">
        <f>IF('INHERENT MAP'!$B$5=2021,'РЕЕСТР РИСКОВ_2023'!Z280,IF('INHERENT MAP'!$B$5=2022,#REF!,IF('INHERENT MAP'!$B$5=2023,#REF!,IF('INHERENT MAP'!$B$5=2024,#REF!,#REF!))))</f>
        <v>0</v>
      </c>
      <c r="V240">
        <f>IF('INHERENT MAP'!$B$5=2021,'РЕЕСТР РИСКОВ_2023'!AA280,IF('INHERENT MAP'!$B$5=2022,#REF!,IF('INHERENT MAP'!$B$5=2023,#REF!,IF('INHERENT MAP'!$B$5=2024,#REF!,#REF!))))</f>
        <v>0</v>
      </c>
      <c r="W240">
        <f>IF('INHERENT MAP'!$B$5=2021,'РЕЕСТР РИСКОВ_2023'!AB280,IF('INHERENT MAP'!$B$5=2022,#REF!,IF('INHERENT MAP'!$B$5=2023,#REF!,IF('INHERENT MAP'!$B$5=2024,#REF!,#REF!))))</f>
        <v>0</v>
      </c>
      <c r="X240" s="94">
        <f>IF('INHERENT MAP'!$B$5=2021,'РЕЕСТР РИСКОВ_2023'!AC280,IF('INHERENT MAP'!$B$5=2022,#REF!,IF('INHERENT MAP'!$B$5=2023,#REF!,IF('INHERENT MAP'!$B$5=2024,#REF!,#REF!))))</f>
        <v>0.5</v>
      </c>
      <c r="Y240">
        <f>IF('INHERENT MAP'!$B$5=2021,'РЕЕСТР РИСКОВ_2023'!AD280,IF('INHERENT MAP'!$B$5=2022,#REF!,IF('INHERENT MAP'!$B$5=2023,#REF!,IF('INHERENT MAP'!$B$5=2024,#REF!,#REF!))))</f>
        <v>0</v>
      </c>
      <c r="Z240">
        <f>IF('INHERENT MAP'!$B$5=2021,'РЕЕСТР РИСКОВ_2023'!AE280,IF('INHERENT MAP'!$B$5=2022,#REF!,IF('INHERENT MAP'!$B$5=2023,#REF!,IF('INHERENT MAP'!$B$5=2024,#REF!,#REF!))))</f>
        <v>0</v>
      </c>
      <c r="AA240">
        <f>IF('INHERENT MAP'!$B$5=2021,'РЕЕСТР РИСКОВ_2023'!AF280,IF('INHERENT MAP'!$B$5=2022,#REF!,IF('INHERENT MAP'!$B$5=2023,#REF!,IF('INHERENT MAP'!$B$5=2024,#REF!,#REF!))))</f>
        <v>0</v>
      </c>
      <c r="AB240">
        <f>IF('INHERENT MAP'!$B$5=2021,'РЕЕСТР РИСКОВ_2023'!AG280,IF('INHERENT MAP'!$B$5=2022,#REF!,IF('INHERENT MAP'!$B$5=2023,#REF!,IF('INHERENT MAP'!$B$5=2024,#REF!,#REF!))))</f>
        <v>0</v>
      </c>
      <c r="AC240">
        <f>IF('INHERENT MAP'!$B$5=2021,'РЕЕСТР РИСКОВ_2023'!AH280,IF('INHERENT MAP'!$B$5=2022,#REF!,IF('INHERENT MAP'!$B$5=2023,#REF!,IF('INHERENT MAP'!$B$5=2024,#REF!,#REF!))))</f>
        <v>0</v>
      </c>
      <c r="AD240">
        <f>IF('INHERENT MAP'!$B$5=2021,'РЕЕСТР РИСКОВ_2023'!AI280,IF('INHERENT MAP'!$B$5=2022,#REF!,IF('INHERENT MAP'!$B$5=2023,#REF!,IF('INHERENT MAP'!$B$5=2024,#REF!,#REF!))))</f>
        <v>0</v>
      </c>
      <c r="AE240">
        <f>IF('INHERENT MAP'!$B$5=2021,'РЕЕСТР РИСКОВ_2023'!AK280,IF('INHERENT MAP'!$B$5=2022,#REF!,IF('INHERENT MAP'!$B$5=2023,#REF!,IF('INHERENT MAP'!$B$5=2024,#REF!,#REF!))))</f>
        <v>0</v>
      </c>
      <c r="AF240">
        <f>IF('INHERENT MAP'!$B$5=2021,'РЕЕСТР РИСКОВ_2023'!AL280,IF('INHERENT MAP'!$B$5=2022,#REF!,IF('INHERENT MAP'!$B$5=2023,#REF!,IF('INHERENT MAP'!$B$5=2024,#REF!,#REF!))))</f>
        <v>0</v>
      </c>
      <c r="AG240">
        <f>IF('INHERENT MAP'!$B$5=2021,'РЕЕСТР РИСКОВ_2023'!AM280,IF('INHERENT MAP'!$B$5=2022,#REF!,IF('INHERENT MAP'!$B$5=2023,#REF!,IF('INHERENT MAP'!$B$5=2024,#REF!,#REF!))))</f>
        <v>0</v>
      </c>
      <c r="AH240">
        <f>IF('INHERENT MAP'!$B$5=2021,'РЕЕСТР РИСКОВ_2023'!AN280,IF('INHERENT MAP'!$B$5=2022,#REF!,IF('INHERENT MAP'!$B$5=2023,#REF!,IF('INHERENT MAP'!$B$5=2024,#REF!,#REF!))))</f>
        <v>0</v>
      </c>
      <c r="AI240">
        <f>IF('INHERENT MAP'!$B$5=2021,'РЕЕСТР РИСКОВ_2023'!AO280,IF('INHERENT MAP'!$B$5=2022,#REF!,IF('INHERENT MAP'!$B$5=2023,#REF!,IF('INHERENT MAP'!$B$5=2024,#REF!,#REF!))))</f>
        <v>0</v>
      </c>
      <c r="AJ240">
        <f>IF('INHERENT MAP'!$B$5=2021,'РЕЕСТР РИСКОВ_2023'!AP280,IF('INHERENT MAP'!$B$5=2022,#REF!,IF('INHERENT MAP'!$B$5=2023,#REF!,IF('INHERENT MAP'!$B$5=2024,#REF!,#REF!))))</f>
        <v>0</v>
      </c>
      <c r="AK240">
        <f>IF('РЕЕСТР РИСКОВ_2023'!AQ280="",AK239,'РЕЕСТР РИСКОВ_2023'!AQ280)</f>
        <v>0</v>
      </c>
      <c r="AL240" t="b">
        <f>IF('РЕЕСТР РИСКОВ_2023'!AR280="",AL239,'РЕЕСТР РИСКОВ_2023'!AR280)</f>
        <v>0</v>
      </c>
      <c r="AM240">
        <f>IF('РЕЕСТР РИСКОВ_2023'!AS280="",AM239,'РЕЕСТР РИСКОВ_2023'!AS280)</f>
        <v>0</v>
      </c>
      <c r="AN240">
        <f>IF('РЕЕСТР РИСКОВ_2023'!AT280="",AN239,'РЕЕСТР РИСКОВ_2023'!AT280)</f>
        <v>0</v>
      </c>
      <c r="AO240" t="e">
        <f>IF('РЕЕСТР РИСКОВ_2023'!AU280="",AO239,'РЕЕСТР РИСКОВ_2023'!AU280)</f>
        <v>#REF!</v>
      </c>
    </row>
    <row r="241" spans="2:41">
      <c r="B241" t="str">
        <f>IF('INHERENT MAP'!$B$5=2021,IF('РЕЕСТР РИСКОВ_2023'!F281="",B240,'РЕЕСТР РИСКОВ_2023'!F281),IF('INHERENT MAP'!$B$5=2022,IF(#REF!="",B240,#REF!),IF('INHERENT MAP'!$B$5=2023,IF(#REF!="",B240,#REF!),IF('INHERENT MAP'!$B$5=2024,IF(#REF!="",B240,#REF!),IF('РЕЕСТР РИСКОВ_2023'!F281="",B240,'РЕЕСТР РИСКОВ_2023'!F281)))))</f>
        <v>РИСКИ САНКЦИЙ И ОГРАНИЧЕНИЙ
(Super Risk)</v>
      </c>
      <c r="C241" t="e">
        <f>IF('INHERENT MAP'!$B$5=2021,IF('РЕЕСТР РИСКОВ_2023'!G281="",C240,'РЕЕСТР РИСКОВ_2023'!G281),IF('INHERENT MAP'!$B$5=2022,IF(#REF!="",C240,#REF!),IF('INHERENT MAP'!$B$5=2023,IF(#REF!="",C240,#REF!),IF('INHERENT MAP'!$B$5=2024,IF(#REF!="",C240,#REF!),IF('РЕЕСТР РИСКОВ_2023'!G281="",C240,'РЕЕСТР РИСКОВ_2023'!G281)))))</f>
        <v>#REF!</v>
      </c>
      <c r="D241" t="str">
        <f>IF('INHERENT MAP'!$B$5=2021,IF('РЕЕСТР РИСКОВ_2023'!H281="",D240,'РЕЕСТР РИСКОВ_2023'!H281),IF('INHERENT MAP'!$B$5=2022,IF(#REF!="",D240,#REF!),IF('INHERENT MAP'!$B$5=2023,IF(#REF!="",D240,#REF!),IF('INHERENT MAP'!$B$5=2024,IF(#REF!="",D240,#REF!),IF('РЕЕСТР РИСКОВ_2023'!H281="",D240,'РЕЕСТР РИСКОВ_2023'!H281)))))</f>
        <v>SR-1</v>
      </c>
      <c r="E241" t="str">
        <f>IF('INHERENT MAP'!$B$5=2021,IF('РЕЕСТР РИСКОВ_2023'!I281="",E240,'РЕЕСТР РИСКОВ_2023'!I281),IF('INHERENT MAP'!$B$5=2022,IF(#REF!="",E240,#REF!),IF('INHERENT MAP'!$B$5=2023,IF(#REF!="",E240,#REF!),IF('INHERENT MAP'!$B$5=2024,IF(#REF!="",E240,#REF!),IF('РЕЕСТР РИСКОВ_2023'!I281="",E240,'РЕЕСТР РИСКОВ_2023'!I281)))))</f>
        <v>ЦЗЛ</v>
      </c>
      <c r="F241" t="str">
        <f>IF('INHERENT MAP'!$B$5=2021,IF('РЕЕСТР РИСКОВ_2023'!J281="",F240,'РЕЕСТР РИСКОВ_2023'!J281),IF('INHERENT MAP'!$B$5=2022,IF(#REF!="",F240,#REF!),IF('INHERENT MAP'!$B$5=2023,IF(#REF!="",F240,#REF!),IF('INHERENT MAP'!$B$5=2024,IF(#REF!="",F240,#REF!),IF('РЕЕСТР РИСКОВ_2023'!J281="",F240,'РЕЕСТР РИСКОВ_2023'!J281)))))</f>
        <v>ТОО "КТЖ-ГП", KTZE</v>
      </c>
      <c r="G241" t="str">
        <f>IF('INHERENT MAP'!$B$5=2021,IF('РЕЕСТР РИСКОВ_2023'!K281="",G240,'РЕЕСТР РИСКОВ_2023'!K281),IF('INHERENT MAP'!$B$5=2022,IF(#REF!="",G240,#REF!),IF('INHERENT MAP'!$B$5=2023,IF(#REF!="",G240,#REF!),IF('INHERENT MAP'!$B$5=2024,IF(#REF!="",G240,#REF!),IF('РЕЕСТР РИСКОВ_2023'!K281="",G240,'РЕЕСТР РИСКОВ_2023'!K281)))))</f>
        <v>Влияние на грузооборот (CTR-4)</v>
      </c>
      <c r="H241">
        <f>IF('INHERENT MAP'!$B$5=2021,'РЕЕСТР РИСКОВ_2023'!L281,IF('INHERENT MAP'!$B$5=2022,#REF!,IF('INHERENT MAP'!$B$5=2023,#REF!,IF('INHERENT MAP'!$B$5=2024,#REF!,#REF!))))</f>
        <v>0</v>
      </c>
      <c r="I241">
        <f>IF('INHERENT MAP'!$B$5=2021,'РЕЕСТР РИСКОВ_2023'!M281,IF('INHERENT MAP'!$B$5=2022,#REF!,IF('INHERENT MAP'!$B$5=2023,#REF!,IF('INHERENT MAP'!$B$5=2024,#REF!,#REF!))))</f>
        <v>0</v>
      </c>
      <c r="J241">
        <f>IF('INHERENT MAP'!$B$5=2021,'РЕЕСТР РИСКОВ_2023'!N281,IF('INHERENT MAP'!$B$5=2022,#REF!,IF('INHERENT MAP'!$B$5=2023,#REF!,IF('INHERENT MAP'!$B$5=2024,#REF!,#REF!))))</f>
        <v>0</v>
      </c>
      <c r="K241">
        <f>IF('INHERENT MAP'!$B$5=2021,'РЕЕСТР РИСКОВ_2023'!O281,IF('INHERENT MAP'!$B$5=2022,#REF!,IF('INHERENT MAP'!$B$5=2023,#REF!,IF('INHERENT MAP'!$B$5=2024,#REF!,#REF!))))</f>
        <v>0</v>
      </c>
      <c r="L241">
        <f>IF('INHERENT MAP'!$B$5=2021,'РЕЕСТР РИСКОВ_2023'!P281,IF('INHERENT MAP'!$B$5=2022,#REF!,IF('INHERENT MAP'!$B$5=2023,#REF!,IF('INHERENT MAP'!$B$5=2024,#REF!,#REF!))))</f>
        <v>0</v>
      </c>
      <c r="M241" t="str">
        <f>IF('INHERENT MAP'!$B$5=2021,IF('РЕЕСТР РИСКОВ_2023'!Q281="",M240,'РЕЕСТР РИСКОВ_2023'!Q281),IF('INHERENT MAP'!$B$5=2022,IF(#REF!="",M240,#REF!),IF('INHERENT MAP'!$B$5=2023,IF(#REF!="",M240,#REF!),IF('INHERENT MAP'!$B$5=2024,IF(#REF!="",M240,#REF!),IF('РЕЕСТР РИСКОВ_2023'!Q281="",M240,'РЕЕСТР РИСКОВ_2023'!Q281)))))</f>
        <v>Влияние на маршрут Дальний Восток - ЦА</v>
      </c>
      <c r="N241" t="str">
        <f>IF('INHERENT MAP'!$B$5=2021,IF('РЕЕСТР РИСКОВ_2023'!R281="",N240,'РЕЕСТР РИСКОВ_2023'!R281),IF('INHERENT MAP'!$B$5=2022,IF(#REF!="",N240,#REF!),IF('INHERENT MAP'!$B$5=2023,IF(#REF!="",N240,#REF!),IF('INHERENT MAP'!$B$5=2024,IF(#REF!="",N240,#REF!),IF('РЕЕСТР РИСКОВ_2023'!R281="",N240,'РЕЕСТР РИСКОВ_2023'!R281)))))</f>
        <v>Рецессия экономики европейских стран</v>
      </c>
      <c r="O241">
        <f>'РЕЕСТР РИСКОВ_2023'!T281</f>
        <v>0</v>
      </c>
      <c r="P241" t="e">
        <f>IF('РЕЕСТР РИСКОВ_2023'!U281="",P240,'РЕЕСТР РИСКОВ_2023'!U281)</f>
        <v>#REF!</v>
      </c>
      <c r="Q241" t="str">
        <f>IF('РЕЕСТР РИСКОВ_2023'!V281="",Q240,'РЕЕСТР РИСКОВ_2023'!V281)</f>
        <v>Угрозы</v>
      </c>
      <c r="R241" t="e">
        <f>IF('РЕЕСТР РИСКОВ_2023'!W281="",R240,'РЕЕСТР РИСКОВ_2023'!W281)</f>
        <v>#REF!</v>
      </c>
      <c r="S241">
        <f>'РЕЕСТР РИСКОВ_2023'!X281</f>
        <v>0</v>
      </c>
      <c r="T241" s="94">
        <f>IF('INHERENT MAP'!$B$5=2021,'РЕЕСТР РИСКОВ_2023'!Y281,IF('INHERENT MAP'!$B$5=2022,#REF!,IF('INHERENT MAP'!$B$5=2023,#REF!,IF('INHERENT MAP'!$B$5=2024,#REF!,#REF!))))</f>
        <v>0.5</v>
      </c>
      <c r="U241">
        <f>IF('INHERENT MAP'!$B$5=2021,'РЕЕСТР РИСКОВ_2023'!Z281,IF('INHERENT MAP'!$B$5=2022,#REF!,IF('INHERENT MAP'!$B$5=2023,#REF!,IF('INHERENT MAP'!$B$5=2024,#REF!,#REF!))))</f>
        <v>0</v>
      </c>
      <c r="V241">
        <f>IF('INHERENT MAP'!$B$5=2021,'РЕЕСТР РИСКОВ_2023'!AA281,IF('INHERENT MAP'!$B$5=2022,#REF!,IF('INHERENT MAP'!$B$5=2023,#REF!,IF('INHERENT MAP'!$B$5=2024,#REF!,#REF!))))</f>
        <v>0</v>
      </c>
      <c r="W241">
        <f>IF('INHERENT MAP'!$B$5=2021,'РЕЕСТР РИСКОВ_2023'!AB281,IF('INHERENT MAP'!$B$5=2022,#REF!,IF('INHERENT MAP'!$B$5=2023,#REF!,IF('INHERENT MAP'!$B$5=2024,#REF!,#REF!))))</f>
        <v>0</v>
      </c>
      <c r="X241" s="94">
        <f>IF('INHERENT MAP'!$B$5=2021,'РЕЕСТР РИСКОВ_2023'!AC281,IF('INHERENT MAP'!$B$5=2022,#REF!,IF('INHERENT MAP'!$B$5=2023,#REF!,IF('INHERENT MAP'!$B$5=2024,#REF!,#REF!))))</f>
        <v>0.5</v>
      </c>
      <c r="Y241">
        <f>IF('INHERENT MAP'!$B$5=2021,'РЕЕСТР РИСКОВ_2023'!AD281,IF('INHERENT MAP'!$B$5=2022,#REF!,IF('INHERENT MAP'!$B$5=2023,#REF!,IF('INHERENT MAP'!$B$5=2024,#REF!,#REF!))))</f>
        <v>0</v>
      </c>
      <c r="Z241">
        <f>IF('INHERENT MAP'!$B$5=2021,'РЕЕСТР РИСКОВ_2023'!AE281,IF('INHERENT MAP'!$B$5=2022,#REF!,IF('INHERENT MAP'!$B$5=2023,#REF!,IF('INHERENT MAP'!$B$5=2024,#REF!,#REF!))))</f>
        <v>0</v>
      </c>
      <c r="AA241">
        <f>IF('INHERENT MAP'!$B$5=2021,'РЕЕСТР РИСКОВ_2023'!AF281,IF('INHERENT MAP'!$B$5=2022,#REF!,IF('INHERENT MAP'!$B$5=2023,#REF!,IF('INHERENT MAP'!$B$5=2024,#REF!,#REF!))))</f>
        <v>0</v>
      </c>
      <c r="AB241">
        <f>IF('INHERENT MAP'!$B$5=2021,'РЕЕСТР РИСКОВ_2023'!AG281,IF('INHERENT MAP'!$B$5=2022,#REF!,IF('INHERENT MAP'!$B$5=2023,#REF!,IF('INHERENT MAP'!$B$5=2024,#REF!,#REF!))))</f>
        <v>0</v>
      </c>
      <c r="AC241">
        <f>IF('INHERENT MAP'!$B$5=2021,'РЕЕСТР РИСКОВ_2023'!AH281,IF('INHERENT MAP'!$B$5=2022,#REF!,IF('INHERENT MAP'!$B$5=2023,#REF!,IF('INHERENT MAP'!$B$5=2024,#REF!,#REF!))))</f>
        <v>0</v>
      </c>
      <c r="AD241">
        <f>IF('INHERENT MAP'!$B$5=2021,'РЕЕСТР РИСКОВ_2023'!AI281,IF('INHERENT MAP'!$B$5=2022,#REF!,IF('INHERENT MAP'!$B$5=2023,#REF!,IF('INHERENT MAP'!$B$5=2024,#REF!,#REF!))))</f>
        <v>0</v>
      </c>
      <c r="AE241">
        <f>IF('INHERENT MAP'!$B$5=2021,'РЕЕСТР РИСКОВ_2023'!AK281,IF('INHERENT MAP'!$B$5=2022,#REF!,IF('INHERENT MAP'!$B$5=2023,#REF!,IF('INHERENT MAP'!$B$5=2024,#REF!,#REF!))))</f>
        <v>0</v>
      </c>
      <c r="AF241">
        <f>IF('INHERENT MAP'!$B$5=2021,'РЕЕСТР РИСКОВ_2023'!AL281,IF('INHERENT MAP'!$B$5=2022,#REF!,IF('INHERENT MAP'!$B$5=2023,#REF!,IF('INHERENT MAP'!$B$5=2024,#REF!,#REF!))))</f>
        <v>0</v>
      </c>
      <c r="AG241">
        <f>IF('INHERENT MAP'!$B$5=2021,'РЕЕСТР РИСКОВ_2023'!AM281,IF('INHERENT MAP'!$B$5=2022,#REF!,IF('INHERENT MAP'!$B$5=2023,#REF!,IF('INHERENT MAP'!$B$5=2024,#REF!,#REF!))))</f>
        <v>0</v>
      </c>
      <c r="AH241">
        <f>IF('INHERENT MAP'!$B$5=2021,'РЕЕСТР РИСКОВ_2023'!AN281,IF('INHERENT MAP'!$B$5=2022,#REF!,IF('INHERENT MAP'!$B$5=2023,#REF!,IF('INHERENT MAP'!$B$5=2024,#REF!,#REF!))))</f>
        <v>0</v>
      </c>
      <c r="AI241">
        <f>IF('INHERENT MAP'!$B$5=2021,'РЕЕСТР РИСКОВ_2023'!AO281,IF('INHERENT MAP'!$B$5=2022,#REF!,IF('INHERENT MAP'!$B$5=2023,#REF!,IF('INHERENT MAP'!$B$5=2024,#REF!,#REF!))))</f>
        <v>0</v>
      </c>
      <c r="AJ241">
        <f>IF('INHERENT MAP'!$B$5=2021,'РЕЕСТР РИСКОВ_2023'!AP281,IF('INHERENT MAP'!$B$5=2022,#REF!,IF('INHERENT MAP'!$B$5=2023,#REF!,IF('INHERENT MAP'!$B$5=2024,#REF!,#REF!))))</f>
        <v>0</v>
      </c>
      <c r="AK241">
        <f>IF('РЕЕСТР РИСКОВ_2023'!AQ281="",AK240,'РЕЕСТР РИСКОВ_2023'!AQ281)</f>
        <v>0</v>
      </c>
      <c r="AL241" t="b">
        <f>IF('РЕЕСТР РИСКОВ_2023'!AR281="",AL240,'РЕЕСТР РИСКОВ_2023'!AR281)</f>
        <v>0</v>
      </c>
      <c r="AM241">
        <f>IF('РЕЕСТР РИСКОВ_2023'!AS281="",AM240,'РЕЕСТР РИСКОВ_2023'!AS281)</f>
        <v>0</v>
      </c>
      <c r="AN241">
        <f>IF('РЕЕСТР РИСКОВ_2023'!AT281="",AN240,'РЕЕСТР РИСКОВ_2023'!AT281)</f>
        <v>0</v>
      </c>
      <c r="AO241" t="e">
        <f>IF('РЕЕСТР РИСКОВ_2023'!AU281="",AO240,'РЕЕСТР РИСКОВ_2023'!AU281)</f>
        <v>#REF!</v>
      </c>
    </row>
    <row r="242" spans="2:41">
      <c r="B242" t="str">
        <f>IF('INHERENT MAP'!$B$5=2021,IF('РЕЕСТР РИСКОВ_2023'!F282="",B241,'РЕЕСТР РИСКОВ_2023'!F282),IF('INHERENT MAP'!$B$5=2022,IF(#REF!="",B241,#REF!),IF('INHERENT MAP'!$B$5=2023,IF(#REF!="",B241,#REF!),IF('INHERENT MAP'!$B$5=2024,IF(#REF!="",B241,#REF!),IF('РЕЕСТР РИСКОВ_2023'!F282="",B241,'РЕЕСТР РИСКОВ_2023'!F282)))))</f>
        <v>РИСКИ САНКЦИЙ И ОГРАНИЧЕНИЙ
(Super Risk)</v>
      </c>
      <c r="C242" t="e">
        <f>IF('INHERENT MAP'!$B$5=2021,IF('РЕЕСТР РИСКОВ_2023'!G282="",C241,'РЕЕСТР РИСКОВ_2023'!G282),IF('INHERENT MAP'!$B$5=2022,IF(#REF!="",C241,#REF!),IF('INHERENT MAP'!$B$5=2023,IF(#REF!="",C241,#REF!),IF('INHERENT MAP'!$B$5=2024,IF(#REF!="",C241,#REF!),IF('РЕЕСТР РИСКОВ_2023'!G282="",C241,'РЕЕСТР РИСКОВ_2023'!G282)))))</f>
        <v>#REF!</v>
      </c>
      <c r="D242" t="str">
        <f>IF('INHERENT MAP'!$B$5=2021,IF('РЕЕСТР РИСКОВ_2023'!H282="",D241,'РЕЕСТР РИСКОВ_2023'!H282),IF('INHERENT MAP'!$B$5=2022,IF(#REF!="",D241,#REF!),IF('INHERENT MAP'!$B$5=2023,IF(#REF!="",D241,#REF!),IF('INHERENT MAP'!$B$5=2024,IF(#REF!="",D241,#REF!),IF('РЕЕСТР РИСКОВ_2023'!H282="",D241,'РЕЕСТР РИСКОВ_2023'!H282)))))</f>
        <v>SR-1</v>
      </c>
      <c r="E242" t="str">
        <f>IF('INHERENT MAP'!$B$5=2021,IF('РЕЕСТР РИСКОВ_2023'!I282="",E241,'РЕЕСТР РИСКОВ_2023'!I282),IF('INHERENT MAP'!$B$5=2022,IF(#REF!="",E241,#REF!),IF('INHERENT MAP'!$B$5=2023,IF(#REF!="",E241,#REF!),IF('INHERENT MAP'!$B$5=2024,IF(#REF!="",E241,#REF!),IF('РЕЕСТР РИСКОВ_2023'!I282="",E241,'РЕЕСТР РИСКОВ_2023'!I282)))))</f>
        <v>ЦЗЛ</v>
      </c>
      <c r="F242" t="str">
        <f>IF('INHERENT MAP'!$B$5=2021,IF('РЕЕСТР РИСКОВ_2023'!J282="",F241,'РЕЕСТР РИСКОВ_2023'!J282),IF('INHERENT MAP'!$B$5=2022,IF(#REF!="",F241,#REF!),IF('INHERENT MAP'!$B$5=2023,IF(#REF!="",F241,#REF!),IF('INHERENT MAP'!$B$5=2024,IF(#REF!="",F241,#REF!),IF('РЕЕСТР РИСКОВ_2023'!J282="",F241,'РЕЕСТР РИСКОВ_2023'!J282)))))</f>
        <v>ТОО "КТЖ-ГП", KTZE</v>
      </c>
      <c r="G242" t="str">
        <f>IF('INHERENT MAP'!$B$5=2021,IF('РЕЕСТР РИСКОВ_2023'!K282="",G241,'РЕЕСТР РИСКОВ_2023'!K282),IF('INHERENT MAP'!$B$5=2022,IF(#REF!="",G241,#REF!),IF('INHERENT MAP'!$B$5=2023,IF(#REF!="",G241,#REF!),IF('INHERENT MAP'!$B$5=2024,IF(#REF!="",G241,#REF!),IF('РЕЕСТР РИСКОВ_2023'!K282="",G241,'РЕЕСТР РИСКОВ_2023'!K282)))))</f>
        <v>Влияние на грузооборот (CTR-4)</v>
      </c>
      <c r="H242">
        <f>IF('INHERENT MAP'!$B$5=2021,'РЕЕСТР РИСКОВ_2023'!L282,IF('INHERENT MAP'!$B$5=2022,#REF!,IF('INHERENT MAP'!$B$5=2023,#REF!,IF('INHERENT MAP'!$B$5=2024,#REF!,#REF!))))</f>
        <v>0</v>
      </c>
      <c r="I242">
        <f>IF('INHERENT MAP'!$B$5=2021,'РЕЕСТР РИСКОВ_2023'!M282,IF('INHERENT MAP'!$B$5=2022,#REF!,IF('INHERENT MAP'!$B$5=2023,#REF!,IF('INHERENT MAP'!$B$5=2024,#REF!,#REF!))))</f>
        <v>0</v>
      </c>
      <c r="J242">
        <f>IF('INHERENT MAP'!$B$5=2021,'РЕЕСТР РИСКОВ_2023'!N282,IF('INHERENT MAP'!$B$5=2022,#REF!,IF('INHERENT MAP'!$B$5=2023,#REF!,IF('INHERENT MAP'!$B$5=2024,#REF!,#REF!))))</f>
        <v>0</v>
      </c>
      <c r="K242">
        <f>IF('INHERENT MAP'!$B$5=2021,'РЕЕСТР РИСКОВ_2023'!O282,IF('INHERENT MAP'!$B$5=2022,#REF!,IF('INHERENT MAP'!$B$5=2023,#REF!,IF('INHERENT MAP'!$B$5=2024,#REF!,#REF!))))</f>
        <v>0</v>
      </c>
      <c r="L242">
        <f>IF('INHERENT MAP'!$B$5=2021,'РЕЕСТР РИСКОВ_2023'!P282,IF('INHERENT MAP'!$B$5=2022,#REF!,IF('INHERENT MAP'!$B$5=2023,#REF!,IF('INHERENT MAP'!$B$5=2024,#REF!,#REF!))))</f>
        <v>0</v>
      </c>
      <c r="M242" t="str">
        <f>IF('INHERENT MAP'!$B$5=2021,IF('РЕЕСТР РИСКОВ_2023'!Q282="",M241,'РЕЕСТР РИСКОВ_2023'!Q282),IF('INHERENT MAP'!$B$5=2022,IF(#REF!="",M241,#REF!),IF('INHERENT MAP'!$B$5=2023,IF(#REF!="",M241,#REF!),IF('INHERENT MAP'!$B$5=2024,IF(#REF!="",M241,#REF!),IF('РЕЕСТР РИСКОВ_2023'!Q282="",M241,'РЕЕСТР РИСКОВ_2023'!Q282)))))</f>
        <v>Прочие</v>
      </c>
      <c r="N242" t="str">
        <f>IF('INHERENT MAP'!$B$5=2021,IF('РЕЕСТР РИСКОВ_2023'!R282="",N241,'РЕЕСТР РИСКОВ_2023'!R282),IF('INHERENT MAP'!$B$5=2022,IF(#REF!="",N241,#REF!),IF('INHERENT MAP'!$B$5=2023,IF(#REF!="",N241,#REF!),IF('INHERENT MAP'!$B$5=2024,IF(#REF!="",N241,#REF!),IF('РЕЕСТР РИСКОВ_2023'!R282="",N241,'РЕЕСТР РИСКОВ_2023'!R282)))))</f>
        <v>Рецессия экономики европейских стран</v>
      </c>
      <c r="O242">
        <f>'РЕЕСТР РИСКОВ_2023'!T282</f>
        <v>0</v>
      </c>
      <c r="P242" t="e">
        <f>IF('РЕЕСТР РИСКОВ_2023'!U282="",P241,'РЕЕСТР РИСКОВ_2023'!U282)</f>
        <v>#REF!</v>
      </c>
      <c r="Q242" t="str">
        <f>IF('РЕЕСТР РИСКОВ_2023'!V282="",Q241,'РЕЕСТР РИСКОВ_2023'!V282)</f>
        <v>Угрозы</v>
      </c>
      <c r="R242" t="e">
        <f>IF('РЕЕСТР РИСКОВ_2023'!W282="",R241,'РЕЕСТР РИСКОВ_2023'!W282)</f>
        <v>#REF!</v>
      </c>
      <c r="S242">
        <f>'РЕЕСТР РИСКОВ_2023'!X282</f>
        <v>0</v>
      </c>
      <c r="T242" s="94">
        <f>IF('INHERENT MAP'!$B$5=2021,'РЕЕСТР РИСКОВ_2023'!Y282,IF('INHERENT MAP'!$B$5=2022,#REF!,IF('INHERENT MAP'!$B$5=2023,#REF!,IF('INHERENT MAP'!$B$5=2024,#REF!,#REF!))))</f>
        <v>2.1</v>
      </c>
      <c r="U242">
        <f>IF('INHERENT MAP'!$B$5=2021,'РЕЕСТР РИСКОВ_2023'!Z282,IF('INHERENT MAP'!$B$5=2022,#REF!,IF('INHERENT MAP'!$B$5=2023,#REF!,IF('INHERENT MAP'!$B$5=2024,#REF!,#REF!))))</f>
        <v>0</v>
      </c>
      <c r="V242">
        <f>IF('INHERENT MAP'!$B$5=2021,'РЕЕСТР РИСКОВ_2023'!AA282,IF('INHERENT MAP'!$B$5=2022,#REF!,IF('INHERENT MAP'!$B$5=2023,#REF!,IF('INHERENT MAP'!$B$5=2024,#REF!,#REF!))))</f>
        <v>0</v>
      </c>
      <c r="W242">
        <f>IF('INHERENT MAP'!$B$5=2021,'РЕЕСТР РИСКОВ_2023'!AB282,IF('INHERENT MAP'!$B$5=2022,#REF!,IF('INHERENT MAP'!$B$5=2023,#REF!,IF('INHERENT MAP'!$B$5=2024,#REF!,#REF!))))</f>
        <v>0</v>
      </c>
      <c r="X242" s="94">
        <f>IF('INHERENT MAP'!$B$5=2021,'РЕЕСТР РИСКОВ_2023'!AC282,IF('INHERENT MAP'!$B$5=2022,#REF!,IF('INHERENT MAP'!$B$5=2023,#REF!,IF('INHERENT MAP'!$B$5=2024,#REF!,#REF!))))</f>
        <v>0</v>
      </c>
      <c r="Y242">
        <f>IF('INHERENT MAP'!$B$5=2021,'РЕЕСТР РИСКОВ_2023'!AD282,IF('INHERENT MAP'!$B$5=2022,#REF!,IF('INHERENT MAP'!$B$5=2023,#REF!,IF('INHERENT MAP'!$B$5=2024,#REF!,#REF!))))</f>
        <v>0</v>
      </c>
      <c r="Z242">
        <f>IF('INHERENT MAP'!$B$5=2021,'РЕЕСТР РИСКОВ_2023'!AE282,IF('INHERENT MAP'!$B$5=2022,#REF!,IF('INHERENT MAP'!$B$5=2023,#REF!,IF('INHERENT MAP'!$B$5=2024,#REF!,#REF!))))</f>
        <v>0</v>
      </c>
      <c r="AA242">
        <f>IF('INHERENT MAP'!$B$5=2021,'РЕЕСТР РИСКОВ_2023'!AF282,IF('INHERENT MAP'!$B$5=2022,#REF!,IF('INHERENT MAP'!$B$5=2023,#REF!,IF('INHERENT MAP'!$B$5=2024,#REF!,#REF!))))</f>
        <v>0</v>
      </c>
      <c r="AB242">
        <f>IF('INHERENT MAP'!$B$5=2021,'РЕЕСТР РИСКОВ_2023'!AG282,IF('INHERENT MAP'!$B$5=2022,#REF!,IF('INHERENT MAP'!$B$5=2023,#REF!,IF('INHERENT MAP'!$B$5=2024,#REF!,#REF!))))</f>
        <v>0</v>
      </c>
      <c r="AC242">
        <f>IF('INHERENT MAP'!$B$5=2021,'РЕЕСТР РИСКОВ_2023'!AH282,IF('INHERENT MAP'!$B$5=2022,#REF!,IF('INHERENT MAP'!$B$5=2023,#REF!,IF('INHERENT MAP'!$B$5=2024,#REF!,#REF!))))</f>
        <v>0</v>
      </c>
      <c r="AD242">
        <f>IF('INHERENT MAP'!$B$5=2021,'РЕЕСТР РИСКОВ_2023'!AI282,IF('INHERENT MAP'!$B$5=2022,#REF!,IF('INHERENT MAP'!$B$5=2023,#REF!,IF('INHERENT MAP'!$B$5=2024,#REF!,#REF!))))</f>
        <v>0</v>
      </c>
      <c r="AE242">
        <f>IF('INHERENT MAP'!$B$5=2021,'РЕЕСТР РИСКОВ_2023'!AK282,IF('INHERENT MAP'!$B$5=2022,#REF!,IF('INHERENT MAP'!$B$5=2023,#REF!,IF('INHERENT MAP'!$B$5=2024,#REF!,#REF!))))</f>
        <v>0</v>
      </c>
      <c r="AF242">
        <f>IF('INHERENT MAP'!$B$5=2021,'РЕЕСТР РИСКОВ_2023'!AL282,IF('INHERENT MAP'!$B$5=2022,#REF!,IF('INHERENT MAP'!$B$5=2023,#REF!,IF('INHERENT MAP'!$B$5=2024,#REF!,#REF!))))</f>
        <v>0</v>
      </c>
      <c r="AG242">
        <f>IF('INHERENT MAP'!$B$5=2021,'РЕЕСТР РИСКОВ_2023'!AM282,IF('INHERENT MAP'!$B$5=2022,#REF!,IF('INHERENT MAP'!$B$5=2023,#REF!,IF('INHERENT MAP'!$B$5=2024,#REF!,#REF!))))</f>
        <v>0</v>
      </c>
      <c r="AH242">
        <f>IF('INHERENT MAP'!$B$5=2021,'РЕЕСТР РИСКОВ_2023'!AN282,IF('INHERENT MAP'!$B$5=2022,#REF!,IF('INHERENT MAP'!$B$5=2023,#REF!,IF('INHERENT MAP'!$B$5=2024,#REF!,#REF!))))</f>
        <v>0</v>
      </c>
      <c r="AI242">
        <f>IF('INHERENT MAP'!$B$5=2021,'РЕЕСТР РИСКОВ_2023'!AO282,IF('INHERENT MAP'!$B$5=2022,#REF!,IF('INHERENT MAP'!$B$5=2023,#REF!,IF('INHERENT MAP'!$B$5=2024,#REF!,#REF!))))</f>
        <v>0</v>
      </c>
      <c r="AJ242">
        <f>IF('INHERENT MAP'!$B$5=2021,'РЕЕСТР РИСКОВ_2023'!AP282,IF('INHERENT MAP'!$B$5=2022,#REF!,IF('INHERENT MAP'!$B$5=2023,#REF!,IF('INHERENT MAP'!$B$5=2024,#REF!,#REF!))))</f>
        <v>0</v>
      </c>
      <c r="AK242">
        <f>IF('РЕЕСТР РИСКОВ_2023'!AQ282="",AK241,'РЕЕСТР РИСКОВ_2023'!AQ282)</f>
        <v>0</v>
      </c>
      <c r="AL242" t="b">
        <f>IF('РЕЕСТР РИСКОВ_2023'!AR282="",AL241,'РЕЕСТР РИСКОВ_2023'!AR282)</f>
        <v>0</v>
      </c>
      <c r="AM242">
        <f>IF('РЕЕСТР РИСКОВ_2023'!AS282="",AM241,'РЕЕСТР РИСКОВ_2023'!AS282)</f>
        <v>0</v>
      </c>
      <c r="AN242">
        <f>IF('РЕЕСТР РИСКОВ_2023'!AT282="",AN241,'РЕЕСТР РИСКОВ_2023'!AT282)</f>
        <v>0</v>
      </c>
      <c r="AO242" t="e">
        <f>IF('РЕЕСТР РИСКОВ_2023'!AU282="",AO241,'РЕЕСТР РИСКОВ_2023'!AU282)</f>
        <v>#REF!</v>
      </c>
    </row>
    <row r="243" spans="2:41">
      <c r="B243" t="str">
        <f>IF('INHERENT MAP'!$B$5=2021,IF('РЕЕСТР РИСКОВ_2023'!F283="",B242,'РЕЕСТР РИСКОВ_2023'!F283),IF('INHERENT MAP'!$B$5=2022,IF(#REF!="",B242,#REF!),IF('INHERENT MAP'!$B$5=2023,IF(#REF!="",B242,#REF!),IF('INHERENT MAP'!$B$5=2024,IF(#REF!="",B242,#REF!),IF('РЕЕСТР РИСКОВ_2023'!F283="",B242,'РЕЕСТР РИСКОВ_2023'!F283)))))</f>
        <v>РИСКИ САНКЦИЙ И ОГРАНИЧЕНИЙ
(Super Risk)</v>
      </c>
      <c r="C243" t="e">
        <f>IF('INHERENT MAP'!$B$5=2021,IF('РЕЕСТР РИСКОВ_2023'!G283="",C242,'РЕЕСТР РИСКОВ_2023'!G283),IF('INHERENT MAP'!$B$5=2022,IF(#REF!="",C242,#REF!),IF('INHERENT MAP'!$B$5=2023,IF(#REF!="",C242,#REF!),IF('INHERENT MAP'!$B$5=2024,IF(#REF!="",C242,#REF!),IF('РЕЕСТР РИСКОВ_2023'!G283="",C242,'РЕЕСТР РИСКОВ_2023'!G283)))))</f>
        <v>#REF!</v>
      </c>
      <c r="D243" t="str">
        <f>IF('INHERENT MAP'!$B$5=2021,IF('РЕЕСТР РИСКОВ_2023'!H283="",D242,'РЕЕСТР РИСКОВ_2023'!H283),IF('INHERENT MAP'!$B$5=2022,IF(#REF!="",D242,#REF!),IF('INHERENT MAP'!$B$5=2023,IF(#REF!="",D242,#REF!),IF('INHERENT MAP'!$B$5=2024,IF(#REF!="",D242,#REF!),IF('РЕЕСТР РИСКОВ_2023'!H283="",D242,'РЕЕСТР РИСКОВ_2023'!H283)))))</f>
        <v>SR-2</v>
      </c>
      <c r="E243" t="str">
        <f>IF('INHERENT MAP'!$B$5=2021,IF('РЕЕСТР РИСКОВ_2023'!I283="",E242,'РЕЕСТР РИСКОВ_2023'!I283),IF('INHERENT MAP'!$B$5=2022,IF(#REF!="",E242,#REF!),IF('INHERENT MAP'!$B$5=2023,IF(#REF!="",E242,#REF!),IF('INHERENT MAP'!$B$5=2024,IF(#REF!="",E242,#REF!),IF('РЕЕСТР РИСКОВ_2023'!I283="",E242,'РЕЕСТР РИСКОВ_2023'!I283)))))</f>
        <v>ЦЗФ</v>
      </c>
      <c r="F243" t="str">
        <f>IF('INHERENT MAP'!$B$5=2021,IF('РЕЕСТР РИСКОВ_2023'!J283="",F242,'РЕЕСТР РИСКОВ_2023'!J283),IF('INHERENT MAP'!$B$5=2022,IF(#REF!="",F242,#REF!),IF('INHERENT MAP'!$B$5=2023,IF(#REF!="",F242,#REF!),IF('INHERENT MAP'!$B$5=2024,IF(#REF!="",F242,#REF!),IF('РЕЕСТР РИСКОВ_2023'!J283="",F242,'РЕЕСТР РИСКОВ_2023'!J283)))))</f>
        <v>ПП</v>
      </c>
      <c r="G243" t="str">
        <f>IF('INHERENT MAP'!$B$5=2021,IF('РЕЕСТР РИСКОВ_2023'!K283="",G242,'РЕЕСТР РИСКОВ_2023'!K283),IF('INHERENT MAP'!$B$5=2022,IF(#REF!="",G242,#REF!),IF('INHERENT MAP'!$B$5=2023,IF(#REF!="",G242,#REF!),IF('INHERENT MAP'!$B$5=2024,IF(#REF!="",G242,#REF!),IF('РЕЕСТР РИСКОВ_2023'!K283="",G242,'РЕЕСТР РИСКОВ_2023'!K283)))))</f>
        <v>Влияние на пассажирооборот</v>
      </c>
      <c r="H243">
        <f>IF('INHERENT MAP'!$B$5=2021,'РЕЕСТР РИСКОВ_2023'!L283,IF('INHERENT MAP'!$B$5=2022,#REF!,IF('INHERENT MAP'!$B$5=2023,#REF!,IF('INHERENT MAP'!$B$5=2024,#REF!,#REF!))))</f>
        <v>0</v>
      </c>
      <c r="I243">
        <f>IF('INHERENT MAP'!$B$5=2021,'РЕЕСТР РИСКОВ_2023'!M283,IF('INHERENT MAP'!$B$5=2022,#REF!,IF('INHERENT MAP'!$B$5=2023,#REF!,IF('INHERENT MAP'!$B$5=2024,#REF!,#REF!))))</f>
        <v>0</v>
      </c>
      <c r="J243">
        <f>IF('INHERENT MAP'!$B$5=2021,'РЕЕСТР РИСКОВ_2023'!N283,IF('INHERENT MAP'!$B$5=2022,#REF!,IF('INHERENT MAP'!$B$5=2023,#REF!,IF('INHERENT MAP'!$B$5=2024,#REF!,#REF!))))</f>
        <v>0</v>
      </c>
      <c r="K243">
        <f>IF('INHERENT MAP'!$B$5=2021,'РЕЕСТР РИСКОВ_2023'!O283,IF('INHERENT MAP'!$B$5=2022,#REF!,IF('INHERENT MAP'!$B$5=2023,#REF!,IF('INHERENT MAP'!$B$5=2024,#REF!,#REF!))))</f>
        <v>0</v>
      </c>
      <c r="L243">
        <f>IF('INHERENT MAP'!$B$5=2021,'РЕЕСТР РИСКОВ_2023'!P283,IF('INHERENT MAP'!$B$5=2022,#REF!,IF('INHERENT MAP'!$B$5=2023,#REF!,IF('INHERENT MAP'!$B$5=2024,#REF!,#REF!))))</f>
        <v>0</v>
      </c>
      <c r="M243" t="str">
        <f>IF('INHERENT MAP'!$B$5=2021,IF('РЕЕСТР РИСКОВ_2023'!Q283="",M242,'РЕЕСТР РИСКОВ_2023'!Q283),IF('INHERENT MAP'!$B$5=2022,IF(#REF!="",M242,#REF!),IF('INHERENT MAP'!$B$5=2023,IF(#REF!="",M242,#REF!),IF('INHERENT MAP'!$B$5=2024,IF(#REF!="",M242,#REF!),IF('РЕЕСТР РИСКОВ_2023'!Q283="",M242,'РЕЕСТР РИСКОВ_2023'!Q283)))))</f>
        <v>Прочие</v>
      </c>
      <c r="N243" t="str">
        <f>IF('INHERENT MAP'!$B$5=2021,IF('РЕЕСТР РИСКОВ_2023'!R283="",N242,'РЕЕСТР РИСКОВ_2023'!R283),IF('INHERENT MAP'!$B$5=2022,IF(#REF!="",N242,#REF!),IF('INHERENT MAP'!$B$5=2023,IF(#REF!="",N242,#REF!),IF('INHERENT MAP'!$B$5=2024,IF(#REF!="",N242,#REF!),IF('РЕЕСТР РИСКОВ_2023'!R283="",N242,'РЕЕСТР РИСКОВ_2023'!R283)))))</f>
        <v>Рецессия экономики европейских стран</v>
      </c>
      <c r="O243">
        <f>'РЕЕСТР РИСКОВ_2023'!T283</f>
        <v>0</v>
      </c>
      <c r="P243" t="e">
        <f>IF('РЕЕСТР РИСКОВ_2023'!U283="",P242,'РЕЕСТР РИСКОВ_2023'!U283)</f>
        <v>#REF!</v>
      </c>
      <c r="Q243" t="str">
        <f>IF('РЕЕСТР РИСКОВ_2023'!V283="",Q242,'РЕЕСТР РИСКОВ_2023'!V283)</f>
        <v>Угрозы</v>
      </c>
      <c r="R243" t="e">
        <f>IF('РЕЕСТР РИСКОВ_2023'!W283="",R242,'РЕЕСТР РИСКОВ_2023'!W283)</f>
        <v>#REF!</v>
      </c>
      <c r="S243">
        <f>'РЕЕСТР РИСКОВ_2023'!X283</f>
        <v>0</v>
      </c>
      <c r="T243" s="94">
        <f>IF('INHERENT MAP'!$B$5=2021,'РЕЕСТР РИСКОВ_2023'!Y283,IF('INHERENT MAP'!$B$5=2022,#REF!,IF('INHERENT MAP'!$B$5=2023,#REF!,IF('INHERENT MAP'!$B$5=2024,#REF!,#REF!))))</f>
        <v>0</v>
      </c>
      <c r="U243">
        <f>IF('INHERENT MAP'!$B$5=2021,'РЕЕСТР РИСКОВ_2023'!Z283,IF('INHERENT MAP'!$B$5=2022,#REF!,IF('INHERENT MAP'!$B$5=2023,#REF!,IF('INHERENT MAP'!$B$5=2024,#REF!,#REF!))))</f>
        <v>0</v>
      </c>
      <c r="V243">
        <f>IF('INHERENT MAP'!$B$5=2021,'РЕЕСТР РИСКОВ_2023'!AA283,IF('INHERENT MAP'!$B$5=2022,#REF!,IF('INHERENT MAP'!$B$5=2023,#REF!,IF('INHERENT MAP'!$B$5=2024,#REF!,#REF!))))</f>
        <v>0</v>
      </c>
      <c r="W243">
        <f>IF('INHERENT MAP'!$B$5=2021,'РЕЕСТР РИСКОВ_2023'!AB283,IF('INHERENT MAP'!$B$5=2022,#REF!,IF('INHERENT MAP'!$B$5=2023,#REF!,IF('INHERENT MAP'!$B$5=2024,#REF!,#REF!))))</f>
        <v>0</v>
      </c>
      <c r="X243" s="94">
        <f>IF('INHERENT MAP'!$B$5=2021,'РЕЕСТР РИСКОВ_2023'!AC283,IF('INHERENT MAP'!$B$5=2022,#REF!,IF('INHERENT MAP'!$B$5=2023,#REF!,IF('INHERENT MAP'!$B$5=2024,#REF!,#REF!))))</f>
        <v>0</v>
      </c>
      <c r="Y243">
        <f>IF('INHERENT MAP'!$B$5=2021,'РЕЕСТР РИСКОВ_2023'!AD283,IF('INHERENT MAP'!$B$5=2022,#REF!,IF('INHERENT MAP'!$B$5=2023,#REF!,IF('INHERENT MAP'!$B$5=2024,#REF!,#REF!))))</f>
        <v>0</v>
      </c>
      <c r="Z243">
        <f>IF('INHERENT MAP'!$B$5=2021,'РЕЕСТР РИСКОВ_2023'!AE283,IF('INHERENT MAP'!$B$5=2022,#REF!,IF('INHERENT MAP'!$B$5=2023,#REF!,IF('INHERENT MAP'!$B$5=2024,#REF!,#REF!))))</f>
        <v>0</v>
      </c>
      <c r="AA243">
        <f>IF('INHERENT MAP'!$B$5=2021,'РЕЕСТР РИСКОВ_2023'!AF283,IF('INHERENT MAP'!$B$5=2022,#REF!,IF('INHERENT MAP'!$B$5=2023,#REF!,IF('INHERENT MAP'!$B$5=2024,#REF!,#REF!))))</f>
        <v>0</v>
      </c>
      <c r="AB243">
        <f>IF('INHERENT MAP'!$B$5=2021,'РЕЕСТР РИСКОВ_2023'!AG283,IF('INHERENT MAP'!$B$5=2022,#REF!,IF('INHERENT MAP'!$B$5=2023,#REF!,IF('INHERENT MAP'!$B$5=2024,#REF!,#REF!))))</f>
        <v>0</v>
      </c>
      <c r="AC243">
        <f>IF('INHERENT MAP'!$B$5=2021,'РЕЕСТР РИСКОВ_2023'!AH283,IF('INHERENT MAP'!$B$5=2022,#REF!,IF('INHERENT MAP'!$B$5=2023,#REF!,IF('INHERENT MAP'!$B$5=2024,#REF!,#REF!))))</f>
        <v>0</v>
      </c>
      <c r="AD243">
        <f>IF('INHERENT MAP'!$B$5=2021,'РЕЕСТР РИСКОВ_2023'!AI283,IF('INHERENT MAP'!$B$5=2022,#REF!,IF('INHERENT MAP'!$B$5=2023,#REF!,IF('INHERENT MAP'!$B$5=2024,#REF!,#REF!))))</f>
        <v>0</v>
      </c>
      <c r="AE243">
        <f>IF('INHERENT MAP'!$B$5=2021,'РЕЕСТР РИСКОВ_2023'!AK283,IF('INHERENT MAP'!$B$5=2022,#REF!,IF('INHERENT MAP'!$B$5=2023,#REF!,IF('INHERENT MAP'!$B$5=2024,#REF!,#REF!))))</f>
        <v>0</v>
      </c>
      <c r="AF243">
        <f>IF('INHERENT MAP'!$B$5=2021,'РЕЕСТР РИСКОВ_2023'!AL283,IF('INHERENT MAP'!$B$5=2022,#REF!,IF('INHERENT MAP'!$B$5=2023,#REF!,IF('INHERENT MAP'!$B$5=2024,#REF!,#REF!))))</f>
        <v>0</v>
      </c>
      <c r="AG243">
        <f>IF('INHERENT MAP'!$B$5=2021,'РЕЕСТР РИСКОВ_2023'!AM283,IF('INHERENT MAP'!$B$5=2022,#REF!,IF('INHERENT MAP'!$B$5=2023,#REF!,IF('INHERENT MAP'!$B$5=2024,#REF!,#REF!))))</f>
        <v>0</v>
      </c>
      <c r="AH243">
        <f>IF('INHERENT MAP'!$B$5=2021,'РЕЕСТР РИСКОВ_2023'!AN283,IF('INHERENT MAP'!$B$5=2022,#REF!,IF('INHERENT MAP'!$B$5=2023,#REF!,IF('INHERENT MAP'!$B$5=2024,#REF!,#REF!))))</f>
        <v>0</v>
      </c>
      <c r="AI243">
        <f>IF('INHERENT MAP'!$B$5=2021,'РЕЕСТР РИСКОВ_2023'!AO283,IF('INHERENT MAP'!$B$5=2022,#REF!,IF('INHERENT MAP'!$B$5=2023,#REF!,IF('INHERENT MAP'!$B$5=2024,#REF!,#REF!))))</f>
        <v>0</v>
      </c>
      <c r="AJ243">
        <f>IF('INHERENT MAP'!$B$5=2021,'РЕЕСТР РИСКОВ_2023'!AP283,IF('INHERENT MAP'!$B$5=2022,#REF!,IF('INHERENT MAP'!$B$5=2023,#REF!,IF('INHERENT MAP'!$B$5=2024,#REF!,#REF!))))</f>
        <v>0</v>
      </c>
      <c r="AK243">
        <f>IF('РЕЕСТР РИСКОВ_2023'!AQ283="",AK242,'РЕЕСТР РИСКОВ_2023'!AQ283)</f>
        <v>0</v>
      </c>
      <c r="AL243" t="b">
        <f>IF('РЕЕСТР РИСКОВ_2023'!AR283="",AL242,'РЕЕСТР РИСКОВ_2023'!AR283)</f>
        <v>0</v>
      </c>
      <c r="AM243">
        <f>IF('РЕЕСТР РИСКОВ_2023'!AS283="",AM242,'РЕЕСТР РИСКОВ_2023'!AS283)</f>
        <v>0</v>
      </c>
      <c r="AN243">
        <f>IF('РЕЕСТР РИСКОВ_2023'!AT283="",AN242,'РЕЕСТР РИСКОВ_2023'!AT283)</f>
        <v>0</v>
      </c>
      <c r="AO243" t="e">
        <f>IF('РЕЕСТР РИСКОВ_2023'!AU283="",AO242,'РЕЕСТР РИСКОВ_2023'!AU283)</f>
        <v>#REF!</v>
      </c>
    </row>
    <row r="244" spans="2:41">
      <c r="B244" t="str">
        <f>IF('INHERENT MAP'!$B$5=2021,IF('РЕЕСТР РИСКОВ_2023'!F284="",B243,'РЕЕСТР РИСКОВ_2023'!F284),IF('INHERENT MAP'!$B$5=2022,IF(#REF!="",B243,#REF!),IF('INHERENT MAP'!$B$5=2023,IF(#REF!="",B243,#REF!),IF('INHERENT MAP'!$B$5=2024,IF(#REF!="",B243,#REF!),IF('РЕЕСТР РИСКОВ_2023'!F284="",B243,'РЕЕСТР РИСКОВ_2023'!F284)))))</f>
        <v>РИСКИ САНКЦИЙ И ОГРАНИЧЕНИЙ
(Super Risk)</v>
      </c>
      <c r="C244" t="e">
        <f>IF('INHERENT MAP'!$B$5=2021,IF('РЕЕСТР РИСКОВ_2023'!G284="",C243,'РЕЕСТР РИСКОВ_2023'!G284),IF('INHERENT MAP'!$B$5=2022,IF(#REF!="",C243,#REF!),IF('INHERENT MAP'!$B$5=2023,IF(#REF!="",C243,#REF!),IF('INHERENT MAP'!$B$5=2024,IF(#REF!="",C243,#REF!),IF('РЕЕСТР РИСКОВ_2023'!G284="",C243,'РЕЕСТР РИСКОВ_2023'!G284)))))</f>
        <v>#REF!</v>
      </c>
      <c r="D244" t="str">
        <f>IF('INHERENT MAP'!$B$5=2021,IF('РЕЕСТР РИСКОВ_2023'!H284="",D243,'РЕЕСТР РИСКОВ_2023'!H284),IF('INHERENT MAP'!$B$5=2022,IF(#REF!="",D243,#REF!),IF('INHERENT MAP'!$B$5=2023,IF(#REF!="",D243,#REF!),IF('INHERENT MAP'!$B$5=2024,IF(#REF!="",D243,#REF!),IF('РЕЕСТР РИСКОВ_2023'!H284="",D243,'РЕЕСТР РИСКОВ_2023'!H284)))))</f>
        <v>SR-3</v>
      </c>
      <c r="E244" t="str">
        <f>IF('INHERENT MAP'!$B$5=2021,IF('РЕЕСТР РИСКОВ_2023'!I284="",E243,'РЕЕСТР РИСКОВ_2023'!I284),IF('INHERENT MAP'!$B$5=2022,IF(#REF!="",E243,#REF!),IF('INHERENT MAP'!$B$5=2023,IF(#REF!="",E243,#REF!),IF('INHERENT MAP'!$B$5=2024,IF(#REF!="",E243,#REF!),IF('РЕЕСТР РИСКОВ_2023'!I284="",E243,'РЕЕСТР РИСКОВ_2023'!I284)))))</f>
        <v>Ц</v>
      </c>
      <c r="F244" t="str">
        <f>IF('INHERENT MAP'!$B$5=2021,IF('РЕЕСТР РИСКОВ_2023'!J284="",F243,'РЕЕСТР РИСКОВ_2023'!J284),IF('INHERENT MAP'!$B$5=2022,IF(#REF!="",F243,#REF!),IF('INHERENT MAP'!$B$5=2023,IF(#REF!="",F243,#REF!),IF('INHERENT MAP'!$B$5=2024,IF(#REF!="",F243,#REF!),IF('РЕЕСТР РИСКОВ_2023'!J284="",F243,'РЕЕСТР РИСКОВ_2023'!J284)))))</f>
        <v>ДО</v>
      </c>
      <c r="G244" t="str">
        <f>IF('INHERENT MAP'!$B$5=2021,IF('РЕЕСТР РИСКОВ_2023'!K284="",G243,'РЕЕСТР РИСКОВ_2023'!K284),IF('INHERENT MAP'!$B$5=2022,IF(#REF!="",G243,#REF!),IF('INHERENT MAP'!$B$5=2023,IF(#REF!="",G243,#REF!),IF('INHERENT MAP'!$B$5=2024,IF(#REF!="",G243,#REF!),IF('РЕЕСТР РИСКОВ_2023'!K284="",G243,'РЕЕСТР РИСКОВ_2023'!K284)))))</f>
        <v>Влияние на репутацию</v>
      </c>
      <c r="H244">
        <f>IF('INHERENT MAP'!$B$5=2021,'РЕЕСТР РИСКОВ_2023'!L284,IF('INHERENT MAP'!$B$5=2022,#REF!,IF('INHERENT MAP'!$B$5=2023,#REF!,IF('INHERENT MAP'!$B$5=2024,#REF!,#REF!))))</f>
        <v>0</v>
      </c>
      <c r="I244">
        <f>IF('INHERENT MAP'!$B$5=2021,'РЕЕСТР РИСКОВ_2023'!M284,IF('INHERENT MAP'!$B$5=2022,#REF!,IF('INHERENT MAP'!$B$5=2023,#REF!,IF('INHERENT MAP'!$B$5=2024,#REF!,#REF!))))</f>
        <v>0</v>
      </c>
      <c r="J244">
        <f>IF('INHERENT MAP'!$B$5=2021,'РЕЕСТР РИСКОВ_2023'!N284,IF('INHERENT MAP'!$B$5=2022,#REF!,IF('INHERENT MAP'!$B$5=2023,#REF!,IF('INHERENT MAP'!$B$5=2024,#REF!,#REF!))))</f>
        <v>0</v>
      </c>
      <c r="K244">
        <f>IF('INHERENT MAP'!$B$5=2021,'РЕЕСТР РИСКОВ_2023'!O284,IF('INHERENT MAP'!$B$5=2022,#REF!,IF('INHERENT MAP'!$B$5=2023,#REF!,IF('INHERENT MAP'!$B$5=2024,#REF!,#REF!))))</f>
        <v>0</v>
      </c>
      <c r="L244">
        <f>IF('INHERENT MAP'!$B$5=2021,'РЕЕСТР РИСКОВ_2023'!P284,IF('INHERENT MAP'!$B$5=2022,#REF!,IF('INHERENT MAP'!$B$5=2023,#REF!,IF('INHERENT MAP'!$B$5=2024,#REF!,#REF!))))</f>
        <v>0</v>
      </c>
      <c r="M244" t="str">
        <f>IF('INHERENT MAP'!$B$5=2021,IF('РЕЕСТР РИСКОВ_2023'!Q284="",M243,'РЕЕСТР РИСКОВ_2023'!Q284),IF('INHERENT MAP'!$B$5=2022,IF(#REF!="",M243,#REF!),IF('INHERENT MAP'!$B$5=2023,IF(#REF!="",M243,#REF!),IF('INHERENT MAP'!$B$5=2024,IF(#REF!="",M243,#REF!),IF('РЕЕСТР РИСКОВ_2023'!Q284="",M243,'РЕЕСТР РИСКОВ_2023'!Q284)))))</f>
        <v>Введение вторичных санкций на Компанию</v>
      </c>
      <c r="N244" t="str">
        <f>IF('INHERENT MAP'!$B$5=2021,IF('РЕЕСТР РИСКОВ_2023'!R284="",N243,'РЕЕСТР РИСКОВ_2023'!R284),IF('INHERENT MAP'!$B$5=2022,IF(#REF!="",N243,#REF!),IF('INHERENT MAP'!$B$5=2023,IF(#REF!="",N243,#REF!),IF('INHERENT MAP'!$B$5=2024,IF(#REF!="",N243,#REF!),IF('РЕЕСТР РИСКОВ_2023'!R284="",N243,'РЕЕСТР РИСКОВ_2023'!R284)))))</f>
        <v>Рецессия экономики европейских стран</v>
      </c>
      <c r="O244">
        <f>'РЕЕСТР РИСКОВ_2023'!T284</f>
        <v>0</v>
      </c>
      <c r="P244" t="e">
        <f>IF('РЕЕСТР РИСКОВ_2023'!U284="",P243,'РЕЕСТР РИСКОВ_2023'!U284)</f>
        <v>#REF!</v>
      </c>
      <c r="Q244" t="str">
        <f>IF('РЕЕСТР РИСКОВ_2023'!V284="",Q243,'РЕЕСТР РИСКОВ_2023'!V284)</f>
        <v>Угрозы</v>
      </c>
      <c r="R244" t="e">
        <f>IF('РЕЕСТР РИСКОВ_2023'!W284="",R243,'РЕЕСТР РИСКОВ_2023'!W284)</f>
        <v>#REF!</v>
      </c>
      <c r="S244">
        <f>'РЕЕСТР РИСКОВ_2023'!X284</f>
        <v>0</v>
      </c>
      <c r="T244" s="94">
        <f>IF('INHERENT MAP'!$B$5=2021,'РЕЕСТР РИСКОВ_2023'!Y284,IF('INHERENT MAP'!$B$5=2022,#REF!,IF('INHERENT MAP'!$B$5=2023,#REF!,IF('INHERENT MAP'!$B$5=2024,#REF!,#REF!))))</f>
        <v>0</v>
      </c>
      <c r="U244">
        <f>IF('INHERENT MAP'!$B$5=2021,'РЕЕСТР РИСКОВ_2023'!Z284,IF('INHERENT MAP'!$B$5=2022,#REF!,IF('INHERENT MAP'!$B$5=2023,#REF!,IF('INHERENT MAP'!$B$5=2024,#REF!,#REF!))))</f>
        <v>0</v>
      </c>
      <c r="V244">
        <f>IF('INHERENT MAP'!$B$5=2021,'РЕЕСТР РИСКОВ_2023'!AA284,IF('INHERENT MAP'!$B$5=2022,#REF!,IF('INHERENT MAP'!$B$5=2023,#REF!,IF('INHERENT MAP'!$B$5=2024,#REF!,#REF!))))</f>
        <v>0</v>
      </c>
      <c r="W244">
        <f>IF('INHERENT MAP'!$B$5=2021,'РЕЕСТР РИСКОВ_2023'!AB284,IF('INHERENT MAP'!$B$5=2022,#REF!,IF('INHERENT MAP'!$B$5=2023,#REF!,IF('INHERENT MAP'!$B$5=2024,#REF!,#REF!))))</f>
        <v>0</v>
      </c>
      <c r="X244" s="94">
        <f>IF('INHERENT MAP'!$B$5=2021,'РЕЕСТР РИСКОВ_2023'!AC284,IF('INHERENT MAP'!$B$5=2022,#REF!,IF('INHERENT MAP'!$B$5=2023,#REF!,IF('INHERENT MAP'!$B$5=2024,#REF!,#REF!))))</f>
        <v>0</v>
      </c>
      <c r="Y244">
        <f>IF('INHERENT MAP'!$B$5=2021,'РЕЕСТР РИСКОВ_2023'!AD284,IF('INHERENT MAP'!$B$5=2022,#REF!,IF('INHERENT MAP'!$B$5=2023,#REF!,IF('INHERENT MAP'!$B$5=2024,#REF!,#REF!))))</f>
        <v>0</v>
      </c>
      <c r="Z244">
        <f>IF('INHERENT MAP'!$B$5=2021,'РЕЕСТР РИСКОВ_2023'!AE284,IF('INHERENT MAP'!$B$5=2022,#REF!,IF('INHERENT MAP'!$B$5=2023,#REF!,IF('INHERENT MAP'!$B$5=2024,#REF!,#REF!))))</f>
        <v>0</v>
      </c>
      <c r="AA244">
        <f>IF('INHERENT MAP'!$B$5=2021,'РЕЕСТР РИСКОВ_2023'!AF284,IF('INHERENT MAP'!$B$5=2022,#REF!,IF('INHERENT MAP'!$B$5=2023,#REF!,IF('INHERENT MAP'!$B$5=2024,#REF!,#REF!))))</f>
        <v>0</v>
      </c>
      <c r="AB244">
        <f>IF('INHERENT MAP'!$B$5=2021,'РЕЕСТР РИСКОВ_2023'!AG284,IF('INHERENT MAP'!$B$5=2022,#REF!,IF('INHERENT MAP'!$B$5=2023,#REF!,IF('INHERENT MAP'!$B$5=2024,#REF!,#REF!))))</f>
        <v>0</v>
      </c>
      <c r="AC244">
        <f>IF('INHERENT MAP'!$B$5=2021,'РЕЕСТР РИСКОВ_2023'!AH284,IF('INHERENT MAP'!$B$5=2022,#REF!,IF('INHERENT MAP'!$B$5=2023,#REF!,IF('INHERENT MAP'!$B$5=2024,#REF!,#REF!))))</f>
        <v>0</v>
      </c>
      <c r="AD244">
        <f>IF('INHERENT MAP'!$B$5=2021,'РЕЕСТР РИСКОВ_2023'!AI284,IF('INHERENT MAP'!$B$5=2022,#REF!,IF('INHERENT MAP'!$B$5=2023,#REF!,IF('INHERENT MAP'!$B$5=2024,#REF!,#REF!))))</f>
        <v>0</v>
      </c>
      <c r="AE244">
        <f>IF('INHERENT MAP'!$B$5=2021,'РЕЕСТР РИСКОВ_2023'!AK284,IF('INHERENT MAP'!$B$5=2022,#REF!,IF('INHERENT MAP'!$B$5=2023,#REF!,IF('INHERENT MAP'!$B$5=2024,#REF!,#REF!))))</f>
        <v>0</v>
      </c>
      <c r="AF244">
        <f>IF('INHERENT MAP'!$B$5=2021,'РЕЕСТР РИСКОВ_2023'!AL284,IF('INHERENT MAP'!$B$5=2022,#REF!,IF('INHERENT MAP'!$B$5=2023,#REF!,IF('INHERENT MAP'!$B$5=2024,#REF!,#REF!))))</f>
        <v>0</v>
      </c>
      <c r="AG244">
        <f>IF('INHERENT MAP'!$B$5=2021,'РЕЕСТР РИСКОВ_2023'!AM284,IF('INHERENT MAP'!$B$5=2022,#REF!,IF('INHERENT MAP'!$B$5=2023,#REF!,IF('INHERENT MAP'!$B$5=2024,#REF!,#REF!))))</f>
        <v>0</v>
      </c>
      <c r="AH244">
        <f>IF('INHERENT MAP'!$B$5=2021,'РЕЕСТР РИСКОВ_2023'!AN284,IF('INHERENT MAP'!$B$5=2022,#REF!,IF('INHERENT MAP'!$B$5=2023,#REF!,IF('INHERENT MAP'!$B$5=2024,#REF!,#REF!))))</f>
        <v>0</v>
      </c>
      <c r="AI244">
        <f>IF('INHERENT MAP'!$B$5=2021,'РЕЕСТР РИСКОВ_2023'!AO284,IF('INHERENT MAP'!$B$5=2022,#REF!,IF('INHERENT MAP'!$B$5=2023,#REF!,IF('INHERENT MAP'!$B$5=2024,#REF!,#REF!))))</f>
        <v>0</v>
      </c>
      <c r="AJ244">
        <f>IF('INHERENT MAP'!$B$5=2021,'РЕЕСТР РИСКОВ_2023'!AP284,IF('INHERENT MAP'!$B$5=2022,#REF!,IF('INHERENT MAP'!$B$5=2023,#REF!,IF('INHERENT MAP'!$B$5=2024,#REF!,#REF!))))</f>
        <v>0</v>
      </c>
      <c r="AK244">
        <f>IF('РЕЕСТР РИСКОВ_2023'!AQ284="",AK243,'РЕЕСТР РИСКОВ_2023'!AQ284)</f>
        <v>0</v>
      </c>
      <c r="AL244" t="b">
        <f>IF('РЕЕСТР РИСКОВ_2023'!AR284="",AL243,'РЕЕСТР РИСКОВ_2023'!AR284)</f>
        <v>0</v>
      </c>
      <c r="AM244">
        <f>IF('РЕЕСТР РИСКОВ_2023'!AS284="",AM243,'РЕЕСТР РИСКОВ_2023'!AS284)</f>
        <v>0</v>
      </c>
      <c r="AN244">
        <f>IF('РЕЕСТР РИСКОВ_2023'!AT284="",AN243,'РЕЕСТР РИСКОВ_2023'!AT284)</f>
        <v>0</v>
      </c>
      <c r="AO244" t="e">
        <f>IF('РЕЕСТР РИСКОВ_2023'!AU284="",AO243,'РЕЕСТР РИСКОВ_2023'!AU284)</f>
        <v>#REF!</v>
      </c>
    </row>
    <row r="245" spans="2:41">
      <c r="B245" t="str">
        <f>IF('INHERENT MAP'!$B$5=2021,IF('РЕЕСТР РИСКОВ_2023'!F285="",B244,'РЕЕСТР РИСКОВ_2023'!F285),IF('INHERENT MAP'!$B$5=2022,IF(#REF!="",B244,#REF!),IF('INHERENT MAP'!$B$5=2023,IF(#REF!="",B244,#REF!),IF('INHERENT MAP'!$B$5=2024,IF(#REF!="",B244,#REF!),IF('РЕЕСТР РИСКОВ_2023'!F285="",B244,'РЕЕСТР РИСКОВ_2023'!F285)))))</f>
        <v>ПРОЦЕНТНЫЙ РИСК</v>
      </c>
      <c r="C245" t="e">
        <f>IF('INHERENT MAP'!$B$5=2021,IF('РЕЕСТР РИСКОВ_2023'!G285="",C244,'РЕЕСТР РИСКОВ_2023'!G285),IF('INHERENT MAP'!$B$5=2022,IF(#REF!="",C244,#REF!),IF('INHERENT MAP'!$B$5=2023,IF(#REF!="",C244,#REF!),IF('INHERENT MAP'!$B$5=2024,IF(#REF!="",C244,#REF!),IF('РЕЕСТР РИСКОВ_2023'!G285="",C244,'РЕЕСТР РИСКОВ_2023'!G285)))))</f>
        <v>#REF!</v>
      </c>
      <c r="D245" t="str">
        <f>IF('INHERENT MAP'!$B$5=2021,IF('РЕЕСТР РИСКОВ_2023'!H285="",D244,'РЕЕСТР РИСКОВ_2023'!H285),IF('INHERENT MAP'!$B$5=2022,IF(#REF!="",D244,#REF!),IF('INHERENT MAP'!$B$5=2023,IF(#REF!="",D244,#REF!),IF('INHERENT MAP'!$B$5=2024,IF(#REF!="",D244,#REF!),IF('РЕЕСТР РИСКОВ_2023'!H285="",D244,'РЕЕСТР РИСКОВ_2023'!H285)))))</f>
        <v>IRR-1</v>
      </c>
      <c r="E245" t="str">
        <f>IF('INHERENT MAP'!$B$5=2021,IF('РЕЕСТР РИСКОВ_2023'!I285="",E244,'РЕЕСТР РИСКОВ_2023'!I285),IF('INHERENT MAP'!$B$5=2022,IF(#REF!="",E244,#REF!),IF('INHERENT MAP'!$B$5=2023,IF(#REF!="",E244,#REF!),IF('INHERENT MAP'!$B$5=2024,IF(#REF!="",E244,#REF!),IF('РЕЕСТР РИСКОВ_2023'!I285="",E244,'РЕЕСТР РИСКОВ_2023'!I285)))))</f>
        <v>ЦЗФ</v>
      </c>
      <c r="F245" t="str">
        <f>IF('INHERENT MAP'!$B$5=2021,IF('РЕЕСТР РИСКОВ_2023'!J285="",F244,'РЕЕСТР РИСКОВ_2023'!J285),IF('INHERENT MAP'!$B$5=2022,IF(#REF!="",F244,#REF!),IF('INHERENT MAP'!$B$5=2023,IF(#REF!="",F244,#REF!),IF('INHERENT MAP'!$B$5=2024,IF(#REF!="",F244,#REF!),IF('РЕЕСТР РИСКОВ_2023'!J285="",F244,'РЕЕСТР РИСКОВ_2023'!J285)))))</f>
        <v>Цзайм</v>
      </c>
      <c r="G245" t="str">
        <f>IF('INHERENT MAP'!$B$5=2021,IF('РЕЕСТР РИСКОВ_2023'!K285="",G244,'РЕЕСТР РИСКОВ_2023'!K285),IF('INHERENT MAP'!$B$5=2022,IF(#REF!="",G244,#REF!),IF('INHERENT MAP'!$B$5=2023,IF(#REF!="",G244,#REF!),IF('INHERENT MAP'!$B$5=2024,IF(#REF!="",G244,#REF!),IF('РЕЕСТР РИСКОВ_2023'!K285="",G244,'РЕЕСТР РИСКОВ_2023'!K285)))))</f>
        <v>Увеличение расходов по процентам на новые займы, а также текущие займы (с плавающей ставкой) в тенге.</v>
      </c>
      <c r="H245">
        <f>IF('INHERENT MAP'!$B$5=2021,'РЕЕСТР РИСКОВ_2023'!L285,IF('INHERENT MAP'!$B$5=2022,#REF!,IF('INHERENT MAP'!$B$5=2023,#REF!,IF('INHERENT MAP'!$B$5=2024,#REF!,#REF!))))</f>
        <v>0</v>
      </c>
      <c r="I245">
        <f>IF('INHERENT MAP'!$B$5=2021,'РЕЕСТР РИСКОВ_2023'!M285,IF('INHERENT MAP'!$B$5=2022,#REF!,IF('INHERENT MAP'!$B$5=2023,#REF!,IF('INHERENT MAP'!$B$5=2024,#REF!,#REF!))))</f>
        <v>0</v>
      </c>
      <c r="J245">
        <f>IF('INHERENT MAP'!$B$5=2021,'РЕЕСТР РИСКОВ_2023'!N285,IF('INHERENT MAP'!$B$5=2022,#REF!,IF('INHERENT MAP'!$B$5=2023,#REF!,IF('INHERENT MAP'!$B$5=2024,#REF!,#REF!))))</f>
        <v>0</v>
      </c>
      <c r="K245">
        <f>IF('INHERENT MAP'!$B$5=2021,'РЕЕСТР РИСКОВ_2023'!O285,IF('INHERENT MAP'!$B$5=2022,#REF!,IF('INHERENT MAP'!$B$5=2023,#REF!,IF('INHERENT MAP'!$B$5=2024,#REF!,#REF!))))</f>
        <v>0</v>
      </c>
      <c r="L245">
        <f>IF('INHERENT MAP'!$B$5=2021,'РЕЕСТР РИСКОВ_2023'!P285,IF('INHERENT MAP'!$B$5=2022,#REF!,IF('INHERENT MAP'!$B$5=2023,#REF!,IF('INHERENT MAP'!$B$5=2024,#REF!,#REF!))))</f>
        <v>0</v>
      </c>
      <c r="M245" t="str">
        <f>IF('INHERENT MAP'!$B$5=2021,IF('РЕЕСТР РИСКОВ_2023'!Q285="",M244,'РЕЕСТР РИСКОВ_2023'!Q285),IF('INHERENT MAP'!$B$5=2022,IF(#REF!="",M244,#REF!),IF('INHERENT MAP'!$B$5=2023,IF(#REF!="",M244,#REF!),IF('INHERENT MAP'!$B$5=2024,IF(#REF!="",M244,#REF!),IF('РЕЕСТР РИСКОВ_2023'!Q285="",M244,'РЕЕСТР РИСКОВ_2023'!Q285)))))</f>
        <v>Увеличение базовой ставки Национального банка Республики Казахстан до 16%</v>
      </c>
      <c r="N245" t="str">
        <f>IF('INHERENT MAP'!$B$5=2021,IF('РЕЕСТР РИСКОВ_2023'!R285="",N244,'РЕЕСТР РИСКОВ_2023'!R285),IF('INHERENT MAP'!$B$5=2022,IF(#REF!="",N244,#REF!),IF('INHERENT MAP'!$B$5=2023,IF(#REF!="",N244,#REF!),IF('INHERENT MAP'!$B$5=2024,IF(#REF!="",N244,#REF!),IF('РЕЕСТР РИСКОВ_2023'!R285="",N244,'РЕЕСТР РИСКОВ_2023'!R285)))))</f>
        <v>Рецессия экономики европейских стран</v>
      </c>
      <c r="O245">
        <f>'РЕЕСТР РИСКОВ_2023'!T285</f>
        <v>0</v>
      </c>
      <c r="P245" t="e">
        <f>IF('РЕЕСТР РИСКОВ_2023'!U285="",P244,'РЕЕСТР РИСКОВ_2023'!U285)</f>
        <v>#REF!</v>
      </c>
      <c r="Q245" t="str">
        <f>IF('РЕЕСТР РИСКОВ_2023'!V285="",Q244,'РЕЕСТР РИСКОВ_2023'!V285)</f>
        <v>Угрозы</v>
      </c>
      <c r="R245" t="e">
        <f>IF('РЕЕСТР РИСКОВ_2023'!W285="",R244,'РЕЕСТР РИСКОВ_2023'!W285)</f>
        <v>#REF!</v>
      </c>
      <c r="S245">
        <f>'РЕЕСТР РИСКОВ_2023'!X285</f>
        <v>0</v>
      </c>
      <c r="T245" s="94">
        <f>IF('INHERENT MAP'!$B$5=2021,'РЕЕСТР РИСКОВ_2023'!Y285,IF('INHERENT MAP'!$B$5=2022,#REF!,IF('INHERENT MAP'!$B$5=2023,#REF!,IF('INHERENT MAP'!$B$5=2024,#REF!,#REF!))))</f>
        <v>0.4</v>
      </c>
      <c r="U245">
        <f>IF('INHERENT MAP'!$B$5=2021,'РЕЕСТР РИСКОВ_2023'!Z285,IF('INHERENT MAP'!$B$5=2022,#REF!,IF('INHERENT MAP'!$B$5=2023,#REF!,IF('INHERENT MAP'!$B$5=2024,#REF!,#REF!))))</f>
        <v>-1800</v>
      </c>
      <c r="V245">
        <f>IF('INHERENT MAP'!$B$5=2021,'РЕЕСТР РИСКОВ_2023'!AA285,IF('INHERENT MAP'!$B$5=2022,#REF!,IF('INHERENT MAP'!$B$5=2023,#REF!,IF('INHERENT MAP'!$B$5=2024,#REF!,#REF!))))</f>
        <v>-720</v>
      </c>
      <c r="W245" t="str">
        <f>IF('INHERENT MAP'!$B$5=2021,'РЕЕСТР РИСКОВ_2023'!AB285,IF('INHERENT MAP'!$B$5=2022,#REF!,IF('INHERENT MAP'!$B$5=2023,#REF!,IF('INHERENT MAP'!$B$5=2024,#REF!,#REF!))))</f>
        <v>В кредитном портфеле имееются локальные облигации в размере 118,9 млрд. тенге с плавающей ставкой финансирования.
В этой связи, увеличение процентной ставки национального банка автоматически приведет к росту затрат по обслуживанию займа.</v>
      </c>
      <c r="X245" s="94">
        <f>IF('INHERENT MAP'!$B$5=2021,'РЕЕСТР РИСКОВ_2023'!AC285,IF('INHERENT MAP'!$B$5=2022,#REF!,IF('INHERENT MAP'!$B$5=2023,#REF!,IF('INHERENT MAP'!$B$5=2024,#REF!,#REF!))))</f>
        <v>0.4</v>
      </c>
      <c r="Y245">
        <f>IF('INHERENT MAP'!$B$5=2021,'РЕЕСТР РИСКОВ_2023'!AD285,IF('INHERENT MAP'!$B$5=2022,#REF!,IF('INHERENT MAP'!$B$5=2023,#REF!,IF('INHERENT MAP'!$B$5=2024,#REF!,#REF!))))</f>
        <v>-1800</v>
      </c>
      <c r="Z245">
        <f>IF('INHERENT MAP'!$B$5=2021,'РЕЕСТР РИСКОВ_2023'!AE285,IF('INHERENT MAP'!$B$5=2022,#REF!,IF('INHERENT MAP'!$B$5=2023,#REF!,IF('INHERENT MAP'!$B$5=2024,#REF!,#REF!))))</f>
        <v>-720</v>
      </c>
      <c r="AA245">
        <f>IF('INHERENT MAP'!$B$5=2021,'РЕЕСТР РИСКОВ_2023'!AF285,IF('INHERENT MAP'!$B$5=2022,#REF!,IF('INHERENT MAP'!$B$5=2023,#REF!,IF('INHERENT MAP'!$B$5=2024,#REF!,#REF!))))</f>
        <v>0</v>
      </c>
      <c r="AB245">
        <f>IF('INHERENT MAP'!$B$5=2021,'РЕЕСТР РИСКОВ_2023'!AG285,IF('INHERENT MAP'!$B$5=2022,#REF!,IF('INHERENT MAP'!$B$5=2023,#REF!,IF('INHERENT MAP'!$B$5=2024,#REF!,#REF!))))</f>
        <v>0</v>
      </c>
      <c r="AC245">
        <f>IF('INHERENT MAP'!$B$5=2021,'РЕЕСТР РИСКОВ_2023'!AH285,IF('INHERENT MAP'!$B$5=2022,#REF!,IF('INHERENT MAP'!$B$5=2023,#REF!,IF('INHERENT MAP'!$B$5=2024,#REF!,#REF!))))</f>
        <v>0</v>
      </c>
      <c r="AD245" t="str">
        <f>IF('INHERENT MAP'!$B$5=2021,'РЕЕСТР РИСКОВ_2023'!AI285,IF('INHERENT MAP'!$B$5=2022,#REF!,IF('INHERENT MAP'!$B$5=2023,#REF!,IF('INHERENT MAP'!$B$5=2024,#REF!,#REF!))))</f>
        <v>В зависимости от рыночных условий, КТЖ будет рассмотрены возможные варианты финансирования, в том числе:
- на международных ранках;
- государственная поддержка.</v>
      </c>
      <c r="AE245" t="str">
        <f>IF('INHERENT MAP'!$B$5=2021,'РЕЕСТР РИСКОВ_2023'!AK285,IF('INHERENT MAP'!$B$5=2022,#REF!,IF('INHERENT MAP'!$B$5=2023,#REF!,IF('INHERENT MAP'!$B$5=2024,#REF!,#REF!))))</f>
        <v xml:space="preserve">Департамент заимствований и по работе с инвесторами </v>
      </c>
      <c r="AF245">
        <f>IF('INHERENT MAP'!$B$5=2021,'РЕЕСТР РИСКОВ_2023'!AL285,IF('INHERENT MAP'!$B$5=2022,#REF!,IF('INHERENT MAP'!$B$5=2023,#REF!,IF('INHERENT MAP'!$B$5=2024,#REF!,#REF!))))</f>
        <v>0</v>
      </c>
      <c r="AG245" t="str">
        <f>IF('INHERENT MAP'!$B$5=2021,'РЕЕСТР РИСКОВ_2023'!AM285,IF('INHERENT MAP'!$B$5=2022,#REF!,IF('INHERENT MAP'!$B$5=2023,#REF!,IF('INHERENT MAP'!$B$5=2024,#REF!,#REF!))))</f>
        <v>высокая</v>
      </c>
      <c r="AH245">
        <f>IF('INHERENT MAP'!$B$5=2021,'РЕЕСТР РИСКОВ_2023'!AN285,IF('INHERENT MAP'!$B$5=2022,#REF!,IF('INHERENT MAP'!$B$5=2023,#REF!,IF('INHERENT MAP'!$B$5=2024,#REF!,#REF!))))</f>
        <v>0.12</v>
      </c>
      <c r="AI245">
        <f>IF('INHERENT MAP'!$B$5=2021,'РЕЕСТР РИСКОВ_2023'!AO285,IF('INHERENT MAP'!$B$5=2022,#REF!,IF('INHERENT MAP'!$B$5=2023,#REF!,IF('INHERENT MAP'!$B$5=2024,#REF!,#REF!))))</f>
        <v>-540</v>
      </c>
      <c r="AJ245">
        <f>IF('INHERENT MAP'!$B$5=2021,'РЕЕСТР РИСКОВ_2023'!AP285,IF('INHERENT MAP'!$B$5=2022,#REF!,IF('INHERENT MAP'!$B$5=2023,#REF!,IF('INHERENT MAP'!$B$5=2024,#REF!,#REF!))))</f>
        <v>-64.8</v>
      </c>
      <c r="AK245">
        <f>IF('РЕЕСТР РИСКОВ_2023'!AQ285="",AK244,'РЕЕСТР РИСКОВ_2023'!AQ285)</f>
        <v>-216</v>
      </c>
      <c r="AL245">
        <f>IF('РЕЕСТР РИСКОВ_2023'!AR285="",AL244,'РЕЕСТР РИСКОВ_2023'!AR285)</f>
        <v>0.12</v>
      </c>
      <c r="AM245">
        <f>IF('РЕЕСТР РИСКОВ_2023'!AS285="",AM244,'РЕЕСТР РИСКОВ_2023'!AS285)</f>
        <v>-64.8</v>
      </c>
      <c r="AN245">
        <f>IF('РЕЕСТР РИСКОВ_2023'!AT285="",AN244,'РЕЕСТР РИСКОВ_2023'!AT285)</f>
        <v>-216</v>
      </c>
      <c r="AO245" t="e">
        <f>IF('РЕЕСТР РИСКОВ_2023'!AU285="",AO244,'РЕЕСТР РИСКОВ_2023'!AU285)</f>
        <v>#REF!</v>
      </c>
    </row>
    <row r="246" spans="2:41">
      <c r="B246" t="str">
        <f>IF('INHERENT MAP'!$B$5=2021,IF('РЕЕСТР РИСКОВ_2023'!F286="",B245,'РЕЕСТР РИСКОВ_2023'!F286),IF('INHERENT MAP'!$B$5=2022,IF(#REF!="",B245,#REF!),IF('INHERENT MAP'!$B$5=2023,IF(#REF!="",B245,#REF!),IF('INHERENT MAP'!$B$5=2024,IF(#REF!="",B245,#REF!),IF('РЕЕСТР РИСКОВ_2023'!F286="",B245,'РЕЕСТР РИСКОВ_2023'!F286)))))</f>
        <v>ПРОЦЕНТНЫЙ РИСК</v>
      </c>
      <c r="C246" t="e">
        <f>IF('INHERENT MAP'!$B$5=2021,IF('РЕЕСТР РИСКОВ_2023'!G286="",C245,'РЕЕСТР РИСКОВ_2023'!G286),IF('INHERENT MAP'!$B$5=2022,IF(#REF!="",C245,#REF!),IF('INHERENT MAP'!$B$5=2023,IF(#REF!="",C245,#REF!),IF('INHERENT MAP'!$B$5=2024,IF(#REF!="",C245,#REF!),IF('РЕЕСТР РИСКОВ_2023'!G286="",C245,'РЕЕСТР РИСКОВ_2023'!G286)))))</f>
        <v>#REF!</v>
      </c>
      <c r="D246" t="str">
        <f>IF('INHERENT MAP'!$B$5=2021,IF('РЕЕСТР РИСКОВ_2023'!H286="",D245,'РЕЕСТР РИСКОВ_2023'!H286),IF('INHERENT MAP'!$B$5=2022,IF(#REF!="",D245,#REF!),IF('INHERENT MAP'!$B$5=2023,IF(#REF!="",D245,#REF!),IF('INHERENT MAP'!$B$5=2024,IF(#REF!="",D245,#REF!),IF('РЕЕСТР РИСКОВ_2023'!H286="",D245,'РЕЕСТР РИСКОВ_2023'!H286)))))</f>
        <v>IRR-1</v>
      </c>
      <c r="E246" t="str">
        <f>IF('INHERENT MAP'!$B$5=2021,IF('РЕЕСТР РИСКОВ_2023'!I286="",E245,'РЕЕСТР РИСКОВ_2023'!I286),IF('INHERENT MAP'!$B$5=2022,IF(#REF!="",E245,#REF!),IF('INHERENT MAP'!$B$5=2023,IF(#REF!="",E245,#REF!),IF('INHERENT MAP'!$B$5=2024,IF(#REF!="",E245,#REF!),IF('РЕЕСТР РИСКОВ_2023'!I286="",E245,'РЕЕСТР РИСКОВ_2023'!I286)))))</f>
        <v>ЦЗФ</v>
      </c>
      <c r="F246" t="str">
        <f>IF('INHERENT MAP'!$B$5=2021,IF('РЕЕСТР РИСКОВ_2023'!J286="",F245,'РЕЕСТР РИСКОВ_2023'!J286),IF('INHERENT MAP'!$B$5=2022,IF(#REF!="",F245,#REF!),IF('INHERENT MAP'!$B$5=2023,IF(#REF!="",F245,#REF!),IF('INHERENT MAP'!$B$5=2024,IF(#REF!="",F245,#REF!),IF('РЕЕСТР РИСКОВ_2023'!J286="",F245,'РЕЕСТР РИСКОВ_2023'!J286)))))</f>
        <v>Цзайм</v>
      </c>
      <c r="G246" t="str">
        <f>IF('INHERENT MAP'!$B$5=2021,IF('РЕЕСТР РИСКОВ_2023'!K286="",G245,'РЕЕСТР РИСКОВ_2023'!K286),IF('INHERENT MAP'!$B$5=2022,IF(#REF!="",G245,#REF!),IF('INHERENT MAP'!$B$5=2023,IF(#REF!="",G245,#REF!),IF('INHERENT MAP'!$B$5=2024,IF(#REF!="",G245,#REF!),IF('РЕЕСТР РИСКОВ_2023'!K286="",G245,'РЕЕСТР РИСКОВ_2023'!K286)))))</f>
        <v>Увеличение расходов по процентам на новые займы, а также текущие займы (с плавающей ставкой) в тенге.</v>
      </c>
      <c r="H246">
        <f>IF('INHERENT MAP'!$B$5=2021,'РЕЕСТР РИСКОВ_2023'!L286,IF('INHERENT MAP'!$B$5=2022,#REF!,IF('INHERENT MAP'!$B$5=2023,#REF!,IF('INHERENT MAP'!$B$5=2024,#REF!,#REF!))))</f>
        <v>0</v>
      </c>
      <c r="I246">
        <f>IF('INHERENT MAP'!$B$5=2021,'РЕЕСТР РИСКОВ_2023'!M286,IF('INHERENT MAP'!$B$5=2022,#REF!,IF('INHERENT MAP'!$B$5=2023,#REF!,IF('INHERENT MAP'!$B$5=2024,#REF!,#REF!))))</f>
        <v>0</v>
      </c>
      <c r="J246">
        <f>IF('INHERENT MAP'!$B$5=2021,'РЕЕСТР РИСКОВ_2023'!N286,IF('INHERENT MAP'!$B$5=2022,#REF!,IF('INHERENT MAP'!$B$5=2023,#REF!,IF('INHERENT MAP'!$B$5=2024,#REF!,#REF!))))</f>
        <v>0</v>
      </c>
      <c r="K246">
        <f>IF('INHERENT MAP'!$B$5=2021,'РЕЕСТР РИСКОВ_2023'!O286,IF('INHERENT MAP'!$B$5=2022,#REF!,IF('INHERENT MAP'!$B$5=2023,#REF!,IF('INHERENT MAP'!$B$5=2024,#REF!,#REF!))))</f>
        <v>0</v>
      </c>
      <c r="L246">
        <f>IF('INHERENT MAP'!$B$5=2021,'РЕЕСТР РИСКОВ_2023'!P286,IF('INHERENT MAP'!$B$5=2022,#REF!,IF('INHERENT MAP'!$B$5=2023,#REF!,IF('INHERENT MAP'!$B$5=2024,#REF!,#REF!))))</f>
        <v>0</v>
      </c>
      <c r="M246" t="str">
        <f>IF('INHERENT MAP'!$B$5=2021,IF('РЕЕСТР РИСКОВ_2023'!Q286="",M245,'РЕЕСТР РИСКОВ_2023'!Q286),IF('INHERENT MAP'!$B$5=2022,IF(#REF!="",M245,#REF!),IF('INHERENT MAP'!$B$5=2023,IF(#REF!="",M245,#REF!),IF('INHERENT MAP'!$B$5=2024,IF(#REF!="",M245,#REF!),IF('РЕЕСТР РИСКОВ_2023'!Q286="",M245,'РЕЕСТР РИСКОВ_2023'!Q286)))))</f>
        <v>Увеличение базовой ставки Национального банка Республики Казахстан до 16%</v>
      </c>
      <c r="N246" t="str">
        <f>IF('INHERENT MAP'!$B$5=2021,IF('РЕЕСТР РИСКОВ_2023'!R286="",N245,'РЕЕСТР РИСКОВ_2023'!R286),IF('INHERENT MAP'!$B$5=2022,IF(#REF!="",N245,#REF!),IF('INHERENT MAP'!$B$5=2023,IF(#REF!="",N245,#REF!),IF('INHERENT MAP'!$B$5=2024,IF(#REF!="",N245,#REF!),IF('РЕЕСТР РИСКОВ_2023'!R286="",N245,'РЕЕСТР РИСКОВ_2023'!R286)))))</f>
        <v>Рецессия экономики европейских стран</v>
      </c>
      <c r="O246">
        <f>'РЕЕСТР РИСКОВ_2023'!T286</f>
        <v>0</v>
      </c>
      <c r="P246" t="e">
        <f>IF('РЕЕСТР РИСКОВ_2023'!U286="",P245,'РЕЕСТР РИСКОВ_2023'!U286)</f>
        <v>#REF!</v>
      </c>
      <c r="Q246" t="str">
        <f>IF('РЕЕСТР РИСКОВ_2023'!V286="",Q245,'РЕЕСТР РИСКОВ_2023'!V286)</f>
        <v>Угрозы</v>
      </c>
      <c r="R246" t="e">
        <f>IF('РЕЕСТР РИСКОВ_2023'!W286="",R245,'РЕЕСТР РИСКОВ_2023'!W286)</f>
        <v>#REF!</v>
      </c>
      <c r="S246">
        <f>'РЕЕСТР РИСКОВ_2023'!X286</f>
        <v>0</v>
      </c>
      <c r="T246" s="94">
        <f>IF('INHERENT MAP'!$B$5=2021,'РЕЕСТР РИСКОВ_2023'!Y286,IF('INHERENT MAP'!$B$5=2022,#REF!,IF('INHERENT MAP'!$B$5=2023,#REF!,IF('INHERENT MAP'!$B$5=2024,#REF!,#REF!))))</f>
        <v>0</v>
      </c>
      <c r="U246">
        <f>IF('INHERENT MAP'!$B$5=2021,'РЕЕСТР РИСКОВ_2023'!Z286,IF('INHERENT MAP'!$B$5=2022,#REF!,IF('INHERENT MAP'!$B$5=2023,#REF!,IF('INHERENT MAP'!$B$5=2024,#REF!,#REF!))))</f>
        <v>0</v>
      </c>
      <c r="V246">
        <f>IF('INHERENT MAP'!$B$5=2021,'РЕЕСТР РИСКОВ_2023'!AA286,IF('INHERENT MAP'!$B$5=2022,#REF!,IF('INHERENT MAP'!$B$5=2023,#REF!,IF('INHERENT MAP'!$B$5=2024,#REF!,#REF!))))</f>
        <v>0</v>
      </c>
      <c r="W246">
        <f>IF('INHERENT MAP'!$B$5=2021,'РЕЕСТР РИСКОВ_2023'!AB286,IF('INHERENT MAP'!$B$5=2022,#REF!,IF('INHERENT MAP'!$B$5=2023,#REF!,IF('INHERENT MAP'!$B$5=2024,#REF!,#REF!))))</f>
        <v>0</v>
      </c>
      <c r="X246" s="94">
        <f>IF('INHERENT MAP'!$B$5=2021,'РЕЕСТР РИСКОВ_2023'!AC286,IF('INHERENT MAP'!$B$5=2022,#REF!,IF('INHERENT MAP'!$B$5=2023,#REF!,IF('INHERENT MAP'!$B$5=2024,#REF!,#REF!))))</f>
        <v>0</v>
      </c>
      <c r="Y246">
        <f>IF('INHERENT MAP'!$B$5=2021,'РЕЕСТР РИСКОВ_2023'!AD286,IF('INHERENT MAP'!$B$5=2022,#REF!,IF('INHERENT MAP'!$B$5=2023,#REF!,IF('INHERENT MAP'!$B$5=2024,#REF!,#REF!))))</f>
        <v>0</v>
      </c>
      <c r="Z246">
        <f>IF('INHERENT MAP'!$B$5=2021,'РЕЕСТР РИСКОВ_2023'!AE286,IF('INHERENT MAP'!$B$5=2022,#REF!,IF('INHERENT MAP'!$B$5=2023,#REF!,IF('INHERENT MAP'!$B$5=2024,#REF!,#REF!))))</f>
        <v>0</v>
      </c>
      <c r="AA246">
        <f>IF('INHERENT MAP'!$B$5=2021,'РЕЕСТР РИСКОВ_2023'!AF286,IF('INHERENT MAP'!$B$5=2022,#REF!,IF('INHERENT MAP'!$B$5=2023,#REF!,IF('INHERENT MAP'!$B$5=2024,#REF!,#REF!))))</f>
        <v>0</v>
      </c>
      <c r="AB246">
        <f>IF('INHERENT MAP'!$B$5=2021,'РЕЕСТР РИСКОВ_2023'!AG286,IF('INHERENT MAP'!$B$5=2022,#REF!,IF('INHERENT MAP'!$B$5=2023,#REF!,IF('INHERENT MAP'!$B$5=2024,#REF!,#REF!))))</f>
        <v>0</v>
      </c>
      <c r="AC246">
        <f>IF('INHERENT MAP'!$B$5=2021,'РЕЕСТР РИСКОВ_2023'!AH286,IF('INHERENT MAP'!$B$5=2022,#REF!,IF('INHERENT MAP'!$B$5=2023,#REF!,IF('INHERENT MAP'!$B$5=2024,#REF!,#REF!))))</f>
        <v>0</v>
      </c>
      <c r="AD246">
        <f>IF('INHERENT MAP'!$B$5=2021,'РЕЕСТР РИСКОВ_2023'!AI286,IF('INHERENT MAP'!$B$5=2022,#REF!,IF('INHERENT MAP'!$B$5=2023,#REF!,IF('INHERENT MAP'!$B$5=2024,#REF!,#REF!))))</f>
        <v>0</v>
      </c>
      <c r="AE246">
        <f>IF('INHERENT MAP'!$B$5=2021,'РЕЕСТР РИСКОВ_2023'!AK286,IF('INHERENT MAP'!$B$5=2022,#REF!,IF('INHERENT MAP'!$B$5=2023,#REF!,IF('INHERENT MAP'!$B$5=2024,#REF!,#REF!))))</f>
        <v>0</v>
      </c>
      <c r="AF246">
        <f>IF('INHERENT MAP'!$B$5=2021,'РЕЕСТР РИСКОВ_2023'!AL286,IF('INHERENT MAP'!$B$5=2022,#REF!,IF('INHERENT MAP'!$B$5=2023,#REF!,IF('INHERENT MAP'!$B$5=2024,#REF!,#REF!))))</f>
        <v>0</v>
      </c>
      <c r="AG246">
        <f>IF('INHERENT MAP'!$B$5=2021,'РЕЕСТР РИСКОВ_2023'!AM286,IF('INHERENT MAP'!$B$5=2022,#REF!,IF('INHERENT MAP'!$B$5=2023,#REF!,IF('INHERENT MAP'!$B$5=2024,#REF!,#REF!))))</f>
        <v>0</v>
      </c>
      <c r="AH246">
        <f>IF('INHERENT MAP'!$B$5=2021,'РЕЕСТР РИСКОВ_2023'!AN286,IF('INHERENT MAP'!$B$5=2022,#REF!,IF('INHERENT MAP'!$B$5=2023,#REF!,IF('INHERENT MAP'!$B$5=2024,#REF!,#REF!))))</f>
        <v>0</v>
      </c>
      <c r="AI246">
        <f>IF('INHERENT MAP'!$B$5=2021,'РЕЕСТР РИСКОВ_2023'!AO286,IF('INHERENT MAP'!$B$5=2022,#REF!,IF('INHERENT MAP'!$B$5=2023,#REF!,IF('INHERENT MAP'!$B$5=2024,#REF!,#REF!))))</f>
        <v>0</v>
      </c>
      <c r="AJ246">
        <f>IF('INHERENT MAP'!$B$5=2021,'РЕЕСТР РИСКОВ_2023'!AP286,IF('INHERENT MAP'!$B$5=2022,#REF!,IF('INHERENT MAP'!$B$5=2023,#REF!,IF('INHERENT MAP'!$B$5=2024,#REF!,#REF!))))</f>
        <v>0</v>
      </c>
      <c r="AK246">
        <f>IF('РЕЕСТР РИСКОВ_2023'!AQ286="",AK245,'РЕЕСТР РИСКОВ_2023'!AQ286)</f>
        <v>-216</v>
      </c>
      <c r="AL246">
        <f>IF('РЕЕСТР РИСКОВ_2023'!AR286="",AL245,'РЕЕСТР РИСКОВ_2023'!AR286)</f>
        <v>0.12</v>
      </c>
      <c r="AM246" t="str">
        <f>IF('РЕЕСТР РИСКОВ_2023'!AS286="",AM245,'РЕЕСТР РИСКОВ_2023'!AS286)</f>
        <v>стоп</v>
      </c>
      <c r="AN246" t="str">
        <f>IF('РЕЕСТР РИСКОВ_2023'!AT286="",AN245,'РЕЕСТР РИСКОВ_2023'!AT286)</f>
        <v>стоп</v>
      </c>
      <c r="AO246" t="e">
        <f>IF('РЕЕСТР РИСКОВ_2023'!AU286="",AO245,'РЕЕСТР РИСКОВ_2023'!AU286)</f>
        <v>#REF!</v>
      </c>
    </row>
    <row r="247" spans="2:41">
      <c r="B247" t="str">
        <f>IF('INHERENT MAP'!$B$5=2021,IF('РЕЕСТР РИСКОВ_2023'!F287="",B246,'РЕЕСТР РИСКОВ_2023'!F287),IF('INHERENT MAP'!$B$5=2022,IF(#REF!="",B246,#REF!),IF('INHERENT MAP'!$B$5=2023,IF(#REF!="",B246,#REF!),IF('INHERENT MAP'!$B$5=2024,IF(#REF!="",B246,#REF!),IF('РЕЕСТР РИСКОВ_2023'!F287="",B246,'РЕЕСТР РИСКОВ_2023'!F287)))))</f>
        <v>ПРОЦЕНТНЫЙ РИСК</v>
      </c>
      <c r="C247" t="e">
        <f>IF('INHERENT MAP'!$B$5=2021,IF('РЕЕСТР РИСКОВ_2023'!G287="",C246,'РЕЕСТР РИСКОВ_2023'!G287),IF('INHERENT MAP'!$B$5=2022,IF(#REF!="",C246,#REF!),IF('INHERENT MAP'!$B$5=2023,IF(#REF!="",C246,#REF!),IF('INHERENT MAP'!$B$5=2024,IF(#REF!="",C246,#REF!),IF('РЕЕСТР РИСКОВ_2023'!G287="",C246,'РЕЕСТР РИСКОВ_2023'!G287)))))</f>
        <v>#REF!</v>
      </c>
      <c r="D247" t="str">
        <f>IF('INHERENT MAP'!$B$5=2021,IF('РЕЕСТР РИСКОВ_2023'!H287="",D246,'РЕЕСТР РИСКОВ_2023'!H287),IF('INHERENT MAP'!$B$5=2022,IF(#REF!="",D246,#REF!),IF('INHERENT MAP'!$B$5=2023,IF(#REF!="",D246,#REF!),IF('INHERENT MAP'!$B$5=2024,IF(#REF!="",D246,#REF!),IF('РЕЕСТР РИСКОВ_2023'!H287="",D246,'РЕЕСТР РИСКОВ_2023'!H287)))))</f>
        <v>IRR-1</v>
      </c>
      <c r="E247" t="str">
        <f>IF('INHERENT MAP'!$B$5=2021,IF('РЕЕСТР РИСКОВ_2023'!I287="",E246,'РЕЕСТР РИСКОВ_2023'!I287),IF('INHERENT MAP'!$B$5=2022,IF(#REF!="",E246,#REF!),IF('INHERENT MAP'!$B$5=2023,IF(#REF!="",E246,#REF!),IF('INHERENT MAP'!$B$5=2024,IF(#REF!="",E246,#REF!),IF('РЕЕСТР РИСКОВ_2023'!I287="",E246,'РЕЕСТР РИСКОВ_2023'!I287)))))</f>
        <v>ЦЗФ</v>
      </c>
      <c r="F247" t="str">
        <f>IF('INHERENT MAP'!$B$5=2021,IF('РЕЕСТР РИСКОВ_2023'!J287="",F246,'РЕЕСТР РИСКОВ_2023'!J287),IF('INHERENT MAP'!$B$5=2022,IF(#REF!="",F246,#REF!),IF('INHERENT MAP'!$B$5=2023,IF(#REF!="",F246,#REF!),IF('INHERENT MAP'!$B$5=2024,IF(#REF!="",F246,#REF!),IF('РЕЕСТР РИСКОВ_2023'!J287="",F246,'РЕЕСТР РИСКОВ_2023'!J287)))))</f>
        <v>Цзайм</v>
      </c>
      <c r="G247" t="str">
        <f>IF('INHERENT MAP'!$B$5=2021,IF('РЕЕСТР РИСКОВ_2023'!K287="",G246,'РЕЕСТР РИСКОВ_2023'!K287),IF('INHERENT MAP'!$B$5=2022,IF(#REF!="",G246,#REF!),IF('INHERENT MAP'!$B$5=2023,IF(#REF!="",G246,#REF!),IF('INHERENT MAP'!$B$5=2024,IF(#REF!="",G246,#REF!),IF('РЕЕСТР РИСКОВ_2023'!K287="",G246,'РЕЕСТР РИСКОВ_2023'!K287)))))</f>
        <v>Увеличение расходов по процентам на новые займы, а также текущие займы (с плавающей ставкой) в тенге.</v>
      </c>
      <c r="H247">
        <f>IF('INHERENT MAP'!$B$5=2021,'РЕЕСТР РИСКОВ_2023'!L287,IF('INHERENT MAP'!$B$5=2022,#REF!,IF('INHERENT MAP'!$B$5=2023,#REF!,IF('INHERENT MAP'!$B$5=2024,#REF!,#REF!))))</f>
        <v>0</v>
      </c>
      <c r="I247">
        <f>IF('INHERENT MAP'!$B$5=2021,'РЕЕСТР РИСКОВ_2023'!M287,IF('INHERENT MAP'!$B$5=2022,#REF!,IF('INHERENT MAP'!$B$5=2023,#REF!,IF('INHERENT MAP'!$B$5=2024,#REF!,#REF!))))</f>
        <v>0</v>
      </c>
      <c r="J247">
        <f>IF('INHERENT MAP'!$B$5=2021,'РЕЕСТР РИСКОВ_2023'!N287,IF('INHERENT MAP'!$B$5=2022,#REF!,IF('INHERENT MAP'!$B$5=2023,#REF!,IF('INHERENT MAP'!$B$5=2024,#REF!,#REF!))))</f>
        <v>0</v>
      </c>
      <c r="K247">
        <f>IF('INHERENT MAP'!$B$5=2021,'РЕЕСТР РИСКОВ_2023'!O287,IF('INHERENT MAP'!$B$5=2022,#REF!,IF('INHERENT MAP'!$B$5=2023,#REF!,IF('INHERENT MAP'!$B$5=2024,#REF!,#REF!))))</f>
        <v>0</v>
      </c>
      <c r="L247">
        <f>IF('INHERENT MAP'!$B$5=2021,'РЕЕСТР РИСКОВ_2023'!P287,IF('INHERENT MAP'!$B$5=2022,#REF!,IF('INHERENT MAP'!$B$5=2023,#REF!,IF('INHERENT MAP'!$B$5=2024,#REF!,#REF!))))</f>
        <v>0</v>
      </c>
      <c r="M247" t="str">
        <f>IF('INHERENT MAP'!$B$5=2021,IF('РЕЕСТР РИСКОВ_2023'!Q287="",M246,'РЕЕСТР РИСКОВ_2023'!Q287),IF('INHERENT MAP'!$B$5=2022,IF(#REF!="",M246,#REF!),IF('INHERENT MAP'!$B$5=2023,IF(#REF!="",M246,#REF!),IF('INHERENT MAP'!$B$5=2024,IF(#REF!="",M246,#REF!),IF('РЕЕСТР РИСКОВ_2023'!Q287="",M246,'РЕЕСТР РИСКОВ_2023'!Q287)))))</f>
        <v>Увеличение базовой ставки Национального банка Республики Казахстан до 16%</v>
      </c>
      <c r="N247" t="str">
        <f>IF('INHERENT MAP'!$B$5=2021,IF('РЕЕСТР РИСКОВ_2023'!R287="",N246,'РЕЕСТР РИСКОВ_2023'!R287),IF('INHERENT MAP'!$B$5=2022,IF(#REF!="",N246,#REF!),IF('INHERENT MAP'!$B$5=2023,IF(#REF!="",N246,#REF!),IF('INHERENT MAP'!$B$5=2024,IF(#REF!="",N246,#REF!),IF('РЕЕСТР РИСКОВ_2023'!R287="",N246,'РЕЕСТР РИСКОВ_2023'!R287)))))</f>
        <v>Рецессия экономики европейских стран</v>
      </c>
      <c r="O247">
        <f>'РЕЕСТР РИСКОВ_2023'!T287</f>
        <v>0</v>
      </c>
      <c r="P247" t="e">
        <f>IF('РЕЕСТР РИСКОВ_2023'!U287="",P246,'РЕЕСТР РИСКОВ_2023'!U287)</f>
        <v>#REF!</v>
      </c>
      <c r="Q247" t="str">
        <f>IF('РЕЕСТР РИСКОВ_2023'!V287="",Q246,'РЕЕСТР РИСКОВ_2023'!V287)</f>
        <v>Угрозы</v>
      </c>
      <c r="R247" t="e">
        <f>IF('РЕЕСТР РИСКОВ_2023'!W287="",R246,'РЕЕСТР РИСКОВ_2023'!W287)</f>
        <v>#REF!</v>
      </c>
      <c r="S247">
        <f>'РЕЕСТР РИСКОВ_2023'!X287</f>
        <v>0</v>
      </c>
      <c r="T247" s="94">
        <f>IF('INHERENT MAP'!$B$5=2021,'РЕЕСТР РИСКОВ_2023'!Y287,IF('INHERENT MAP'!$B$5=2022,#REF!,IF('INHERENT MAP'!$B$5=2023,#REF!,IF('INHERENT MAP'!$B$5=2024,#REF!,#REF!))))</f>
        <v>0</v>
      </c>
      <c r="U247">
        <f>IF('INHERENT MAP'!$B$5=2021,'РЕЕСТР РИСКОВ_2023'!Z287,IF('INHERENT MAP'!$B$5=2022,#REF!,IF('INHERENT MAP'!$B$5=2023,#REF!,IF('INHERENT MAP'!$B$5=2024,#REF!,#REF!))))</f>
        <v>0</v>
      </c>
      <c r="V247">
        <f>IF('INHERENT MAP'!$B$5=2021,'РЕЕСТР РИСКОВ_2023'!AA287,IF('INHERENT MAP'!$B$5=2022,#REF!,IF('INHERENT MAP'!$B$5=2023,#REF!,IF('INHERENT MAP'!$B$5=2024,#REF!,#REF!))))</f>
        <v>0</v>
      </c>
      <c r="W247">
        <f>IF('INHERENT MAP'!$B$5=2021,'РЕЕСТР РИСКОВ_2023'!AB287,IF('INHERENT MAP'!$B$5=2022,#REF!,IF('INHERENT MAP'!$B$5=2023,#REF!,IF('INHERENT MAP'!$B$5=2024,#REF!,#REF!))))</f>
        <v>0</v>
      </c>
      <c r="X247" s="94">
        <f>IF('INHERENT MAP'!$B$5=2021,'РЕЕСТР РИСКОВ_2023'!AC287,IF('INHERENT MAP'!$B$5=2022,#REF!,IF('INHERENT MAP'!$B$5=2023,#REF!,IF('INHERENT MAP'!$B$5=2024,#REF!,#REF!))))</f>
        <v>0</v>
      </c>
      <c r="Y247">
        <f>IF('INHERENT MAP'!$B$5=2021,'РЕЕСТР РИСКОВ_2023'!AD287,IF('INHERENT MAP'!$B$5=2022,#REF!,IF('INHERENT MAP'!$B$5=2023,#REF!,IF('INHERENT MAP'!$B$5=2024,#REF!,#REF!))))</f>
        <v>0</v>
      </c>
      <c r="Z247">
        <f>IF('INHERENT MAP'!$B$5=2021,'РЕЕСТР РИСКОВ_2023'!AE287,IF('INHERENT MAP'!$B$5=2022,#REF!,IF('INHERENT MAP'!$B$5=2023,#REF!,IF('INHERENT MAP'!$B$5=2024,#REF!,#REF!))))</f>
        <v>0</v>
      </c>
      <c r="AA247">
        <f>IF('INHERENT MAP'!$B$5=2021,'РЕЕСТР РИСКОВ_2023'!AF287,IF('INHERENT MAP'!$B$5=2022,#REF!,IF('INHERENT MAP'!$B$5=2023,#REF!,IF('INHERENT MAP'!$B$5=2024,#REF!,#REF!))))</f>
        <v>0</v>
      </c>
      <c r="AB247">
        <f>IF('INHERENT MAP'!$B$5=2021,'РЕЕСТР РИСКОВ_2023'!AG287,IF('INHERENT MAP'!$B$5=2022,#REF!,IF('INHERENT MAP'!$B$5=2023,#REF!,IF('INHERENT MAP'!$B$5=2024,#REF!,#REF!))))</f>
        <v>0</v>
      </c>
      <c r="AC247">
        <f>IF('INHERENT MAP'!$B$5=2021,'РЕЕСТР РИСКОВ_2023'!AH287,IF('INHERENT MAP'!$B$5=2022,#REF!,IF('INHERENT MAP'!$B$5=2023,#REF!,IF('INHERENT MAP'!$B$5=2024,#REF!,#REF!))))</f>
        <v>0</v>
      </c>
      <c r="AD247">
        <f>IF('INHERENT MAP'!$B$5=2021,'РЕЕСТР РИСКОВ_2023'!AI287,IF('INHERENT MAP'!$B$5=2022,#REF!,IF('INHERENT MAP'!$B$5=2023,#REF!,IF('INHERENT MAP'!$B$5=2024,#REF!,#REF!))))</f>
        <v>0</v>
      </c>
      <c r="AE247">
        <f>IF('INHERENT MAP'!$B$5=2021,'РЕЕСТР РИСКОВ_2023'!AK287,IF('INHERENT MAP'!$B$5=2022,#REF!,IF('INHERENT MAP'!$B$5=2023,#REF!,IF('INHERENT MAP'!$B$5=2024,#REF!,#REF!))))</f>
        <v>0</v>
      </c>
      <c r="AF247">
        <f>IF('INHERENT MAP'!$B$5=2021,'РЕЕСТР РИСКОВ_2023'!AL287,IF('INHERENT MAP'!$B$5=2022,#REF!,IF('INHERENT MAP'!$B$5=2023,#REF!,IF('INHERENT MAP'!$B$5=2024,#REF!,#REF!))))</f>
        <v>0</v>
      </c>
      <c r="AG247">
        <f>IF('INHERENT MAP'!$B$5=2021,'РЕЕСТР РИСКОВ_2023'!AM287,IF('INHERENT MAP'!$B$5=2022,#REF!,IF('INHERENT MAP'!$B$5=2023,#REF!,IF('INHERENT MAP'!$B$5=2024,#REF!,#REF!))))</f>
        <v>0</v>
      </c>
      <c r="AH247">
        <f>IF('INHERENT MAP'!$B$5=2021,'РЕЕСТР РИСКОВ_2023'!AN287,IF('INHERENT MAP'!$B$5=2022,#REF!,IF('INHERENT MAP'!$B$5=2023,#REF!,IF('INHERENT MAP'!$B$5=2024,#REF!,#REF!))))</f>
        <v>0</v>
      </c>
      <c r="AI247">
        <f>IF('INHERENT MAP'!$B$5=2021,'РЕЕСТР РИСКОВ_2023'!AO287,IF('INHERENT MAP'!$B$5=2022,#REF!,IF('INHERENT MAP'!$B$5=2023,#REF!,IF('INHERENT MAP'!$B$5=2024,#REF!,#REF!))))</f>
        <v>0</v>
      </c>
      <c r="AJ247">
        <f>IF('INHERENT MAP'!$B$5=2021,'РЕЕСТР РИСКОВ_2023'!AP287,IF('INHERENT MAP'!$B$5=2022,#REF!,IF('INHERENT MAP'!$B$5=2023,#REF!,IF('INHERENT MAP'!$B$5=2024,#REF!,#REF!))))</f>
        <v>0</v>
      </c>
      <c r="AK247">
        <f>IF('РЕЕСТР РИСКОВ_2023'!AQ287="",AK246,'РЕЕСТР РИСКОВ_2023'!AQ287)</f>
        <v>-216</v>
      </c>
      <c r="AL247">
        <f>IF('РЕЕСТР РИСКОВ_2023'!AR287="",AL246,'РЕЕСТР РИСКОВ_2023'!AR287)</f>
        <v>0.12</v>
      </c>
      <c r="AM247" t="str">
        <f>IF('РЕЕСТР РИСКОВ_2023'!AS287="",AM246,'РЕЕСТР РИСКОВ_2023'!AS287)</f>
        <v>стоп</v>
      </c>
      <c r="AN247" t="str">
        <f>IF('РЕЕСТР РИСКОВ_2023'!AT287="",AN246,'РЕЕСТР РИСКОВ_2023'!AT287)</f>
        <v>стоп</v>
      </c>
      <c r="AO247" t="e">
        <f>IF('РЕЕСТР РИСКОВ_2023'!AU287="",AO246,'РЕЕСТР РИСКОВ_2023'!AU287)</f>
        <v>#REF!</v>
      </c>
    </row>
    <row r="248" spans="2:41">
      <c r="B248" t="str">
        <f>IF('INHERENT MAP'!$B$5=2021,IF('РЕЕСТР РИСКОВ_2023'!F288="",B247,'РЕЕСТР РИСКОВ_2023'!F288),IF('INHERENT MAP'!$B$5=2022,IF(#REF!="",B247,#REF!),IF('INHERENT MAP'!$B$5=2023,IF(#REF!="",B247,#REF!),IF('INHERENT MAP'!$B$5=2024,IF(#REF!="",B247,#REF!),IF('РЕЕСТР РИСКОВ_2023'!F288="",B247,'РЕЕСТР РИСКОВ_2023'!F288)))))</f>
        <v>ПРОЦЕНТНЫЙ РИСК</v>
      </c>
      <c r="C248" t="e">
        <f>IF('INHERENT MAP'!$B$5=2021,IF('РЕЕСТР РИСКОВ_2023'!G288="",C247,'РЕЕСТР РИСКОВ_2023'!G288),IF('INHERENT MAP'!$B$5=2022,IF(#REF!="",C247,#REF!),IF('INHERENT MAP'!$B$5=2023,IF(#REF!="",C247,#REF!),IF('INHERENT MAP'!$B$5=2024,IF(#REF!="",C247,#REF!),IF('РЕЕСТР РИСКОВ_2023'!G288="",C247,'РЕЕСТР РИСКОВ_2023'!G288)))))</f>
        <v>#REF!</v>
      </c>
      <c r="D248" t="str">
        <f>IF('INHERENT MAP'!$B$5=2021,IF('РЕЕСТР РИСКОВ_2023'!H288="",D247,'РЕЕСТР РИСКОВ_2023'!H288),IF('INHERENT MAP'!$B$5=2022,IF(#REF!="",D247,#REF!),IF('INHERENT MAP'!$B$5=2023,IF(#REF!="",D247,#REF!),IF('INHERENT MAP'!$B$5=2024,IF(#REF!="",D247,#REF!),IF('РЕЕСТР РИСКОВ_2023'!H288="",D247,'РЕЕСТР РИСКОВ_2023'!H288)))))</f>
        <v>IRR-1</v>
      </c>
      <c r="E248" t="str">
        <f>IF('INHERENT MAP'!$B$5=2021,IF('РЕЕСТР РИСКОВ_2023'!I288="",E247,'РЕЕСТР РИСКОВ_2023'!I288),IF('INHERENT MAP'!$B$5=2022,IF(#REF!="",E247,#REF!),IF('INHERENT MAP'!$B$5=2023,IF(#REF!="",E247,#REF!),IF('INHERENT MAP'!$B$5=2024,IF(#REF!="",E247,#REF!),IF('РЕЕСТР РИСКОВ_2023'!I288="",E247,'РЕЕСТР РИСКОВ_2023'!I288)))))</f>
        <v>ЦЗФ</v>
      </c>
      <c r="F248" t="str">
        <f>IF('INHERENT MAP'!$B$5=2021,IF('РЕЕСТР РИСКОВ_2023'!J288="",F247,'РЕЕСТР РИСКОВ_2023'!J288),IF('INHERENT MAP'!$B$5=2022,IF(#REF!="",F247,#REF!),IF('INHERENT MAP'!$B$5=2023,IF(#REF!="",F247,#REF!),IF('INHERENT MAP'!$B$5=2024,IF(#REF!="",F247,#REF!),IF('РЕЕСТР РИСКОВ_2023'!J288="",F247,'РЕЕСТР РИСКОВ_2023'!J288)))))</f>
        <v>Цзайм</v>
      </c>
      <c r="G248" t="str">
        <f>IF('INHERENT MAP'!$B$5=2021,IF('РЕЕСТР РИСКОВ_2023'!K288="",G247,'РЕЕСТР РИСКОВ_2023'!K288),IF('INHERENT MAP'!$B$5=2022,IF(#REF!="",G247,#REF!),IF('INHERENT MAP'!$B$5=2023,IF(#REF!="",G247,#REF!),IF('INHERENT MAP'!$B$5=2024,IF(#REF!="",G247,#REF!),IF('РЕЕСТР РИСКОВ_2023'!K288="",G247,'РЕЕСТР РИСКОВ_2023'!K288)))))</f>
        <v>Увеличение расходов по процентам на новые займы, а также текущие займы (с плавающей ставкой) в тенге.</v>
      </c>
      <c r="H248">
        <f>IF('INHERENT MAP'!$B$5=2021,'РЕЕСТР РИСКОВ_2023'!L288,IF('INHERENT MAP'!$B$5=2022,#REF!,IF('INHERENT MAP'!$B$5=2023,#REF!,IF('INHERENT MAP'!$B$5=2024,#REF!,#REF!))))</f>
        <v>0</v>
      </c>
      <c r="I248">
        <f>IF('INHERENT MAP'!$B$5=2021,'РЕЕСТР РИСКОВ_2023'!M288,IF('INHERENT MAP'!$B$5=2022,#REF!,IF('INHERENT MAP'!$B$5=2023,#REF!,IF('INHERENT MAP'!$B$5=2024,#REF!,#REF!))))</f>
        <v>0</v>
      </c>
      <c r="J248">
        <f>IF('INHERENT MAP'!$B$5=2021,'РЕЕСТР РИСКОВ_2023'!N288,IF('INHERENT MAP'!$B$5=2022,#REF!,IF('INHERENT MAP'!$B$5=2023,#REF!,IF('INHERENT MAP'!$B$5=2024,#REF!,#REF!))))</f>
        <v>0</v>
      </c>
      <c r="K248">
        <f>IF('INHERENT MAP'!$B$5=2021,'РЕЕСТР РИСКОВ_2023'!O288,IF('INHERENT MAP'!$B$5=2022,#REF!,IF('INHERENT MAP'!$B$5=2023,#REF!,IF('INHERENT MAP'!$B$5=2024,#REF!,#REF!))))</f>
        <v>0</v>
      </c>
      <c r="L248">
        <f>IF('INHERENT MAP'!$B$5=2021,'РЕЕСТР РИСКОВ_2023'!P288,IF('INHERENT MAP'!$B$5=2022,#REF!,IF('INHERENT MAP'!$B$5=2023,#REF!,IF('INHERENT MAP'!$B$5=2024,#REF!,#REF!))))</f>
        <v>0</v>
      </c>
      <c r="M248" t="str">
        <f>IF('INHERENT MAP'!$B$5=2021,IF('РЕЕСТР РИСКОВ_2023'!Q288="",M247,'РЕЕСТР РИСКОВ_2023'!Q288),IF('INHERENT MAP'!$B$5=2022,IF(#REF!="",M247,#REF!),IF('INHERENT MAP'!$B$5=2023,IF(#REF!="",M247,#REF!),IF('INHERENT MAP'!$B$5=2024,IF(#REF!="",M247,#REF!),IF('РЕЕСТР РИСКОВ_2023'!Q288="",M247,'РЕЕСТР РИСКОВ_2023'!Q288)))))</f>
        <v>Увеличение базовой ставки Национального банка Республики Казахстан до 16%</v>
      </c>
      <c r="N248" t="str">
        <f>IF('INHERENT MAP'!$B$5=2021,IF('РЕЕСТР РИСКОВ_2023'!R288="",N247,'РЕЕСТР РИСКОВ_2023'!R288),IF('INHERENT MAP'!$B$5=2022,IF(#REF!="",N247,#REF!),IF('INHERENT MAP'!$B$5=2023,IF(#REF!="",N247,#REF!),IF('INHERENT MAP'!$B$5=2024,IF(#REF!="",N247,#REF!),IF('РЕЕСТР РИСКОВ_2023'!R288="",N247,'РЕЕСТР РИСКОВ_2023'!R288)))))</f>
        <v>Рецессия экономики европейских стран</v>
      </c>
      <c r="O248">
        <f>'РЕЕСТР РИСКОВ_2023'!T288</f>
        <v>0</v>
      </c>
      <c r="P248" t="e">
        <f>IF('РЕЕСТР РИСКОВ_2023'!U288="",P247,'РЕЕСТР РИСКОВ_2023'!U288)</f>
        <v>#REF!</v>
      </c>
      <c r="Q248" t="str">
        <f>IF('РЕЕСТР РИСКОВ_2023'!V288="",Q247,'РЕЕСТР РИСКОВ_2023'!V288)</f>
        <v>Угрозы</v>
      </c>
      <c r="R248" t="e">
        <f>IF('РЕЕСТР РИСКОВ_2023'!W288="",R247,'РЕЕСТР РИСКОВ_2023'!W288)</f>
        <v>#REF!</v>
      </c>
      <c r="S248">
        <f>'РЕЕСТР РИСКОВ_2023'!X288</f>
        <v>0</v>
      </c>
      <c r="T248" s="94">
        <f>IF('INHERENT MAP'!$B$5=2021,'РЕЕСТР РИСКОВ_2023'!Y288,IF('INHERENT MAP'!$B$5=2022,#REF!,IF('INHERENT MAP'!$B$5=2023,#REF!,IF('INHERENT MAP'!$B$5=2024,#REF!,#REF!))))</f>
        <v>0</v>
      </c>
      <c r="U248">
        <f>IF('INHERENT MAP'!$B$5=2021,'РЕЕСТР РИСКОВ_2023'!Z288,IF('INHERENT MAP'!$B$5=2022,#REF!,IF('INHERENT MAP'!$B$5=2023,#REF!,IF('INHERENT MAP'!$B$5=2024,#REF!,#REF!))))</f>
        <v>0</v>
      </c>
      <c r="V248">
        <f>IF('INHERENT MAP'!$B$5=2021,'РЕЕСТР РИСКОВ_2023'!AA288,IF('INHERENT MAP'!$B$5=2022,#REF!,IF('INHERENT MAP'!$B$5=2023,#REF!,IF('INHERENT MAP'!$B$5=2024,#REF!,#REF!))))</f>
        <v>0</v>
      </c>
      <c r="W248">
        <f>IF('INHERENT MAP'!$B$5=2021,'РЕЕСТР РИСКОВ_2023'!AB288,IF('INHERENT MAP'!$B$5=2022,#REF!,IF('INHERENT MAP'!$B$5=2023,#REF!,IF('INHERENT MAP'!$B$5=2024,#REF!,#REF!))))</f>
        <v>0</v>
      </c>
      <c r="X248" s="94">
        <f>IF('INHERENT MAP'!$B$5=2021,'РЕЕСТР РИСКОВ_2023'!AC288,IF('INHERENT MAP'!$B$5=2022,#REF!,IF('INHERENT MAP'!$B$5=2023,#REF!,IF('INHERENT MAP'!$B$5=2024,#REF!,#REF!))))</f>
        <v>0</v>
      </c>
      <c r="Y248">
        <f>IF('INHERENT MAP'!$B$5=2021,'РЕЕСТР РИСКОВ_2023'!AD288,IF('INHERENT MAP'!$B$5=2022,#REF!,IF('INHERENT MAP'!$B$5=2023,#REF!,IF('INHERENT MAP'!$B$5=2024,#REF!,#REF!))))</f>
        <v>0</v>
      </c>
      <c r="Z248">
        <f>IF('INHERENT MAP'!$B$5=2021,'РЕЕСТР РИСКОВ_2023'!AE288,IF('INHERENT MAP'!$B$5=2022,#REF!,IF('INHERENT MAP'!$B$5=2023,#REF!,IF('INHERENT MAP'!$B$5=2024,#REF!,#REF!))))</f>
        <v>0</v>
      </c>
      <c r="AA248">
        <f>IF('INHERENT MAP'!$B$5=2021,'РЕЕСТР РИСКОВ_2023'!AF288,IF('INHERENT MAP'!$B$5=2022,#REF!,IF('INHERENT MAP'!$B$5=2023,#REF!,IF('INHERENT MAP'!$B$5=2024,#REF!,#REF!))))</f>
        <v>0</v>
      </c>
      <c r="AB248">
        <f>IF('INHERENT MAP'!$B$5=2021,'РЕЕСТР РИСКОВ_2023'!AG288,IF('INHERENT MAP'!$B$5=2022,#REF!,IF('INHERENT MAP'!$B$5=2023,#REF!,IF('INHERENT MAP'!$B$5=2024,#REF!,#REF!))))</f>
        <v>0</v>
      </c>
      <c r="AC248">
        <f>IF('INHERENT MAP'!$B$5=2021,'РЕЕСТР РИСКОВ_2023'!AH288,IF('INHERENT MAP'!$B$5=2022,#REF!,IF('INHERENT MAP'!$B$5=2023,#REF!,IF('INHERENT MAP'!$B$5=2024,#REF!,#REF!))))</f>
        <v>0</v>
      </c>
      <c r="AD248">
        <f>IF('INHERENT MAP'!$B$5=2021,'РЕЕСТР РИСКОВ_2023'!AI288,IF('INHERENT MAP'!$B$5=2022,#REF!,IF('INHERENT MAP'!$B$5=2023,#REF!,IF('INHERENT MAP'!$B$5=2024,#REF!,#REF!))))</f>
        <v>0</v>
      </c>
      <c r="AE248">
        <f>IF('INHERENT MAP'!$B$5=2021,'РЕЕСТР РИСКОВ_2023'!AK288,IF('INHERENT MAP'!$B$5=2022,#REF!,IF('INHERENT MAP'!$B$5=2023,#REF!,IF('INHERENT MAP'!$B$5=2024,#REF!,#REF!))))</f>
        <v>0</v>
      </c>
      <c r="AF248">
        <f>IF('INHERENT MAP'!$B$5=2021,'РЕЕСТР РИСКОВ_2023'!AL288,IF('INHERENT MAP'!$B$5=2022,#REF!,IF('INHERENT MAP'!$B$5=2023,#REF!,IF('INHERENT MAP'!$B$5=2024,#REF!,#REF!))))</f>
        <v>0</v>
      </c>
      <c r="AG248">
        <f>IF('INHERENT MAP'!$B$5=2021,'РЕЕСТР РИСКОВ_2023'!AM288,IF('INHERENT MAP'!$B$5=2022,#REF!,IF('INHERENT MAP'!$B$5=2023,#REF!,IF('INHERENT MAP'!$B$5=2024,#REF!,#REF!))))</f>
        <v>0</v>
      </c>
      <c r="AH248">
        <f>IF('INHERENT MAP'!$B$5=2021,'РЕЕСТР РИСКОВ_2023'!AN288,IF('INHERENT MAP'!$B$5=2022,#REF!,IF('INHERENT MAP'!$B$5=2023,#REF!,IF('INHERENT MAP'!$B$5=2024,#REF!,#REF!))))</f>
        <v>0</v>
      </c>
      <c r="AI248">
        <f>IF('INHERENT MAP'!$B$5=2021,'РЕЕСТР РИСКОВ_2023'!AO288,IF('INHERENT MAP'!$B$5=2022,#REF!,IF('INHERENT MAP'!$B$5=2023,#REF!,IF('INHERENT MAP'!$B$5=2024,#REF!,#REF!))))</f>
        <v>0</v>
      </c>
      <c r="AJ248">
        <f>IF('INHERENT MAP'!$B$5=2021,'РЕЕСТР РИСКОВ_2023'!AP288,IF('INHERENT MAP'!$B$5=2022,#REF!,IF('INHERENT MAP'!$B$5=2023,#REF!,IF('INHERENT MAP'!$B$5=2024,#REF!,#REF!))))</f>
        <v>0</v>
      </c>
      <c r="AK248">
        <f>IF('РЕЕСТР РИСКОВ_2023'!AQ288="",AK247,'РЕЕСТР РИСКОВ_2023'!AQ288)</f>
        <v>-216</v>
      </c>
      <c r="AL248">
        <f>IF('РЕЕСТР РИСКОВ_2023'!AR288="",AL247,'РЕЕСТР РИСКОВ_2023'!AR288)</f>
        <v>0.12</v>
      </c>
      <c r="AM248" t="str">
        <f>IF('РЕЕСТР РИСКОВ_2023'!AS288="",AM247,'РЕЕСТР РИСКОВ_2023'!AS288)</f>
        <v>стоп</v>
      </c>
      <c r="AN248" t="str">
        <f>IF('РЕЕСТР РИСКОВ_2023'!AT288="",AN247,'РЕЕСТР РИСКОВ_2023'!AT288)</f>
        <v>стоп</v>
      </c>
      <c r="AO248" t="e">
        <f>IF('РЕЕСТР РИСКОВ_2023'!AU288="",AO247,'РЕЕСТР РИСКОВ_2023'!AU288)</f>
        <v>#REF!</v>
      </c>
    </row>
    <row r="249" spans="2:41">
      <c r="B249" t="str">
        <f>IF('INHERENT MAP'!$B$5=2021,IF('РЕЕСТР РИСКОВ_2023'!F289="",B248,'РЕЕСТР РИСКОВ_2023'!F289),IF('INHERENT MAP'!$B$5=2022,IF(#REF!="",B248,#REF!),IF('INHERENT MAP'!$B$5=2023,IF(#REF!="",B248,#REF!),IF('INHERENT MAP'!$B$5=2024,IF(#REF!="",B248,#REF!),IF('РЕЕСТР РИСКОВ_2023'!F289="",B248,'РЕЕСТР РИСКОВ_2023'!F289)))))</f>
        <v>ПРОЦЕНТНЫЙ РИСК</v>
      </c>
      <c r="C249" t="e">
        <f>IF('INHERENT MAP'!$B$5=2021,IF('РЕЕСТР РИСКОВ_2023'!G289="",C248,'РЕЕСТР РИСКОВ_2023'!G289),IF('INHERENT MAP'!$B$5=2022,IF(#REF!="",C248,#REF!),IF('INHERENT MAP'!$B$5=2023,IF(#REF!="",C248,#REF!),IF('INHERENT MAP'!$B$5=2024,IF(#REF!="",C248,#REF!),IF('РЕЕСТР РИСКОВ_2023'!G289="",C248,'РЕЕСТР РИСКОВ_2023'!G289)))))</f>
        <v>#REF!</v>
      </c>
      <c r="D249" t="str">
        <f>IF('INHERENT MAP'!$B$5=2021,IF('РЕЕСТР РИСКОВ_2023'!H289="",D248,'РЕЕСТР РИСКОВ_2023'!H289),IF('INHERENT MAP'!$B$5=2022,IF(#REF!="",D248,#REF!),IF('INHERENT MAP'!$B$5=2023,IF(#REF!="",D248,#REF!),IF('INHERENT MAP'!$B$5=2024,IF(#REF!="",D248,#REF!),IF('РЕЕСТР РИСКОВ_2023'!H289="",D248,'РЕЕСТР РИСКОВ_2023'!H289)))))</f>
        <v>IRR-1</v>
      </c>
      <c r="E249" t="str">
        <f>IF('INHERENT MAP'!$B$5=2021,IF('РЕЕСТР РИСКОВ_2023'!I289="",E248,'РЕЕСТР РИСКОВ_2023'!I289),IF('INHERENT MAP'!$B$5=2022,IF(#REF!="",E248,#REF!),IF('INHERENT MAP'!$B$5=2023,IF(#REF!="",E248,#REF!),IF('INHERENT MAP'!$B$5=2024,IF(#REF!="",E248,#REF!),IF('РЕЕСТР РИСКОВ_2023'!I289="",E248,'РЕЕСТР РИСКОВ_2023'!I289)))))</f>
        <v>ЦЗФ</v>
      </c>
      <c r="F249" t="str">
        <f>IF('INHERENT MAP'!$B$5=2021,IF('РЕЕСТР РИСКОВ_2023'!J289="",F248,'РЕЕСТР РИСКОВ_2023'!J289),IF('INHERENT MAP'!$B$5=2022,IF(#REF!="",F248,#REF!),IF('INHERENT MAP'!$B$5=2023,IF(#REF!="",F248,#REF!),IF('INHERENT MAP'!$B$5=2024,IF(#REF!="",F248,#REF!),IF('РЕЕСТР РИСКОВ_2023'!J289="",F248,'РЕЕСТР РИСКОВ_2023'!J289)))))</f>
        <v>Цзайм</v>
      </c>
      <c r="G249" t="str">
        <f>IF('INHERENT MAP'!$B$5=2021,IF('РЕЕСТР РИСКОВ_2023'!K289="",G248,'РЕЕСТР РИСКОВ_2023'!K289),IF('INHERENT MAP'!$B$5=2022,IF(#REF!="",G248,#REF!),IF('INHERENT MAP'!$B$5=2023,IF(#REF!="",G248,#REF!),IF('INHERENT MAP'!$B$5=2024,IF(#REF!="",G248,#REF!),IF('РЕЕСТР РИСКОВ_2023'!K289="",G248,'РЕЕСТР РИСКОВ_2023'!K289)))))</f>
        <v>Увеличение расходов по процентам на новые займы, а также текущие займы (с плавающей ставкой) в тенге.</v>
      </c>
      <c r="H249">
        <f>IF('INHERENT MAP'!$B$5=2021,'РЕЕСТР РИСКОВ_2023'!L289,IF('INHERENT MAP'!$B$5=2022,#REF!,IF('INHERENT MAP'!$B$5=2023,#REF!,IF('INHERENT MAP'!$B$5=2024,#REF!,#REF!))))</f>
        <v>0</v>
      </c>
      <c r="I249">
        <f>IF('INHERENT MAP'!$B$5=2021,'РЕЕСТР РИСКОВ_2023'!M289,IF('INHERENT MAP'!$B$5=2022,#REF!,IF('INHERENT MAP'!$B$5=2023,#REF!,IF('INHERENT MAP'!$B$5=2024,#REF!,#REF!))))</f>
        <v>0</v>
      </c>
      <c r="J249">
        <f>IF('INHERENT MAP'!$B$5=2021,'РЕЕСТР РИСКОВ_2023'!N289,IF('INHERENT MAP'!$B$5=2022,#REF!,IF('INHERENT MAP'!$B$5=2023,#REF!,IF('INHERENT MAP'!$B$5=2024,#REF!,#REF!))))</f>
        <v>0</v>
      </c>
      <c r="K249">
        <f>IF('INHERENT MAP'!$B$5=2021,'РЕЕСТР РИСКОВ_2023'!O289,IF('INHERENT MAP'!$B$5=2022,#REF!,IF('INHERENT MAP'!$B$5=2023,#REF!,IF('INHERENT MAP'!$B$5=2024,#REF!,#REF!))))</f>
        <v>0</v>
      </c>
      <c r="L249">
        <f>IF('INHERENT MAP'!$B$5=2021,'РЕЕСТР РИСКОВ_2023'!P289,IF('INHERENT MAP'!$B$5=2022,#REF!,IF('INHERENT MAP'!$B$5=2023,#REF!,IF('INHERENT MAP'!$B$5=2024,#REF!,#REF!))))</f>
        <v>0</v>
      </c>
      <c r="M249" t="str">
        <f>IF('INHERENT MAP'!$B$5=2021,IF('РЕЕСТР РИСКОВ_2023'!Q289="",M248,'РЕЕСТР РИСКОВ_2023'!Q289),IF('INHERENT MAP'!$B$5=2022,IF(#REF!="",M248,#REF!),IF('INHERENT MAP'!$B$5=2023,IF(#REF!="",M248,#REF!),IF('INHERENT MAP'!$B$5=2024,IF(#REF!="",M248,#REF!),IF('РЕЕСТР РИСКОВ_2023'!Q289="",M248,'РЕЕСТР РИСКОВ_2023'!Q289)))))</f>
        <v>Увеличение базовой ставки Национального банка Республики Казахстан до 16%</v>
      </c>
      <c r="N249" t="str">
        <f>IF('INHERENT MAP'!$B$5=2021,IF('РЕЕСТР РИСКОВ_2023'!R289="",N248,'РЕЕСТР РИСКОВ_2023'!R289),IF('INHERENT MAP'!$B$5=2022,IF(#REF!="",N248,#REF!),IF('INHERENT MAP'!$B$5=2023,IF(#REF!="",N248,#REF!),IF('INHERENT MAP'!$B$5=2024,IF(#REF!="",N248,#REF!),IF('РЕЕСТР РИСКОВ_2023'!R289="",N248,'РЕЕСТР РИСКОВ_2023'!R289)))))</f>
        <v>Рецессия экономики европейских стран</v>
      </c>
      <c r="O249">
        <f>'РЕЕСТР РИСКОВ_2023'!T289</f>
        <v>0</v>
      </c>
      <c r="P249" t="e">
        <f>IF('РЕЕСТР РИСКОВ_2023'!U289="",P248,'РЕЕСТР РИСКОВ_2023'!U289)</f>
        <v>#REF!</v>
      </c>
      <c r="Q249" t="str">
        <f>IF('РЕЕСТР РИСКОВ_2023'!V289="",Q248,'РЕЕСТР РИСКОВ_2023'!V289)</f>
        <v>Угрозы</v>
      </c>
      <c r="R249" t="e">
        <f>IF('РЕЕСТР РИСКОВ_2023'!W289="",R248,'РЕЕСТР РИСКОВ_2023'!W289)</f>
        <v>#REF!</v>
      </c>
      <c r="S249">
        <f>'РЕЕСТР РИСКОВ_2023'!X289</f>
        <v>0</v>
      </c>
      <c r="T249" s="94">
        <f>IF('INHERENT MAP'!$B$5=2021,'РЕЕСТР РИСКОВ_2023'!Y289,IF('INHERENT MAP'!$B$5=2022,#REF!,IF('INHERENT MAP'!$B$5=2023,#REF!,IF('INHERENT MAP'!$B$5=2024,#REF!,#REF!))))</f>
        <v>0</v>
      </c>
      <c r="U249">
        <f>IF('INHERENT MAP'!$B$5=2021,'РЕЕСТР РИСКОВ_2023'!Z289,IF('INHERENT MAP'!$B$5=2022,#REF!,IF('INHERENT MAP'!$B$5=2023,#REF!,IF('INHERENT MAP'!$B$5=2024,#REF!,#REF!))))</f>
        <v>0</v>
      </c>
      <c r="V249">
        <f>IF('INHERENT MAP'!$B$5=2021,'РЕЕСТР РИСКОВ_2023'!AA289,IF('INHERENT MAP'!$B$5=2022,#REF!,IF('INHERENT MAP'!$B$5=2023,#REF!,IF('INHERENT MAP'!$B$5=2024,#REF!,#REF!))))</f>
        <v>0</v>
      </c>
      <c r="W249">
        <f>IF('INHERENT MAP'!$B$5=2021,'РЕЕСТР РИСКОВ_2023'!AB289,IF('INHERENT MAP'!$B$5=2022,#REF!,IF('INHERENT MAP'!$B$5=2023,#REF!,IF('INHERENT MAP'!$B$5=2024,#REF!,#REF!))))</f>
        <v>0</v>
      </c>
      <c r="X249" s="94">
        <f>IF('INHERENT MAP'!$B$5=2021,'РЕЕСТР РИСКОВ_2023'!AC289,IF('INHERENT MAP'!$B$5=2022,#REF!,IF('INHERENT MAP'!$B$5=2023,#REF!,IF('INHERENT MAP'!$B$5=2024,#REF!,#REF!))))</f>
        <v>0</v>
      </c>
      <c r="Y249">
        <f>IF('INHERENT MAP'!$B$5=2021,'РЕЕСТР РИСКОВ_2023'!AD289,IF('INHERENT MAP'!$B$5=2022,#REF!,IF('INHERENT MAP'!$B$5=2023,#REF!,IF('INHERENT MAP'!$B$5=2024,#REF!,#REF!))))</f>
        <v>0</v>
      </c>
      <c r="Z249">
        <f>IF('INHERENT MAP'!$B$5=2021,'РЕЕСТР РИСКОВ_2023'!AE289,IF('INHERENT MAP'!$B$5=2022,#REF!,IF('INHERENT MAP'!$B$5=2023,#REF!,IF('INHERENT MAP'!$B$5=2024,#REF!,#REF!))))</f>
        <v>0</v>
      </c>
      <c r="AA249">
        <f>IF('INHERENT MAP'!$B$5=2021,'РЕЕСТР РИСКОВ_2023'!AF289,IF('INHERENT MAP'!$B$5=2022,#REF!,IF('INHERENT MAP'!$B$5=2023,#REF!,IF('INHERENT MAP'!$B$5=2024,#REF!,#REF!))))</f>
        <v>0</v>
      </c>
      <c r="AB249">
        <f>IF('INHERENT MAP'!$B$5=2021,'РЕЕСТР РИСКОВ_2023'!AG289,IF('INHERENT MAP'!$B$5=2022,#REF!,IF('INHERENT MAP'!$B$5=2023,#REF!,IF('INHERENT MAP'!$B$5=2024,#REF!,#REF!))))</f>
        <v>0</v>
      </c>
      <c r="AC249">
        <f>IF('INHERENT MAP'!$B$5=2021,'РЕЕСТР РИСКОВ_2023'!AH289,IF('INHERENT MAP'!$B$5=2022,#REF!,IF('INHERENT MAP'!$B$5=2023,#REF!,IF('INHERENT MAP'!$B$5=2024,#REF!,#REF!))))</f>
        <v>0</v>
      </c>
      <c r="AD249">
        <f>IF('INHERENT MAP'!$B$5=2021,'РЕЕСТР РИСКОВ_2023'!AI289,IF('INHERENT MAP'!$B$5=2022,#REF!,IF('INHERENT MAP'!$B$5=2023,#REF!,IF('INHERENT MAP'!$B$5=2024,#REF!,#REF!))))</f>
        <v>0</v>
      </c>
      <c r="AE249">
        <f>IF('INHERENT MAP'!$B$5=2021,'РЕЕСТР РИСКОВ_2023'!AK289,IF('INHERENT MAP'!$B$5=2022,#REF!,IF('INHERENT MAP'!$B$5=2023,#REF!,IF('INHERENT MAP'!$B$5=2024,#REF!,#REF!))))</f>
        <v>0</v>
      </c>
      <c r="AF249">
        <f>IF('INHERENT MAP'!$B$5=2021,'РЕЕСТР РИСКОВ_2023'!AL289,IF('INHERENT MAP'!$B$5=2022,#REF!,IF('INHERENT MAP'!$B$5=2023,#REF!,IF('INHERENT MAP'!$B$5=2024,#REF!,#REF!))))</f>
        <v>0</v>
      </c>
      <c r="AG249">
        <f>IF('INHERENT MAP'!$B$5=2021,'РЕЕСТР РИСКОВ_2023'!AM289,IF('INHERENT MAP'!$B$5=2022,#REF!,IF('INHERENT MAP'!$B$5=2023,#REF!,IF('INHERENT MAP'!$B$5=2024,#REF!,#REF!))))</f>
        <v>0</v>
      </c>
      <c r="AH249">
        <f>IF('INHERENT MAP'!$B$5=2021,'РЕЕСТР РИСКОВ_2023'!AN289,IF('INHERENT MAP'!$B$5=2022,#REF!,IF('INHERENT MAP'!$B$5=2023,#REF!,IF('INHERENT MAP'!$B$5=2024,#REF!,#REF!))))</f>
        <v>0</v>
      </c>
      <c r="AI249">
        <f>IF('INHERENT MAP'!$B$5=2021,'РЕЕСТР РИСКОВ_2023'!AO289,IF('INHERENT MAP'!$B$5=2022,#REF!,IF('INHERENT MAP'!$B$5=2023,#REF!,IF('INHERENT MAP'!$B$5=2024,#REF!,#REF!))))</f>
        <v>0</v>
      </c>
      <c r="AJ249">
        <f>IF('INHERENT MAP'!$B$5=2021,'РЕЕСТР РИСКОВ_2023'!AP289,IF('INHERENT MAP'!$B$5=2022,#REF!,IF('INHERENT MAP'!$B$5=2023,#REF!,IF('INHERENT MAP'!$B$5=2024,#REF!,#REF!))))</f>
        <v>0</v>
      </c>
      <c r="AK249">
        <f>IF('РЕЕСТР РИСКОВ_2023'!AQ289="",AK248,'РЕЕСТР РИСКОВ_2023'!AQ289)</f>
        <v>-216</v>
      </c>
      <c r="AL249">
        <f>IF('РЕЕСТР РИСКОВ_2023'!AR289="",AL248,'РЕЕСТР РИСКОВ_2023'!AR289)</f>
        <v>0.12</v>
      </c>
      <c r="AM249" t="str">
        <f>IF('РЕЕСТР РИСКОВ_2023'!AS289="",AM248,'РЕЕСТР РИСКОВ_2023'!AS289)</f>
        <v>стоп</v>
      </c>
      <c r="AN249" t="str">
        <f>IF('РЕЕСТР РИСКОВ_2023'!AT289="",AN248,'РЕЕСТР РИСКОВ_2023'!AT289)</f>
        <v>стоп</v>
      </c>
      <c r="AO249" t="e">
        <f>IF('РЕЕСТР РИСКОВ_2023'!AU289="",AO248,'РЕЕСТР РИСКОВ_2023'!AU289)</f>
        <v>#REF!</v>
      </c>
    </row>
    <row r="250" spans="2:41">
      <c r="B250" t="str">
        <f>IF('INHERENT MAP'!$B$5=2021,IF('РЕЕСТР РИСКОВ_2023'!F290="",B249,'РЕЕСТР РИСКОВ_2023'!F290),IF('INHERENT MAP'!$B$5=2022,IF(#REF!="",B249,#REF!),IF('INHERENT MAP'!$B$5=2023,IF(#REF!="",B249,#REF!),IF('INHERENT MAP'!$B$5=2024,IF(#REF!="",B249,#REF!),IF('РЕЕСТР РИСКОВ_2023'!F290="",B249,'РЕЕСТР РИСКОВ_2023'!F290)))))</f>
        <v>ПРОЦЕНТНЫЙ РИСК</v>
      </c>
      <c r="C250" t="e">
        <f>IF('INHERENT MAP'!$B$5=2021,IF('РЕЕСТР РИСКОВ_2023'!G290="",C249,'РЕЕСТР РИСКОВ_2023'!G290),IF('INHERENT MAP'!$B$5=2022,IF(#REF!="",C249,#REF!),IF('INHERENT MAP'!$B$5=2023,IF(#REF!="",C249,#REF!),IF('INHERENT MAP'!$B$5=2024,IF(#REF!="",C249,#REF!),IF('РЕЕСТР РИСКОВ_2023'!G290="",C249,'РЕЕСТР РИСКОВ_2023'!G290)))))</f>
        <v>#REF!</v>
      </c>
      <c r="D250" t="str">
        <f>IF('INHERENT MAP'!$B$5=2021,IF('РЕЕСТР РИСКОВ_2023'!H290="",D249,'РЕЕСТР РИСКОВ_2023'!H290),IF('INHERENT MAP'!$B$5=2022,IF(#REF!="",D249,#REF!),IF('INHERENT MAP'!$B$5=2023,IF(#REF!="",D249,#REF!),IF('INHERENT MAP'!$B$5=2024,IF(#REF!="",D249,#REF!),IF('РЕЕСТР РИСКОВ_2023'!H290="",D249,'РЕЕСТР РИСКОВ_2023'!H290)))))</f>
        <v>IRR-1</v>
      </c>
      <c r="E250" t="str">
        <f>IF('INHERENT MAP'!$B$5=2021,IF('РЕЕСТР РИСКОВ_2023'!I290="",E249,'РЕЕСТР РИСКОВ_2023'!I290),IF('INHERENT MAP'!$B$5=2022,IF(#REF!="",E249,#REF!),IF('INHERENT MAP'!$B$5=2023,IF(#REF!="",E249,#REF!),IF('INHERENT MAP'!$B$5=2024,IF(#REF!="",E249,#REF!),IF('РЕЕСТР РИСКОВ_2023'!I290="",E249,'РЕЕСТР РИСКОВ_2023'!I290)))))</f>
        <v>ЦЗФ</v>
      </c>
      <c r="F250" t="str">
        <f>IF('INHERENT MAP'!$B$5=2021,IF('РЕЕСТР РИСКОВ_2023'!J290="",F249,'РЕЕСТР РИСКОВ_2023'!J290),IF('INHERENT MAP'!$B$5=2022,IF(#REF!="",F249,#REF!),IF('INHERENT MAP'!$B$5=2023,IF(#REF!="",F249,#REF!),IF('INHERENT MAP'!$B$5=2024,IF(#REF!="",F249,#REF!),IF('РЕЕСТР РИСКОВ_2023'!J290="",F249,'РЕЕСТР РИСКОВ_2023'!J290)))))</f>
        <v>Цзайм</v>
      </c>
      <c r="G250" t="str">
        <f>IF('INHERENT MAP'!$B$5=2021,IF('РЕЕСТР РИСКОВ_2023'!K290="",G249,'РЕЕСТР РИСКОВ_2023'!K290),IF('INHERENT MAP'!$B$5=2022,IF(#REF!="",G249,#REF!),IF('INHERENT MAP'!$B$5=2023,IF(#REF!="",G249,#REF!),IF('INHERENT MAP'!$B$5=2024,IF(#REF!="",G249,#REF!),IF('РЕЕСТР РИСКОВ_2023'!K290="",G249,'РЕЕСТР РИСКОВ_2023'!K290)))))</f>
        <v>Увеличение расходов по процентам на новые займы, а также текущие займы (с плавающей ставкой) в тенге.</v>
      </c>
      <c r="H250">
        <f>IF('INHERENT MAP'!$B$5=2021,'РЕЕСТР РИСКОВ_2023'!L290,IF('INHERENT MAP'!$B$5=2022,#REF!,IF('INHERENT MAP'!$B$5=2023,#REF!,IF('INHERENT MAP'!$B$5=2024,#REF!,#REF!))))</f>
        <v>0</v>
      </c>
      <c r="I250">
        <f>IF('INHERENT MAP'!$B$5=2021,'РЕЕСТР РИСКОВ_2023'!M290,IF('INHERENT MAP'!$B$5=2022,#REF!,IF('INHERENT MAP'!$B$5=2023,#REF!,IF('INHERENT MAP'!$B$5=2024,#REF!,#REF!))))</f>
        <v>0</v>
      </c>
      <c r="J250">
        <f>IF('INHERENT MAP'!$B$5=2021,'РЕЕСТР РИСКОВ_2023'!N290,IF('INHERENT MAP'!$B$5=2022,#REF!,IF('INHERENT MAP'!$B$5=2023,#REF!,IF('INHERENT MAP'!$B$5=2024,#REF!,#REF!))))</f>
        <v>0</v>
      </c>
      <c r="K250">
        <f>IF('INHERENT MAP'!$B$5=2021,'РЕЕСТР РИСКОВ_2023'!O290,IF('INHERENT MAP'!$B$5=2022,#REF!,IF('INHERENT MAP'!$B$5=2023,#REF!,IF('INHERENT MAP'!$B$5=2024,#REF!,#REF!))))</f>
        <v>0</v>
      </c>
      <c r="L250">
        <f>IF('INHERENT MAP'!$B$5=2021,'РЕЕСТР РИСКОВ_2023'!P290,IF('INHERENT MAP'!$B$5=2022,#REF!,IF('INHERENT MAP'!$B$5=2023,#REF!,IF('INHERENT MAP'!$B$5=2024,#REF!,#REF!))))</f>
        <v>0</v>
      </c>
      <c r="M250" t="str">
        <f>IF('INHERENT MAP'!$B$5=2021,IF('РЕЕСТР РИСКОВ_2023'!Q290="",M249,'РЕЕСТР РИСКОВ_2023'!Q290),IF('INHERENT MAP'!$B$5=2022,IF(#REF!="",M249,#REF!),IF('INHERENT MAP'!$B$5=2023,IF(#REF!="",M249,#REF!),IF('INHERENT MAP'!$B$5=2024,IF(#REF!="",M249,#REF!),IF('РЕЕСТР РИСКОВ_2023'!Q290="",M249,'РЕЕСТР РИСКОВ_2023'!Q290)))))</f>
        <v>Увеличение базовой ставки Национального банка Республики Казахстан до 16%</v>
      </c>
      <c r="N250" t="str">
        <f>IF('INHERENT MAP'!$B$5=2021,IF('РЕЕСТР РИСКОВ_2023'!R290="",N249,'РЕЕСТР РИСКОВ_2023'!R290),IF('INHERENT MAP'!$B$5=2022,IF(#REF!="",N249,#REF!),IF('INHERENT MAP'!$B$5=2023,IF(#REF!="",N249,#REF!),IF('INHERENT MAP'!$B$5=2024,IF(#REF!="",N249,#REF!),IF('РЕЕСТР РИСКОВ_2023'!R290="",N249,'РЕЕСТР РИСКОВ_2023'!R290)))))</f>
        <v>Рецессия экономики европейских стран</v>
      </c>
      <c r="O250">
        <f>'РЕЕСТР РИСКОВ_2023'!T290</f>
        <v>0</v>
      </c>
      <c r="P250" t="e">
        <f>IF('РЕЕСТР РИСКОВ_2023'!U290="",P249,'РЕЕСТР РИСКОВ_2023'!U290)</f>
        <v>#REF!</v>
      </c>
      <c r="Q250" t="str">
        <f>IF('РЕЕСТР РИСКОВ_2023'!V290="",Q249,'РЕЕСТР РИСКОВ_2023'!V290)</f>
        <v>Угрозы</v>
      </c>
      <c r="R250" t="e">
        <f>IF('РЕЕСТР РИСКОВ_2023'!W290="",R249,'РЕЕСТР РИСКОВ_2023'!W290)</f>
        <v>#REF!</v>
      </c>
      <c r="S250">
        <f>'РЕЕСТР РИСКОВ_2023'!X290</f>
        <v>0</v>
      </c>
      <c r="T250" s="94">
        <f>IF('INHERENT MAP'!$B$5=2021,'РЕЕСТР РИСКОВ_2023'!Y290,IF('INHERENT MAP'!$B$5=2022,#REF!,IF('INHERENT MAP'!$B$5=2023,#REF!,IF('INHERENT MAP'!$B$5=2024,#REF!,#REF!))))</f>
        <v>0</v>
      </c>
      <c r="U250">
        <f>IF('INHERENT MAP'!$B$5=2021,'РЕЕСТР РИСКОВ_2023'!Z290,IF('INHERENT MAP'!$B$5=2022,#REF!,IF('INHERENT MAP'!$B$5=2023,#REF!,IF('INHERENT MAP'!$B$5=2024,#REF!,#REF!))))</f>
        <v>0</v>
      </c>
      <c r="V250">
        <f>IF('INHERENT MAP'!$B$5=2021,'РЕЕСТР РИСКОВ_2023'!AA290,IF('INHERENT MAP'!$B$5=2022,#REF!,IF('INHERENT MAP'!$B$5=2023,#REF!,IF('INHERENT MAP'!$B$5=2024,#REF!,#REF!))))</f>
        <v>0</v>
      </c>
      <c r="W250">
        <f>IF('INHERENT MAP'!$B$5=2021,'РЕЕСТР РИСКОВ_2023'!AB290,IF('INHERENT MAP'!$B$5=2022,#REF!,IF('INHERENT MAP'!$B$5=2023,#REF!,IF('INHERENT MAP'!$B$5=2024,#REF!,#REF!))))</f>
        <v>0</v>
      </c>
      <c r="X250" s="94">
        <f>IF('INHERENT MAP'!$B$5=2021,'РЕЕСТР РИСКОВ_2023'!AC290,IF('INHERENT MAP'!$B$5=2022,#REF!,IF('INHERENT MAP'!$B$5=2023,#REF!,IF('INHERENT MAP'!$B$5=2024,#REF!,#REF!))))</f>
        <v>0</v>
      </c>
      <c r="Y250">
        <f>IF('INHERENT MAP'!$B$5=2021,'РЕЕСТР РИСКОВ_2023'!AD290,IF('INHERENT MAP'!$B$5=2022,#REF!,IF('INHERENT MAP'!$B$5=2023,#REF!,IF('INHERENT MAP'!$B$5=2024,#REF!,#REF!))))</f>
        <v>0</v>
      </c>
      <c r="Z250">
        <f>IF('INHERENT MAP'!$B$5=2021,'РЕЕСТР РИСКОВ_2023'!AE290,IF('INHERENT MAP'!$B$5=2022,#REF!,IF('INHERENT MAP'!$B$5=2023,#REF!,IF('INHERENT MAP'!$B$5=2024,#REF!,#REF!))))</f>
        <v>0</v>
      </c>
      <c r="AA250">
        <f>IF('INHERENT MAP'!$B$5=2021,'РЕЕСТР РИСКОВ_2023'!AF290,IF('INHERENT MAP'!$B$5=2022,#REF!,IF('INHERENT MAP'!$B$5=2023,#REF!,IF('INHERENT MAP'!$B$5=2024,#REF!,#REF!))))</f>
        <v>0</v>
      </c>
      <c r="AB250">
        <f>IF('INHERENT MAP'!$B$5=2021,'РЕЕСТР РИСКОВ_2023'!AG290,IF('INHERENT MAP'!$B$5=2022,#REF!,IF('INHERENT MAP'!$B$5=2023,#REF!,IF('INHERENT MAP'!$B$5=2024,#REF!,#REF!))))</f>
        <v>0</v>
      </c>
      <c r="AC250">
        <f>IF('INHERENT MAP'!$B$5=2021,'РЕЕСТР РИСКОВ_2023'!AH290,IF('INHERENT MAP'!$B$5=2022,#REF!,IF('INHERENT MAP'!$B$5=2023,#REF!,IF('INHERENT MAP'!$B$5=2024,#REF!,#REF!))))</f>
        <v>0</v>
      </c>
      <c r="AD250">
        <f>IF('INHERENT MAP'!$B$5=2021,'РЕЕСТР РИСКОВ_2023'!AI290,IF('INHERENT MAP'!$B$5=2022,#REF!,IF('INHERENT MAP'!$B$5=2023,#REF!,IF('INHERENT MAP'!$B$5=2024,#REF!,#REF!))))</f>
        <v>0</v>
      </c>
      <c r="AE250">
        <f>IF('INHERENT MAP'!$B$5=2021,'РЕЕСТР РИСКОВ_2023'!AK290,IF('INHERENT MAP'!$B$5=2022,#REF!,IF('INHERENT MAP'!$B$5=2023,#REF!,IF('INHERENT MAP'!$B$5=2024,#REF!,#REF!))))</f>
        <v>0</v>
      </c>
      <c r="AF250">
        <f>IF('INHERENT MAP'!$B$5=2021,'РЕЕСТР РИСКОВ_2023'!AL290,IF('INHERENT MAP'!$B$5=2022,#REF!,IF('INHERENT MAP'!$B$5=2023,#REF!,IF('INHERENT MAP'!$B$5=2024,#REF!,#REF!))))</f>
        <v>0</v>
      </c>
      <c r="AG250">
        <f>IF('INHERENT MAP'!$B$5=2021,'РЕЕСТР РИСКОВ_2023'!AM290,IF('INHERENT MAP'!$B$5=2022,#REF!,IF('INHERENT MAP'!$B$5=2023,#REF!,IF('INHERENT MAP'!$B$5=2024,#REF!,#REF!))))</f>
        <v>0</v>
      </c>
      <c r="AH250">
        <f>IF('INHERENT MAP'!$B$5=2021,'РЕЕСТР РИСКОВ_2023'!AN290,IF('INHERENT MAP'!$B$5=2022,#REF!,IF('INHERENT MAP'!$B$5=2023,#REF!,IF('INHERENT MAP'!$B$5=2024,#REF!,#REF!))))</f>
        <v>0</v>
      </c>
      <c r="AI250">
        <f>IF('INHERENT MAP'!$B$5=2021,'РЕЕСТР РИСКОВ_2023'!AO290,IF('INHERENT MAP'!$B$5=2022,#REF!,IF('INHERENT MAP'!$B$5=2023,#REF!,IF('INHERENT MAP'!$B$5=2024,#REF!,#REF!))))</f>
        <v>0</v>
      </c>
      <c r="AJ250">
        <f>IF('INHERENT MAP'!$B$5=2021,'РЕЕСТР РИСКОВ_2023'!AP290,IF('INHERENT MAP'!$B$5=2022,#REF!,IF('INHERENT MAP'!$B$5=2023,#REF!,IF('INHERENT MAP'!$B$5=2024,#REF!,#REF!))))</f>
        <v>0</v>
      </c>
      <c r="AK250">
        <f>IF('РЕЕСТР РИСКОВ_2023'!AQ290="",AK249,'РЕЕСТР РИСКОВ_2023'!AQ290)</f>
        <v>-216</v>
      </c>
      <c r="AL250">
        <f>IF('РЕЕСТР РИСКОВ_2023'!AR290="",AL249,'РЕЕСТР РИСКОВ_2023'!AR290)</f>
        <v>0.12</v>
      </c>
      <c r="AM250" t="str">
        <f>IF('РЕЕСТР РИСКОВ_2023'!AS290="",AM249,'РЕЕСТР РИСКОВ_2023'!AS290)</f>
        <v>стоп</v>
      </c>
      <c r="AN250" t="str">
        <f>IF('РЕЕСТР РИСКОВ_2023'!AT290="",AN249,'РЕЕСТР РИСКОВ_2023'!AT290)</f>
        <v>стоп</v>
      </c>
      <c r="AO250" t="e">
        <f>IF('РЕЕСТР РИСКОВ_2023'!AU290="",AO249,'РЕЕСТР РИСКОВ_2023'!AU290)</f>
        <v>#REF!</v>
      </c>
    </row>
    <row r="251" spans="2:41">
      <c r="B251" t="str">
        <f>IF('INHERENT MAP'!$B$5=2021,IF('РЕЕСТР РИСКОВ_2023'!F291="",B250,'РЕЕСТР РИСКОВ_2023'!F291),IF('INHERENT MAP'!$B$5=2022,IF(#REF!="",B250,#REF!),IF('INHERENT MAP'!$B$5=2023,IF(#REF!="",B250,#REF!),IF('INHERENT MAP'!$B$5=2024,IF(#REF!="",B250,#REF!),IF('РЕЕСТР РИСКОВ_2023'!F291="",B250,'РЕЕСТР РИСКОВ_2023'!F291)))))</f>
        <v>ПРОЦЕНТНЫЙ РИСК</v>
      </c>
      <c r="C251" t="e">
        <f>IF('INHERENT MAP'!$B$5=2021,IF('РЕЕСТР РИСКОВ_2023'!G291="",C250,'РЕЕСТР РИСКОВ_2023'!G291),IF('INHERENT MAP'!$B$5=2022,IF(#REF!="",C250,#REF!),IF('INHERENT MAP'!$B$5=2023,IF(#REF!="",C250,#REF!),IF('INHERENT MAP'!$B$5=2024,IF(#REF!="",C250,#REF!),IF('РЕЕСТР РИСКОВ_2023'!G291="",C250,'РЕЕСТР РИСКОВ_2023'!G291)))))</f>
        <v>#REF!</v>
      </c>
      <c r="D251" t="str">
        <f>IF('INHERENT MAP'!$B$5=2021,IF('РЕЕСТР РИСКОВ_2023'!H291="",D250,'РЕЕСТР РИСКОВ_2023'!H291),IF('INHERENT MAP'!$B$5=2022,IF(#REF!="",D250,#REF!),IF('INHERENT MAP'!$B$5=2023,IF(#REF!="",D250,#REF!),IF('INHERENT MAP'!$B$5=2024,IF(#REF!="",D250,#REF!),IF('РЕЕСТР РИСКОВ_2023'!H291="",D250,'РЕЕСТР РИСКОВ_2023'!H291)))))</f>
        <v>IRR-1</v>
      </c>
      <c r="E251" t="str">
        <f>IF('INHERENT MAP'!$B$5=2021,IF('РЕЕСТР РИСКОВ_2023'!I291="",E250,'РЕЕСТР РИСКОВ_2023'!I291),IF('INHERENT MAP'!$B$5=2022,IF(#REF!="",E250,#REF!),IF('INHERENT MAP'!$B$5=2023,IF(#REF!="",E250,#REF!),IF('INHERENT MAP'!$B$5=2024,IF(#REF!="",E250,#REF!),IF('РЕЕСТР РИСКОВ_2023'!I291="",E250,'РЕЕСТР РИСКОВ_2023'!I291)))))</f>
        <v>ЦЗФ</v>
      </c>
      <c r="F251" t="str">
        <f>IF('INHERENT MAP'!$B$5=2021,IF('РЕЕСТР РИСКОВ_2023'!J291="",F250,'РЕЕСТР РИСКОВ_2023'!J291),IF('INHERENT MAP'!$B$5=2022,IF(#REF!="",F250,#REF!),IF('INHERENT MAP'!$B$5=2023,IF(#REF!="",F250,#REF!),IF('INHERENT MAP'!$B$5=2024,IF(#REF!="",F250,#REF!),IF('РЕЕСТР РИСКОВ_2023'!J291="",F250,'РЕЕСТР РИСКОВ_2023'!J291)))))</f>
        <v>Цзайм</v>
      </c>
      <c r="G251" t="str">
        <f>IF('INHERENT MAP'!$B$5=2021,IF('РЕЕСТР РИСКОВ_2023'!K291="",G250,'РЕЕСТР РИСКОВ_2023'!K291),IF('INHERENT MAP'!$B$5=2022,IF(#REF!="",G250,#REF!),IF('INHERENT MAP'!$B$5=2023,IF(#REF!="",G250,#REF!),IF('INHERENT MAP'!$B$5=2024,IF(#REF!="",G250,#REF!),IF('РЕЕСТР РИСКОВ_2023'!K291="",G250,'РЕЕСТР РИСКОВ_2023'!K291)))))</f>
        <v>Увеличение расходов по процентам на новые займы, а также текущие займы (с плавающей ставкой) в тенге.</v>
      </c>
      <c r="H251">
        <f>IF('INHERENT MAP'!$B$5=2021,'РЕЕСТР РИСКОВ_2023'!L291,IF('INHERENT MAP'!$B$5=2022,#REF!,IF('INHERENT MAP'!$B$5=2023,#REF!,IF('INHERENT MAP'!$B$5=2024,#REF!,#REF!))))</f>
        <v>0</v>
      </c>
      <c r="I251">
        <f>IF('INHERENT MAP'!$B$5=2021,'РЕЕСТР РИСКОВ_2023'!M291,IF('INHERENT MAP'!$B$5=2022,#REF!,IF('INHERENT MAP'!$B$5=2023,#REF!,IF('INHERENT MAP'!$B$5=2024,#REF!,#REF!))))</f>
        <v>0</v>
      </c>
      <c r="J251">
        <f>IF('INHERENT MAP'!$B$5=2021,'РЕЕСТР РИСКОВ_2023'!N291,IF('INHERENT MAP'!$B$5=2022,#REF!,IF('INHERENT MAP'!$B$5=2023,#REF!,IF('INHERENT MAP'!$B$5=2024,#REF!,#REF!))))</f>
        <v>0</v>
      </c>
      <c r="K251">
        <f>IF('INHERENT MAP'!$B$5=2021,'РЕЕСТР РИСКОВ_2023'!O291,IF('INHERENT MAP'!$B$5=2022,#REF!,IF('INHERENT MAP'!$B$5=2023,#REF!,IF('INHERENT MAP'!$B$5=2024,#REF!,#REF!))))</f>
        <v>0</v>
      </c>
      <c r="L251">
        <f>IF('INHERENT MAP'!$B$5=2021,'РЕЕСТР РИСКОВ_2023'!P291,IF('INHERENT MAP'!$B$5=2022,#REF!,IF('INHERENT MAP'!$B$5=2023,#REF!,IF('INHERENT MAP'!$B$5=2024,#REF!,#REF!))))</f>
        <v>0</v>
      </c>
      <c r="M251" t="str">
        <f>IF('INHERENT MAP'!$B$5=2021,IF('РЕЕСТР РИСКОВ_2023'!Q291="",M250,'РЕЕСТР РИСКОВ_2023'!Q291),IF('INHERENT MAP'!$B$5=2022,IF(#REF!="",M250,#REF!),IF('INHERENT MAP'!$B$5=2023,IF(#REF!="",M250,#REF!),IF('INHERENT MAP'!$B$5=2024,IF(#REF!="",M250,#REF!),IF('РЕЕСТР РИСКОВ_2023'!Q291="",M250,'РЕЕСТР РИСКОВ_2023'!Q291)))))</f>
        <v>Увеличение базовой ставки Национального банка Республики Казахстан до 16%</v>
      </c>
      <c r="N251" t="str">
        <f>IF('INHERENT MAP'!$B$5=2021,IF('РЕЕСТР РИСКОВ_2023'!R291="",N250,'РЕЕСТР РИСКОВ_2023'!R291),IF('INHERENT MAP'!$B$5=2022,IF(#REF!="",N250,#REF!),IF('INHERENT MAP'!$B$5=2023,IF(#REF!="",N250,#REF!),IF('INHERENT MAP'!$B$5=2024,IF(#REF!="",N250,#REF!),IF('РЕЕСТР РИСКОВ_2023'!R291="",N250,'РЕЕСТР РИСКОВ_2023'!R291)))))</f>
        <v>Рецессия экономики европейских стран</v>
      </c>
      <c r="O251">
        <f>'РЕЕСТР РИСКОВ_2023'!T291</f>
        <v>0</v>
      </c>
      <c r="P251" t="e">
        <f>IF('РЕЕСТР РИСКОВ_2023'!U291="",P250,'РЕЕСТР РИСКОВ_2023'!U291)</f>
        <v>#REF!</v>
      </c>
      <c r="Q251" t="str">
        <f>IF('РЕЕСТР РИСКОВ_2023'!V291="",Q250,'РЕЕСТР РИСКОВ_2023'!V291)</f>
        <v>Угрозы</v>
      </c>
      <c r="R251" t="e">
        <f>IF('РЕЕСТР РИСКОВ_2023'!W291="",R250,'РЕЕСТР РИСКОВ_2023'!W291)</f>
        <v>#REF!</v>
      </c>
      <c r="S251">
        <f>'РЕЕСТР РИСКОВ_2023'!X291</f>
        <v>0</v>
      </c>
      <c r="T251" s="94">
        <f>IF('INHERENT MAP'!$B$5=2021,'РЕЕСТР РИСКОВ_2023'!Y291,IF('INHERENT MAP'!$B$5=2022,#REF!,IF('INHERENT MAP'!$B$5=2023,#REF!,IF('INHERENT MAP'!$B$5=2024,#REF!,#REF!))))</f>
        <v>0</v>
      </c>
      <c r="U251">
        <f>IF('INHERENT MAP'!$B$5=2021,'РЕЕСТР РИСКОВ_2023'!Z291,IF('INHERENT MAP'!$B$5=2022,#REF!,IF('INHERENT MAP'!$B$5=2023,#REF!,IF('INHERENT MAP'!$B$5=2024,#REF!,#REF!))))</f>
        <v>0</v>
      </c>
      <c r="V251">
        <f>IF('INHERENT MAP'!$B$5=2021,'РЕЕСТР РИСКОВ_2023'!AA291,IF('INHERENT MAP'!$B$5=2022,#REF!,IF('INHERENT MAP'!$B$5=2023,#REF!,IF('INHERENT MAP'!$B$5=2024,#REF!,#REF!))))</f>
        <v>0</v>
      </c>
      <c r="W251">
        <f>IF('INHERENT MAP'!$B$5=2021,'РЕЕСТР РИСКОВ_2023'!AB291,IF('INHERENT MAP'!$B$5=2022,#REF!,IF('INHERENT MAP'!$B$5=2023,#REF!,IF('INHERENT MAP'!$B$5=2024,#REF!,#REF!))))</f>
        <v>0</v>
      </c>
      <c r="X251" s="94">
        <f>IF('INHERENT MAP'!$B$5=2021,'РЕЕСТР РИСКОВ_2023'!AC291,IF('INHERENT MAP'!$B$5=2022,#REF!,IF('INHERENT MAP'!$B$5=2023,#REF!,IF('INHERENT MAP'!$B$5=2024,#REF!,#REF!))))</f>
        <v>0</v>
      </c>
      <c r="Y251">
        <f>IF('INHERENT MAP'!$B$5=2021,'РЕЕСТР РИСКОВ_2023'!AD291,IF('INHERENT MAP'!$B$5=2022,#REF!,IF('INHERENT MAP'!$B$5=2023,#REF!,IF('INHERENT MAP'!$B$5=2024,#REF!,#REF!))))</f>
        <v>0</v>
      </c>
      <c r="Z251">
        <f>IF('INHERENT MAP'!$B$5=2021,'РЕЕСТР РИСКОВ_2023'!AE291,IF('INHERENT MAP'!$B$5=2022,#REF!,IF('INHERENT MAP'!$B$5=2023,#REF!,IF('INHERENT MAP'!$B$5=2024,#REF!,#REF!))))</f>
        <v>0</v>
      </c>
      <c r="AA251">
        <f>IF('INHERENT MAP'!$B$5=2021,'РЕЕСТР РИСКОВ_2023'!AF291,IF('INHERENT MAP'!$B$5=2022,#REF!,IF('INHERENT MAP'!$B$5=2023,#REF!,IF('INHERENT MAP'!$B$5=2024,#REF!,#REF!))))</f>
        <v>0</v>
      </c>
      <c r="AB251">
        <f>IF('INHERENT MAP'!$B$5=2021,'РЕЕСТР РИСКОВ_2023'!AG291,IF('INHERENT MAP'!$B$5=2022,#REF!,IF('INHERENT MAP'!$B$5=2023,#REF!,IF('INHERENT MAP'!$B$5=2024,#REF!,#REF!))))</f>
        <v>0</v>
      </c>
      <c r="AC251">
        <f>IF('INHERENT MAP'!$B$5=2021,'РЕЕСТР РИСКОВ_2023'!AH291,IF('INHERENT MAP'!$B$5=2022,#REF!,IF('INHERENT MAP'!$B$5=2023,#REF!,IF('INHERENT MAP'!$B$5=2024,#REF!,#REF!))))</f>
        <v>0</v>
      </c>
      <c r="AD251">
        <f>IF('INHERENT MAP'!$B$5=2021,'РЕЕСТР РИСКОВ_2023'!AI291,IF('INHERENT MAP'!$B$5=2022,#REF!,IF('INHERENT MAP'!$B$5=2023,#REF!,IF('INHERENT MAP'!$B$5=2024,#REF!,#REF!))))</f>
        <v>0</v>
      </c>
      <c r="AE251">
        <f>IF('INHERENT MAP'!$B$5=2021,'РЕЕСТР РИСКОВ_2023'!AK291,IF('INHERENT MAP'!$B$5=2022,#REF!,IF('INHERENT MAP'!$B$5=2023,#REF!,IF('INHERENT MAP'!$B$5=2024,#REF!,#REF!))))</f>
        <v>0</v>
      </c>
      <c r="AF251">
        <f>IF('INHERENT MAP'!$B$5=2021,'РЕЕСТР РИСКОВ_2023'!AL291,IF('INHERENT MAP'!$B$5=2022,#REF!,IF('INHERENT MAP'!$B$5=2023,#REF!,IF('INHERENT MAP'!$B$5=2024,#REF!,#REF!))))</f>
        <v>0</v>
      </c>
      <c r="AG251">
        <f>IF('INHERENT MAP'!$B$5=2021,'РЕЕСТР РИСКОВ_2023'!AM291,IF('INHERENT MAP'!$B$5=2022,#REF!,IF('INHERENT MAP'!$B$5=2023,#REF!,IF('INHERENT MAP'!$B$5=2024,#REF!,#REF!))))</f>
        <v>0</v>
      </c>
      <c r="AH251">
        <f>IF('INHERENT MAP'!$B$5=2021,'РЕЕСТР РИСКОВ_2023'!AN291,IF('INHERENT MAP'!$B$5=2022,#REF!,IF('INHERENT MAP'!$B$5=2023,#REF!,IF('INHERENT MAP'!$B$5=2024,#REF!,#REF!))))</f>
        <v>0</v>
      </c>
      <c r="AI251">
        <f>IF('INHERENT MAP'!$B$5=2021,'РЕЕСТР РИСКОВ_2023'!AO291,IF('INHERENT MAP'!$B$5=2022,#REF!,IF('INHERENT MAP'!$B$5=2023,#REF!,IF('INHERENT MAP'!$B$5=2024,#REF!,#REF!))))</f>
        <v>0</v>
      </c>
      <c r="AJ251">
        <f>IF('INHERENT MAP'!$B$5=2021,'РЕЕСТР РИСКОВ_2023'!AP291,IF('INHERENT MAP'!$B$5=2022,#REF!,IF('INHERENT MAP'!$B$5=2023,#REF!,IF('INHERENT MAP'!$B$5=2024,#REF!,#REF!))))</f>
        <v>0</v>
      </c>
      <c r="AK251">
        <f>IF('РЕЕСТР РИСКОВ_2023'!AQ291="",AK250,'РЕЕСТР РИСКОВ_2023'!AQ291)</f>
        <v>-216</v>
      </c>
      <c r="AL251">
        <f>IF('РЕЕСТР РИСКОВ_2023'!AR291="",AL250,'РЕЕСТР РИСКОВ_2023'!AR291)</f>
        <v>0.12</v>
      </c>
      <c r="AM251" t="str">
        <f>IF('РЕЕСТР РИСКОВ_2023'!AS291="",AM250,'РЕЕСТР РИСКОВ_2023'!AS291)</f>
        <v>стоп</v>
      </c>
      <c r="AN251" t="str">
        <f>IF('РЕЕСТР РИСКОВ_2023'!AT291="",AN250,'РЕЕСТР РИСКОВ_2023'!AT291)</f>
        <v>стоп</v>
      </c>
      <c r="AO251" t="e">
        <f>IF('РЕЕСТР РИСКОВ_2023'!AU291="",AO250,'РЕЕСТР РИСКОВ_2023'!AU291)</f>
        <v>#REF!</v>
      </c>
    </row>
    <row r="252" spans="2:41">
      <c r="B252" t="str">
        <f>IF('INHERENT MAP'!$B$5=2021,IF('РЕЕСТР РИСКОВ_2023'!F292="",B251,'РЕЕСТР РИСКОВ_2023'!F292),IF('INHERENT MAP'!$B$5=2022,IF(#REF!="",B251,#REF!),IF('INHERENT MAP'!$B$5=2023,IF(#REF!="",B251,#REF!),IF('INHERENT MAP'!$B$5=2024,IF(#REF!="",B251,#REF!),IF('РЕЕСТР РИСКОВ_2023'!F292="",B251,'РЕЕСТР РИСКОВ_2023'!F292)))))</f>
        <v>ПРОЦЕНТНЫЙ РИСК</v>
      </c>
      <c r="C252" t="e">
        <f>IF('INHERENT MAP'!$B$5=2021,IF('РЕЕСТР РИСКОВ_2023'!G292="",C251,'РЕЕСТР РИСКОВ_2023'!G292),IF('INHERENT MAP'!$B$5=2022,IF(#REF!="",C251,#REF!),IF('INHERENT MAP'!$B$5=2023,IF(#REF!="",C251,#REF!),IF('INHERENT MAP'!$B$5=2024,IF(#REF!="",C251,#REF!),IF('РЕЕСТР РИСКОВ_2023'!G292="",C251,'РЕЕСТР РИСКОВ_2023'!G292)))))</f>
        <v>#REF!</v>
      </c>
      <c r="D252" t="str">
        <f>IF('INHERENT MAP'!$B$5=2021,IF('РЕЕСТР РИСКОВ_2023'!H292="",D251,'РЕЕСТР РИСКОВ_2023'!H292),IF('INHERENT MAP'!$B$5=2022,IF(#REF!="",D251,#REF!),IF('INHERENT MAP'!$B$5=2023,IF(#REF!="",D251,#REF!),IF('INHERENT MAP'!$B$5=2024,IF(#REF!="",D251,#REF!),IF('РЕЕСТР РИСКОВ_2023'!H292="",D251,'РЕЕСТР РИСКОВ_2023'!H292)))))</f>
        <v>IRR-1</v>
      </c>
      <c r="E252" t="str">
        <f>IF('INHERENT MAP'!$B$5=2021,IF('РЕЕСТР РИСКОВ_2023'!I292="",E251,'РЕЕСТР РИСКОВ_2023'!I292),IF('INHERENT MAP'!$B$5=2022,IF(#REF!="",E251,#REF!),IF('INHERENT MAP'!$B$5=2023,IF(#REF!="",E251,#REF!),IF('INHERENT MAP'!$B$5=2024,IF(#REF!="",E251,#REF!),IF('РЕЕСТР РИСКОВ_2023'!I292="",E251,'РЕЕСТР РИСКОВ_2023'!I292)))))</f>
        <v>ЦЗФ</v>
      </c>
      <c r="F252" t="str">
        <f>IF('INHERENT MAP'!$B$5=2021,IF('РЕЕСТР РИСКОВ_2023'!J292="",F251,'РЕЕСТР РИСКОВ_2023'!J292),IF('INHERENT MAP'!$B$5=2022,IF(#REF!="",F251,#REF!),IF('INHERENT MAP'!$B$5=2023,IF(#REF!="",F251,#REF!),IF('INHERENT MAP'!$B$5=2024,IF(#REF!="",F251,#REF!),IF('РЕЕСТР РИСКОВ_2023'!J292="",F251,'РЕЕСТР РИСКОВ_2023'!J292)))))</f>
        <v>Цзайм</v>
      </c>
      <c r="G252" t="str">
        <f>IF('INHERENT MAP'!$B$5=2021,IF('РЕЕСТР РИСКОВ_2023'!K292="",G251,'РЕЕСТР РИСКОВ_2023'!K292),IF('INHERENT MAP'!$B$5=2022,IF(#REF!="",G251,#REF!),IF('INHERENT MAP'!$B$5=2023,IF(#REF!="",G251,#REF!),IF('INHERENT MAP'!$B$5=2024,IF(#REF!="",G251,#REF!),IF('РЕЕСТР РИСКОВ_2023'!K292="",G251,'РЕЕСТР РИСКОВ_2023'!K292)))))</f>
        <v>Увеличение расходов по процентам на новые займы, а также текущие займы (с плавающей ставкой) в тенге.</v>
      </c>
      <c r="H252">
        <f>IF('INHERENT MAP'!$B$5=2021,'РЕЕСТР РИСКОВ_2023'!L292,IF('INHERENT MAP'!$B$5=2022,#REF!,IF('INHERENT MAP'!$B$5=2023,#REF!,IF('INHERENT MAP'!$B$5=2024,#REF!,#REF!))))</f>
        <v>0</v>
      </c>
      <c r="I252">
        <f>IF('INHERENT MAP'!$B$5=2021,'РЕЕСТР РИСКОВ_2023'!M292,IF('INHERENT MAP'!$B$5=2022,#REF!,IF('INHERENT MAP'!$B$5=2023,#REF!,IF('INHERENT MAP'!$B$5=2024,#REF!,#REF!))))</f>
        <v>0</v>
      </c>
      <c r="J252">
        <f>IF('INHERENT MAP'!$B$5=2021,'РЕЕСТР РИСКОВ_2023'!N292,IF('INHERENT MAP'!$B$5=2022,#REF!,IF('INHERENT MAP'!$B$5=2023,#REF!,IF('INHERENT MAP'!$B$5=2024,#REF!,#REF!))))</f>
        <v>0</v>
      </c>
      <c r="K252">
        <f>IF('INHERENT MAP'!$B$5=2021,'РЕЕСТР РИСКОВ_2023'!O292,IF('INHERENT MAP'!$B$5=2022,#REF!,IF('INHERENT MAP'!$B$5=2023,#REF!,IF('INHERENT MAP'!$B$5=2024,#REF!,#REF!))))</f>
        <v>0</v>
      </c>
      <c r="L252">
        <f>IF('INHERENT MAP'!$B$5=2021,'РЕЕСТР РИСКОВ_2023'!P292,IF('INHERENT MAP'!$B$5=2022,#REF!,IF('INHERENT MAP'!$B$5=2023,#REF!,IF('INHERENT MAP'!$B$5=2024,#REF!,#REF!))))</f>
        <v>0</v>
      </c>
      <c r="M252" t="str">
        <f>IF('INHERENT MAP'!$B$5=2021,IF('РЕЕСТР РИСКОВ_2023'!Q292="",M251,'РЕЕСТР РИСКОВ_2023'!Q292),IF('INHERENT MAP'!$B$5=2022,IF(#REF!="",M251,#REF!),IF('INHERENT MAP'!$B$5=2023,IF(#REF!="",M251,#REF!),IF('INHERENT MAP'!$B$5=2024,IF(#REF!="",M251,#REF!),IF('РЕЕСТР РИСКОВ_2023'!Q292="",M251,'РЕЕСТР РИСКОВ_2023'!Q292)))))</f>
        <v>Увеличение базовой ставки Национального банка Республики Казахстан до 16%</v>
      </c>
      <c r="N252" t="str">
        <f>IF('INHERENT MAP'!$B$5=2021,IF('РЕЕСТР РИСКОВ_2023'!R292="",N251,'РЕЕСТР РИСКОВ_2023'!R292),IF('INHERENT MAP'!$B$5=2022,IF(#REF!="",N251,#REF!),IF('INHERENT MAP'!$B$5=2023,IF(#REF!="",N251,#REF!),IF('INHERENT MAP'!$B$5=2024,IF(#REF!="",N251,#REF!),IF('РЕЕСТР РИСКОВ_2023'!R292="",N251,'РЕЕСТР РИСКОВ_2023'!R292)))))</f>
        <v>Рецессия экономики европейских стран</v>
      </c>
      <c r="O252">
        <f>'РЕЕСТР РИСКОВ_2023'!T292</f>
        <v>0</v>
      </c>
      <c r="P252" t="e">
        <f>IF('РЕЕСТР РИСКОВ_2023'!U292="",P251,'РЕЕСТР РИСКОВ_2023'!U292)</f>
        <v>#REF!</v>
      </c>
      <c r="Q252" t="str">
        <f>IF('РЕЕСТР РИСКОВ_2023'!V292="",Q251,'РЕЕСТР РИСКОВ_2023'!V292)</f>
        <v>Угрозы</v>
      </c>
      <c r="R252" t="e">
        <f>IF('РЕЕСТР РИСКОВ_2023'!W292="",R251,'РЕЕСТР РИСКОВ_2023'!W292)</f>
        <v>#REF!</v>
      </c>
      <c r="S252">
        <f>'РЕЕСТР РИСКОВ_2023'!X292</f>
        <v>0</v>
      </c>
      <c r="T252" s="94">
        <f>IF('INHERENT MAP'!$B$5=2021,'РЕЕСТР РИСКОВ_2023'!Y292,IF('INHERENT MAP'!$B$5=2022,#REF!,IF('INHERENT MAP'!$B$5=2023,#REF!,IF('INHERENT MAP'!$B$5=2024,#REF!,#REF!))))</f>
        <v>0</v>
      </c>
      <c r="U252">
        <f>IF('INHERENT MAP'!$B$5=2021,'РЕЕСТР РИСКОВ_2023'!Z292,IF('INHERENT MAP'!$B$5=2022,#REF!,IF('INHERENT MAP'!$B$5=2023,#REF!,IF('INHERENT MAP'!$B$5=2024,#REF!,#REF!))))</f>
        <v>0</v>
      </c>
      <c r="V252">
        <f>IF('INHERENT MAP'!$B$5=2021,'РЕЕСТР РИСКОВ_2023'!AA292,IF('INHERENT MAP'!$B$5=2022,#REF!,IF('INHERENT MAP'!$B$5=2023,#REF!,IF('INHERENT MAP'!$B$5=2024,#REF!,#REF!))))</f>
        <v>0</v>
      </c>
      <c r="W252">
        <f>IF('INHERENT MAP'!$B$5=2021,'РЕЕСТР РИСКОВ_2023'!AB292,IF('INHERENT MAP'!$B$5=2022,#REF!,IF('INHERENT MAP'!$B$5=2023,#REF!,IF('INHERENT MAP'!$B$5=2024,#REF!,#REF!))))</f>
        <v>0</v>
      </c>
      <c r="X252" s="94">
        <f>IF('INHERENT MAP'!$B$5=2021,'РЕЕСТР РИСКОВ_2023'!AC292,IF('INHERENT MAP'!$B$5=2022,#REF!,IF('INHERENT MAP'!$B$5=2023,#REF!,IF('INHERENT MAP'!$B$5=2024,#REF!,#REF!))))</f>
        <v>0</v>
      </c>
      <c r="Y252">
        <f>IF('INHERENT MAP'!$B$5=2021,'РЕЕСТР РИСКОВ_2023'!AD292,IF('INHERENT MAP'!$B$5=2022,#REF!,IF('INHERENT MAP'!$B$5=2023,#REF!,IF('INHERENT MAP'!$B$5=2024,#REF!,#REF!))))</f>
        <v>0</v>
      </c>
      <c r="Z252">
        <f>IF('INHERENT MAP'!$B$5=2021,'РЕЕСТР РИСКОВ_2023'!AE292,IF('INHERENT MAP'!$B$5=2022,#REF!,IF('INHERENT MAP'!$B$5=2023,#REF!,IF('INHERENT MAP'!$B$5=2024,#REF!,#REF!))))</f>
        <v>0</v>
      </c>
      <c r="AA252">
        <f>IF('INHERENT MAP'!$B$5=2021,'РЕЕСТР РИСКОВ_2023'!AF292,IF('INHERENT MAP'!$B$5=2022,#REF!,IF('INHERENT MAP'!$B$5=2023,#REF!,IF('INHERENT MAP'!$B$5=2024,#REF!,#REF!))))</f>
        <v>0</v>
      </c>
      <c r="AB252">
        <f>IF('INHERENT MAP'!$B$5=2021,'РЕЕСТР РИСКОВ_2023'!AG292,IF('INHERENT MAP'!$B$5=2022,#REF!,IF('INHERENT MAP'!$B$5=2023,#REF!,IF('INHERENT MAP'!$B$5=2024,#REF!,#REF!))))</f>
        <v>0</v>
      </c>
      <c r="AC252">
        <f>IF('INHERENT MAP'!$B$5=2021,'РЕЕСТР РИСКОВ_2023'!AH292,IF('INHERENT MAP'!$B$5=2022,#REF!,IF('INHERENT MAP'!$B$5=2023,#REF!,IF('INHERENT MAP'!$B$5=2024,#REF!,#REF!))))</f>
        <v>0</v>
      </c>
      <c r="AD252">
        <f>IF('INHERENT MAP'!$B$5=2021,'РЕЕСТР РИСКОВ_2023'!AI292,IF('INHERENT MAP'!$B$5=2022,#REF!,IF('INHERENT MAP'!$B$5=2023,#REF!,IF('INHERENT MAP'!$B$5=2024,#REF!,#REF!))))</f>
        <v>0</v>
      </c>
      <c r="AE252">
        <f>IF('INHERENT MAP'!$B$5=2021,'РЕЕСТР РИСКОВ_2023'!AK292,IF('INHERENT MAP'!$B$5=2022,#REF!,IF('INHERENT MAP'!$B$5=2023,#REF!,IF('INHERENT MAP'!$B$5=2024,#REF!,#REF!))))</f>
        <v>0</v>
      </c>
      <c r="AF252">
        <f>IF('INHERENT MAP'!$B$5=2021,'РЕЕСТР РИСКОВ_2023'!AL292,IF('INHERENT MAP'!$B$5=2022,#REF!,IF('INHERENT MAP'!$B$5=2023,#REF!,IF('INHERENT MAP'!$B$5=2024,#REF!,#REF!))))</f>
        <v>0</v>
      </c>
      <c r="AG252">
        <f>IF('INHERENT MAP'!$B$5=2021,'РЕЕСТР РИСКОВ_2023'!AM292,IF('INHERENT MAP'!$B$5=2022,#REF!,IF('INHERENT MAP'!$B$5=2023,#REF!,IF('INHERENT MAP'!$B$5=2024,#REF!,#REF!))))</f>
        <v>0</v>
      </c>
      <c r="AH252">
        <f>IF('INHERENT MAP'!$B$5=2021,'РЕЕСТР РИСКОВ_2023'!AN292,IF('INHERENT MAP'!$B$5=2022,#REF!,IF('INHERENT MAP'!$B$5=2023,#REF!,IF('INHERENT MAP'!$B$5=2024,#REF!,#REF!))))</f>
        <v>0</v>
      </c>
      <c r="AI252">
        <f>IF('INHERENT MAP'!$B$5=2021,'РЕЕСТР РИСКОВ_2023'!AO292,IF('INHERENT MAP'!$B$5=2022,#REF!,IF('INHERENT MAP'!$B$5=2023,#REF!,IF('INHERENT MAP'!$B$5=2024,#REF!,#REF!))))</f>
        <v>0</v>
      </c>
      <c r="AJ252">
        <f>IF('INHERENT MAP'!$B$5=2021,'РЕЕСТР РИСКОВ_2023'!AP292,IF('INHERENT MAP'!$B$5=2022,#REF!,IF('INHERENT MAP'!$B$5=2023,#REF!,IF('INHERENT MAP'!$B$5=2024,#REF!,#REF!))))</f>
        <v>0</v>
      </c>
      <c r="AK252">
        <f>IF('РЕЕСТР РИСКОВ_2023'!AQ292="",AK251,'РЕЕСТР РИСКОВ_2023'!AQ292)</f>
        <v>-216</v>
      </c>
      <c r="AL252">
        <f>IF('РЕЕСТР РИСКОВ_2023'!AR292="",AL251,'РЕЕСТР РИСКОВ_2023'!AR292)</f>
        <v>0.12</v>
      </c>
      <c r="AM252" t="str">
        <f>IF('РЕЕСТР РИСКОВ_2023'!AS292="",AM251,'РЕЕСТР РИСКОВ_2023'!AS292)</f>
        <v>стоп</v>
      </c>
      <c r="AN252" t="str">
        <f>IF('РЕЕСТР РИСКОВ_2023'!AT292="",AN251,'РЕЕСТР РИСКОВ_2023'!AT292)</f>
        <v>стоп</v>
      </c>
      <c r="AO252" t="e">
        <f>IF('РЕЕСТР РИСКОВ_2023'!AU292="",AO251,'РЕЕСТР РИСКОВ_2023'!AU292)</f>
        <v>#REF!</v>
      </c>
    </row>
    <row r="253" spans="2:41">
      <c r="B253" t="str">
        <f>IF('INHERENT MAP'!$B$5=2021,IF('РЕЕСТР РИСКОВ_2023'!F293="",B252,'РЕЕСТР РИСКОВ_2023'!F293),IF('INHERENT MAP'!$B$5=2022,IF(#REF!="",B252,#REF!),IF('INHERENT MAP'!$B$5=2023,IF(#REF!="",B252,#REF!),IF('INHERENT MAP'!$B$5=2024,IF(#REF!="",B252,#REF!),IF('РЕЕСТР РИСКОВ_2023'!F293="",B252,'РЕЕСТР РИСКОВ_2023'!F293)))))</f>
        <v>ПРОЦЕНТНЫЙ РИСК</v>
      </c>
      <c r="C253" t="e">
        <f>IF('INHERENT MAP'!$B$5=2021,IF('РЕЕСТР РИСКОВ_2023'!G293="",C252,'РЕЕСТР РИСКОВ_2023'!G293),IF('INHERENT MAP'!$B$5=2022,IF(#REF!="",C252,#REF!),IF('INHERENT MAP'!$B$5=2023,IF(#REF!="",C252,#REF!),IF('INHERENT MAP'!$B$5=2024,IF(#REF!="",C252,#REF!),IF('РЕЕСТР РИСКОВ_2023'!G293="",C252,'РЕЕСТР РИСКОВ_2023'!G293)))))</f>
        <v>#REF!</v>
      </c>
      <c r="D253" t="str">
        <f>IF('INHERENT MAP'!$B$5=2021,IF('РЕЕСТР РИСКОВ_2023'!H293="",D252,'РЕЕСТР РИСКОВ_2023'!H293),IF('INHERENT MAP'!$B$5=2022,IF(#REF!="",D252,#REF!),IF('INHERENT MAP'!$B$5=2023,IF(#REF!="",D252,#REF!),IF('INHERENT MAP'!$B$5=2024,IF(#REF!="",D252,#REF!),IF('РЕЕСТР РИСКОВ_2023'!H293="",D252,'РЕЕСТР РИСКОВ_2023'!H293)))))</f>
        <v>IRR-1</v>
      </c>
      <c r="E253" t="str">
        <f>IF('INHERENT MAP'!$B$5=2021,IF('РЕЕСТР РИСКОВ_2023'!I293="",E252,'РЕЕСТР РИСКОВ_2023'!I293),IF('INHERENT MAP'!$B$5=2022,IF(#REF!="",E252,#REF!),IF('INHERENT MAP'!$B$5=2023,IF(#REF!="",E252,#REF!),IF('INHERENT MAP'!$B$5=2024,IF(#REF!="",E252,#REF!),IF('РЕЕСТР РИСКОВ_2023'!I293="",E252,'РЕЕСТР РИСКОВ_2023'!I293)))))</f>
        <v>ЦЗФ</v>
      </c>
      <c r="F253" t="str">
        <f>IF('INHERENT MAP'!$B$5=2021,IF('РЕЕСТР РИСКОВ_2023'!J293="",F252,'РЕЕСТР РИСКОВ_2023'!J293),IF('INHERENT MAP'!$B$5=2022,IF(#REF!="",F252,#REF!),IF('INHERENT MAP'!$B$5=2023,IF(#REF!="",F252,#REF!),IF('INHERENT MAP'!$B$5=2024,IF(#REF!="",F252,#REF!),IF('РЕЕСТР РИСКОВ_2023'!J293="",F252,'РЕЕСТР РИСКОВ_2023'!J293)))))</f>
        <v>Цзайм</v>
      </c>
      <c r="G253" t="str">
        <f>IF('INHERENT MAP'!$B$5=2021,IF('РЕЕСТР РИСКОВ_2023'!K293="",G252,'РЕЕСТР РИСКОВ_2023'!K293),IF('INHERENT MAP'!$B$5=2022,IF(#REF!="",G252,#REF!),IF('INHERENT MAP'!$B$5=2023,IF(#REF!="",G252,#REF!),IF('INHERENT MAP'!$B$5=2024,IF(#REF!="",G252,#REF!),IF('РЕЕСТР РИСКОВ_2023'!K293="",G252,'РЕЕСТР РИСКОВ_2023'!K293)))))</f>
        <v>Увеличение расходов по процентам на новые займы, а также текущие займы (с плавающей ставкой) в тенге.</v>
      </c>
      <c r="H253">
        <f>IF('INHERENT MAP'!$B$5=2021,'РЕЕСТР РИСКОВ_2023'!L293,IF('INHERENT MAP'!$B$5=2022,#REF!,IF('INHERENT MAP'!$B$5=2023,#REF!,IF('INHERENT MAP'!$B$5=2024,#REF!,#REF!))))</f>
        <v>0</v>
      </c>
      <c r="I253">
        <f>IF('INHERENT MAP'!$B$5=2021,'РЕЕСТР РИСКОВ_2023'!M293,IF('INHERENT MAP'!$B$5=2022,#REF!,IF('INHERENT MAP'!$B$5=2023,#REF!,IF('INHERENT MAP'!$B$5=2024,#REF!,#REF!))))</f>
        <v>0</v>
      </c>
      <c r="J253">
        <f>IF('INHERENT MAP'!$B$5=2021,'РЕЕСТР РИСКОВ_2023'!N293,IF('INHERENT MAP'!$B$5=2022,#REF!,IF('INHERENT MAP'!$B$5=2023,#REF!,IF('INHERENT MAP'!$B$5=2024,#REF!,#REF!))))</f>
        <v>0</v>
      </c>
      <c r="K253">
        <f>IF('INHERENT MAP'!$B$5=2021,'РЕЕСТР РИСКОВ_2023'!O293,IF('INHERENT MAP'!$B$5=2022,#REF!,IF('INHERENT MAP'!$B$5=2023,#REF!,IF('INHERENT MAP'!$B$5=2024,#REF!,#REF!))))</f>
        <v>0</v>
      </c>
      <c r="L253">
        <f>IF('INHERENT MAP'!$B$5=2021,'РЕЕСТР РИСКОВ_2023'!P293,IF('INHERENT MAP'!$B$5=2022,#REF!,IF('INHERENT MAP'!$B$5=2023,#REF!,IF('INHERENT MAP'!$B$5=2024,#REF!,#REF!))))</f>
        <v>0</v>
      </c>
      <c r="M253" t="str">
        <f>IF('INHERENT MAP'!$B$5=2021,IF('РЕЕСТР РИСКОВ_2023'!Q293="",M252,'РЕЕСТР РИСКОВ_2023'!Q293),IF('INHERENT MAP'!$B$5=2022,IF(#REF!="",M252,#REF!),IF('INHERENT MAP'!$B$5=2023,IF(#REF!="",M252,#REF!),IF('INHERENT MAP'!$B$5=2024,IF(#REF!="",M252,#REF!),IF('РЕЕСТР РИСКОВ_2023'!Q293="",M252,'РЕЕСТР РИСКОВ_2023'!Q293)))))</f>
        <v>Увеличение базовой ставки Национального банка Республики Казахстан до 16%</v>
      </c>
      <c r="N253" t="str">
        <f>IF('INHERENT MAP'!$B$5=2021,IF('РЕЕСТР РИСКОВ_2023'!R293="",N252,'РЕЕСТР РИСКОВ_2023'!R293),IF('INHERENT MAP'!$B$5=2022,IF(#REF!="",N252,#REF!),IF('INHERENT MAP'!$B$5=2023,IF(#REF!="",N252,#REF!),IF('INHERENT MAP'!$B$5=2024,IF(#REF!="",N252,#REF!),IF('РЕЕСТР РИСКОВ_2023'!R293="",N252,'РЕЕСТР РИСКОВ_2023'!R293)))))</f>
        <v>Рецессия экономики европейских стран</v>
      </c>
      <c r="O253">
        <f>'РЕЕСТР РИСКОВ_2023'!T293</f>
        <v>0</v>
      </c>
      <c r="P253" t="e">
        <f>IF('РЕЕСТР РИСКОВ_2023'!U293="",P252,'РЕЕСТР РИСКОВ_2023'!U293)</f>
        <v>#REF!</v>
      </c>
      <c r="Q253" t="str">
        <f>IF('РЕЕСТР РИСКОВ_2023'!V293="",Q252,'РЕЕСТР РИСКОВ_2023'!V293)</f>
        <v>Угрозы</v>
      </c>
      <c r="R253" t="e">
        <f>IF('РЕЕСТР РИСКОВ_2023'!W293="",R252,'РЕЕСТР РИСКОВ_2023'!W293)</f>
        <v>#REF!</v>
      </c>
      <c r="S253">
        <f>'РЕЕСТР РИСКОВ_2023'!X293</f>
        <v>0</v>
      </c>
      <c r="T253" s="94">
        <f>IF('INHERENT MAP'!$B$5=2021,'РЕЕСТР РИСКОВ_2023'!Y293,IF('INHERENT MAP'!$B$5=2022,#REF!,IF('INHERENT MAP'!$B$5=2023,#REF!,IF('INHERENT MAP'!$B$5=2024,#REF!,#REF!))))</f>
        <v>0</v>
      </c>
      <c r="U253">
        <f>IF('INHERENT MAP'!$B$5=2021,'РЕЕСТР РИСКОВ_2023'!Z293,IF('INHERENT MAP'!$B$5=2022,#REF!,IF('INHERENT MAP'!$B$5=2023,#REF!,IF('INHERENT MAP'!$B$5=2024,#REF!,#REF!))))</f>
        <v>0</v>
      </c>
      <c r="V253">
        <f>IF('INHERENT MAP'!$B$5=2021,'РЕЕСТР РИСКОВ_2023'!AA293,IF('INHERENT MAP'!$B$5=2022,#REF!,IF('INHERENT MAP'!$B$5=2023,#REF!,IF('INHERENT MAP'!$B$5=2024,#REF!,#REF!))))</f>
        <v>0</v>
      </c>
      <c r="W253">
        <f>IF('INHERENT MAP'!$B$5=2021,'РЕЕСТР РИСКОВ_2023'!AB293,IF('INHERENT MAP'!$B$5=2022,#REF!,IF('INHERENT MAP'!$B$5=2023,#REF!,IF('INHERENT MAP'!$B$5=2024,#REF!,#REF!))))</f>
        <v>0</v>
      </c>
      <c r="X253" s="94">
        <f>IF('INHERENT MAP'!$B$5=2021,'РЕЕСТР РИСКОВ_2023'!AC293,IF('INHERENT MAP'!$B$5=2022,#REF!,IF('INHERENT MAP'!$B$5=2023,#REF!,IF('INHERENT MAP'!$B$5=2024,#REF!,#REF!))))</f>
        <v>0</v>
      </c>
      <c r="Y253">
        <f>IF('INHERENT MAP'!$B$5=2021,'РЕЕСТР РИСКОВ_2023'!AD293,IF('INHERENT MAP'!$B$5=2022,#REF!,IF('INHERENT MAP'!$B$5=2023,#REF!,IF('INHERENT MAP'!$B$5=2024,#REF!,#REF!))))</f>
        <v>0</v>
      </c>
      <c r="Z253">
        <f>IF('INHERENT MAP'!$B$5=2021,'РЕЕСТР РИСКОВ_2023'!AE293,IF('INHERENT MAP'!$B$5=2022,#REF!,IF('INHERENT MAP'!$B$5=2023,#REF!,IF('INHERENT MAP'!$B$5=2024,#REF!,#REF!))))</f>
        <v>0</v>
      </c>
      <c r="AA253">
        <f>IF('INHERENT MAP'!$B$5=2021,'РЕЕСТР РИСКОВ_2023'!AF293,IF('INHERENT MAP'!$B$5=2022,#REF!,IF('INHERENT MAP'!$B$5=2023,#REF!,IF('INHERENT MAP'!$B$5=2024,#REF!,#REF!))))</f>
        <v>0</v>
      </c>
      <c r="AB253">
        <f>IF('INHERENT MAP'!$B$5=2021,'РЕЕСТР РИСКОВ_2023'!AG293,IF('INHERENT MAP'!$B$5=2022,#REF!,IF('INHERENT MAP'!$B$5=2023,#REF!,IF('INHERENT MAP'!$B$5=2024,#REF!,#REF!))))</f>
        <v>0</v>
      </c>
      <c r="AC253">
        <f>IF('INHERENT MAP'!$B$5=2021,'РЕЕСТР РИСКОВ_2023'!AH293,IF('INHERENT MAP'!$B$5=2022,#REF!,IF('INHERENT MAP'!$B$5=2023,#REF!,IF('INHERENT MAP'!$B$5=2024,#REF!,#REF!))))</f>
        <v>0</v>
      </c>
      <c r="AD253">
        <f>IF('INHERENT MAP'!$B$5=2021,'РЕЕСТР РИСКОВ_2023'!AI293,IF('INHERENT MAP'!$B$5=2022,#REF!,IF('INHERENT MAP'!$B$5=2023,#REF!,IF('INHERENT MAP'!$B$5=2024,#REF!,#REF!))))</f>
        <v>0</v>
      </c>
      <c r="AE253">
        <f>IF('INHERENT MAP'!$B$5=2021,'РЕЕСТР РИСКОВ_2023'!AK293,IF('INHERENT MAP'!$B$5=2022,#REF!,IF('INHERENT MAP'!$B$5=2023,#REF!,IF('INHERENT MAP'!$B$5=2024,#REF!,#REF!))))</f>
        <v>0</v>
      </c>
      <c r="AF253">
        <f>IF('INHERENT MAP'!$B$5=2021,'РЕЕСТР РИСКОВ_2023'!AL293,IF('INHERENT MAP'!$B$5=2022,#REF!,IF('INHERENT MAP'!$B$5=2023,#REF!,IF('INHERENT MAP'!$B$5=2024,#REF!,#REF!))))</f>
        <v>0</v>
      </c>
      <c r="AG253">
        <f>IF('INHERENT MAP'!$B$5=2021,'РЕЕСТР РИСКОВ_2023'!AM293,IF('INHERENT MAP'!$B$5=2022,#REF!,IF('INHERENT MAP'!$B$5=2023,#REF!,IF('INHERENT MAP'!$B$5=2024,#REF!,#REF!))))</f>
        <v>0</v>
      </c>
      <c r="AH253">
        <f>IF('INHERENT MAP'!$B$5=2021,'РЕЕСТР РИСКОВ_2023'!AN293,IF('INHERENT MAP'!$B$5=2022,#REF!,IF('INHERENT MAP'!$B$5=2023,#REF!,IF('INHERENT MAP'!$B$5=2024,#REF!,#REF!))))</f>
        <v>0</v>
      </c>
      <c r="AI253">
        <f>IF('INHERENT MAP'!$B$5=2021,'РЕЕСТР РИСКОВ_2023'!AO293,IF('INHERENT MAP'!$B$5=2022,#REF!,IF('INHERENT MAP'!$B$5=2023,#REF!,IF('INHERENT MAP'!$B$5=2024,#REF!,#REF!))))</f>
        <v>0</v>
      </c>
      <c r="AJ253">
        <f>IF('INHERENT MAP'!$B$5=2021,'РЕЕСТР РИСКОВ_2023'!AP293,IF('INHERENT MAP'!$B$5=2022,#REF!,IF('INHERENT MAP'!$B$5=2023,#REF!,IF('INHERENT MAP'!$B$5=2024,#REF!,#REF!))))</f>
        <v>0</v>
      </c>
      <c r="AK253">
        <f>IF('РЕЕСТР РИСКОВ_2023'!AQ293="",AK252,'РЕЕСТР РИСКОВ_2023'!AQ293)</f>
        <v>-216</v>
      </c>
      <c r="AL253">
        <f>IF('РЕЕСТР РИСКОВ_2023'!AR293="",AL252,'РЕЕСТР РИСКОВ_2023'!AR293)</f>
        <v>0.12</v>
      </c>
      <c r="AM253" t="str">
        <f>IF('РЕЕСТР РИСКОВ_2023'!AS293="",AM252,'РЕЕСТР РИСКОВ_2023'!AS293)</f>
        <v>стоп</v>
      </c>
      <c r="AN253" t="str">
        <f>IF('РЕЕСТР РИСКОВ_2023'!AT293="",AN252,'РЕЕСТР РИСКОВ_2023'!AT293)</f>
        <v>стоп</v>
      </c>
      <c r="AO253" t="e">
        <f>IF('РЕЕСТР РИСКОВ_2023'!AU293="",AO252,'РЕЕСТР РИСКОВ_2023'!AU293)</f>
        <v>#REF!</v>
      </c>
    </row>
    <row r="254" spans="2:41">
      <c r="B254" t="str">
        <f>IF('INHERENT MAP'!$B$5=2021,IF('РЕЕСТР РИСКОВ_2023'!F294="",B253,'РЕЕСТР РИСКОВ_2023'!F294),IF('INHERENT MAP'!$B$5=2022,IF(#REF!="",B253,#REF!),IF('INHERENT MAP'!$B$5=2023,IF(#REF!="",B253,#REF!),IF('INHERENT MAP'!$B$5=2024,IF(#REF!="",B253,#REF!),IF('РЕЕСТР РИСКОВ_2023'!F294="",B253,'РЕЕСТР РИСКОВ_2023'!F294)))))</f>
        <v>ПРОЦЕНТНЫЙ РИСК</v>
      </c>
      <c r="C254" t="e">
        <f>IF('INHERENT MAP'!$B$5=2021,IF('РЕЕСТР РИСКОВ_2023'!G294="",C253,'РЕЕСТР РИСКОВ_2023'!G294),IF('INHERENT MAP'!$B$5=2022,IF(#REF!="",C253,#REF!),IF('INHERENT MAP'!$B$5=2023,IF(#REF!="",C253,#REF!),IF('INHERENT MAP'!$B$5=2024,IF(#REF!="",C253,#REF!),IF('РЕЕСТР РИСКОВ_2023'!G294="",C253,'РЕЕСТР РИСКОВ_2023'!G294)))))</f>
        <v>#REF!</v>
      </c>
      <c r="D254" t="str">
        <f>IF('INHERENT MAP'!$B$5=2021,IF('РЕЕСТР РИСКОВ_2023'!H294="",D253,'РЕЕСТР РИСКОВ_2023'!H294),IF('INHERENT MAP'!$B$5=2022,IF(#REF!="",D253,#REF!),IF('INHERENT MAP'!$B$5=2023,IF(#REF!="",D253,#REF!),IF('INHERENT MAP'!$B$5=2024,IF(#REF!="",D253,#REF!),IF('РЕЕСТР РИСКОВ_2023'!H294="",D253,'РЕЕСТР РИСКОВ_2023'!H294)))))</f>
        <v>IRR-1</v>
      </c>
      <c r="E254" t="str">
        <f>IF('INHERENT MAP'!$B$5=2021,IF('РЕЕСТР РИСКОВ_2023'!I294="",E253,'РЕЕСТР РИСКОВ_2023'!I294),IF('INHERENT MAP'!$B$5=2022,IF(#REF!="",E253,#REF!),IF('INHERENT MAP'!$B$5=2023,IF(#REF!="",E253,#REF!),IF('INHERENT MAP'!$B$5=2024,IF(#REF!="",E253,#REF!),IF('РЕЕСТР РИСКОВ_2023'!I294="",E253,'РЕЕСТР РИСКОВ_2023'!I294)))))</f>
        <v>ЦЗФ</v>
      </c>
      <c r="F254" t="str">
        <f>IF('INHERENT MAP'!$B$5=2021,IF('РЕЕСТР РИСКОВ_2023'!J294="",F253,'РЕЕСТР РИСКОВ_2023'!J294),IF('INHERENT MAP'!$B$5=2022,IF(#REF!="",F253,#REF!),IF('INHERENT MAP'!$B$5=2023,IF(#REF!="",F253,#REF!),IF('INHERENT MAP'!$B$5=2024,IF(#REF!="",F253,#REF!),IF('РЕЕСТР РИСКОВ_2023'!J294="",F253,'РЕЕСТР РИСКОВ_2023'!J294)))))</f>
        <v>Цзайм</v>
      </c>
      <c r="G254" t="str">
        <f>IF('INHERENT MAP'!$B$5=2021,IF('РЕЕСТР РИСКОВ_2023'!K294="",G253,'РЕЕСТР РИСКОВ_2023'!K294),IF('INHERENT MAP'!$B$5=2022,IF(#REF!="",G253,#REF!),IF('INHERENT MAP'!$B$5=2023,IF(#REF!="",G253,#REF!),IF('INHERENT MAP'!$B$5=2024,IF(#REF!="",G253,#REF!),IF('РЕЕСТР РИСКОВ_2023'!K294="",G253,'РЕЕСТР РИСКОВ_2023'!K294)))))</f>
        <v>Увеличение расходов по процентам на новые займы, а также текущие займы (с плавающей ставкой) в тенге.</v>
      </c>
      <c r="H254">
        <f>IF('INHERENT MAP'!$B$5=2021,'РЕЕСТР РИСКОВ_2023'!L294,IF('INHERENT MAP'!$B$5=2022,#REF!,IF('INHERENT MAP'!$B$5=2023,#REF!,IF('INHERENT MAP'!$B$5=2024,#REF!,#REF!))))</f>
        <v>0</v>
      </c>
      <c r="I254">
        <f>IF('INHERENT MAP'!$B$5=2021,'РЕЕСТР РИСКОВ_2023'!M294,IF('INHERENT MAP'!$B$5=2022,#REF!,IF('INHERENT MAP'!$B$5=2023,#REF!,IF('INHERENT MAP'!$B$5=2024,#REF!,#REF!))))</f>
        <v>0</v>
      </c>
      <c r="J254">
        <f>IF('INHERENT MAP'!$B$5=2021,'РЕЕСТР РИСКОВ_2023'!N294,IF('INHERENT MAP'!$B$5=2022,#REF!,IF('INHERENT MAP'!$B$5=2023,#REF!,IF('INHERENT MAP'!$B$5=2024,#REF!,#REF!))))</f>
        <v>0</v>
      </c>
      <c r="K254">
        <f>IF('INHERENT MAP'!$B$5=2021,'РЕЕСТР РИСКОВ_2023'!O294,IF('INHERENT MAP'!$B$5=2022,#REF!,IF('INHERENT MAP'!$B$5=2023,#REF!,IF('INHERENT MAP'!$B$5=2024,#REF!,#REF!))))</f>
        <v>0</v>
      </c>
      <c r="L254">
        <f>IF('INHERENT MAP'!$B$5=2021,'РЕЕСТР РИСКОВ_2023'!P294,IF('INHERENT MAP'!$B$5=2022,#REF!,IF('INHERENT MAP'!$B$5=2023,#REF!,IF('INHERENT MAP'!$B$5=2024,#REF!,#REF!))))</f>
        <v>0</v>
      </c>
      <c r="M254" t="str">
        <f>IF('INHERENT MAP'!$B$5=2021,IF('РЕЕСТР РИСКОВ_2023'!Q294="",M253,'РЕЕСТР РИСКОВ_2023'!Q294),IF('INHERENT MAP'!$B$5=2022,IF(#REF!="",M253,#REF!),IF('INHERENT MAP'!$B$5=2023,IF(#REF!="",M253,#REF!),IF('INHERENT MAP'!$B$5=2024,IF(#REF!="",M253,#REF!),IF('РЕЕСТР РИСКОВ_2023'!Q294="",M253,'РЕЕСТР РИСКОВ_2023'!Q294)))))</f>
        <v>Увеличение базовой ставки Национального банка Республики Казахстан до 16%</v>
      </c>
      <c r="N254" t="str">
        <f>IF('INHERENT MAP'!$B$5=2021,IF('РЕЕСТР РИСКОВ_2023'!R294="",N253,'РЕЕСТР РИСКОВ_2023'!R294),IF('INHERENT MAP'!$B$5=2022,IF(#REF!="",N253,#REF!),IF('INHERENT MAP'!$B$5=2023,IF(#REF!="",N253,#REF!),IF('INHERENT MAP'!$B$5=2024,IF(#REF!="",N253,#REF!),IF('РЕЕСТР РИСКОВ_2023'!R294="",N253,'РЕЕСТР РИСКОВ_2023'!R294)))))</f>
        <v>Рецессия экономики европейских стран</v>
      </c>
      <c r="O254">
        <f>'РЕЕСТР РИСКОВ_2023'!T294</f>
        <v>0</v>
      </c>
      <c r="P254" t="e">
        <f>IF('РЕЕСТР РИСКОВ_2023'!U294="",P253,'РЕЕСТР РИСКОВ_2023'!U294)</f>
        <v>#REF!</v>
      </c>
      <c r="Q254" t="str">
        <f>IF('РЕЕСТР РИСКОВ_2023'!V294="",Q253,'РЕЕСТР РИСКОВ_2023'!V294)</f>
        <v>Угрозы</v>
      </c>
      <c r="R254" t="e">
        <f>IF('РЕЕСТР РИСКОВ_2023'!W294="",R253,'РЕЕСТР РИСКОВ_2023'!W294)</f>
        <v>#REF!</v>
      </c>
      <c r="S254">
        <f>'РЕЕСТР РИСКОВ_2023'!X294</f>
        <v>0</v>
      </c>
      <c r="T254" s="94">
        <f>IF('INHERENT MAP'!$B$5=2021,'РЕЕСТР РИСКОВ_2023'!Y294,IF('INHERENT MAP'!$B$5=2022,#REF!,IF('INHERENT MAP'!$B$5=2023,#REF!,IF('INHERENT MAP'!$B$5=2024,#REF!,#REF!))))</f>
        <v>0</v>
      </c>
      <c r="U254">
        <f>IF('INHERENT MAP'!$B$5=2021,'РЕЕСТР РИСКОВ_2023'!Z294,IF('INHERENT MAP'!$B$5=2022,#REF!,IF('INHERENT MAP'!$B$5=2023,#REF!,IF('INHERENT MAP'!$B$5=2024,#REF!,#REF!))))</f>
        <v>0</v>
      </c>
      <c r="V254">
        <f>IF('INHERENT MAP'!$B$5=2021,'РЕЕСТР РИСКОВ_2023'!AA294,IF('INHERENT MAP'!$B$5=2022,#REF!,IF('INHERENT MAP'!$B$5=2023,#REF!,IF('INHERENT MAP'!$B$5=2024,#REF!,#REF!))))</f>
        <v>0</v>
      </c>
      <c r="W254">
        <f>IF('INHERENT MAP'!$B$5=2021,'РЕЕСТР РИСКОВ_2023'!AB294,IF('INHERENT MAP'!$B$5=2022,#REF!,IF('INHERENT MAP'!$B$5=2023,#REF!,IF('INHERENT MAP'!$B$5=2024,#REF!,#REF!))))</f>
        <v>0</v>
      </c>
      <c r="X254" s="94">
        <f>IF('INHERENT MAP'!$B$5=2021,'РЕЕСТР РИСКОВ_2023'!AC294,IF('INHERENT MAP'!$B$5=2022,#REF!,IF('INHERENT MAP'!$B$5=2023,#REF!,IF('INHERENT MAP'!$B$5=2024,#REF!,#REF!))))</f>
        <v>0</v>
      </c>
      <c r="Y254">
        <f>IF('INHERENT MAP'!$B$5=2021,'РЕЕСТР РИСКОВ_2023'!AD294,IF('INHERENT MAP'!$B$5=2022,#REF!,IF('INHERENT MAP'!$B$5=2023,#REF!,IF('INHERENT MAP'!$B$5=2024,#REF!,#REF!))))</f>
        <v>0</v>
      </c>
      <c r="Z254">
        <f>IF('INHERENT MAP'!$B$5=2021,'РЕЕСТР РИСКОВ_2023'!AE294,IF('INHERENT MAP'!$B$5=2022,#REF!,IF('INHERENT MAP'!$B$5=2023,#REF!,IF('INHERENT MAP'!$B$5=2024,#REF!,#REF!))))</f>
        <v>0</v>
      </c>
      <c r="AA254">
        <f>IF('INHERENT MAP'!$B$5=2021,'РЕЕСТР РИСКОВ_2023'!AF294,IF('INHERENT MAP'!$B$5=2022,#REF!,IF('INHERENT MAP'!$B$5=2023,#REF!,IF('INHERENT MAP'!$B$5=2024,#REF!,#REF!))))</f>
        <v>0</v>
      </c>
      <c r="AB254">
        <f>IF('INHERENT MAP'!$B$5=2021,'РЕЕСТР РИСКОВ_2023'!AG294,IF('INHERENT MAP'!$B$5=2022,#REF!,IF('INHERENT MAP'!$B$5=2023,#REF!,IF('INHERENT MAP'!$B$5=2024,#REF!,#REF!))))</f>
        <v>0</v>
      </c>
      <c r="AC254">
        <f>IF('INHERENT MAP'!$B$5=2021,'РЕЕСТР РИСКОВ_2023'!AH294,IF('INHERENT MAP'!$B$5=2022,#REF!,IF('INHERENT MAP'!$B$5=2023,#REF!,IF('INHERENT MAP'!$B$5=2024,#REF!,#REF!))))</f>
        <v>0</v>
      </c>
      <c r="AD254">
        <f>IF('INHERENT MAP'!$B$5=2021,'РЕЕСТР РИСКОВ_2023'!AI294,IF('INHERENT MAP'!$B$5=2022,#REF!,IF('INHERENT MAP'!$B$5=2023,#REF!,IF('INHERENT MAP'!$B$5=2024,#REF!,#REF!))))</f>
        <v>0</v>
      </c>
      <c r="AE254">
        <f>IF('INHERENT MAP'!$B$5=2021,'РЕЕСТР РИСКОВ_2023'!AK294,IF('INHERENT MAP'!$B$5=2022,#REF!,IF('INHERENT MAP'!$B$5=2023,#REF!,IF('INHERENT MAP'!$B$5=2024,#REF!,#REF!))))</f>
        <v>0</v>
      </c>
      <c r="AF254">
        <f>IF('INHERENT MAP'!$B$5=2021,'РЕЕСТР РИСКОВ_2023'!AL294,IF('INHERENT MAP'!$B$5=2022,#REF!,IF('INHERENT MAP'!$B$5=2023,#REF!,IF('INHERENT MAP'!$B$5=2024,#REF!,#REF!))))</f>
        <v>0</v>
      </c>
      <c r="AG254">
        <f>IF('INHERENT MAP'!$B$5=2021,'РЕЕСТР РИСКОВ_2023'!AM294,IF('INHERENT MAP'!$B$5=2022,#REF!,IF('INHERENT MAP'!$B$5=2023,#REF!,IF('INHERENT MAP'!$B$5=2024,#REF!,#REF!))))</f>
        <v>0</v>
      </c>
      <c r="AH254">
        <f>IF('INHERENT MAP'!$B$5=2021,'РЕЕСТР РИСКОВ_2023'!AN294,IF('INHERENT MAP'!$B$5=2022,#REF!,IF('INHERENT MAP'!$B$5=2023,#REF!,IF('INHERENT MAP'!$B$5=2024,#REF!,#REF!))))</f>
        <v>0</v>
      </c>
      <c r="AI254">
        <f>IF('INHERENT MAP'!$B$5=2021,'РЕЕСТР РИСКОВ_2023'!AO294,IF('INHERENT MAP'!$B$5=2022,#REF!,IF('INHERENT MAP'!$B$5=2023,#REF!,IF('INHERENT MAP'!$B$5=2024,#REF!,#REF!))))</f>
        <v>0</v>
      </c>
      <c r="AJ254">
        <f>IF('INHERENT MAP'!$B$5=2021,'РЕЕСТР РИСКОВ_2023'!AP294,IF('INHERENT MAP'!$B$5=2022,#REF!,IF('INHERENT MAP'!$B$5=2023,#REF!,IF('INHERENT MAP'!$B$5=2024,#REF!,#REF!))))</f>
        <v>0</v>
      </c>
      <c r="AK254">
        <f>IF('РЕЕСТР РИСКОВ_2023'!AQ294="",AK253,'РЕЕСТР РИСКОВ_2023'!AQ294)</f>
        <v>-216</v>
      </c>
      <c r="AL254">
        <f>IF('РЕЕСТР РИСКОВ_2023'!AR294="",AL253,'РЕЕСТР РИСКОВ_2023'!AR294)</f>
        <v>0.12</v>
      </c>
      <c r="AM254" t="str">
        <f>IF('РЕЕСТР РИСКОВ_2023'!AS294="",AM253,'РЕЕСТР РИСКОВ_2023'!AS294)</f>
        <v>стоп</v>
      </c>
      <c r="AN254" t="str">
        <f>IF('РЕЕСТР РИСКОВ_2023'!AT294="",AN253,'РЕЕСТР РИСКОВ_2023'!AT294)</f>
        <v>стоп</v>
      </c>
      <c r="AO254" t="e">
        <f>IF('РЕЕСТР РИСКОВ_2023'!AU294="",AO253,'РЕЕСТР РИСКОВ_2023'!AU294)</f>
        <v>#REF!</v>
      </c>
    </row>
    <row r="255" spans="2:41">
      <c r="B255" t="str">
        <f>IF('INHERENT MAP'!$B$5=2021,IF('РЕЕСТР РИСКОВ_2023'!F295="",B254,'РЕЕСТР РИСКОВ_2023'!F295),IF('INHERENT MAP'!$B$5=2022,IF(#REF!="",B254,#REF!),IF('INHERENT MAP'!$B$5=2023,IF(#REF!="",B254,#REF!),IF('INHERENT MAP'!$B$5=2024,IF(#REF!="",B254,#REF!),IF('РЕЕСТР РИСКОВ_2023'!F295="",B254,'РЕЕСТР РИСКОВ_2023'!F295)))))</f>
        <v>ПРОЦЕНТНЫЙ РИСК</v>
      </c>
      <c r="C255" t="e">
        <f>IF('INHERENT MAP'!$B$5=2021,IF('РЕЕСТР РИСКОВ_2023'!G295="",C254,'РЕЕСТР РИСКОВ_2023'!G295),IF('INHERENT MAP'!$B$5=2022,IF(#REF!="",C254,#REF!),IF('INHERENT MAP'!$B$5=2023,IF(#REF!="",C254,#REF!),IF('INHERENT MAP'!$B$5=2024,IF(#REF!="",C254,#REF!),IF('РЕЕСТР РИСКОВ_2023'!G295="",C254,'РЕЕСТР РИСКОВ_2023'!G295)))))</f>
        <v>#REF!</v>
      </c>
      <c r="D255" t="str">
        <f>IF('INHERENT MAP'!$B$5=2021,IF('РЕЕСТР РИСКОВ_2023'!H295="",D254,'РЕЕСТР РИСКОВ_2023'!H295),IF('INHERENT MAP'!$B$5=2022,IF(#REF!="",D254,#REF!),IF('INHERENT MAP'!$B$5=2023,IF(#REF!="",D254,#REF!),IF('INHERENT MAP'!$B$5=2024,IF(#REF!="",D254,#REF!),IF('РЕЕСТР РИСКОВ_2023'!H295="",D254,'РЕЕСТР РИСКОВ_2023'!H295)))))</f>
        <v>IRR-1</v>
      </c>
      <c r="E255" t="str">
        <f>IF('INHERENT MAP'!$B$5=2021,IF('РЕЕСТР РИСКОВ_2023'!I295="",E254,'РЕЕСТР РИСКОВ_2023'!I295),IF('INHERENT MAP'!$B$5=2022,IF(#REF!="",E254,#REF!),IF('INHERENT MAP'!$B$5=2023,IF(#REF!="",E254,#REF!),IF('INHERENT MAP'!$B$5=2024,IF(#REF!="",E254,#REF!),IF('РЕЕСТР РИСКОВ_2023'!I295="",E254,'РЕЕСТР РИСКОВ_2023'!I295)))))</f>
        <v>ЦЗФ</v>
      </c>
      <c r="F255" t="str">
        <f>IF('INHERENT MAP'!$B$5=2021,IF('РЕЕСТР РИСКОВ_2023'!J295="",F254,'РЕЕСТР РИСКОВ_2023'!J295),IF('INHERENT MAP'!$B$5=2022,IF(#REF!="",F254,#REF!),IF('INHERENT MAP'!$B$5=2023,IF(#REF!="",F254,#REF!),IF('INHERENT MAP'!$B$5=2024,IF(#REF!="",F254,#REF!),IF('РЕЕСТР РИСКОВ_2023'!J295="",F254,'РЕЕСТР РИСКОВ_2023'!J295)))))</f>
        <v>Цзайм</v>
      </c>
      <c r="G255" t="str">
        <f>IF('INHERENT MAP'!$B$5=2021,IF('РЕЕСТР РИСКОВ_2023'!K295="",G254,'РЕЕСТР РИСКОВ_2023'!K295),IF('INHERENT MAP'!$B$5=2022,IF(#REF!="",G254,#REF!),IF('INHERENT MAP'!$B$5=2023,IF(#REF!="",G254,#REF!),IF('INHERENT MAP'!$B$5=2024,IF(#REF!="",G254,#REF!),IF('РЕЕСТР РИСКОВ_2023'!K295="",G254,'РЕЕСТР РИСКОВ_2023'!K295)))))</f>
        <v>Увеличение расходов по процентам на новые займы, а также текущие займы (с плавающей ставкой) в тенге.</v>
      </c>
      <c r="H255">
        <f>IF('INHERENT MAP'!$B$5=2021,'РЕЕСТР РИСКОВ_2023'!L295,IF('INHERENT MAP'!$B$5=2022,#REF!,IF('INHERENT MAP'!$B$5=2023,#REF!,IF('INHERENT MAP'!$B$5=2024,#REF!,#REF!))))</f>
        <v>0</v>
      </c>
      <c r="I255">
        <f>IF('INHERENT MAP'!$B$5=2021,'РЕЕСТР РИСКОВ_2023'!M295,IF('INHERENT MAP'!$B$5=2022,#REF!,IF('INHERENT MAP'!$B$5=2023,#REF!,IF('INHERENT MAP'!$B$5=2024,#REF!,#REF!))))</f>
        <v>0</v>
      </c>
      <c r="J255">
        <f>IF('INHERENT MAP'!$B$5=2021,'РЕЕСТР РИСКОВ_2023'!N295,IF('INHERENT MAP'!$B$5=2022,#REF!,IF('INHERENT MAP'!$B$5=2023,#REF!,IF('INHERENT MAP'!$B$5=2024,#REF!,#REF!))))</f>
        <v>0</v>
      </c>
      <c r="K255">
        <f>IF('INHERENT MAP'!$B$5=2021,'РЕЕСТР РИСКОВ_2023'!O295,IF('INHERENT MAP'!$B$5=2022,#REF!,IF('INHERENT MAP'!$B$5=2023,#REF!,IF('INHERENT MAP'!$B$5=2024,#REF!,#REF!))))</f>
        <v>0</v>
      </c>
      <c r="L255">
        <f>IF('INHERENT MAP'!$B$5=2021,'РЕЕСТР РИСКОВ_2023'!P295,IF('INHERENT MAP'!$B$5=2022,#REF!,IF('INHERENT MAP'!$B$5=2023,#REF!,IF('INHERENT MAP'!$B$5=2024,#REF!,#REF!))))</f>
        <v>0</v>
      </c>
      <c r="M255" t="str">
        <f>IF('INHERENT MAP'!$B$5=2021,IF('РЕЕСТР РИСКОВ_2023'!Q295="",M254,'РЕЕСТР РИСКОВ_2023'!Q295),IF('INHERENT MAP'!$B$5=2022,IF(#REF!="",M254,#REF!),IF('INHERENT MAP'!$B$5=2023,IF(#REF!="",M254,#REF!),IF('INHERENT MAP'!$B$5=2024,IF(#REF!="",M254,#REF!),IF('РЕЕСТР РИСКОВ_2023'!Q295="",M254,'РЕЕСТР РИСКОВ_2023'!Q295)))))</f>
        <v>Увеличение базовой ставки Национального банка Республики Казахстан до 16%</v>
      </c>
      <c r="N255" t="str">
        <f>IF('INHERENT MAP'!$B$5=2021,IF('РЕЕСТР РИСКОВ_2023'!R295="",N254,'РЕЕСТР РИСКОВ_2023'!R295),IF('INHERENT MAP'!$B$5=2022,IF(#REF!="",N254,#REF!),IF('INHERENT MAP'!$B$5=2023,IF(#REF!="",N254,#REF!),IF('INHERENT MAP'!$B$5=2024,IF(#REF!="",N254,#REF!),IF('РЕЕСТР РИСКОВ_2023'!R295="",N254,'РЕЕСТР РИСКОВ_2023'!R295)))))</f>
        <v>Рецессия экономики европейских стран</v>
      </c>
      <c r="O255">
        <f>'РЕЕСТР РИСКОВ_2023'!T295</f>
        <v>0</v>
      </c>
      <c r="P255" t="e">
        <f>IF('РЕЕСТР РИСКОВ_2023'!U295="",P254,'РЕЕСТР РИСКОВ_2023'!U295)</f>
        <v>#REF!</v>
      </c>
      <c r="Q255" t="str">
        <f>IF('РЕЕСТР РИСКОВ_2023'!V295="",Q254,'РЕЕСТР РИСКОВ_2023'!V295)</f>
        <v>Угрозы</v>
      </c>
      <c r="R255" t="e">
        <f>IF('РЕЕСТР РИСКОВ_2023'!W295="",R254,'РЕЕСТР РИСКОВ_2023'!W295)</f>
        <v>#REF!</v>
      </c>
      <c r="S255">
        <f>'РЕЕСТР РИСКОВ_2023'!X295</f>
        <v>0</v>
      </c>
      <c r="T255" s="94">
        <f>IF('INHERENT MAP'!$B$5=2021,'РЕЕСТР РИСКОВ_2023'!Y295,IF('INHERENT MAP'!$B$5=2022,#REF!,IF('INHERENT MAP'!$B$5=2023,#REF!,IF('INHERENT MAP'!$B$5=2024,#REF!,#REF!))))</f>
        <v>0</v>
      </c>
      <c r="U255">
        <f>IF('INHERENT MAP'!$B$5=2021,'РЕЕСТР РИСКОВ_2023'!Z295,IF('INHERENT MAP'!$B$5=2022,#REF!,IF('INHERENT MAP'!$B$5=2023,#REF!,IF('INHERENT MAP'!$B$5=2024,#REF!,#REF!))))</f>
        <v>0</v>
      </c>
      <c r="V255">
        <f>IF('INHERENT MAP'!$B$5=2021,'РЕЕСТР РИСКОВ_2023'!AA295,IF('INHERENT MAP'!$B$5=2022,#REF!,IF('INHERENT MAP'!$B$5=2023,#REF!,IF('INHERENT MAP'!$B$5=2024,#REF!,#REF!))))</f>
        <v>0</v>
      </c>
      <c r="W255">
        <f>IF('INHERENT MAP'!$B$5=2021,'РЕЕСТР РИСКОВ_2023'!AB295,IF('INHERENT MAP'!$B$5=2022,#REF!,IF('INHERENT MAP'!$B$5=2023,#REF!,IF('INHERENT MAP'!$B$5=2024,#REF!,#REF!))))</f>
        <v>0</v>
      </c>
      <c r="X255" s="94">
        <f>IF('INHERENT MAP'!$B$5=2021,'РЕЕСТР РИСКОВ_2023'!AC295,IF('INHERENT MAP'!$B$5=2022,#REF!,IF('INHERENT MAP'!$B$5=2023,#REF!,IF('INHERENT MAP'!$B$5=2024,#REF!,#REF!))))</f>
        <v>0</v>
      </c>
      <c r="Y255">
        <f>IF('INHERENT MAP'!$B$5=2021,'РЕЕСТР РИСКОВ_2023'!AD295,IF('INHERENT MAP'!$B$5=2022,#REF!,IF('INHERENT MAP'!$B$5=2023,#REF!,IF('INHERENT MAP'!$B$5=2024,#REF!,#REF!))))</f>
        <v>0</v>
      </c>
      <c r="Z255">
        <f>IF('INHERENT MAP'!$B$5=2021,'РЕЕСТР РИСКОВ_2023'!AE295,IF('INHERENT MAP'!$B$5=2022,#REF!,IF('INHERENT MAP'!$B$5=2023,#REF!,IF('INHERENT MAP'!$B$5=2024,#REF!,#REF!))))</f>
        <v>0</v>
      </c>
      <c r="AA255">
        <f>IF('INHERENT MAP'!$B$5=2021,'РЕЕСТР РИСКОВ_2023'!AF295,IF('INHERENT MAP'!$B$5=2022,#REF!,IF('INHERENT MAP'!$B$5=2023,#REF!,IF('INHERENT MAP'!$B$5=2024,#REF!,#REF!))))</f>
        <v>0</v>
      </c>
      <c r="AB255">
        <f>IF('INHERENT MAP'!$B$5=2021,'РЕЕСТР РИСКОВ_2023'!AG295,IF('INHERENT MAP'!$B$5=2022,#REF!,IF('INHERENT MAP'!$B$5=2023,#REF!,IF('INHERENT MAP'!$B$5=2024,#REF!,#REF!))))</f>
        <v>0</v>
      </c>
      <c r="AC255">
        <f>IF('INHERENT MAP'!$B$5=2021,'РЕЕСТР РИСКОВ_2023'!AH295,IF('INHERENT MAP'!$B$5=2022,#REF!,IF('INHERENT MAP'!$B$5=2023,#REF!,IF('INHERENT MAP'!$B$5=2024,#REF!,#REF!))))</f>
        <v>0</v>
      </c>
      <c r="AD255">
        <f>IF('INHERENT MAP'!$B$5=2021,'РЕЕСТР РИСКОВ_2023'!AI295,IF('INHERENT MAP'!$B$5=2022,#REF!,IF('INHERENT MAP'!$B$5=2023,#REF!,IF('INHERENT MAP'!$B$5=2024,#REF!,#REF!))))</f>
        <v>0</v>
      </c>
      <c r="AE255">
        <f>IF('INHERENT MAP'!$B$5=2021,'РЕЕСТР РИСКОВ_2023'!AK295,IF('INHERENT MAP'!$B$5=2022,#REF!,IF('INHERENT MAP'!$B$5=2023,#REF!,IF('INHERENT MAP'!$B$5=2024,#REF!,#REF!))))</f>
        <v>0</v>
      </c>
      <c r="AF255">
        <f>IF('INHERENT MAP'!$B$5=2021,'РЕЕСТР РИСКОВ_2023'!AL295,IF('INHERENT MAP'!$B$5=2022,#REF!,IF('INHERENT MAP'!$B$5=2023,#REF!,IF('INHERENT MAP'!$B$5=2024,#REF!,#REF!))))</f>
        <v>0</v>
      </c>
      <c r="AG255">
        <f>IF('INHERENT MAP'!$B$5=2021,'РЕЕСТР РИСКОВ_2023'!AM295,IF('INHERENT MAP'!$B$5=2022,#REF!,IF('INHERENT MAP'!$B$5=2023,#REF!,IF('INHERENT MAP'!$B$5=2024,#REF!,#REF!))))</f>
        <v>0</v>
      </c>
      <c r="AH255">
        <f>IF('INHERENT MAP'!$B$5=2021,'РЕЕСТР РИСКОВ_2023'!AN295,IF('INHERENT MAP'!$B$5=2022,#REF!,IF('INHERENT MAP'!$B$5=2023,#REF!,IF('INHERENT MAP'!$B$5=2024,#REF!,#REF!))))</f>
        <v>0</v>
      </c>
      <c r="AI255">
        <f>IF('INHERENT MAP'!$B$5=2021,'РЕЕСТР РИСКОВ_2023'!AO295,IF('INHERENT MAP'!$B$5=2022,#REF!,IF('INHERENT MAP'!$B$5=2023,#REF!,IF('INHERENT MAP'!$B$5=2024,#REF!,#REF!))))</f>
        <v>0</v>
      </c>
      <c r="AJ255">
        <f>IF('INHERENT MAP'!$B$5=2021,'РЕЕСТР РИСКОВ_2023'!AP295,IF('INHERENT MAP'!$B$5=2022,#REF!,IF('INHERENT MAP'!$B$5=2023,#REF!,IF('INHERENT MAP'!$B$5=2024,#REF!,#REF!))))</f>
        <v>0</v>
      </c>
      <c r="AK255">
        <f>IF('РЕЕСТР РИСКОВ_2023'!AQ295="",AK254,'РЕЕСТР РИСКОВ_2023'!AQ295)</f>
        <v>-216</v>
      </c>
      <c r="AL255">
        <f>IF('РЕЕСТР РИСКОВ_2023'!AR295="",AL254,'РЕЕСТР РИСКОВ_2023'!AR295)</f>
        <v>0.12</v>
      </c>
      <c r="AM255" t="str">
        <f>IF('РЕЕСТР РИСКОВ_2023'!AS295="",AM254,'РЕЕСТР РИСКОВ_2023'!AS295)</f>
        <v>стоп</v>
      </c>
      <c r="AN255" t="str">
        <f>IF('РЕЕСТР РИСКОВ_2023'!AT295="",AN254,'РЕЕСТР РИСКОВ_2023'!AT295)</f>
        <v>стоп</v>
      </c>
      <c r="AO255" t="e">
        <f>IF('РЕЕСТР РИСКОВ_2023'!AU295="",AO254,'РЕЕСТР РИСКОВ_2023'!AU295)</f>
        <v>#REF!</v>
      </c>
    </row>
    <row r="256" spans="2:41">
      <c r="B256" t="str">
        <f>IF('INHERENT MAP'!$B$5=2021,IF('РЕЕСТР РИСКОВ_2023'!F296="",B255,'РЕЕСТР РИСКОВ_2023'!F296),IF('INHERENT MAP'!$B$5=2022,IF(#REF!="",B255,#REF!),IF('INHERENT MAP'!$B$5=2023,IF(#REF!="",B255,#REF!),IF('INHERENT MAP'!$B$5=2024,IF(#REF!="",B255,#REF!),IF('РЕЕСТР РИСКОВ_2023'!F296="",B255,'РЕЕСТР РИСКОВ_2023'!F296)))))</f>
        <v>ПРОЦЕНТНЫЙ РИСК</v>
      </c>
      <c r="C256" t="e">
        <f>IF('INHERENT MAP'!$B$5=2021,IF('РЕЕСТР РИСКОВ_2023'!G296="",C255,'РЕЕСТР РИСКОВ_2023'!G296),IF('INHERENT MAP'!$B$5=2022,IF(#REF!="",C255,#REF!),IF('INHERENT MAP'!$B$5=2023,IF(#REF!="",C255,#REF!),IF('INHERENT MAP'!$B$5=2024,IF(#REF!="",C255,#REF!),IF('РЕЕСТР РИСКОВ_2023'!G296="",C255,'РЕЕСТР РИСКОВ_2023'!G296)))))</f>
        <v>#REF!</v>
      </c>
      <c r="D256" t="str">
        <f>IF('INHERENT MAP'!$B$5=2021,IF('РЕЕСТР РИСКОВ_2023'!H296="",D255,'РЕЕСТР РИСКОВ_2023'!H296),IF('INHERENT MAP'!$B$5=2022,IF(#REF!="",D255,#REF!),IF('INHERENT MAP'!$B$5=2023,IF(#REF!="",D255,#REF!),IF('INHERENT MAP'!$B$5=2024,IF(#REF!="",D255,#REF!),IF('РЕЕСТР РИСКОВ_2023'!H296="",D255,'РЕЕСТР РИСКОВ_2023'!H296)))))</f>
        <v>IRR-1</v>
      </c>
      <c r="E256" t="str">
        <f>IF('INHERENT MAP'!$B$5=2021,IF('РЕЕСТР РИСКОВ_2023'!I296="",E255,'РЕЕСТР РИСКОВ_2023'!I296),IF('INHERENT MAP'!$B$5=2022,IF(#REF!="",E255,#REF!),IF('INHERENT MAP'!$B$5=2023,IF(#REF!="",E255,#REF!),IF('INHERENT MAP'!$B$5=2024,IF(#REF!="",E255,#REF!),IF('РЕЕСТР РИСКОВ_2023'!I296="",E255,'РЕЕСТР РИСКОВ_2023'!I296)))))</f>
        <v>ЦЗФ</v>
      </c>
      <c r="F256" t="str">
        <f>IF('INHERENT MAP'!$B$5=2021,IF('РЕЕСТР РИСКОВ_2023'!J296="",F255,'РЕЕСТР РИСКОВ_2023'!J296),IF('INHERENT MAP'!$B$5=2022,IF(#REF!="",F255,#REF!),IF('INHERENT MAP'!$B$5=2023,IF(#REF!="",F255,#REF!),IF('INHERENT MAP'!$B$5=2024,IF(#REF!="",F255,#REF!),IF('РЕЕСТР РИСКОВ_2023'!J296="",F255,'РЕЕСТР РИСКОВ_2023'!J296)))))</f>
        <v>Цзайм</v>
      </c>
      <c r="G256" t="str">
        <f>IF('INHERENT MAP'!$B$5=2021,IF('РЕЕСТР РИСКОВ_2023'!K296="",G255,'РЕЕСТР РИСКОВ_2023'!K296),IF('INHERENT MAP'!$B$5=2022,IF(#REF!="",G255,#REF!),IF('INHERENT MAP'!$B$5=2023,IF(#REF!="",G255,#REF!),IF('INHERENT MAP'!$B$5=2024,IF(#REF!="",G255,#REF!),IF('РЕЕСТР РИСКОВ_2023'!K296="",G255,'РЕЕСТР РИСКОВ_2023'!K296)))))</f>
        <v>Увеличение расходов по процентам на новые займы, а также текущие займы (с плавающей ставкой) в тенге.</v>
      </c>
      <c r="H256">
        <f>IF('INHERENT MAP'!$B$5=2021,'РЕЕСТР РИСКОВ_2023'!L296,IF('INHERENT MAP'!$B$5=2022,#REF!,IF('INHERENT MAP'!$B$5=2023,#REF!,IF('INHERENT MAP'!$B$5=2024,#REF!,#REF!))))</f>
        <v>0</v>
      </c>
      <c r="I256">
        <f>IF('INHERENT MAP'!$B$5=2021,'РЕЕСТР РИСКОВ_2023'!M296,IF('INHERENT MAP'!$B$5=2022,#REF!,IF('INHERENT MAP'!$B$5=2023,#REF!,IF('INHERENT MAP'!$B$5=2024,#REF!,#REF!))))</f>
        <v>0</v>
      </c>
      <c r="J256">
        <f>IF('INHERENT MAP'!$B$5=2021,'РЕЕСТР РИСКОВ_2023'!N296,IF('INHERENT MAP'!$B$5=2022,#REF!,IF('INHERENT MAP'!$B$5=2023,#REF!,IF('INHERENT MAP'!$B$5=2024,#REF!,#REF!))))</f>
        <v>0</v>
      </c>
      <c r="K256">
        <f>IF('INHERENT MAP'!$B$5=2021,'РЕЕСТР РИСКОВ_2023'!O296,IF('INHERENT MAP'!$B$5=2022,#REF!,IF('INHERENT MAP'!$B$5=2023,#REF!,IF('INHERENT MAP'!$B$5=2024,#REF!,#REF!))))</f>
        <v>0</v>
      </c>
      <c r="L256">
        <f>IF('INHERENT MAP'!$B$5=2021,'РЕЕСТР РИСКОВ_2023'!P296,IF('INHERENT MAP'!$B$5=2022,#REF!,IF('INHERENT MAP'!$B$5=2023,#REF!,IF('INHERENT MAP'!$B$5=2024,#REF!,#REF!))))</f>
        <v>0</v>
      </c>
      <c r="M256" t="str">
        <f>IF('INHERENT MAP'!$B$5=2021,IF('РЕЕСТР РИСКОВ_2023'!Q296="",M255,'РЕЕСТР РИСКОВ_2023'!Q296),IF('INHERENT MAP'!$B$5=2022,IF(#REF!="",M255,#REF!),IF('INHERENT MAP'!$B$5=2023,IF(#REF!="",M255,#REF!),IF('INHERENT MAP'!$B$5=2024,IF(#REF!="",M255,#REF!),IF('РЕЕСТР РИСКОВ_2023'!Q296="",M255,'РЕЕСТР РИСКОВ_2023'!Q296)))))</f>
        <v>Увеличение базовой ставки Национального банка Республики Казахстан до 16%</v>
      </c>
      <c r="N256" t="str">
        <f>IF('INHERENT MAP'!$B$5=2021,IF('РЕЕСТР РИСКОВ_2023'!R296="",N255,'РЕЕСТР РИСКОВ_2023'!R296),IF('INHERENT MAP'!$B$5=2022,IF(#REF!="",N255,#REF!),IF('INHERENT MAP'!$B$5=2023,IF(#REF!="",N255,#REF!),IF('INHERENT MAP'!$B$5=2024,IF(#REF!="",N255,#REF!),IF('РЕЕСТР РИСКОВ_2023'!R296="",N255,'РЕЕСТР РИСКОВ_2023'!R296)))))</f>
        <v>Рецессия экономики европейских стран</v>
      </c>
      <c r="O256">
        <f>'РЕЕСТР РИСКОВ_2023'!T296</f>
        <v>0</v>
      </c>
      <c r="P256" t="e">
        <f>IF('РЕЕСТР РИСКОВ_2023'!U296="",P255,'РЕЕСТР РИСКОВ_2023'!U296)</f>
        <v>#REF!</v>
      </c>
      <c r="Q256" t="str">
        <f>IF('РЕЕСТР РИСКОВ_2023'!V296="",Q255,'РЕЕСТР РИСКОВ_2023'!V296)</f>
        <v>Угрозы</v>
      </c>
      <c r="R256" t="e">
        <f>IF('РЕЕСТР РИСКОВ_2023'!W296="",R255,'РЕЕСТР РИСКОВ_2023'!W296)</f>
        <v>#REF!</v>
      </c>
      <c r="S256">
        <f>'РЕЕСТР РИСКОВ_2023'!X296</f>
        <v>0</v>
      </c>
      <c r="T256" s="94">
        <f>IF('INHERENT MAP'!$B$5=2021,'РЕЕСТР РИСКОВ_2023'!Y296,IF('INHERENT MAP'!$B$5=2022,#REF!,IF('INHERENT MAP'!$B$5=2023,#REF!,IF('INHERENT MAP'!$B$5=2024,#REF!,#REF!))))</f>
        <v>0</v>
      </c>
      <c r="U256">
        <f>IF('INHERENT MAP'!$B$5=2021,'РЕЕСТР РИСКОВ_2023'!Z296,IF('INHERENT MAP'!$B$5=2022,#REF!,IF('INHERENT MAP'!$B$5=2023,#REF!,IF('INHERENT MAP'!$B$5=2024,#REF!,#REF!))))</f>
        <v>0</v>
      </c>
      <c r="V256">
        <f>IF('INHERENT MAP'!$B$5=2021,'РЕЕСТР РИСКОВ_2023'!AA296,IF('INHERENT MAP'!$B$5=2022,#REF!,IF('INHERENT MAP'!$B$5=2023,#REF!,IF('INHERENT MAP'!$B$5=2024,#REF!,#REF!))))</f>
        <v>0</v>
      </c>
      <c r="W256">
        <f>IF('INHERENT MAP'!$B$5=2021,'РЕЕСТР РИСКОВ_2023'!AB296,IF('INHERENT MAP'!$B$5=2022,#REF!,IF('INHERENT MAP'!$B$5=2023,#REF!,IF('INHERENT MAP'!$B$5=2024,#REF!,#REF!))))</f>
        <v>0</v>
      </c>
      <c r="X256" s="94">
        <f>IF('INHERENT MAP'!$B$5=2021,'РЕЕСТР РИСКОВ_2023'!AC296,IF('INHERENT MAP'!$B$5=2022,#REF!,IF('INHERENT MAP'!$B$5=2023,#REF!,IF('INHERENT MAP'!$B$5=2024,#REF!,#REF!))))</f>
        <v>0</v>
      </c>
      <c r="Y256">
        <f>IF('INHERENT MAP'!$B$5=2021,'РЕЕСТР РИСКОВ_2023'!AD296,IF('INHERENT MAP'!$B$5=2022,#REF!,IF('INHERENT MAP'!$B$5=2023,#REF!,IF('INHERENT MAP'!$B$5=2024,#REF!,#REF!))))</f>
        <v>0</v>
      </c>
      <c r="Z256">
        <f>IF('INHERENT MAP'!$B$5=2021,'РЕЕСТР РИСКОВ_2023'!AE296,IF('INHERENT MAP'!$B$5=2022,#REF!,IF('INHERENT MAP'!$B$5=2023,#REF!,IF('INHERENT MAP'!$B$5=2024,#REF!,#REF!))))</f>
        <v>0</v>
      </c>
      <c r="AA256">
        <f>IF('INHERENT MAP'!$B$5=2021,'РЕЕСТР РИСКОВ_2023'!AF296,IF('INHERENT MAP'!$B$5=2022,#REF!,IF('INHERENT MAP'!$B$5=2023,#REF!,IF('INHERENT MAP'!$B$5=2024,#REF!,#REF!))))</f>
        <v>0</v>
      </c>
      <c r="AB256">
        <f>IF('INHERENT MAP'!$B$5=2021,'РЕЕСТР РИСКОВ_2023'!AG296,IF('INHERENT MAP'!$B$5=2022,#REF!,IF('INHERENT MAP'!$B$5=2023,#REF!,IF('INHERENT MAP'!$B$5=2024,#REF!,#REF!))))</f>
        <v>0</v>
      </c>
      <c r="AC256">
        <f>IF('INHERENT MAP'!$B$5=2021,'РЕЕСТР РИСКОВ_2023'!AH296,IF('INHERENT MAP'!$B$5=2022,#REF!,IF('INHERENT MAP'!$B$5=2023,#REF!,IF('INHERENT MAP'!$B$5=2024,#REF!,#REF!))))</f>
        <v>0</v>
      </c>
      <c r="AD256">
        <f>IF('INHERENT MAP'!$B$5=2021,'РЕЕСТР РИСКОВ_2023'!AI296,IF('INHERENT MAP'!$B$5=2022,#REF!,IF('INHERENT MAP'!$B$5=2023,#REF!,IF('INHERENT MAP'!$B$5=2024,#REF!,#REF!))))</f>
        <v>0</v>
      </c>
      <c r="AE256">
        <f>IF('INHERENT MAP'!$B$5=2021,'РЕЕСТР РИСКОВ_2023'!AK296,IF('INHERENT MAP'!$B$5=2022,#REF!,IF('INHERENT MAP'!$B$5=2023,#REF!,IF('INHERENT MAP'!$B$5=2024,#REF!,#REF!))))</f>
        <v>0</v>
      </c>
      <c r="AF256">
        <f>IF('INHERENT MAP'!$B$5=2021,'РЕЕСТР РИСКОВ_2023'!AL296,IF('INHERENT MAP'!$B$5=2022,#REF!,IF('INHERENT MAP'!$B$5=2023,#REF!,IF('INHERENT MAP'!$B$5=2024,#REF!,#REF!))))</f>
        <v>0</v>
      </c>
      <c r="AG256">
        <f>IF('INHERENT MAP'!$B$5=2021,'РЕЕСТР РИСКОВ_2023'!AM296,IF('INHERENT MAP'!$B$5=2022,#REF!,IF('INHERENT MAP'!$B$5=2023,#REF!,IF('INHERENT MAP'!$B$5=2024,#REF!,#REF!))))</f>
        <v>0</v>
      </c>
      <c r="AH256">
        <f>IF('INHERENT MAP'!$B$5=2021,'РЕЕСТР РИСКОВ_2023'!AN296,IF('INHERENT MAP'!$B$5=2022,#REF!,IF('INHERENT MAP'!$B$5=2023,#REF!,IF('INHERENT MAP'!$B$5=2024,#REF!,#REF!))))</f>
        <v>0</v>
      </c>
      <c r="AI256">
        <f>IF('INHERENT MAP'!$B$5=2021,'РЕЕСТР РИСКОВ_2023'!AO296,IF('INHERENT MAP'!$B$5=2022,#REF!,IF('INHERENT MAP'!$B$5=2023,#REF!,IF('INHERENT MAP'!$B$5=2024,#REF!,#REF!))))</f>
        <v>0</v>
      </c>
      <c r="AJ256">
        <f>IF('INHERENT MAP'!$B$5=2021,'РЕЕСТР РИСКОВ_2023'!AP296,IF('INHERENT MAP'!$B$5=2022,#REF!,IF('INHERENT MAP'!$B$5=2023,#REF!,IF('INHERENT MAP'!$B$5=2024,#REF!,#REF!))))</f>
        <v>0</v>
      </c>
      <c r="AK256">
        <f>IF('РЕЕСТР РИСКОВ_2023'!AQ296="",AK255,'РЕЕСТР РИСКОВ_2023'!AQ296)</f>
        <v>-216</v>
      </c>
      <c r="AL256">
        <f>IF('РЕЕСТР РИСКОВ_2023'!AR296="",AL255,'РЕЕСТР РИСКОВ_2023'!AR296)</f>
        <v>0.12</v>
      </c>
      <c r="AM256" t="str">
        <f>IF('РЕЕСТР РИСКОВ_2023'!AS296="",AM255,'РЕЕСТР РИСКОВ_2023'!AS296)</f>
        <v>стоп</v>
      </c>
      <c r="AN256" t="str">
        <f>IF('РЕЕСТР РИСКОВ_2023'!AT296="",AN255,'РЕЕСТР РИСКОВ_2023'!AT296)</f>
        <v>стоп</v>
      </c>
      <c r="AO256" t="e">
        <f>IF('РЕЕСТР РИСКОВ_2023'!AU296="",AO255,'РЕЕСТР РИСКОВ_2023'!AU296)</f>
        <v>#REF!</v>
      </c>
    </row>
    <row r="257" spans="2:41">
      <c r="B257" t="str">
        <f>IF('INHERENT MAP'!$B$5=2021,IF('РЕЕСТР РИСКОВ_2023'!F297="",B256,'РЕЕСТР РИСКОВ_2023'!F297),IF('INHERENT MAP'!$B$5=2022,IF(#REF!="",B256,#REF!),IF('INHERENT MAP'!$B$5=2023,IF(#REF!="",B256,#REF!),IF('INHERENT MAP'!$B$5=2024,IF(#REF!="",B256,#REF!),IF('РЕЕСТР РИСКОВ_2023'!F297="",B256,'РЕЕСТР РИСКОВ_2023'!F297)))))</f>
        <v>ПРОЦЕНТНЫЙ РИСК</v>
      </c>
      <c r="C257" t="e">
        <f>IF('INHERENT MAP'!$B$5=2021,IF('РЕЕСТР РИСКОВ_2023'!G297="",C256,'РЕЕСТР РИСКОВ_2023'!G297),IF('INHERENT MAP'!$B$5=2022,IF(#REF!="",C256,#REF!),IF('INHERENT MAP'!$B$5=2023,IF(#REF!="",C256,#REF!),IF('INHERENT MAP'!$B$5=2024,IF(#REF!="",C256,#REF!),IF('РЕЕСТР РИСКОВ_2023'!G297="",C256,'РЕЕСТР РИСКОВ_2023'!G297)))))</f>
        <v>#REF!</v>
      </c>
      <c r="D257" t="str">
        <f>IF('INHERENT MAP'!$B$5=2021,IF('РЕЕСТР РИСКОВ_2023'!H297="",D256,'РЕЕСТР РИСКОВ_2023'!H297),IF('INHERENT MAP'!$B$5=2022,IF(#REF!="",D256,#REF!),IF('INHERENT MAP'!$B$5=2023,IF(#REF!="",D256,#REF!),IF('INHERENT MAP'!$B$5=2024,IF(#REF!="",D256,#REF!),IF('РЕЕСТР РИСКОВ_2023'!H297="",D256,'РЕЕСТР РИСКОВ_2023'!H297)))))</f>
        <v>IRR-1</v>
      </c>
      <c r="E257" t="str">
        <f>IF('INHERENT MAP'!$B$5=2021,IF('РЕЕСТР РИСКОВ_2023'!I297="",E256,'РЕЕСТР РИСКОВ_2023'!I297),IF('INHERENT MAP'!$B$5=2022,IF(#REF!="",E256,#REF!),IF('INHERENT MAP'!$B$5=2023,IF(#REF!="",E256,#REF!),IF('INHERENT MAP'!$B$5=2024,IF(#REF!="",E256,#REF!),IF('РЕЕСТР РИСКОВ_2023'!I297="",E256,'РЕЕСТР РИСКОВ_2023'!I297)))))</f>
        <v>ЦЗФ</v>
      </c>
      <c r="F257" t="str">
        <f>IF('INHERENT MAP'!$B$5=2021,IF('РЕЕСТР РИСКОВ_2023'!J297="",F256,'РЕЕСТР РИСКОВ_2023'!J297),IF('INHERENT MAP'!$B$5=2022,IF(#REF!="",F256,#REF!),IF('INHERENT MAP'!$B$5=2023,IF(#REF!="",F256,#REF!),IF('INHERENT MAP'!$B$5=2024,IF(#REF!="",F256,#REF!),IF('РЕЕСТР РИСКОВ_2023'!J297="",F256,'РЕЕСТР РИСКОВ_2023'!J297)))))</f>
        <v>Цзайм</v>
      </c>
      <c r="G257" t="str">
        <f>IF('INHERENT MAP'!$B$5=2021,IF('РЕЕСТР РИСКОВ_2023'!K297="",G256,'РЕЕСТР РИСКОВ_2023'!K297),IF('INHERENT MAP'!$B$5=2022,IF(#REF!="",G256,#REF!),IF('INHERENT MAP'!$B$5=2023,IF(#REF!="",G256,#REF!),IF('INHERENT MAP'!$B$5=2024,IF(#REF!="",G256,#REF!),IF('РЕЕСТР РИСКОВ_2023'!K297="",G256,'РЕЕСТР РИСКОВ_2023'!K297)))))</f>
        <v>Увеличение расходов по процентам на новые займы, а также текущие займы (с плавающей ставкой) в тенге.</v>
      </c>
      <c r="H257">
        <f>IF('INHERENT MAP'!$B$5=2021,'РЕЕСТР РИСКОВ_2023'!L297,IF('INHERENT MAP'!$B$5=2022,#REF!,IF('INHERENT MAP'!$B$5=2023,#REF!,IF('INHERENT MAP'!$B$5=2024,#REF!,#REF!))))</f>
        <v>0</v>
      </c>
      <c r="I257">
        <f>IF('INHERENT MAP'!$B$5=2021,'РЕЕСТР РИСКОВ_2023'!M297,IF('INHERENT MAP'!$B$5=2022,#REF!,IF('INHERENT MAP'!$B$5=2023,#REF!,IF('INHERENT MAP'!$B$5=2024,#REF!,#REF!))))</f>
        <v>0</v>
      </c>
      <c r="J257">
        <f>IF('INHERENT MAP'!$B$5=2021,'РЕЕСТР РИСКОВ_2023'!N297,IF('INHERENT MAP'!$B$5=2022,#REF!,IF('INHERENT MAP'!$B$5=2023,#REF!,IF('INHERENT MAP'!$B$5=2024,#REF!,#REF!))))</f>
        <v>0</v>
      </c>
      <c r="K257">
        <f>IF('INHERENT MAP'!$B$5=2021,'РЕЕСТР РИСКОВ_2023'!O297,IF('INHERENT MAP'!$B$5=2022,#REF!,IF('INHERENT MAP'!$B$5=2023,#REF!,IF('INHERENT MAP'!$B$5=2024,#REF!,#REF!))))</f>
        <v>0</v>
      </c>
      <c r="L257">
        <f>IF('INHERENT MAP'!$B$5=2021,'РЕЕСТР РИСКОВ_2023'!P297,IF('INHERENT MAP'!$B$5=2022,#REF!,IF('INHERENT MAP'!$B$5=2023,#REF!,IF('INHERENT MAP'!$B$5=2024,#REF!,#REF!))))</f>
        <v>0</v>
      </c>
      <c r="M257" t="str">
        <f>IF('INHERENT MAP'!$B$5=2021,IF('РЕЕСТР РИСКОВ_2023'!Q297="",M256,'РЕЕСТР РИСКОВ_2023'!Q297),IF('INHERENT MAP'!$B$5=2022,IF(#REF!="",M256,#REF!),IF('INHERENT MAP'!$B$5=2023,IF(#REF!="",M256,#REF!),IF('INHERENT MAP'!$B$5=2024,IF(#REF!="",M256,#REF!),IF('РЕЕСТР РИСКОВ_2023'!Q297="",M256,'РЕЕСТР РИСКОВ_2023'!Q297)))))</f>
        <v>Увеличение базовой ставки Национального банка Республики Казахстан до 16%</v>
      </c>
      <c r="N257" t="str">
        <f>IF('INHERENT MAP'!$B$5=2021,IF('РЕЕСТР РИСКОВ_2023'!R297="",N256,'РЕЕСТР РИСКОВ_2023'!R297),IF('INHERENT MAP'!$B$5=2022,IF(#REF!="",N256,#REF!),IF('INHERENT MAP'!$B$5=2023,IF(#REF!="",N256,#REF!),IF('INHERENT MAP'!$B$5=2024,IF(#REF!="",N256,#REF!),IF('РЕЕСТР РИСКОВ_2023'!R297="",N256,'РЕЕСТР РИСКОВ_2023'!R297)))))</f>
        <v>Рецессия экономики европейских стран</v>
      </c>
      <c r="O257">
        <f>'РЕЕСТР РИСКОВ_2023'!T297</f>
        <v>0</v>
      </c>
      <c r="P257" t="e">
        <f>IF('РЕЕСТР РИСКОВ_2023'!U297="",P256,'РЕЕСТР РИСКОВ_2023'!U297)</f>
        <v>#REF!</v>
      </c>
      <c r="Q257" t="str">
        <f>IF('РЕЕСТР РИСКОВ_2023'!V297="",Q256,'РЕЕСТР РИСКОВ_2023'!V297)</f>
        <v>Угрозы</v>
      </c>
      <c r="R257" t="e">
        <f>IF('РЕЕСТР РИСКОВ_2023'!W297="",R256,'РЕЕСТР РИСКОВ_2023'!W297)</f>
        <v>#REF!</v>
      </c>
      <c r="S257">
        <f>'РЕЕСТР РИСКОВ_2023'!X297</f>
        <v>0</v>
      </c>
      <c r="T257" s="94">
        <f>IF('INHERENT MAP'!$B$5=2021,'РЕЕСТР РИСКОВ_2023'!Y297,IF('INHERENT MAP'!$B$5=2022,#REF!,IF('INHERENT MAP'!$B$5=2023,#REF!,IF('INHERENT MAP'!$B$5=2024,#REF!,#REF!))))</f>
        <v>0</v>
      </c>
      <c r="U257">
        <f>IF('INHERENT MAP'!$B$5=2021,'РЕЕСТР РИСКОВ_2023'!Z297,IF('INHERENT MAP'!$B$5=2022,#REF!,IF('INHERENT MAP'!$B$5=2023,#REF!,IF('INHERENT MAP'!$B$5=2024,#REF!,#REF!))))</f>
        <v>0</v>
      </c>
      <c r="V257">
        <f>IF('INHERENT MAP'!$B$5=2021,'РЕЕСТР РИСКОВ_2023'!AA297,IF('INHERENT MAP'!$B$5=2022,#REF!,IF('INHERENT MAP'!$B$5=2023,#REF!,IF('INHERENT MAP'!$B$5=2024,#REF!,#REF!))))</f>
        <v>0</v>
      </c>
      <c r="W257">
        <f>IF('INHERENT MAP'!$B$5=2021,'РЕЕСТР РИСКОВ_2023'!AB297,IF('INHERENT MAP'!$B$5=2022,#REF!,IF('INHERENT MAP'!$B$5=2023,#REF!,IF('INHERENT MAP'!$B$5=2024,#REF!,#REF!))))</f>
        <v>0</v>
      </c>
      <c r="X257" s="94">
        <f>IF('INHERENT MAP'!$B$5=2021,'РЕЕСТР РИСКОВ_2023'!AC297,IF('INHERENT MAP'!$B$5=2022,#REF!,IF('INHERENT MAP'!$B$5=2023,#REF!,IF('INHERENT MAP'!$B$5=2024,#REF!,#REF!))))</f>
        <v>0</v>
      </c>
      <c r="Y257">
        <f>IF('INHERENT MAP'!$B$5=2021,'РЕЕСТР РИСКОВ_2023'!AD297,IF('INHERENT MAP'!$B$5=2022,#REF!,IF('INHERENT MAP'!$B$5=2023,#REF!,IF('INHERENT MAP'!$B$5=2024,#REF!,#REF!))))</f>
        <v>0</v>
      </c>
      <c r="Z257">
        <f>IF('INHERENT MAP'!$B$5=2021,'РЕЕСТР РИСКОВ_2023'!AE297,IF('INHERENT MAP'!$B$5=2022,#REF!,IF('INHERENT MAP'!$B$5=2023,#REF!,IF('INHERENT MAP'!$B$5=2024,#REF!,#REF!))))</f>
        <v>0</v>
      </c>
      <c r="AA257">
        <f>IF('INHERENT MAP'!$B$5=2021,'РЕЕСТР РИСКОВ_2023'!AF297,IF('INHERENT MAP'!$B$5=2022,#REF!,IF('INHERENT MAP'!$B$5=2023,#REF!,IF('INHERENT MAP'!$B$5=2024,#REF!,#REF!))))</f>
        <v>0</v>
      </c>
      <c r="AB257">
        <f>IF('INHERENT MAP'!$B$5=2021,'РЕЕСТР РИСКОВ_2023'!AG297,IF('INHERENT MAP'!$B$5=2022,#REF!,IF('INHERENT MAP'!$B$5=2023,#REF!,IF('INHERENT MAP'!$B$5=2024,#REF!,#REF!))))</f>
        <v>0</v>
      </c>
      <c r="AC257">
        <f>IF('INHERENT MAP'!$B$5=2021,'РЕЕСТР РИСКОВ_2023'!AH297,IF('INHERENT MAP'!$B$5=2022,#REF!,IF('INHERENT MAP'!$B$5=2023,#REF!,IF('INHERENT MAP'!$B$5=2024,#REF!,#REF!))))</f>
        <v>0</v>
      </c>
      <c r="AD257">
        <f>IF('INHERENT MAP'!$B$5=2021,'РЕЕСТР РИСКОВ_2023'!AI297,IF('INHERENT MAP'!$B$5=2022,#REF!,IF('INHERENT MAP'!$B$5=2023,#REF!,IF('INHERENT MAP'!$B$5=2024,#REF!,#REF!))))</f>
        <v>0</v>
      </c>
      <c r="AE257">
        <f>IF('INHERENT MAP'!$B$5=2021,'РЕЕСТР РИСКОВ_2023'!AK297,IF('INHERENT MAP'!$B$5=2022,#REF!,IF('INHERENT MAP'!$B$5=2023,#REF!,IF('INHERENT MAP'!$B$5=2024,#REF!,#REF!))))</f>
        <v>0</v>
      </c>
      <c r="AF257">
        <f>IF('INHERENT MAP'!$B$5=2021,'РЕЕСТР РИСКОВ_2023'!AL297,IF('INHERENT MAP'!$B$5=2022,#REF!,IF('INHERENT MAP'!$B$5=2023,#REF!,IF('INHERENT MAP'!$B$5=2024,#REF!,#REF!))))</f>
        <v>0</v>
      </c>
      <c r="AG257">
        <f>IF('INHERENT MAP'!$B$5=2021,'РЕЕСТР РИСКОВ_2023'!AM297,IF('INHERENT MAP'!$B$5=2022,#REF!,IF('INHERENT MAP'!$B$5=2023,#REF!,IF('INHERENT MAP'!$B$5=2024,#REF!,#REF!))))</f>
        <v>0</v>
      </c>
      <c r="AH257">
        <f>IF('INHERENT MAP'!$B$5=2021,'РЕЕСТР РИСКОВ_2023'!AN297,IF('INHERENT MAP'!$B$5=2022,#REF!,IF('INHERENT MAP'!$B$5=2023,#REF!,IF('INHERENT MAP'!$B$5=2024,#REF!,#REF!))))</f>
        <v>0</v>
      </c>
      <c r="AI257">
        <f>IF('INHERENT MAP'!$B$5=2021,'РЕЕСТР РИСКОВ_2023'!AO297,IF('INHERENT MAP'!$B$5=2022,#REF!,IF('INHERENT MAP'!$B$5=2023,#REF!,IF('INHERENT MAP'!$B$5=2024,#REF!,#REF!))))</f>
        <v>0</v>
      </c>
      <c r="AJ257">
        <f>IF('INHERENT MAP'!$B$5=2021,'РЕЕСТР РИСКОВ_2023'!AP297,IF('INHERENT MAP'!$B$5=2022,#REF!,IF('INHERENT MAP'!$B$5=2023,#REF!,IF('INHERENT MAP'!$B$5=2024,#REF!,#REF!))))</f>
        <v>0</v>
      </c>
      <c r="AK257">
        <f>IF('РЕЕСТР РИСКОВ_2023'!AQ297="",AK256,'РЕЕСТР РИСКОВ_2023'!AQ297)</f>
        <v>-216</v>
      </c>
      <c r="AL257">
        <f>IF('РЕЕСТР РИСКОВ_2023'!AR297="",AL256,'РЕЕСТР РИСКОВ_2023'!AR297)</f>
        <v>0.12</v>
      </c>
      <c r="AM257" t="str">
        <f>IF('РЕЕСТР РИСКОВ_2023'!AS297="",AM256,'РЕЕСТР РИСКОВ_2023'!AS297)</f>
        <v>стоп</v>
      </c>
      <c r="AN257" t="str">
        <f>IF('РЕЕСТР РИСКОВ_2023'!AT297="",AN256,'РЕЕСТР РИСКОВ_2023'!AT297)</f>
        <v>стоп</v>
      </c>
      <c r="AO257" t="e">
        <f>IF('РЕЕСТР РИСКОВ_2023'!AU297="",AO256,'РЕЕСТР РИСКОВ_2023'!AU297)</f>
        <v>#REF!</v>
      </c>
    </row>
    <row r="258" spans="2:41">
      <c r="B258" t="str">
        <f>IF('INHERENT MAP'!$B$5=2021,IF('РЕЕСТР РИСКОВ_2023'!F298="",B257,'РЕЕСТР РИСКОВ_2023'!F298),IF('INHERENT MAP'!$B$5=2022,IF(#REF!="",B257,#REF!),IF('INHERENT MAP'!$B$5=2023,IF(#REF!="",B257,#REF!),IF('INHERENT MAP'!$B$5=2024,IF(#REF!="",B257,#REF!),IF('РЕЕСТР РИСКОВ_2023'!F298="",B257,'РЕЕСТР РИСКОВ_2023'!F298)))))</f>
        <v>ПРОЦЕНТНЫЙ РИСК</v>
      </c>
      <c r="C258" t="e">
        <f>IF('INHERENT MAP'!$B$5=2021,IF('РЕЕСТР РИСКОВ_2023'!G298="",C257,'РЕЕСТР РИСКОВ_2023'!G298),IF('INHERENT MAP'!$B$5=2022,IF(#REF!="",C257,#REF!),IF('INHERENT MAP'!$B$5=2023,IF(#REF!="",C257,#REF!),IF('INHERENT MAP'!$B$5=2024,IF(#REF!="",C257,#REF!),IF('РЕЕСТР РИСКОВ_2023'!G298="",C257,'РЕЕСТР РИСКОВ_2023'!G298)))))</f>
        <v>#REF!</v>
      </c>
      <c r="D258" t="str">
        <f>IF('INHERENT MAP'!$B$5=2021,IF('РЕЕСТР РИСКОВ_2023'!H298="",D257,'РЕЕСТР РИСКОВ_2023'!H298),IF('INHERENT MAP'!$B$5=2022,IF(#REF!="",D257,#REF!),IF('INHERENT MAP'!$B$5=2023,IF(#REF!="",D257,#REF!),IF('INHERENT MAP'!$B$5=2024,IF(#REF!="",D257,#REF!),IF('РЕЕСТР РИСКОВ_2023'!H298="",D257,'РЕЕСТР РИСКОВ_2023'!H298)))))</f>
        <v>IRR-1</v>
      </c>
      <c r="E258" t="str">
        <f>IF('INHERENT MAP'!$B$5=2021,IF('РЕЕСТР РИСКОВ_2023'!I298="",E257,'РЕЕСТР РИСКОВ_2023'!I298),IF('INHERENT MAP'!$B$5=2022,IF(#REF!="",E257,#REF!),IF('INHERENT MAP'!$B$5=2023,IF(#REF!="",E257,#REF!),IF('INHERENT MAP'!$B$5=2024,IF(#REF!="",E257,#REF!),IF('РЕЕСТР РИСКОВ_2023'!I298="",E257,'РЕЕСТР РИСКОВ_2023'!I298)))))</f>
        <v>ЦЗФ</v>
      </c>
      <c r="F258" t="str">
        <f>IF('INHERENT MAP'!$B$5=2021,IF('РЕЕСТР РИСКОВ_2023'!J298="",F257,'РЕЕСТР РИСКОВ_2023'!J298),IF('INHERENT MAP'!$B$5=2022,IF(#REF!="",F257,#REF!),IF('INHERENT MAP'!$B$5=2023,IF(#REF!="",F257,#REF!),IF('INHERENT MAP'!$B$5=2024,IF(#REF!="",F257,#REF!),IF('РЕЕСТР РИСКОВ_2023'!J298="",F257,'РЕЕСТР РИСКОВ_2023'!J298)))))</f>
        <v>Цзайм</v>
      </c>
      <c r="G258" t="str">
        <f>IF('INHERENT MAP'!$B$5=2021,IF('РЕЕСТР РИСКОВ_2023'!K298="",G257,'РЕЕСТР РИСКОВ_2023'!K298),IF('INHERENT MAP'!$B$5=2022,IF(#REF!="",G257,#REF!),IF('INHERENT MAP'!$B$5=2023,IF(#REF!="",G257,#REF!),IF('INHERENT MAP'!$B$5=2024,IF(#REF!="",G257,#REF!),IF('РЕЕСТР РИСКОВ_2023'!K298="",G257,'РЕЕСТР РИСКОВ_2023'!K298)))))</f>
        <v>Увеличение расходов по процентам на новые займы, а также текущие займы (с плавающей ставкой) в тенге.</v>
      </c>
      <c r="H258">
        <f>IF('INHERENT MAP'!$B$5=2021,'РЕЕСТР РИСКОВ_2023'!L298,IF('INHERENT MAP'!$B$5=2022,#REF!,IF('INHERENT MAP'!$B$5=2023,#REF!,IF('INHERENT MAP'!$B$5=2024,#REF!,#REF!))))</f>
        <v>0</v>
      </c>
      <c r="I258">
        <f>IF('INHERENT MAP'!$B$5=2021,'РЕЕСТР РИСКОВ_2023'!M298,IF('INHERENT MAP'!$B$5=2022,#REF!,IF('INHERENT MAP'!$B$5=2023,#REF!,IF('INHERENT MAP'!$B$5=2024,#REF!,#REF!))))</f>
        <v>0</v>
      </c>
      <c r="J258">
        <f>IF('INHERENT MAP'!$B$5=2021,'РЕЕСТР РИСКОВ_2023'!N298,IF('INHERENT MAP'!$B$5=2022,#REF!,IF('INHERENT MAP'!$B$5=2023,#REF!,IF('INHERENT MAP'!$B$5=2024,#REF!,#REF!))))</f>
        <v>0</v>
      </c>
      <c r="K258">
        <f>IF('INHERENT MAP'!$B$5=2021,'РЕЕСТР РИСКОВ_2023'!O298,IF('INHERENT MAP'!$B$5=2022,#REF!,IF('INHERENT MAP'!$B$5=2023,#REF!,IF('INHERENT MAP'!$B$5=2024,#REF!,#REF!))))</f>
        <v>0</v>
      </c>
      <c r="L258">
        <f>IF('INHERENT MAP'!$B$5=2021,'РЕЕСТР РИСКОВ_2023'!P298,IF('INHERENT MAP'!$B$5=2022,#REF!,IF('INHERENT MAP'!$B$5=2023,#REF!,IF('INHERENT MAP'!$B$5=2024,#REF!,#REF!))))</f>
        <v>0</v>
      </c>
      <c r="M258" t="str">
        <f>IF('INHERENT MAP'!$B$5=2021,IF('РЕЕСТР РИСКОВ_2023'!Q298="",M257,'РЕЕСТР РИСКОВ_2023'!Q298),IF('INHERENT MAP'!$B$5=2022,IF(#REF!="",M257,#REF!),IF('INHERENT MAP'!$B$5=2023,IF(#REF!="",M257,#REF!),IF('INHERENT MAP'!$B$5=2024,IF(#REF!="",M257,#REF!),IF('РЕЕСТР РИСКОВ_2023'!Q298="",M257,'РЕЕСТР РИСКОВ_2023'!Q298)))))</f>
        <v>Увеличение базовой ставки Национального банка Республики Казахстан до 16%</v>
      </c>
      <c r="N258" t="str">
        <f>IF('INHERENT MAP'!$B$5=2021,IF('РЕЕСТР РИСКОВ_2023'!R298="",N257,'РЕЕСТР РИСКОВ_2023'!R298),IF('INHERENT MAP'!$B$5=2022,IF(#REF!="",N257,#REF!),IF('INHERENT MAP'!$B$5=2023,IF(#REF!="",N257,#REF!),IF('INHERENT MAP'!$B$5=2024,IF(#REF!="",N257,#REF!),IF('РЕЕСТР РИСКОВ_2023'!R298="",N257,'РЕЕСТР РИСКОВ_2023'!R298)))))</f>
        <v>Рецессия экономики европейских стран</v>
      </c>
      <c r="O258">
        <f>'РЕЕСТР РИСКОВ_2023'!T298</f>
        <v>0</v>
      </c>
      <c r="P258" t="e">
        <f>IF('РЕЕСТР РИСКОВ_2023'!U298="",P257,'РЕЕСТР РИСКОВ_2023'!U298)</f>
        <v>#REF!</v>
      </c>
      <c r="Q258" t="str">
        <f>IF('РЕЕСТР РИСКОВ_2023'!V298="",Q257,'РЕЕСТР РИСКОВ_2023'!V298)</f>
        <v>Угрозы</v>
      </c>
      <c r="R258" t="e">
        <f>IF('РЕЕСТР РИСКОВ_2023'!W298="",R257,'РЕЕСТР РИСКОВ_2023'!W298)</f>
        <v>#REF!</v>
      </c>
      <c r="S258">
        <f>'РЕЕСТР РИСКОВ_2023'!X298</f>
        <v>0</v>
      </c>
      <c r="T258" s="94">
        <f>IF('INHERENT MAP'!$B$5=2021,'РЕЕСТР РИСКОВ_2023'!Y298,IF('INHERENT MAP'!$B$5=2022,#REF!,IF('INHERENT MAP'!$B$5=2023,#REF!,IF('INHERENT MAP'!$B$5=2024,#REF!,#REF!))))</f>
        <v>0</v>
      </c>
      <c r="U258">
        <f>IF('INHERENT MAP'!$B$5=2021,'РЕЕСТР РИСКОВ_2023'!Z298,IF('INHERENT MAP'!$B$5=2022,#REF!,IF('INHERENT MAP'!$B$5=2023,#REF!,IF('INHERENT MAP'!$B$5=2024,#REF!,#REF!))))</f>
        <v>0</v>
      </c>
      <c r="V258">
        <f>IF('INHERENT MAP'!$B$5=2021,'РЕЕСТР РИСКОВ_2023'!AA298,IF('INHERENT MAP'!$B$5=2022,#REF!,IF('INHERENT MAP'!$B$5=2023,#REF!,IF('INHERENT MAP'!$B$5=2024,#REF!,#REF!))))</f>
        <v>0</v>
      </c>
      <c r="W258">
        <f>IF('INHERENT MAP'!$B$5=2021,'РЕЕСТР РИСКОВ_2023'!AB298,IF('INHERENT MAP'!$B$5=2022,#REF!,IF('INHERENT MAP'!$B$5=2023,#REF!,IF('INHERENT MAP'!$B$5=2024,#REF!,#REF!))))</f>
        <v>0</v>
      </c>
      <c r="X258" s="94">
        <f>IF('INHERENT MAP'!$B$5=2021,'РЕЕСТР РИСКОВ_2023'!AC298,IF('INHERENT MAP'!$B$5=2022,#REF!,IF('INHERENT MAP'!$B$5=2023,#REF!,IF('INHERENT MAP'!$B$5=2024,#REF!,#REF!))))</f>
        <v>0</v>
      </c>
      <c r="Y258">
        <f>IF('INHERENT MAP'!$B$5=2021,'РЕЕСТР РИСКОВ_2023'!AD298,IF('INHERENT MAP'!$B$5=2022,#REF!,IF('INHERENT MAP'!$B$5=2023,#REF!,IF('INHERENT MAP'!$B$5=2024,#REF!,#REF!))))</f>
        <v>0</v>
      </c>
      <c r="Z258">
        <f>IF('INHERENT MAP'!$B$5=2021,'РЕЕСТР РИСКОВ_2023'!AE298,IF('INHERENT MAP'!$B$5=2022,#REF!,IF('INHERENT MAP'!$B$5=2023,#REF!,IF('INHERENT MAP'!$B$5=2024,#REF!,#REF!))))</f>
        <v>0</v>
      </c>
      <c r="AA258">
        <f>IF('INHERENT MAP'!$B$5=2021,'РЕЕСТР РИСКОВ_2023'!AF298,IF('INHERENT MAP'!$B$5=2022,#REF!,IF('INHERENT MAP'!$B$5=2023,#REF!,IF('INHERENT MAP'!$B$5=2024,#REF!,#REF!))))</f>
        <v>0</v>
      </c>
      <c r="AB258">
        <f>IF('INHERENT MAP'!$B$5=2021,'РЕЕСТР РИСКОВ_2023'!AG298,IF('INHERENT MAP'!$B$5=2022,#REF!,IF('INHERENT MAP'!$B$5=2023,#REF!,IF('INHERENT MAP'!$B$5=2024,#REF!,#REF!))))</f>
        <v>0</v>
      </c>
      <c r="AC258">
        <f>IF('INHERENT MAP'!$B$5=2021,'РЕЕСТР РИСКОВ_2023'!AH298,IF('INHERENT MAP'!$B$5=2022,#REF!,IF('INHERENT MAP'!$B$5=2023,#REF!,IF('INHERENT MAP'!$B$5=2024,#REF!,#REF!))))</f>
        <v>0</v>
      </c>
      <c r="AD258">
        <f>IF('INHERENT MAP'!$B$5=2021,'РЕЕСТР РИСКОВ_2023'!AI298,IF('INHERENT MAP'!$B$5=2022,#REF!,IF('INHERENT MAP'!$B$5=2023,#REF!,IF('INHERENT MAP'!$B$5=2024,#REF!,#REF!))))</f>
        <v>0</v>
      </c>
      <c r="AE258">
        <f>IF('INHERENT MAP'!$B$5=2021,'РЕЕСТР РИСКОВ_2023'!AK298,IF('INHERENT MAP'!$B$5=2022,#REF!,IF('INHERENT MAP'!$B$5=2023,#REF!,IF('INHERENT MAP'!$B$5=2024,#REF!,#REF!))))</f>
        <v>0</v>
      </c>
      <c r="AF258">
        <f>IF('INHERENT MAP'!$B$5=2021,'РЕЕСТР РИСКОВ_2023'!AL298,IF('INHERENT MAP'!$B$5=2022,#REF!,IF('INHERENT MAP'!$B$5=2023,#REF!,IF('INHERENT MAP'!$B$5=2024,#REF!,#REF!))))</f>
        <v>0</v>
      </c>
      <c r="AG258">
        <f>IF('INHERENT MAP'!$B$5=2021,'РЕЕСТР РИСКОВ_2023'!AM298,IF('INHERENT MAP'!$B$5=2022,#REF!,IF('INHERENT MAP'!$B$5=2023,#REF!,IF('INHERENT MAP'!$B$5=2024,#REF!,#REF!))))</f>
        <v>0</v>
      </c>
      <c r="AH258">
        <f>IF('INHERENT MAP'!$B$5=2021,'РЕЕСТР РИСКОВ_2023'!AN298,IF('INHERENT MAP'!$B$5=2022,#REF!,IF('INHERENT MAP'!$B$5=2023,#REF!,IF('INHERENT MAP'!$B$5=2024,#REF!,#REF!))))</f>
        <v>0</v>
      </c>
      <c r="AI258">
        <f>IF('INHERENT MAP'!$B$5=2021,'РЕЕСТР РИСКОВ_2023'!AO298,IF('INHERENT MAP'!$B$5=2022,#REF!,IF('INHERENT MAP'!$B$5=2023,#REF!,IF('INHERENT MAP'!$B$5=2024,#REF!,#REF!))))</f>
        <v>0</v>
      </c>
      <c r="AJ258">
        <f>IF('INHERENT MAP'!$B$5=2021,'РЕЕСТР РИСКОВ_2023'!AP298,IF('INHERENT MAP'!$B$5=2022,#REF!,IF('INHERENT MAP'!$B$5=2023,#REF!,IF('INHERENT MAP'!$B$5=2024,#REF!,#REF!))))</f>
        <v>0</v>
      </c>
      <c r="AK258">
        <f>IF('РЕЕСТР РИСКОВ_2023'!AQ298="",AK257,'РЕЕСТР РИСКОВ_2023'!AQ298)</f>
        <v>-216</v>
      </c>
      <c r="AL258">
        <f>IF('РЕЕСТР РИСКОВ_2023'!AR298="",AL257,'РЕЕСТР РИСКОВ_2023'!AR298)</f>
        <v>0.12</v>
      </c>
      <c r="AM258" t="str">
        <f>IF('РЕЕСТР РИСКОВ_2023'!AS298="",AM257,'РЕЕСТР РИСКОВ_2023'!AS298)</f>
        <v>стоп</v>
      </c>
      <c r="AN258" t="str">
        <f>IF('РЕЕСТР РИСКОВ_2023'!AT298="",AN257,'РЕЕСТР РИСКОВ_2023'!AT298)</f>
        <v>стоп</v>
      </c>
      <c r="AO258" t="e">
        <f>IF('РЕЕСТР РИСКОВ_2023'!AU298="",AO257,'РЕЕСТР РИСКОВ_2023'!AU298)</f>
        <v>#REF!</v>
      </c>
    </row>
    <row r="259" spans="2:41">
      <c r="B259" t="str">
        <f>IF('INHERENT MAP'!$B$5=2021,IF('РЕЕСТР РИСКОВ_2023'!F299="",B258,'РЕЕСТР РИСКОВ_2023'!F299),IF('INHERENT MAP'!$B$5=2022,IF(#REF!="",B258,#REF!),IF('INHERENT MAP'!$B$5=2023,IF(#REF!="",B258,#REF!),IF('INHERENT MAP'!$B$5=2024,IF(#REF!="",B258,#REF!),IF('РЕЕСТР РИСКОВ_2023'!F299="",B258,'РЕЕСТР РИСКОВ_2023'!F299)))))</f>
        <v>ПРОЦЕНТНЫЙ РИСК</v>
      </c>
      <c r="C259" t="e">
        <f>IF('INHERENT MAP'!$B$5=2021,IF('РЕЕСТР РИСКОВ_2023'!G299="",C258,'РЕЕСТР РИСКОВ_2023'!G299),IF('INHERENT MAP'!$B$5=2022,IF(#REF!="",C258,#REF!),IF('INHERENT MAP'!$B$5=2023,IF(#REF!="",C258,#REF!),IF('INHERENT MAP'!$B$5=2024,IF(#REF!="",C258,#REF!),IF('РЕЕСТР РИСКОВ_2023'!G299="",C258,'РЕЕСТР РИСКОВ_2023'!G299)))))</f>
        <v>#REF!</v>
      </c>
      <c r="D259" t="str">
        <f>IF('INHERENT MAP'!$B$5=2021,IF('РЕЕСТР РИСКОВ_2023'!H299="",D258,'РЕЕСТР РИСКОВ_2023'!H299),IF('INHERENT MAP'!$B$5=2022,IF(#REF!="",D258,#REF!),IF('INHERENT MAP'!$B$5=2023,IF(#REF!="",D258,#REF!),IF('INHERENT MAP'!$B$5=2024,IF(#REF!="",D258,#REF!),IF('РЕЕСТР РИСКОВ_2023'!H299="",D258,'РЕЕСТР РИСКОВ_2023'!H299)))))</f>
        <v>IRR-1</v>
      </c>
      <c r="E259" t="str">
        <f>IF('INHERENT MAP'!$B$5=2021,IF('РЕЕСТР РИСКОВ_2023'!I299="",E258,'РЕЕСТР РИСКОВ_2023'!I299),IF('INHERENT MAP'!$B$5=2022,IF(#REF!="",E258,#REF!),IF('INHERENT MAP'!$B$5=2023,IF(#REF!="",E258,#REF!),IF('INHERENT MAP'!$B$5=2024,IF(#REF!="",E258,#REF!),IF('РЕЕСТР РИСКОВ_2023'!I299="",E258,'РЕЕСТР РИСКОВ_2023'!I299)))))</f>
        <v>ЦЗФ</v>
      </c>
      <c r="F259" t="str">
        <f>IF('INHERENT MAP'!$B$5=2021,IF('РЕЕСТР РИСКОВ_2023'!J299="",F258,'РЕЕСТР РИСКОВ_2023'!J299),IF('INHERENT MAP'!$B$5=2022,IF(#REF!="",F258,#REF!),IF('INHERENT MAP'!$B$5=2023,IF(#REF!="",F258,#REF!),IF('INHERENT MAP'!$B$5=2024,IF(#REF!="",F258,#REF!),IF('РЕЕСТР РИСКОВ_2023'!J299="",F258,'РЕЕСТР РИСКОВ_2023'!J299)))))</f>
        <v>Цзайм</v>
      </c>
      <c r="G259" t="str">
        <f>IF('INHERENT MAP'!$B$5=2021,IF('РЕЕСТР РИСКОВ_2023'!K299="",G258,'РЕЕСТР РИСКОВ_2023'!K299),IF('INHERENT MAP'!$B$5=2022,IF(#REF!="",G258,#REF!),IF('INHERENT MAP'!$B$5=2023,IF(#REF!="",G258,#REF!),IF('INHERENT MAP'!$B$5=2024,IF(#REF!="",G258,#REF!),IF('РЕЕСТР РИСКОВ_2023'!K299="",G258,'РЕЕСТР РИСКОВ_2023'!K299)))))</f>
        <v>Увеличение расходов по процентам на новые займы, а также текущие займы (с плавающей ставкой) в тенге.</v>
      </c>
      <c r="H259">
        <f>IF('INHERENT MAP'!$B$5=2021,'РЕЕСТР РИСКОВ_2023'!L299,IF('INHERENT MAP'!$B$5=2022,#REF!,IF('INHERENT MAP'!$B$5=2023,#REF!,IF('INHERENT MAP'!$B$5=2024,#REF!,#REF!))))</f>
        <v>0</v>
      </c>
      <c r="I259">
        <f>IF('INHERENT MAP'!$B$5=2021,'РЕЕСТР РИСКОВ_2023'!M299,IF('INHERENT MAP'!$B$5=2022,#REF!,IF('INHERENT MAP'!$B$5=2023,#REF!,IF('INHERENT MAP'!$B$5=2024,#REF!,#REF!))))</f>
        <v>0</v>
      </c>
      <c r="J259">
        <f>IF('INHERENT MAP'!$B$5=2021,'РЕЕСТР РИСКОВ_2023'!N299,IF('INHERENT MAP'!$B$5=2022,#REF!,IF('INHERENT MAP'!$B$5=2023,#REF!,IF('INHERENT MAP'!$B$5=2024,#REF!,#REF!))))</f>
        <v>0</v>
      </c>
      <c r="K259">
        <f>IF('INHERENT MAP'!$B$5=2021,'РЕЕСТР РИСКОВ_2023'!O299,IF('INHERENT MAP'!$B$5=2022,#REF!,IF('INHERENT MAP'!$B$5=2023,#REF!,IF('INHERENT MAP'!$B$5=2024,#REF!,#REF!))))</f>
        <v>0</v>
      </c>
      <c r="L259">
        <f>IF('INHERENT MAP'!$B$5=2021,'РЕЕСТР РИСКОВ_2023'!P299,IF('INHERENT MAP'!$B$5=2022,#REF!,IF('INHERENT MAP'!$B$5=2023,#REF!,IF('INHERENT MAP'!$B$5=2024,#REF!,#REF!))))</f>
        <v>0</v>
      </c>
      <c r="M259" t="str">
        <f>IF('INHERENT MAP'!$B$5=2021,IF('РЕЕСТР РИСКОВ_2023'!Q299="",M258,'РЕЕСТР РИСКОВ_2023'!Q299),IF('INHERENT MAP'!$B$5=2022,IF(#REF!="",M258,#REF!),IF('INHERENT MAP'!$B$5=2023,IF(#REF!="",M258,#REF!),IF('INHERENT MAP'!$B$5=2024,IF(#REF!="",M258,#REF!),IF('РЕЕСТР РИСКОВ_2023'!Q299="",M258,'РЕЕСТР РИСКОВ_2023'!Q299)))))</f>
        <v>Увеличение базовой ставки Национального банка Республики Казахстан до 16%</v>
      </c>
      <c r="N259" t="str">
        <f>IF('INHERENT MAP'!$B$5=2021,IF('РЕЕСТР РИСКОВ_2023'!R299="",N258,'РЕЕСТР РИСКОВ_2023'!R299),IF('INHERENT MAP'!$B$5=2022,IF(#REF!="",N258,#REF!),IF('INHERENT MAP'!$B$5=2023,IF(#REF!="",N258,#REF!),IF('INHERENT MAP'!$B$5=2024,IF(#REF!="",N258,#REF!),IF('РЕЕСТР РИСКОВ_2023'!R299="",N258,'РЕЕСТР РИСКОВ_2023'!R299)))))</f>
        <v>Рецессия экономики европейских стран</v>
      </c>
      <c r="O259">
        <f>'РЕЕСТР РИСКОВ_2023'!T299</f>
        <v>0</v>
      </c>
      <c r="P259" t="e">
        <f>IF('РЕЕСТР РИСКОВ_2023'!U299="",P258,'РЕЕСТР РИСКОВ_2023'!U299)</f>
        <v>#REF!</v>
      </c>
      <c r="Q259" t="str">
        <f>IF('РЕЕСТР РИСКОВ_2023'!V299="",Q258,'РЕЕСТР РИСКОВ_2023'!V299)</f>
        <v>Угрозы</v>
      </c>
      <c r="R259" t="e">
        <f>IF('РЕЕСТР РИСКОВ_2023'!W299="",R258,'РЕЕСТР РИСКОВ_2023'!W299)</f>
        <v>#REF!</v>
      </c>
      <c r="S259">
        <f>'РЕЕСТР РИСКОВ_2023'!X299</f>
        <v>0</v>
      </c>
      <c r="T259" s="94">
        <f>IF('INHERENT MAP'!$B$5=2021,'РЕЕСТР РИСКОВ_2023'!Y299,IF('INHERENT MAP'!$B$5=2022,#REF!,IF('INHERENT MAP'!$B$5=2023,#REF!,IF('INHERENT MAP'!$B$5=2024,#REF!,#REF!))))</f>
        <v>0</v>
      </c>
      <c r="U259">
        <f>IF('INHERENT MAP'!$B$5=2021,'РЕЕСТР РИСКОВ_2023'!Z299,IF('INHERENT MAP'!$B$5=2022,#REF!,IF('INHERENT MAP'!$B$5=2023,#REF!,IF('INHERENT MAP'!$B$5=2024,#REF!,#REF!))))</f>
        <v>0</v>
      </c>
      <c r="V259">
        <f>IF('INHERENT MAP'!$B$5=2021,'РЕЕСТР РИСКОВ_2023'!AA299,IF('INHERENT MAP'!$B$5=2022,#REF!,IF('INHERENT MAP'!$B$5=2023,#REF!,IF('INHERENT MAP'!$B$5=2024,#REF!,#REF!))))</f>
        <v>0</v>
      </c>
      <c r="W259">
        <f>IF('INHERENT MAP'!$B$5=2021,'РЕЕСТР РИСКОВ_2023'!AB299,IF('INHERENT MAP'!$B$5=2022,#REF!,IF('INHERENT MAP'!$B$5=2023,#REF!,IF('INHERENT MAP'!$B$5=2024,#REF!,#REF!))))</f>
        <v>0</v>
      </c>
      <c r="X259" s="94">
        <f>IF('INHERENT MAP'!$B$5=2021,'РЕЕСТР РИСКОВ_2023'!AC299,IF('INHERENT MAP'!$B$5=2022,#REF!,IF('INHERENT MAP'!$B$5=2023,#REF!,IF('INHERENT MAP'!$B$5=2024,#REF!,#REF!))))</f>
        <v>0</v>
      </c>
      <c r="Y259">
        <f>IF('INHERENT MAP'!$B$5=2021,'РЕЕСТР РИСКОВ_2023'!AD299,IF('INHERENT MAP'!$B$5=2022,#REF!,IF('INHERENT MAP'!$B$5=2023,#REF!,IF('INHERENT MAP'!$B$5=2024,#REF!,#REF!))))</f>
        <v>0</v>
      </c>
      <c r="Z259">
        <f>IF('INHERENT MAP'!$B$5=2021,'РЕЕСТР РИСКОВ_2023'!AE299,IF('INHERENT MAP'!$B$5=2022,#REF!,IF('INHERENT MAP'!$B$5=2023,#REF!,IF('INHERENT MAP'!$B$5=2024,#REF!,#REF!))))</f>
        <v>0</v>
      </c>
      <c r="AA259">
        <f>IF('INHERENT MAP'!$B$5=2021,'РЕЕСТР РИСКОВ_2023'!AF299,IF('INHERENT MAP'!$B$5=2022,#REF!,IF('INHERENT MAP'!$B$5=2023,#REF!,IF('INHERENT MAP'!$B$5=2024,#REF!,#REF!))))</f>
        <v>0</v>
      </c>
      <c r="AB259">
        <f>IF('INHERENT MAP'!$B$5=2021,'РЕЕСТР РИСКОВ_2023'!AG299,IF('INHERENT MAP'!$B$5=2022,#REF!,IF('INHERENT MAP'!$B$5=2023,#REF!,IF('INHERENT MAP'!$B$5=2024,#REF!,#REF!))))</f>
        <v>0</v>
      </c>
      <c r="AC259">
        <f>IF('INHERENT MAP'!$B$5=2021,'РЕЕСТР РИСКОВ_2023'!AH299,IF('INHERENT MAP'!$B$5=2022,#REF!,IF('INHERENT MAP'!$B$5=2023,#REF!,IF('INHERENT MAP'!$B$5=2024,#REF!,#REF!))))</f>
        <v>0</v>
      </c>
      <c r="AD259">
        <f>IF('INHERENT MAP'!$B$5=2021,'РЕЕСТР РИСКОВ_2023'!AI299,IF('INHERENT MAP'!$B$5=2022,#REF!,IF('INHERENT MAP'!$B$5=2023,#REF!,IF('INHERENT MAP'!$B$5=2024,#REF!,#REF!))))</f>
        <v>0</v>
      </c>
      <c r="AE259">
        <f>IF('INHERENT MAP'!$B$5=2021,'РЕЕСТР РИСКОВ_2023'!AK299,IF('INHERENT MAP'!$B$5=2022,#REF!,IF('INHERENT MAP'!$B$5=2023,#REF!,IF('INHERENT MAP'!$B$5=2024,#REF!,#REF!))))</f>
        <v>0</v>
      </c>
      <c r="AF259">
        <f>IF('INHERENT MAP'!$B$5=2021,'РЕЕСТР РИСКОВ_2023'!AL299,IF('INHERENT MAP'!$B$5=2022,#REF!,IF('INHERENT MAP'!$B$5=2023,#REF!,IF('INHERENT MAP'!$B$5=2024,#REF!,#REF!))))</f>
        <v>0</v>
      </c>
      <c r="AG259">
        <f>IF('INHERENT MAP'!$B$5=2021,'РЕЕСТР РИСКОВ_2023'!AM299,IF('INHERENT MAP'!$B$5=2022,#REF!,IF('INHERENT MAP'!$B$5=2023,#REF!,IF('INHERENT MAP'!$B$5=2024,#REF!,#REF!))))</f>
        <v>0</v>
      </c>
      <c r="AH259">
        <f>IF('INHERENT MAP'!$B$5=2021,'РЕЕСТР РИСКОВ_2023'!AN299,IF('INHERENT MAP'!$B$5=2022,#REF!,IF('INHERENT MAP'!$B$5=2023,#REF!,IF('INHERENT MAP'!$B$5=2024,#REF!,#REF!))))</f>
        <v>0</v>
      </c>
      <c r="AI259">
        <f>IF('INHERENT MAP'!$B$5=2021,'РЕЕСТР РИСКОВ_2023'!AO299,IF('INHERENT MAP'!$B$5=2022,#REF!,IF('INHERENT MAP'!$B$5=2023,#REF!,IF('INHERENT MAP'!$B$5=2024,#REF!,#REF!))))</f>
        <v>0</v>
      </c>
      <c r="AJ259">
        <f>IF('INHERENT MAP'!$B$5=2021,'РЕЕСТР РИСКОВ_2023'!AP299,IF('INHERENT MAP'!$B$5=2022,#REF!,IF('INHERENT MAP'!$B$5=2023,#REF!,IF('INHERENT MAP'!$B$5=2024,#REF!,#REF!))))</f>
        <v>0</v>
      </c>
      <c r="AK259">
        <f>IF('РЕЕСТР РИСКОВ_2023'!AQ299="",AK258,'РЕЕСТР РИСКОВ_2023'!AQ299)</f>
        <v>-216</v>
      </c>
      <c r="AL259">
        <f>IF('РЕЕСТР РИСКОВ_2023'!AR299="",AL258,'РЕЕСТР РИСКОВ_2023'!AR299)</f>
        <v>0.12</v>
      </c>
      <c r="AM259" t="str">
        <f>IF('РЕЕСТР РИСКОВ_2023'!AS299="",AM258,'РЕЕСТР РИСКОВ_2023'!AS299)</f>
        <v>стоп</v>
      </c>
      <c r="AN259" t="str">
        <f>IF('РЕЕСТР РИСКОВ_2023'!AT299="",AN258,'РЕЕСТР РИСКОВ_2023'!AT299)</f>
        <v>стоп</v>
      </c>
      <c r="AO259" t="e">
        <f>IF('РЕЕСТР РИСКОВ_2023'!AU299="",AO258,'РЕЕСТР РИСКОВ_2023'!AU299)</f>
        <v>#REF!</v>
      </c>
    </row>
    <row r="260" spans="2:41">
      <c r="B260" t="str">
        <f>IF('INHERENT MAP'!$B$5=2021,IF('РЕЕСТР РИСКОВ_2023'!F300="",B259,'РЕЕСТР РИСКОВ_2023'!F300),IF('INHERENT MAP'!$B$5=2022,IF(#REF!="",B259,#REF!),IF('INHERENT MAP'!$B$5=2023,IF(#REF!="",B259,#REF!),IF('INHERENT MAP'!$B$5=2024,IF(#REF!="",B259,#REF!),IF('РЕЕСТР РИСКОВ_2023'!F300="",B259,'РЕЕСТР РИСКОВ_2023'!F300)))))</f>
        <v>ПРОЦЕНТНЫЙ РИСК</v>
      </c>
      <c r="C260" t="e">
        <f>IF('INHERENT MAP'!$B$5=2021,IF('РЕЕСТР РИСКОВ_2023'!G300="",C259,'РЕЕСТР РИСКОВ_2023'!G300),IF('INHERENT MAP'!$B$5=2022,IF(#REF!="",C259,#REF!),IF('INHERENT MAP'!$B$5=2023,IF(#REF!="",C259,#REF!),IF('INHERENT MAP'!$B$5=2024,IF(#REF!="",C259,#REF!),IF('РЕЕСТР РИСКОВ_2023'!G300="",C259,'РЕЕСТР РИСКОВ_2023'!G300)))))</f>
        <v>#REF!</v>
      </c>
      <c r="D260" t="str">
        <f>IF('INHERENT MAP'!$B$5=2021,IF('РЕЕСТР РИСКОВ_2023'!H300="",D259,'РЕЕСТР РИСКОВ_2023'!H300),IF('INHERENT MAP'!$B$5=2022,IF(#REF!="",D259,#REF!),IF('INHERENT MAP'!$B$5=2023,IF(#REF!="",D259,#REF!),IF('INHERENT MAP'!$B$5=2024,IF(#REF!="",D259,#REF!),IF('РЕЕСТР РИСКОВ_2023'!H300="",D259,'РЕЕСТР РИСКОВ_2023'!H300)))))</f>
        <v>IRR-1</v>
      </c>
      <c r="E260" t="str">
        <f>IF('INHERENT MAP'!$B$5=2021,IF('РЕЕСТР РИСКОВ_2023'!I300="",E259,'РЕЕСТР РИСКОВ_2023'!I300),IF('INHERENT MAP'!$B$5=2022,IF(#REF!="",E259,#REF!),IF('INHERENT MAP'!$B$5=2023,IF(#REF!="",E259,#REF!),IF('INHERENT MAP'!$B$5=2024,IF(#REF!="",E259,#REF!),IF('РЕЕСТР РИСКОВ_2023'!I300="",E259,'РЕЕСТР РИСКОВ_2023'!I300)))))</f>
        <v>ЦЗФ</v>
      </c>
      <c r="F260" t="str">
        <f>IF('INHERENT MAP'!$B$5=2021,IF('РЕЕСТР РИСКОВ_2023'!J300="",F259,'РЕЕСТР РИСКОВ_2023'!J300),IF('INHERENT MAP'!$B$5=2022,IF(#REF!="",F259,#REF!),IF('INHERENT MAP'!$B$5=2023,IF(#REF!="",F259,#REF!),IF('INHERENT MAP'!$B$5=2024,IF(#REF!="",F259,#REF!),IF('РЕЕСТР РИСКОВ_2023'!J300="",F259,'РЕЕСТР РИСКОВ_2023'!J300)))))</f>
        <v>Цзайм</v>
      </c>
      <c r="G260" t="str">
        <f>IF('INHERENT MAP'!$B$5=2021,IF('РЕЕСТР РИСКОВ_2023'!K300="",G259,'РЕЕСТР РИСКОВ_2023'!K300),IF('INHERENT MAP'!$B$5=2022,IF(#REF!="",G259,#REF!),IF('INHERENT MAP'!$B$5=2023,IF(#REF!="",G259,#REF!),IF('INHERENT MAP'!$B$5=2024,IF(#REF!="",G259,#REF!),IF('РЕЕСТР РИСКОВ_2023'!K300="",G259,'РЕЕСТР РИСКОВ_2023'!K300)))))</f>
        <v>Увеличение расходов по процентам на новые займы, а также текущие займы (с плавающей ставкой) в тенге.</v>
      </c>
      <c r="H260">
        <f>IF('INHERENT MAP'!$B$5=2021,'РЕЕСТР РИСКОВ_2023'!L300,IF('INHERENT MAP'!$B$5=2022,#REF!,IF('INHERENT MAP'!$B$5=2023,#REF!,IF('INHERENT MAP'!$B$5=2024,#REF!,#REF!))))</f>
        <v>0</v>
      </c>
      <c r="I260">
        <f>IF('INHERENT MAP'!$B$5=2021,'РЕЕСТР РИСКОВ_2023'!M300,IF('INHERENT MAP'!$B$5=2022,#REF!,IF('INHERENT MAP'!$B$5=2023,#REF!,IF('INHERENT MAP'!$B$5=2024,#REF!,#REF!))))</f>
        <v>0</v>
      </c>
      <c r="J260">
        <f>IF('INHERENT MAP'!$B$5=2021,'РЕЕСТР РИСКОВ_2023'!N300,IF('INHERENT MAP'!$B$5=2022,#REF!,IF('INHERENT MAP'!$B$5=2023,#REF!,IF('INHERENT MAP'!$B$5=2024,#REF!,#REF!))))</f>
        <v>0</v>
      </c>
      <c r="K260">
        <f>IF('INHERENT MAP'!$B$5=2021,'РЕЕСТР РИСКОВ_2023'!O300,IF('INHERENT MAP'!$B$5=2022,#REF!,IF('INHERENT MAP'!$B$5=2023,#REF!,IF('INHERENT MAP'!$B$5=2024,#REF!,#REF!))))</f>
        <v>0</v>
      </c>
      <c r="L260">
        <f>IF('INHERENT MAP'!$B$5=2021,'РЕЕСТР РИСКОВ_2023'!P300,IF('INHERENT MAP'!$B$5=2022,#REF!,IF('INHERENT MAP'!$B$5=2023,#REF!,IF('INHERENT MAP'!$B$5=2024,#REF!,#REF!))))</f>
        <v>0</v>
      </c>
      <c r="M260" t="str">
        <f>IF('INHERENT MAP'!$B$5=2021,IF('РЕЕСТР РИСКОВ_2023'!Q300="",M259,'РЕЕСТР РИСКОВ_2023'!Q300),IF('INHERENT MAP'!$B$5=2022,IF(#REF!="",M259,#REF!),IF('INHERENT MAP'!$B$5=2023,IF(#REF!="",M259,#REF!),IF('INHERENT MAP'!$B$5=2024,IF(#REF!="",M259,#REF!),IF('РЕЕСТР РИСКОВ_2023'!Q300="",M259,'РЕЕСТР РИСКОВ_2023'!Q300)))))</f>
        <v>Увеличение базовой ставки Национального банка Республики Казахстан до 16%</v>
      </c>
      <c r="N260" t="str">
        <f>IF('INHERENT MAP'!$B$5=2021,IF('РЕЕСТР РИСКОВ_2023'!R300="",N259,'РЕЕСТР РИСКОВ_2023'!R300),IF('INHERENT MAP'!$B$5=2022,IF(#REF!="",N259,#REF!),IF('INHERENT MAP'!$B$5=2023,IF(#REF!="",N259,#REF!),IF('INHERENT MAP'!$B$5=2024,IF(#REF!="",N259,#REF!),IF('РЕЕСТР РИСКОВ_2023'!R300="",N259,'РЕЕСТР РИСКОВ_2023'!R300)))))</f>
        <v>Рецессия экономики европейских стран</v>
      </c>
      <c r="O260">
        <f>'РЕЕСТР РИСКОВ_2023'!T300</f>
        <v>0</v>
      </c>
      <c r="P260" t="e">
        <f>IF('РЕЕСТР РИСКОВ_2023'!U300="",P259,'РЕЕСТР РИСКОВ_2023'!U300)</f>
        <v>#REF!</v>
      </c>
      <c r="Q260" t="str">
        <f>IF('РЕЕСТР РИСКОВ_2023'!V300="",Q259,'РЕЕСТР РИСКОВ_2023'!V300)</f>
        <v>Угрозы</v>
      </c>
      <c r="R260" t="e">
        <f>IF('РЕЕСТР РИСКОВ_2023'!W300="",R259,'РЕЕСТР РИСКОВ_2023'!W300)</f>
        <v>#REF!</v>
      </c>
      <c r="S260">
        <f>'РЕЕСТР РИСКОВ_2023'!X300</f>
        <v>0</v>
      </c>
      <c r="T260" s="94">
        <f>IF('INHERENT MAP'!$B$5=2021,'РЕЕСТР РИСКОВ_2023'!Y300,IF('INHERENT MAP'!$B$5=2022,#REF!,IF('INHERENT MAP'!$B$5=2023,#REF!,IF('INHERENT MAP'!$B$5=2024,#REF!,#REF!))))</f>
        <v>0</v>
      </c>
      <c r="U260">
        <f>IF('INHERENT MAP'!$B$5=2021,'РЕЕСТР РИСКОВ_2023'!Z300,IF('INHERENT MAP'!$B$5=2022,#REF!,IF('INHERENT MAP'!$B$5=2023,#REF!,IF('INHERENT MAP'!$B$5=2024,#REF!,#REF!))))</f>
        <v>0</v>
      </c>
      <c r="V260">
        <f>IF('INHERENT MAP'!$B$5=2021,'РЕЕСТР РИСКОВ_2023'!AA300,IF('INHERENT MAP'!$B$5=2022,#REF!,IF('INHERENT MAP'!$B$5=2023,#REF!,IF('INHERENT MAP'!$B$5=2024,#REF!,#REF!))))</f>
        <v>0</v>
      </c>
      <c r="W260">
        <f>IF('INHERENT MAP'!$B$5=2021,'РЕЕСТР РИСКОВ_2023'!AB300,IF('INHERENT MAP'!$B$5=2022,#REF!,IF('INHERENT MAP'!$B$5=2023,#REF!,IF('INHERENT MAP'!$B$5=2024,#REF!,#REF!))))</f>
        <v>0</v>
      </c>
      <c r="X260" s="94">
        <f>IF('INHERENT MAP'!$B$5=2021,'РЕЕСТР РИСКОВ_2023'!AC300,IF('INHERENT MAP'!$B$5=2022,#REF!,IF('INHERENT MAP'!$B$5=2023,#REF!,IF('INHERENT MAP'!$B$5=2024,#REF!,#REF!))))</f>
        <v>0</v>
      </c>
      <c r="Y260">
        <f>IF('INHERENT MAP'!$B$5=2021,'РЕЕСТР РИСКОВ_2023'!AD300,IF('INHERENT MAP'!$B$5=2022,#REF!,IF('INHERENT MAP'!$B$5=2023,#REF!,IF('INHERENT MAP'!$B$5=2024,#REF!,#REF!))))</f>
        <v>0</v>
      </c>
      <c r="Z260">
        <f>IF('INHERENT MAP'!$B$5=2021,'РЕЕСТР РИСКОВ_2023'!AE300,IF('INHERENT MAP'!$B$5=2022,#REF!,IF('INHERENT MAP'!$B$5=2023,#REF!,IF('INHERENT MAP'!$B$5=2024,#REF!,#REF!))))</f>
        <v>0</v>
      </c>
      <c r="AA260">
        <f>IF('INHERENT MAP'!$B$5=2021,'РЕЕСТР РИСКОВ_2023'!AF300,IF('INHERENT MAP'!$B$5=2022,#REF!,IF('INHERENT MAP'!$B$5=2023,#REF!,IF('INHERENT MAP'!$B$5=2024,#REF!,#REF!))))</f>
        <v>0</v>
      </c>
      <c r="AB260">
        <f>IF('INHERENT MAP'!$B$5=2021,'РЕЕСТР РИСКОВ_2023'!AG300,IF('INHERENT MAP'!$B$5=2022,#REF!,IF('INHERENT MAP'!$B$5=2023,#REF!,IF('INHERENT MAP'!$B$5=2024,#REF!,#REF!))))</f>
        <v>0</v>
      </c>
      <c r="AC260">
        <f>IF('INHERENT MAP'!$B$5=2021,'РЕЕСТР РИСКОВ_2023'!AH300,IF('INHERENT MAP'!$B$5=2022,#REF!,IF('INHERENT MAP'!$B$5=2023,#REF!,IF('INHERENT MAP'!$B$5=2024,#REF!,#REF!))))</f>
        <v>0</v>
      </c>
      <c r="AD260">
        <f>IF('INHERENT MAP'!$B$5=2021,'РЕЕСТР РИСКОВ_2023'!AI300,IF('INHERENT MAP'!$B$5=2022,#REF!,IF('INHERENT MAP'!$B$5=2023,#REF!,IF('INHERENT MAP'!$B$5=2024,#REF!,#REF!))))</f>
        <v>0</v>
      </c>
      <c r="AE260">
        <f>IF('INHERENT MAP'!$B$5=2021,'РЕЕСТР РИСКОВ_2023'!AK300,IF('INHERENT MAP'!$B$5=2022,#REF!,IF('INHERENT MAP'!$B$5=2023,#REF!,IF('INHERENT MAP'!$B$5=2024,#REF!,#REF!))))</f>
        <v>0</v>
      </c>
      <c r="AF260">
        <f>IF('INHERENT MAP'!$B$5=2021,'РЕЕСТР РИСКОВ_2023'!AL300,IF('INHERENT MAP'!$B$5=2022,#REF!,IF('INHERENT MAP'!$B$5=2023,#REF!,IF('INHERENT MAP'!$B$5=2024,#REF!,#REF!))))</f>
        <v>0</v>
      </c>
      <c r="AG260">
        <f>IF('INHERENT MAP'!$B$5=2021,'РЕЕСТР РИСКОВ_2023'!AM300,IF('INHERENT MAP'!$B$5=2022,#REF!,IF('INHERENT MAP'!$B$5=2023,#REF!,IF('INHERENT MAP'!$B$5=2024,#REF!,#REF!))))</f>
        <v>0</v>
      </c>
      <c r="AH260">
        <f>IF('INHERENT MAP'!$B$5=2021,'РЕЕСТР РИСКОВ_2023'!AN300,IF('INHERENT MAP'!$B$5=2022,#REF!,IF('INHERENT MAP'!$B$5=2023,#REF!,IF('INHERENT MAP'!$B$5=2024,#REF!,#REF!))))</f>
        <v>0</v>
      </c>
      <c r="AI260">
        <f>IF('INHERENT MAP'!$B$5=2021,'РЕЕСТР РИСКОВ_2023'!AO300,IF('INHERENT MAP'!$B$5=2022,#REF!,IF('INHERENT MAP'!$B$5=2023,#REF!,IF('INHERENT MAP'!$B$5=2024,#REF!,#REF!))))</f>
        <v>0</v>
      </c>
      <c r="AJ260">
        <f>IF('INHERENT MAP'!$B$5=2021,'РЕЕСТР РИСКОВ_2023'!AP300,IF('INHERENT MAP'!$B$5=2022,#REF!,IF('INHERENT MAP'!$B$5=2023,#REF!,IF('INHERENT MAP'!$B$5=2024,#REF!,#REF!))))</f>
        <v>0</v>
      </c>
      <c r="AK260">
        <f>IF('РЕЕСТР РИСКОВ_2023'!AQ300="",AK259,'РЕЕСТР РИСКОВ_2023'!AQ300)</f>
        <v>-216</v>
      </c>
      <c r="AL260">
        <f>IF('РЕЕСТР РИСКОВ_2023'!AR300="",AL259,'РЕЕСТР РИСКОВ_2023'!AR300)</f>
        <v>0.12</v>
      </c>
      <c r="AM260" t="str">
        <f>IF('РЕЕСТР РИСКОВ_2023'!AS300="",AM259,'РЕЕСТР РИСКОВ_2023'!AS300)</f>
        <v>стоп</v>
      </c>
      <c r="AN260" t="str">
        <f>IF('РЕЕСТР РИСКОВ_2023'!AT300="",AN259,'РЕЕСТР РИСКОВ_2023'!AT300)</f>
        <v>стоп</v>
      </c>
      <c r="AO260" t="e">
        <f>IF('РЕЕСТР РИСКОВ_2023'!AU300="",AO259,'РЕЕСТР РИСКОВ_2023'!AU300)</f>
        <v>#REF!</v>
      </c>
    </row>
    <row r="261" spans="2:41">
      <c r="B261" t="str">
        <f>IF('INHERENT MAP'!$B$5=2021,IF('РЕЕСТР РИСКОВ_2023'!F301="",B260,'РЕЕСТР РИСКОВ_2023'!F301),IF('INHERENT MAP'!$B$5=2022,IF(#REF!="",B260,#REF!),IF('INHERENT MAP'!$B$5=2023,IF(#REF!="",B260,#REF!),IF('INHERENT MAP'!$B$5=2024,IF(#REF!="",B260,#REF!),IF('РЕЕСТР РИСКОВ_2023'!F301="",B260,'РЕЕСТР РИСКОВ_2023'!F301)))))</f>
        <v>ПРОЦЕНТНЫЙ РИСК</v>
      </c>
      <c r="C261" t="e">
        <f>IF('INHERENT MAP'!$B$5=2021,IF('РЕЕСТР РИСКОВ_2023'!G301="",C260,'РЕЕСТР РИСКОВ_2023'!G301),IF('INHERENT MAP'!$B$5=2022,IF(#REF!="",C260,#REF!),IF('INHERENT MAP'!$B$5=2023,IF(#REF!="",C260,#REF!),IF('INHERENT MAP'!$B$5=2024,IF(#REF!="",C260,#REF!),IF('РЕЕСТР РИСКОВ_2023'!G301="",C260,'РЕЕСТР РИСКОВ_2023'!G301)))))</f>
        <v>#REF!</v>
      </c>
      <c r="D261" t="str">
        <f>IF('INHERENT MAP'!$B$5=2021,IF('РЕЕСТР РИСКОВ_2023'!H301="",D260,'РЕЕСТР РИСКОВ_2023'!H301),IF('INHERENT MAP'!$B$5=2022,IF(#REF!="",D260,#REF!),IF('INHERENT MAP'!$B$5=2023,IF(#REF!="",D260,#REF!),IF('INHERENT MAP'!$B$5=2024,IF(#REF!="",D260,#REF!),IF('РЕЕСТР РИСКОВ_2023'!H301="",D260,'РЕЕСТР РИСКОВ_2023'!H301)))))</f>
        <v>IRR-1</v>
      </c>
      <c r="E261" t="str">
        <f>IF('INHERENT MAP'!$B$5=2021,IF('РЕЕСТР РИСКОВ_2023'!I301="",E260,'РЕЕСТР РИСКОВ_2023'!I301),IF('INHERENT MAP'!$B$5=2022,IF(#REF!="",E260,#REF!),IF('INHERENT MAP'!$B$5=2023,IF(#REF!="",E260,#REF!),IF('INHERENT MAP'!$B$5=2024,IF(#REF!="",E260,#REF!),IF('РЕЕСТР РИСКОВ_2023'!I301="",E260,'РЕЕСТР РИСКОВ_2023'!I301)))))</f>
        <v>ЦЗФ</v>
      </c>
      <c r="F261" t="str">
        <f>IF('INHERENT MAP'!$B$5=2021,IF('РЕЕСТР РИСКОВ_2023'!J301="",F260,'РЕЕСТР РИСКОВ_2023'!J301),IF('INHERENT MAP'!$B$5=2022,IF(#REF!="",F260,#REF!),IF('INHERENT MAP'!$B$5=2023,IF(#REF!="",F260,#REF!),IF('INHERENT MAP'!$B$5=2024,IF(#REF!="",F260,#REF!),IF('РЕЕСТР РИСКОВ_2023'!J301="",F260,'РЕЕСТР РИСКОВ_2023'!J301)))))</f>
        <v>Цзайм</v>
      </c>
      <c r="G261" t="str">
        <f>IF('INHERENT MAP'!$B$5=2021,IF('РЕЕСТР РИСКОВ_2023'!K301="",G260,'РЕЕСТР РИСКОВ_2023'!K301),IF('INHERENT MAP'!$B$5=2022,IF(#REF!="",G260,#REF!),IF('INHERENT MAP'!$B$5=2023,IF(#REF!="",G260,#REF!),IF('INHERENT MAP'!$B$5=2024,IF(#REF!="",G260,#REF!),IF('РЕЕСТР РИСКОВ_2023'!K301="",G260,'РЕЕСТР РИСКОВ_2023'!K301)))))</f>
        <v>Увеличение расходов по процентам на новые займы, а также текущие займы (с плавающей ставкой) в тенге.</v>
      </c>
      <c r="H261">
        <f>IF('INHERENT MAP'!$B$5=2021,'РЕЕСТР РИСКОВ_2023'!L301,IF('INHERENT MAP'!$B$5=2022,#REF!,IF('INHERENT MAP'!$B$5=2023,#REF!,IF('INHERENT MAP'!$B$5=2024,#REF!,#REF!))))</f>
        <v>0</v>
      </c>
      <c r="I261">
        <f>IF('INHERENT MAP'!$B$5=2021,'РЕЕСТР РИСКОВ_2023'!M301,IF('INHERENT MAP'!$B$5=2022,#REF!,IF('INHERENT MAP'!$B$5=2023,#REF!,IF('INHERENT MAP'!$B$5=2024,#REF!,#REF!))))</f>
        <v>0</v>
      </c>
      <c r="J261">
        <f>IF('INHERENT MAP'!$B$5=2021,'РЕЕСТР РИСКОВ_2023'!N301,IF('INHERENT MAP'!$B$5=2022,#REF!,IF('INHERENT MAP'!$B$5=2023,#REF!,IF('INHERENT MAP'!$B$5=2024,#REF!,#REF!))))</f>
        <v>0</v>
      </c>
      <c r="K261">
        <f>IF('INHERENT MAP'!$B$5=2021,'РЕЕСТР РИСКОВ_2023'!O301,IF('INHERENT MAP'!$B$5=2022,#REF!,IF('INHERENT MAP'!$B$5=2023,#REF!,IF('INHERENT MAP'!$B$5=2024,#REF!,#REF!))))</f>
        <v>0</v>
      </c>
      <c r="L261">
        <f>IF('INHERENT MAP'!$B$5=2021,'РЕЕСТР РИСКОВ_2023'!P301,IF('INHERENT MAP'!$B$5=2022,#REF!,IF('INHERENT MAP'!$B$5=2023,#REF!,IF('INHERENT MAP'!$B$5=2024,#REF!,#REF!))))</f>
        <v>0</v>
      </c>
      <c r="M261" t="str">
        <f>IF('INHERENT MAP'!$B$5=2021,IF('РЕЕСТР РИСКОВ_2023'!Q301="",M260,'РЕЕСТР РИСКОВ_2023'!Q301),IF('INHERENT MAP'!$B$5=2022,IF(#REF!="",M260,#REF!),IF('INHERENT MAP'!$B$5=2023,IF(#REF!="",M260,#REF!),IF('INHERENT MAP'!$B$5=2024,IF(#REF!="",M260,#REF!),IF('РЕЕСТР РИСКОВ_2023'!Q301="",M260,'РЕЕСТР РИСКОВ_2023'!Q301)))))</f>
        <v>Увеличение базовой ставки Национального банка Республики Казахстан до 16%</v>
      </c>
      <c r="N261" t="str">
        <f>IF('INHERENT MAP'!$B$5=2021,IF('РЕЕСТР РИСКОВ_2023'!R301="",N260,'РЕЕСТР РИСКОВ_2023'!R301),IF('INHERENT MAP'!$B$5=2022,IF(#REF!="",N260,#REF!),IF('INHERENT MAP'!$B$5=2023,IF(#REF!="",N260,#REF!),IF('INHERENT MAP'!$B$5=2024,IF(#REF!="",N260,#REF!),IF('РЕЕСТР РИСКОВ_2023'!R301="",N260,'РЕЕСТР РИСКОВ_2023'!R301)))))</f>
        <v>Рецессия экономики европейских стран</v>
      </c>
      <c r="O261">
        <f>'РЕЕСТР РИСКОВ_2023'!T301</f>
        <v>0</v>
      </c>
      <c r="P261" t="e">
        <f>IF('РЕЕСТР РИСКОВ_2023'!U301="",P260,'РЕЕСТР РИСКОВ_2023'!U301)</f>
        <v>#REF!</v>
      </c>
      <c r="Q261" t="str">
        <f>IF('РЕЕСТР РИСКОВ_2023'!V301="",Q260,'РЕЕСТР РИСКОВ_2023'!V301)</f>
        <v>Угрозы</v>
      </c>
      <c r="R261" t="e">
        <f>IF('РЕЕСТР РИСКОВ_2023'!W301="",R260,'РЕЕСТР РИСКОВ_2023'!W301)</f>
        <v>#REF!</v>
      </c>
      <c r="S261">
        <f>'РЕЕСТР РИСКОВ_2023'!X301</f>
        <v>0</v>
      </c>
      <c r="T261" s="94">
        <f>IF('INHERENT MAP'!$B$5=2021,'РЕЕСТР РИСКОВ_2023'!Y301,IF('INHERENT MAP'!$B$5=2022,#REF!,IF('INHERENT MAP'!$B$5=2023,#REF!,IF('INHERENT MAP'!$B$5=2024,#REF!,#REF!))))</f>
        <v>0</v>
      </c>
      <c r="U261">
        <f>IF('INHERENT MAP'!$B$5=2021,'РЕЕСТР РИСКОВ_2023'!Z301,IF('INHERENT MAP'!$B$5=2022,#REF!,IF('INHERENT MAP'!$B$5=2023,#REF!,IF('INHERENT MAP'!$B$5=2024,#REF!,#REF!))))</f>
        <v>0</v>
      </c>
      <c r="V261">
        <f>IF('INHERENT MAP'!$B$5=2021,'РЕЕСТР РИСКОВ_2023'!AA301,IF('INHERENT MAP'!$B$5=2022,#REF!,IF('INHERENT MAP'!$B$5=2023,#REF!,IF('INHERENT MAP'!$B$5=2024,#REF!,#REF!))))</f>
        <v>0</v>
      </c>
      <c r="W261">
        <f>IF('INHERENT MAP'!$B$5=2021,'РЕЕСТР РИСКОВ_2023'!AB301,IF('INHERENT MAP'!$B$5=2022,#REF!,IF('INHERENT MAP'!$B$5=2023,#REF!,IF('INHERENT MAP'!$B$5=2024,#REF!,#REF!))))</f>
        <v>0</v>
      </c>
      <c r="X261" s="94">
        <f>IF('INHERENT MAP'!$B$5=2021,'РЕЕСТР РИСКОВ_2023'!AC301,IF('INHERENT MAP'!$B$5=2022,#REF!,IF('INHERENT MAP'!$B$5=2023,#REF!,IF('INHERENT MAP'!$B$5=2024,#REF!,#REF!))))</f>
        <v>0</v>
      </c>
      <c r="Y261">
        <f>IF('INHERENT MAP'!$B$5=2021,'РЕЕСТР РИСКОВ_2023'!AD301,IF('INHERENT MAP'!$B$5=2022,#REF!,IF('INHERENT MAP'!$B$5=2023,#REF!,IF('INHERENT MAP'!$B$5=2024,#REF!,#REF!))))</f>
        <v>0</v>
      </c>
      <c r="Z261">
        <f>IF('INHERENT MAP'!$B$5=2021,'РЕЕСТР РИСКОВ_2023'!AE301,IF('INHERENT MAP'!$B$5=2022,#REF!,IF('INHERENT MAP'!$B$5=2023,#REF!,IF('INHERENT MAP'!$B$5=2024,#REF!,#REF!))))</f>
        <v>0</v>
      </c>
      <c r="AA261">
        <f>IF('INHERENT MAP'!$B$5=2021,'РЕЕСТР РИСКОВ_2023'!AF301,IF('INHERENT MAP'!$B$5=2022,#REF!,IF('INHERENT MAP'!$B$5=2023,#REF!,IF('INHERENT MAP'!$B$5=2024,#REF!,#REF!))))</f>
        <v>0</v>
      </c>
      <c r="AB261">
        <f>IF('INHERENT MAP'!$B$5=2021,'РЕЕСТР РИСКОВ_2023'!AG301,IF('INHERENT MAP'!$B$5=2022,#REF!,IF('INHERENT MAP'!$B$5=2023,#REF!,IF('INHERENT MAP'!$B$5=2024,#REF!,#REF!))))</f>
        <v>0</v>
      </c>
      <c r="AC261">
        <f>IF('INHERENT MAP'!$B$5=2021,'РЕЕСТР РИСКОВ_2023'!AH301,IF('INHERENT MAP'!$B$5=2022,#REF!,IF('INHERENT MAP'!$B$5=2023,#REF!,IF('INHERENT MAP'!$B$5=2024,#REF!,#REF!))))</f>
        <v>0</v>
      </c>
      <c r="AD261">
        <f>IF('INHERENT MAP'!$B$5=2021,'РЕЕСТР РИСКОВ_2023'!AI301,IF('INHERENT MAP'!$B$5=2022,#REF!,IF('INHERENT MAP'!$B$5=2023,#REF!,IF('INHERENT MAP'!$B$5=2024,#REF!,#REF!))))</f>
        <v>0</v>
      </c>
      <c r="AE261">
        <f>IF('INHERENT MAP'!$B$5=2021,'РЕЕСТР РИСКОВ_2023'!AK301,IF('INHERENT MAP'!$B$5=2022,#REF!,IF('INHERENT MAP'!$B$5=2023,#REF!,IF('INHERENT MAP'!$B$5=2024,#REF!,#REF!))))</f>
        <v>0</v>
      </c>
      <c r="AF261">
        <f>IF('INHERENT MAP'!$B$5=2021,'РЕЕСТР РИСКОВ_2023'!AL301,IF('INHERENT MAP'!$B$5=2022,#REF!,IF('INHERENT MAP'!$B$5=2023,#REF!,IF('INHERENT MAP'!$B$5=2024,#REF!,#REF!))))</f>
        <v>0</v>
      </c>
      <c r="AG261">
        <f>IF('INHERENT MAP'!$B$5=2021,'РЕЕСТР РИСКОВ_2023'!AM301,IF('INHERENT MAP'!$B$5=2022,#REF!,IF('INHERENT MAP'!$B$5=2023,#REF!,IF('INHERENT MAP'!$B$5=2024,#REF!,#REF!))))</f>
        <v>0</v>
      </c>
      <c r="AH261">
        <f>IF('INHERENT MAP'!$B$5=2021,'РЕЕСТР РИСКОВ_2023'!AN301,IF('INHERENT MAP'!$B$5=2022,#REF!,IF('INHERENT MAP'!$B$5=2023,#REF!,IF('INHERENT MAP'!$B$5=2024,#REF!,#REF!))))</f>
        <v>0</v>
      </c>
      <c r="AI261">
        <f>IF('INHERENT MAP'!$B$5=2021,'РЕЕСТР РИСКОВ_2023'!AO301,IF('INHERENT MAP'!$B$5=2022,#REF!,IF('INHERENT MAP'!$B$5=2023,#REF!,IF('INHERENT MAP'!$B$5=2024,#REF!,#REF!))))</f>
        <v>0</v>
      </c>
      <c r="AJ261">
        <f>IF('INHERENT MAP'!$B$5=2021,'РЕЕСТР РИСКОВ_2023'!AP301,IF('INHERENT MAP'!$B$5=2022,#REF!,IF('INHERENT MAP'!$B$5=2023,#REF!,IF('INHERENT MAP'!$B$5=2024,#REF!,#REF!))))</f>
        <v>0</v>
      </c>
      <c r="AK261">
        <f>IF('РЕЕСТР РИСКОВ_2023'!AQ301="",AK260,'РЕЕСТР РИСКОВ_2023'!AQ301)</f>
        <v>-216</v>
      </c>
      <c r="AL261">
        <f>IF('РЕЕСТР РИСКОВ_2023'!AR301="",AL260,'РЕЕСТР РИСКОВ_2023'!AR301)</f>
        <v>0.12</v>
      </c>
      <c r="AM261" t="str">
        <f>IF('РЕЕСТР РИСКОВ_2023'!AS301="",AM260,'РЕЕСТР РИСКОВ_2023'!AS301)</f>
        <v>стоп</v>
      </c>
      <c r="AN261" t="str">
        <f>IF('РЕЕСТР РИСКОВ_2023'!AT301="",AN260,'РЕЕСТР РИСКОВ_2023'!AT301)</f>
        <v>стоп</v>
      </c>
      <c r="AO261" t="e">
        <f>IF('РЕЕСТР РИСКОВ_2023'!AU301="",AO260,'РЕЕСТР РИСКОВ_2023'!AU301)</f>
        <v>#REF!</v>
      </c>
    </row>
    <row r="262" spans="2:41">
      <c r="B262" t="str">
        <f>IF('INHERENT MAP'!$B$5=2021,IF('РЕЕСТР РИСКОВ_2023'!F302="",B261,'РЕЕСТР РИСКОВ_2023'!F302),IF('INHERENT MAP'!$B$5=2022,IF(#REF!="",B261,#REF!),IF('INHERENT MAP'!$B$5=2023,IF(#REF!="",B261,#REF!),IF('INHERENT MAP'!$B$5=2024,IF(#REF!="",B261,#REF!),IF('РЕЕСТР РИСКОВ_2023'!F302="",B261,'РЕЕСТР РИСКОВ_2023'!F302)))))</f>
        <v>ПРОЦЕНТНЫЙ РИСК</v>
      </c>
      <c r="C262" t="e">
        <f>IF('INHERENT MAP'!$B$5=2021,IF('РЕЕСТР РИСКОВ_2023'!G302="",C261,'РЕЕСТР РИСКОВ_2023'!G302),IF('INHERENT MAP'!$B$5=2022,IF(#REF!="",C261,#REF!),IF('INHERENT MAP'!$B$5=2023,IF(#REF!="",C261,#REF!),IF('INHERENT MAP'!$B$5=2024,IF(#REF!="",C261,#REF!),IF('РЕЕСТР РИСКОВ_2023'!G302="",C261,'РЕЕСТР РИСКОВ_2023'!G302)))))</f>
        <v>#REF!</v>
      </c>
      <c r="D262" t="str">
        <f>IF('INHERENT MAP'!$B$5=2021,IF('РЕЕСТР РИСКОВ_2023'!H302="",D261,'РЕЕСТР РИСКОВ_2023'!H302),IF('INHERENT MAP'!$B$5=2022,IF(#REF!="",D261,#REF!),IF('INHERENT MAP'!$B$5=2023,IF(#REF!="",D261,#REF!),IF('INHERENT MAP'!$B$5=2024,IF(#REF!="",D261,#REF!),IF('РЕЕСТР РИСКОВ_2023'!H302="",D261,'РЕЕСТР РИСКОВ_2023'!H302)))))</f>
        <v>IRR-1</v>
      </c>
      <c r="E262" t="str">
        <f>IF('INHERENT MAP'!$B$5=2021,IF('РЕЕСТР РИСКОВ_2023'!I302="",E261,'РЕЕСТР РИСКОВ_2023'!I302),IF('INHERENT MAP'!$B$5=2022,IF(#REF!="",E261,#REF!),IF('INHERENT MAP'!$B$5=2023,IF(#REF!="",E261,#REF!),IF('INHERENT MAP'!$B$5=2024,IF(#REF!="",E261,#REF!),IF('РЕЕСТР РИСКОВ_2023'!I302="",E261,'РЕЕСТР РИСКОВ_2023'!I302)))))</f>
        <v>ЦЗФ</v>
      </c>
      <c r="F262" t="str">
        <f>IF('INHERENT MAP'!$B$5=2021,IF('РЕЕСТР РИСКОВ_2023'!J302="",F261,'РЕЕСТР РИСКОВ_2023'!J302),IF('INHERENT MAP'!$B$5=2022,IF(#REF!="",F261,#REF!),IF('INHERENT MAP'!$B$5=2023,IF(#REF!="",F261,#REF!),IF('INHERENT MAP'!$B$5=2024,IF(#REF!="",F261,#REF!),IF('РЕЕСТР РИСКОВ_2023'!J302="",F261,'РЕЕСТР РИСКОВ_2023'!J302)))))</f>
        <v>Цзайм</v>
      </c>
      <c r="G262" t="str">
        <f>IF('INHERENT MAP'!$B$5=2021,IF('РЕЕСТР РИСКОВ_2023'!K302="",G261,'РЕЕСТР РИСКОВ_2023'!K302),IF('INHERENT MAP'!$B$5=2022,IF(#REF!="",G261,#REF!),IF('INHERENT MAP'!$B$5=2023,IF(#REF!="",G261,#REF!),IF('INHERENT MAP'!$B$5=2024,IF(#REF!="",G261,#REF!),IF('РЕЕСТР РИСКОВ_2023'!K302="",G261,'РЕЕСТР РИСКОВ_2023'!K302)))))</f>
        <v>Увеличение расходов по процентам на новые займы, а также текущие займы (с плавающей ставкой) в тенге.</v>
      </c>
      <c r="H262">
        <f>IF('INHERENT MAP'!$B$5=2021,'РЕЕСТР РИСКОВ_2023'!L302,IF('INHERENT MAP'!$B$5=2022,#REF!,IF('INHERENT MAP'!$B$5=2023,#REF!,IF('INHERENT MAP'!$B$5=2024,#REF!,#REF!))))</f>
        <v>0</v>
      </c>
      <c r="I262">
        <f>IF('INHERENT MAP'!$B$5=2021,'РЕЕСТР РИСКОВ_2023'!M302,IF('INHERENT MAP'!$B$5=2022,#REF!,IF('INHERENT MAP'!$B$5=2023,#REF!,IF('INHERENT MAP'!$B$5=2024,#REF!,#REF!))))</f>
        <v>0</v>
      </c>
      <c r="J262">
        <f>IF('INHERENT MAP'!$B$5=2021,'РЕЕСТР РИСКОВ_2023'!N302,IF('INHERENT MAP'!$B$5=2022,#REF!,IF('INHERENT MAP'!$B$5=2023,#REF!,IF('INHERENT MAP'!$B$5=2024,#REF!,#REF!))))</f>
        <v>0</v>
      </c>
      <c r="K262">
        <f>IF('INHERENT MAP'!$B$5=2021,'РЕЕСТР РИСКОВ_2023'!O302,IF('INHERENT MAP'!$B$5=2022,#REF!,IF('INHERENT MAP'!$B$5=2023,#REF!,IF('INHERENT MAP'!$B$5=2024,#REF!,#REF!))))</f>
        <v>0</v>
      </c>
      <c r="L262">
        <f>IF('INHERENT MAP'!$B$5=2021,'РЕЕСТР РИСКОВ_2023'!P302,IF('INHERENT MAP'!$B$5=2022,#REF!,IF('INHERENT MAP'!$B$5=2023,#REF!,IF('INHERENT MAP'!$B$5=2024,#REF!,#REF!))))</f>
        <v>0</v>
      </c>
      <c r="M262" t="str">
        <f>IF('INHERENT MAP'!$B$5=2021,IF('РЕЕСТР РИСКОВ_2023'!Q302="",M261,'РЕЕСТР РИСКОВ_2023'!Q302),IF('INHERENT MAP'!$B$5=2022,IF(#REF!="",M261,#REF!),IF('INHERENT MAP'!$B$5=2023,IF(#REF!="",M261,#REF!),IF('INHERENT MAP'!$B$5=2024,IF(#REF!="",M261,#REF!),IF('РЕЕСТР РИСКОВ_2023'!Q302="",M261,'РЕЕСТР РИСКОВ_2023'!Q302)))))</f>
        <v>Увеличение базовой ставки Национального банка Республики Казахстан до 16%</v>
      </c>
      <c r="N262" t="str">
        <f>IF('INHERENT MAP'!$B$5=2021,IF('РЕЕСТР РИСКОВ_2023'!R302="",N261,'РЕЕСТР РИСКОВ_2023'!R302),IF('INHERENT MAP'!$B$5=2022,IF(#REF!="",N261,#REF!),IF('INHERENT MAP'!$B$5=2023,IF(#REF!="",N261,#REF!),IF('INHERENT MAP'!$B$5=2024,IF(#REF!="",N261,#REF!),IF('РЕЕСТР РИСКОВ_2023'!R302="",N261,'РЕЕСТР РИСКОВ_2023'!R302)))))</f>
        <v>Рецессия экономики европейских стран</v>
      </c>
      <c r="O262">
        <f>'РЕЕСТР РИСКОВ_2023'!T302</f>
        <v>0</v>
      </c>
      <c r="P262" t="e">
        <f>IF('РЕЕСТР РИСКОВ_2023'!U302="",P261,'РЕЕСТР РИСКОВ_2023'!U302)</f>
        <v>#REF!</v>
      </c>
      <c r="Q262" t="str">
        <f>IF('РЕЕСТР РИСКОВ_2023'!V302="",Q261,'РЕЕСТР РИСКОВ_2023'!V302)</f>
        <v>Угрозы</v>
      </c>
      <c r="R262" t="e">
        <f>IF('РЕЕСТР РИСКОВ_2023'!W302="",R261,'РЕЕСТР РИСКОВ_2023'!W302)</f>
        <v>#REF!</v>
      </c>
      <c r="S262">
        <f>'РЕЕСТР РИСКОВ_2023'!X302</f>
        <v>0</v>
      </c>
      <c r="T262" s="94">
        <f>IF('INHERENT MAP'!$B$5=2021,'РЕЕСТР РИСКОВ_2023'!Y302,IF('INHERENT MAP'!$B$5=2022,#REF!,IF('INHERENT MAP'!$B$5=2023,#REF!,IF('INHERENT MAP'!$B$5=2024,#REF!,#REF!))))</f>
        <v>0</v>
      </c>
      <c r="U262">
        <f>IF('INHERENT MAP'!$B$5=2021,'РЕЕСТР РИСКОВ_2023'!Z302,IF('INHERENT MAP'!$B$5=2022,#REF!,IF('INHERENT MAP'!$B$5=2023,#REF!,IF('INHERENT MAP'!$B$5=2024,#REF!,#REF!))))</f>
        <v>0</v>
      </c>
      <c r="V262">
        <f>IF('INHERENT MAP'!$B$5=2021,'РЕЕСТР РИСКОВ_2023'!AA302,IF('INHERENT MAP'!$B$5=2022,#REF!,IF('INHERENT MAP'!$B$5=2023,#REF!,IF('INHERENT MAP'!$B$5=2024,#REF!,#REF!))))</f>
        <v>0</v>
      </c>
      <c r="W262">
        <f>IF('INHERENT MAP'!$B$5=2021,'РЕЕСТР РИСКОВ_2023'!AB302,IF('INHERENT MAP'!$B$5=2022,#REF!,IF('INHERENT MAP'!$B$5=2023,#REF!,IF('INHERENT MAP'!$B$5=2024,#REF!,#REF!))))</f>
        <v>0</v>
      </c>
      <c r="X262" s="94">
        <f>IF('INHERENT MAP'!$B$5=2021,'РЕЕСТР РИСКОВ_2023'!AC302,IF('INHERENT MAP'!$B$5=2022,#REF!,IF('INHERENT MAP'!$B$5=2023,#REF!,IF('INHERENT MAP'!$B$5=2024,#REF!,#REF!))))</f>
        <v>0</v>
      </c>
      <c r="Y262">
        <f>IF('INHERENT MAP'!$B$5=2021,'РЕЕСТР РИСКОВ_2023'!AD302,IF('INHERENT MAP'!$B$5=2022,#REF!,IF('INHERENT MAP'!$B$5=2023,#REF!,IF('INHERENT MAP'!$B$5=2024,#REF!,#REF!))))</f>
        <v>0</v>
      </c>
      <c r="Z262">
        <f>IF('INHERENT MAP'!$B$5=2021,'РЕЕСТР РИСКОВ_2023'!AE302,IF('INHERENT MAP'!$B$5=2022,#REF!,IF('INHERENT MAP'!$B$5=2023,#REF!,IF('INHERENT MAP'!$B$5=2024,#REF!,#REF!))))</f>
        <v>0</v>
      </c>
      <c r="AA262">
        <f>IF('INHERENT MAP'!$B$5=2021,'РЕЕСТР РИСКОВ_2023'!AF302,IF('INHERENT MAP'!$B$5=2022,#REF!,IF('INHERENT MAP'!$B$5=2023,#REF!,IF('INHERENT MAP'!$B$5=2024,#REF!,#REF!))))</f>
        <v>0</v>
      </c>
      <c r="AB262">
        <f>IF('INHERENT MAP'!$B$5=2021,'РЕЕСТР РИСКОВ_2023'!AG302,IF('INHERENT MAP'!$B$5=2022,#REF!,IF('INHERENT MAP'!$B$5=2023,#REF!,IF('INHERENT MAP'!$B$5=2024,#REF!,#REF!))))</f>
        <v>0</v>
      </c>
      <c r="AC262">
        <f>IF('INHERENT MAP'!$B$5=2021,'РЕЕСТР РИСКОВ_2023'!AH302,IF('INHERENT MAP'!$B$5=2022,#REF!,IF('INHERENT MAP'!$B$5=2023,#REF!,IF('INHERENT MAP'!$B$5=2024,#REF!,#REF!))))</f>
        <v>0</v>
      </c>
      <c r="AD262">
        <f>IF('INHERENT MAP'!$B$5=2021,'РЕЕСТР РИСКОВ_2023'!AI302,IF('INHERENT MAP'!$B$5=2022,#REF!,IF('INHERENT MAP'!$B$5=2023,#REF!,IF('INHERENT MAP'!$B$5=2024,#REF!,#REF!))))</f>
        <v>0</v>
      </c>
      <c r="AE262">
        <f>IF('INHERENT MAP'!$B$5=2021,'РЕЕСТР РИСКОВ_2023'!AK302,IF('INHERENT MAP'!$B$5=2022,#REF!,IF('INHERENT MAP'!$B$5=2023,#REF!,IF('INHERENT MAP'!$B$5=2024,#REF!,#REF!))))</f>
        <v>0</v>
      </c>
      <c r="AF262">
        <f>IF('INHERENT MAP'!$B$5=2021,'РЕЕСТР РИСКОВ_2023'!AL302,IF('INHERENT MAP'!$B$5=2022,#REF!,IF('INHERENT MAP'!$B$5=2023,#REF!,IF('INHERENT MAP'!$B$5=2024,#REF!,#REF!))))</f>
        <v>0</v>
      </c>
      <c r="AG262">
        <f>IF('INHERENT MAP'!$B$5=2021,'РЕЕСТР РИСКОВ_2023'!AM302,IF('INHERENT MAP'!$B$5=2022,#REF!,IF('INHERENT MAP'!$B$5=2023,#REF!,IF('INHERENT MAP'!$B$5=2024,#REF!,#REF!))))</f>
        <v>0</v>
      </c>
      <c r="AH262">
        <f>IF('INHERENT MAP'!$B$5=2021,'РЕЕСТР РИСКОВ_2023'!AN302,IF('INHERENT MAP'!$B$5=2022,#REF!,IF('INHERENT MAP'!$B$5=2023,#REF!,IF('INHERENT MAP'!$B$5=2024,#REF!,#REF!))))</f>
        <v>0</v>
      </c>
      <c r="AI262">
        <f>IF('INHERENT MAP'!$B$5=2021,'РЕЕСТР РИСКОВ_2023'!AO302,IF('INHERENT MAP'!$B$5=2022,#REF!,IF('INHERENT MAP'!$B$5=2023,#REF!,IF('INHERENT MAP'!$B$5=2024,#REF!,#REF!))))</f>
        <v>0</v>
      </c>
      <c r="AJ262">
        <f>IF('INHERENT MAP'!$B$5=2021,'РЕЕСТР РИСКОВ_2023'!AP302,IF('INHERENT MAP'!$B$5=2022,#REF!,IF('INHERENT MAP'!$B$5=2023,#REF!,IF('INHERENT MAP'!$B$5=2024,#REF!,#REF!))))</f>
        <v>0</v>
      </c>
      <c r="AK262">
        <f>IF('РЕЕСТР РИСКОВ_2023'!AQ302="",AK261,'РЕЕСТР РИСКОВ_2023'!AQ302)</f>
        <v>-216</v>
      </c>
      <c r="AL262">
        <f>IF('РЕЕСТР РИСКОВ_2023'!AR302="",AL261,'РЕЕСТР РИСКОВ_2023'!AR302)</f>
        <v>0.12</v>
      </c>
      <c r="AM262" t="str">
        <f>IF('РЕЕСТР РИСКОВ_2023'!AS302="",AM261,'РЕЕСТР РИСКОВ_2023'!AS302)</f>
        <v>стоп</v>
      </c>
      <c r="AN262" t="str">
        <f>IF('РЕЕСТР РИСКОВ_2023'!AT302="",AN261,'РЕЕСТР РИСКОВ_2023'!AT302)</f>
        <v>стоп</v>
      </c>
      <c r="AO262" t="e">
        <f>IF('РЕЕСТР РИСКОВ_2023'!AU302="",AO261,'РЕЕСТР РИСКОВ_2023'!AU302)</f>
        <v>#REF!</v>
      </c>
    </row>
    <row r="263" spans="2:41">
      <c r="B263" t="str">
        <f>IF('INHERENT MAP'!$B$5=2021,IF('РЕЕСТР РИСКОВ_2023'!F303="",B262,'РЕЕСТР РИСКОВ_2023'!F303),IF('INHERENT MAP'!$B$5=2022,IF(#REF!="",B262,#REF!),IF('INHERENT MAP'!$B$5=2023,IF(#REF!="",B262,#REF!),IF('INHERENT MAP'!$B$5=2024,IF(#REF!="",B262,#REF!),IF('РЕЕСТР РИСКОВ_2023'!F303="",B262,'РЕЕСТР РИСКОВ_2023'!F303)))))</f>
        <v>ПРОЦЕНТНЫЙ РИСК</v>
      </c>
      <c r="C263" t="e">
        <f>IF('INHERENT MAP'!$B$5=2021,IF('РЕЕСТР РИСКОВ_2023'!G303="",C262,'РЕЕСТР РИСКОВ_2023'!G303),IF('INHERENT MAP'!$B$5=2022,IF(#REF!="",C262,#REF!),IF('INHERENT MAP'!$B$5=2023,IF(#REF!="",C262,#REF!),IF('INHERENT MAP'!$B$5=2024,IF(#REF!="",C262,#REF!),IF('РЕЕСТР РИСКОВ_2023'!G303="",C262,'РЕЕСТР РИСКОВ_2023'!G303)))))</f>
        <v>#REF!</v>
      </c>
      <c r="D263" t="str">
        <f>IF('INHERENT MAP'!$B$5=2021,IF('РЕЕСТР РИСКОВ_2023'!H303="",D262,'РЕЕСТР РИСКОВ_2023'!H303),IF('INHERENT MAP'!$B$5=2022,IF(#REF!="",D262,#REF!),IF('INHERENT MAP'!$B$5=2023,IF(#REF!="",D262,#REF!),IF('INHERENT MAP'!$B$5=2024,IF(#REF!="",D262,#REF!),IF('РЕЕСТР РИСКОВ_2023'!H303="",D262,'РЕЕСТР РИСКОВ_2023'!H303)))))</f>
        <v>IRR-1</v>
      </c>
      <c r="E263" t="str">
        <f>IF('INHERENT MAP'!$B$5=2021,IF('РЕЕСТР РИСКОВ_2023'!I303="",E262,'РЕЕСТР РИСКОВ_2023'!I303),IF('INHERENT MAP'!$B$5=2022,IF(#REF!="",E262,#REF!),IF('INHERENT MAP'!$B$5=2023,IF(#REF!="",E262,#REF!),IF('INHERENT MAP'!$B$5=2024,IF(#REF!="",E262,#REF!),IF('РЕЕСТР РИСКОВ_2023'!I303="",E262,'РЕЕСТР РИСКОВ_2023'!I303)))))</f>
        <v>ЦЗФ</v>
      </c>
      <c r="F263" t="str">
        <f>IF('INHERENT MAP'!$B$5=2021,IF('РЕЕСТР РИСКОВ_2023'!J303="",F262,'РЕЕСТР РИСКОВ_2023'!J303),IF('INHERENT MAP'!$B$5=2022,IF(#REF!="",F262,#REF!),IF('INHERENT MAP'!$B$5=2023,IF(#REF!="",F262,#REF!),IF('INHERENT MAP'!$B$5=2024,IF(#REF!="",F262,#REF!),IF('РЕЕСТР РИСКОВ_2023'!J303="",F262,'РЕЕСТР РИСКОВ_2023'!J303)))))</f>
        <v>Цзайм</v>
      </c>
      <c r="G263" t="str">
        <f>IF('INHERENT MAP'!$B$5=2021,IF('РЕЕСТР РИСКОВ_2023'!K303="",G262,'РЕЕСТР РИСКОВ_2023'!K303),IF('INHERENT MAP'!$B$5=2022,IF(#REF!="",G262,#REF!),IF('INHERENT MAP'!$B$5=2023,IF(#REF!="",G262,#REF!),IF('INHERENT MAP'!$B$5=2024,IF(#REF!="",G262,#REF!),IF('РЕЕСТР РИСКОВ_2023'!K303="",G262,'РЕЕСТР РИСКОВ_2023'!K303)))))</f>
        <v>Увеличение расходов по процентам на новые займы, а также текущие займы (с плавающей ставкой) в тенге.</v>
      </c>
      <c r="H263">
        <f>IF('INHERENT MAP'!$B$5=2021,'РЕЕСТР РИСКОВ_2023'!L303,IF('INHERENT MAP'!$B$5=2022,#REF!,IF('INHERENT MAP'!$B$5=2023,#REF!,IF('INHERENT MAP'!$B$5=2024,#REF!,#REF!))))</f>
        <v>0</v>
      </c>
      <c r="I263">
        <f>IF('INHERENT MAP'!$B$5=2021,'РЕЕСТР РИСКОВ_2023'!M303,IF('INHERENT MAP'!$B$5=2022,#REF!,IF('INHERENT MAP'!$B$5=2023,#REF!,IF('INHERENT MAP'!$B$5=2024,#REF!,#REF!))))</f>
        <v>0</v>
      </c>
      <c r="J263">
        <f>IF('INHERENT MAP'!$B$5=2021,'РЕЕСТР РИСКОВ_2023'!N303,IF('INHERENT MAP'!$B$5=2022,#REF!,IF('INHERENT MAP'!$B$5=2023,#REF!,IF('INHERENT MAP'!$B$5=2024,#REF!,#REF!))))</f>
        <v>0</v>
      </c>
      <c r="K263">
        <f>IF('INHERENT MAP'!$B$5=2021,'РЕЕСТР РИСКОВ_2023'!O303,IF('INHERENT MAP'!$B$5=2022,#REF!,IF('INHERENT MAP'!$B$5=2023,#REF!,IF('INHERENT MAP'!$B$5=2024,#REF!,#REF!))))</f>
        <v>0</v>
      </c>
      <c r="L263">
        <f>IF('INHERENT MAP'!$B$5=2021,'РЕЕСТР РИСКОВ_2023'!P303,IF('INHERENT MAP'!$B$5=2022,#REF!,IF('INHERENT MAP'!$B$5=2023,#REF!,IF('INHERENT MAP'!$B$5=2024,#REF!,#REF!))))</f>
        <v>0</v>
      </c>
      <c r="M263" t="str">
        <f>IF('INHERENT MAP'!$B$5=2021,IF('РЕЕСТР РИСКОВ_2023'!Q303="",M262,'РЕЕСТР РИСКОВ_2023'!Q303),IF('INHERENT MAP'!$B$5=2022,IF(#REF!="",M262,#REF!),IF('INHERENT MAP'!$B$5=2023,IF(#REF!="",M262,#REF!),IF('INHERENT MAP'!$B$5=2024,IF(#REF!="",M262,#REF!),IF('РЕЕСТР РИСКОВ_2023'!Q303="",M262,'РЕЕСТР РИСКОВ_2023'!Q303)))))</f>
        <v>Увеличение базовой ставки Национального банка Республики Казахстан до 16%</v>
      </c>
      <c r="N263" t="str">
        <f>IF('INHERENT MAP'!$B$5=2021,IF('РЕЕСТР РИСКОВ_2023'!R303="",N262,'РЕЕСТР РИСКОВ_2023'!R303),IF('INHERENT MAP'!$B$5=2022,IF(#REF!="",N262,#REF!),IF('INHERENT MAP'!$B$5=2023,IF(#REF!="",N262,#REF!),IF('INHERENT MAP'!$B$5=2024,IF(#REF!="",N262,#REF!),IF('РЕЕСТР РИСКОВ_2023'!R303="",N262,'РЕЕСТР РИСКОВ_2023'!R303)))))</f>
        <v>Рецессия экономики европейских стран</v>
      </c>
      <c r="O263">
        <f>'РЕЕСТР РИСКОВ_2023'!T303</f>
        <v>0</v>
      </c>
      <c r="P263" t="e">
        <f>IF('РЕЕСТР РИСКОВ_2023'!U303="",P262,'РЕЕСТР РИСКОВ_2023'!U303)</f>
        <v>#REF!</v>
      </c>
      <c r="Q263" t="str">
        <f>IF('РЕЕСТР РИСКОВ_2023'!V303="",Q262,'РЕЕСТР РИСКОВ_2023'!V303)</f>
        <v>Угрозы</v>
      </c>
      <c r="R263" t="e">
        <f>IF('РЕЕСТР РИСКОВ_2023'!W303="",R262,'РЕЕСТР РИСКОВ_2023'!W303)</f>
        <v>#REF!</v>
      </c>
      <c r="S263">
        <f>'РЕЕСТР РИСКОВ_2023'!X303</f>
        <v>0</v>
      </c>
      <c r="T263" s="94">
        <f>IF('INHERENT MAP'!$B$5=2021,'РЕЕСТР РИСКОВ_2023'!Y303,IF('INHERENT MAP'!$B$5=2022,#REF!,IF('INHERENT MAP'!$B$5=2023,#REF!,IF('INHERENT MAP'!$B$5=2024,#REF!,#REF!))))</f>
        <v>0</v>
      </c>
      <c r="U263">
        <f>IF('INHERENT MAP'!$B$5=2021,'РЕЕСТР РИСКОВ_2023'!Z303,IF('INHERENT MAP'!$B$5=2022,#REF!,IF('INHERENT MAP'!$B$5=2023,#REF!,IF('INHERENT MAP'!$B$5=2024,#REF!,#REF!))))</f>
        <v>0</v>
      </c>
      <c r="V263">
        <f>IF('INHERENT MAP'!$B$5=2021,'РЕЕСТР РИСКОВ_2023'!AA303,IF('INHERENT MAP'!$B$5=2022,#REF!,IF('INHERENT MAP'!$B$5=2023,#REF!,IF('INHERENT MAP'!$B$5=2024,#REF!,#REF!))))</f>
        <v>0</v>
      </c>
      <c r="W263">
        <f>IF('INHERENT MAP'!$B$5=2021,'РЕЕСТР РИСКОВ_2023'!AB303,IF('INHERENT MAP'!$B$5=2022,#REF!,IF('INHERENT MAP'!$B$5=2023,#REF!,IF('INHERENT MAP'!$B$5=2024,#REF!,#REF!))))</f>
        <v>0</v>
      </c>
      <c r="X263" s="94">
        <f>IF('INHERENT MAP'!$B$5=2021,'РЕЕСТР РИСКОВ_2023'!AC303,IF('INHERENT MAP'!$B$5=2022,#REF!,IF('INHERENT MAP'!$B$5=2023,#REF!,IF('INHERENT MAP'!$B$5=2024,#REF!,#REF!))))</f>
        <v>0</v>
      </c>
      <c r="Y263">
        <f>IF('INHERENT MAP'!$B$5=2021,'РЕЕСТР РИСКОВ_2023'!AD303,IF('INHERENT MAP'!$B$5=2022,#REF!,IF('INHERENT MAP'!$B$5=2023,#REF!,IF('INHERENT MAP'!$B$5=2024,#REF!,#REF!))))</f>
        <v>0</v>
      </c>
      <c r="Z263">
        <f>IF('INHERENT MAP'!$B$5=2021,'РЕЕСТР РИСКОВ_2023'!AE303,IF('INHERENT MAP'!$B$5=2022,#REF!,IF('INHERENT MAP'!$B$5=2023,#REF!,IF('INHERENT MAP'!$B$5=2024,#REF!,#REF!))))</f>
        <v>0</v>
      </c>
      <c r="AA263">
        <f>IF('INHERENT MAP'!$B$5=2021,'РЕЕСТР РИСКОВ_2023'!AF303,IF('INHERENT MAP'!$B$5=2022,#REF!,IF('INHERENT MAP'!$B$5=2023,#REF!,IF('INHERENT MAP'!$B$5=2024,#REF!,#REF!))))</f>
        <v>0</v>
      </c>
      <c r="AB263">
        <f>IF('INHERENT MAP'!$B$5=2021,'РЕЕСТР РИСКОВ_2023'!AG303,IF('INHERENT MAP'!$B$5=2022,#REF!,IF('INHERENT MAP'!$B$5=2023,#REF!,IF('INHERENT MAP'!$B$5=2024,#REF!,#REF!))))</f>
        <v>0</v>
      </c>
      <c r="AC263">
        <f>IF('INHERENT MAP'!$B$5=2021,'РЕЕСТР РИСКОВ_2023'!AH303,IF('INHERENT MAP'!$B$5=2022,#REF!,IF('INHERENT MAP'!$B$5=2023,#REF!,IF('INHERENT MAP'!$B$5=2024,#REF!,#REF!))))</f>
        <v>0</v>
      </c>
      <c r="AD263">
        <f>IF('INHERENT MAP'!$B$5=2021,'РЕЕСТР РИСКОВ_2023'!AI303,IF('INHERENT MAP'!$B$5=2022,#REF!,IF('INHERENT MAP'!$B$5=2023,#REF!,IF('INHERENT MAP'!$B$5=2024,#REF!,#REF!))))</f>
        <v>0</v>
      </c>
      <c r="AE263">
        <f>IF('INHERENT MAP'!$B$5=2021,'РЕЕСТР РИСКОВ_2023'!AK303,IF('INHERENT MAP'!$B$5=2022,#REF!,IF('INHERENT MAP'!$B$5=2023,#REF!,IF('INHERENT MAP'!$B$5=2024,#REF!,#REF!))))</f>
        <v>0</v>
      </c>
      <c r="AF263">
        <f>IF('INHERENT MAP'!$B$5=2021,'РЕЕСТР РИСКОВ_2023'!AL303,IF('INHERENT MAP'!$B$5=2022,#REF!,IF('INHERENT MAP'!$B$5=2023,#REF!,IF('INHERENT MAP'!$B$5=2024,#REF!,#REF!))))</f>
        <v>0</v>
      </c>
      <c r="AG263">
        <f>IF('INHERENT MAP'!$B$5=2021,'РЕЕСТР РИСКОВ_2023'!AM303,IF('INHERENT MAP'!$B$5=2022,#REF!,IF('INHERENT MAP'!$B$5=2023,#REF!,IF('INHERENT MAP'!$B$5=2024,#REF!,#REF!))))</f>
        <v>0</v>
      </c>
      <c r="AH263">
        <f>IF('INHERENT MAP'!$B$5=2021,'РЕЕСТР РИСКОВ_2023'!AN303,IF('INHERENT MAP'!$B$5=2022,#REF!,IF('INHERENT MAP'!$B$5=2023,#REF!,IF('INHERENT MAP'!$B$5=2024,#REF!,#REF!))))</f>
        <v>0</v>
      </c>
      <c r="AI263">
        <f>IF('INHERENT MAP'!$B$5=2021,'РЕЕСТР РИСКОВ_2023'!AO303,IF('INHERENT MAP'!$B$5=2022,#REF!,IF('INHERENT MAP'!$B$5=2023,#REF!,IF('INHERENT MAP'!$B$5=2024,#REF!,#REF!))))</f>
        <v>0</v>
      </c>
      <c r="AJ263">
        <f>IF('INHERENT MAP'!$B$5=2021,'РЕЕСТР РИСКОВ_2023'!AP303,IF('INHERENT MAP'!$B$5=2022,#REF!,IF('INHERENT MAP'!$B$5=2023,#REF!,IF('INHERENT MAP'!$B$5=2024,#REF!,#REF!))))</f>
        <v>0</v>
      </c>
      <c r="AK263">
        <f>IF('РЕЕСТР РИСКОВ_2023'!AQ303="",AK262,'РЕЕСТР РИСКОВ_2023'!AQ303)</f>
        <v>-216</v>
      </c>
      <c r="AL263">
        <f>IF('РЕЕСТР РИСКОВ_2023'!AR303="",AL262,'РЕЕСТР РИСКОВ_2023'!AR303)</f>
        <v>0.12</v>
      </c>
      <c r="AM263" t="str">
        <f>IF('РЕЕСТР РИСКОВ_2023'!AS303="",AM262,'РЕЕСТР РИСКОВ_2023'!AS303)</f>
        <v>стоп</v>
      </c>
      <c r="AN263" t="str">
        <f>IF('РЕЕСТР РИСКОВ_2023'!AT303="",AN262,'РЕЕСТР РИСКОВ_2023'!AT303)</f>
        <v>стоп</v>
      </c>
      <c r="AO263" t="e">
        <f>IF('РЕЕСТР РИСКОВ_2023'!AU303="",AO262,'РЕЕСТР РИСКОВ_2023'!AU303)</f>
        <v>#REF!</v>
      </c>
    </row>
    <row r="264" spans="2:41">
      <c r="B264" t="str">
        <f>IF('INHERENT MAP'!$B$5=2021,IF('РЕЕСТР РИСКОВ_2023'!F304="",B263,'РЕЕСТР РИСКОВ_2023'!F304),IF('INHERENT MAP'!$B$5=2022,IF(#REF!="",B263,#REF!),IF('INHERENT MAP'!$B$5=2023,IF(#REF!="",B263,#REF!),IF('INHERENT MAP'!$B$5=2024,IF(#REF!="",B263,#REF!),IF('РЕЕСТР РИСКОВ_2023'!F304="",B263,'РЕЕСТР РИСКОВ_2023'!F304)))))</f>
        <v>ПРОЦЕНТНЫЙ РИСК</v>
      </c>
      <c r="C264" t="e">
        <f>IF('INHERENT MAP'!$B$5=2021,IF('РЕЕСТР РИСКОВ_2023'!G304="",C263,'РЕЕСТР РИСКОВ_2023'!G304),IF('INHERENT MAP'!$B$5=2022,IF(#REF!="",C263,#REF!),IF('INHERENT MAP'!$B$5=2023,IF(#REF!="",C263,#REF!),IF('INHERENT MAP'!$B$5=2024,IF(#REF!="",C263,#REF!),IF('РЕЕСТР РИСКОВ_2023'!G304="",C263,'РЕЕСТР РИСКОВ_2023'!G304)))))</f>
        <v>#REF!</v>
      </c>
      <c r="D264" t="str">
        <f>IF('INHERENT MAP'!$B$5=2021,IF('РЕЕСТР РИСКОВ_2023'!H304="",D263,'РЕЕСТР РИСКОВ_2023'!H304),IF('INHERENT MAP'!$B$5=2022,IF(#REF!="",D263,#REF!),IF('INHERENT MAP'!$B$5=2023,IF(#REF!="",D263,#REF!),IF('INHERENT MAP'!$B$5=2024,IF(#REF!="",D263,#REF!),IF('РЕЕСТР РИСКОВ_2023'!H304="",D263,'РЕЕСТР РИСКОВ_2023'!H304)))))</f>
        <v>IRR-1</v>
      </c>
      <c r="E264" t="str">
        <f>IF('INHERENT MAP'!$B$5=2021,IF('РЕЕСТР РИСКОВ_2023'!I304="",E263,'РЕЕСТР РИСКОВ_2023'!I304),IF('INHERENT MAP'!$B$5=2022,IF(#REF!="",E263,#REF!),IF('INHERENT MAP'!$B$5=2023,IF(#REF!="",E263,#REF!),IF('INHERENT MAP'!$B$5=2024,IF(#REF!="",E263,#REF!),IF('РЕЕСТР РИСКОВ_2023'!I304="",E263,'РЕЕСТР РИСКОВ_2023'!I304)))))</f>
        <v>ЦЗФ</v>
      </c>
      <c r="F264" t="str">
        <f>IF('INHERENT MAP'!$B$5=2021,IF('РЕЕСТР РИСКОВ_2023'!J304="",F263,'РЕЕСТР РИСКОВ_2023'!J304),IF('INHERENT MAP'!$B$5=2022,IF(#REF!="",F263,#REF!),IF('INHERENT MAP'!$B$5=2023,IF(#REF!="",F263,#REF!),IF('INHERENT MAP'!$B$5=2024,IF(#REF!="",F263,#REF!),IF('РЕЕСТР РИСКОВ_2023'!J304="",F263,'РЕЕСТР РИСКОВ_2023'!J304)))))</f>
        <v>Цзайм</v>
      </c>
      <c r="G264" t="str">
        <f>IF('INHERENT MAP'!$B$5=2021,IF('РЕЕСТР РИСКОВ_2023'!K304="",G263,'РЕЕСТР РИСКОВ_2023'!K304),IF('INHERENT MAP'!$B$5=2022,IF(#REF!="",G263,#REF!),IF('INHERENT MAP'!$B$5=2023,IF(#REF!="",G263,#REF!),IF('INHERENT MAP'!$B$5=2024,IF(#REF!="",G263,#REF!),IF('РЕЕСТР РИСКОВ_2023'!K304="",G263,'РЕЕСТР РИСКОВ_2023'!K304)))))</f>
        <v>Увеличение расходов по процентам на новые займы, а также текущие займы (с плавающей ставкой) в тенге.</v>
      </c>
      <c r="H264">
        <f>IF('INHERENT MAP'!$B$5=2021,'РЕЕСТР РИСКОВ_2023'!L304,IF('INHERENT MAP'!$B$5=2022,#REF!,IF('INHERENT MAP'!$B$5=2023,#REF!,IF('INHERENT MAP'!$B$5=2024,#REF!,#REF!))))</f>
        <v>0</v>
      </c>
      <c r="I264">
        <f>IF('INHERENT MAP'!$B$5=2021,'РЕЕСТР РИСКОВ_2023'!M304,IF('INHERENT MAP'!$B$5=2022,#REF!,IF('INHERENT MAP'!$B$5=2023,#REF!,IF('INHERENT MAP'!$B$5=2024,#REF!,#REF!))))</f>
        <v>0</v>
      </c>
      <c r="J264">
        <f>IF('INHERENT MAP'!$B$5=2021,'РЕЕСТР РИСКОВ_2023'!N304,IF('INHERENT MAP'!$B$5=2022,#REF!,IF('INHERENT MAP'!$B$5=2023,#REF!,IF('INHERENT MAP'!$B$5=2024,#REF!,#REF!))))</f>
        <v>0</v>
      </c>
      <c r="K264">
        <f>IF('INHERENT MAP'!$B$5=2021,'РЕЕСТР РИСКОВ_2023'!O304,IF('INHERENT MAP'!$B$5=2022,#REF!,IF('INHERENT MAP'!$B$5=2023,#REF!,IF('INHERENT MAP'!$B$5=2024,#REF!,#REF!))))</f>
        <v>0</v>
      </c>
      <c r="L264">
        <f>IF('INHERENT MAP'!$B$5=2021,'РЕЕСТР РИСКОВ_2023'!P304,IF('INHERENT MAP'!$B$5=2022,#REF!,IF('INHERENT MAP'!$B$5=2023,#REF!,IF('INHERENT MAP'!$B$5=2024,#REF!,#REF!))))</f>
        <v>0</v>
      </c>
      <c r="M264" t="str">
        <f>IF('INHERENT MAP'!$B$5=2021,IF('РЕЕСТР РИСКОВ_2023'!Q304="",M263,'РЕЕСТР РИСКОВ_2023'!Q304),IF('INHERENT MAP'!$B$5=2022,IF(#REF!="",M263,#REF!),IF('INHERENT MAP'!$B$5=2023,IF(#REF!="",M263,#REF!),IF('INHERENT MAP'!$B$5=2024,IF(#REF!="",M263,#REF!),IF('РЕЕСТР РИСКОВ_2023'!Q304="",M263,'РЕЕСТР РИСКОВ_2023'!Q304)))))</f>
        <v>Увеличение базовой ставки Национального банка Республики Казахстан до 16%</v>
      </c>
      <c r="N264" t="str">
        <f>IF('INHERENT MAP'!$B$5=2021,IF('РЕЕСТР РИСКОВ_2023'!R304="",N263,'РЕЕСТР РИСКОВ_2023'!R304),IF('INHERENT MAP'!$B$5=2022,IF(#REF!="",N263,#REF!),IF('INHERENT MAP'!$B$5=2023,IF(#REF!="",N263,#REF!),IF('INHERENT MAP'!$B$5=2024,IF(#REF!="",N263,#REF!),IF('РЕЕСТР РИСКОВ_2023'!R304="",N263,'РЕЕСТР РИСКОВ_2023'!R304)))))</f>
        <v>Рецессия экономики европейских стран</v>
      </c>
      <c r="O264">
        <f>'РЕЕСТР РИСКОВ_2023'!T304</f>
        <v>0</v>
      </c>
      <c r="P264" t="e">
        <f>IF('РЕЕСТР РИСКОВ_2023'!U304="",P263,'РЕЕСТР РИСКОВ_2023'!U304)</f>
        <v>#REF!</v>
      </c>
      <c r="Q264" t="str">
        <f>IF('РЕЕСТР РИСКОВ_2023'!V304="",Q263,'РЕЕСТР РИСКОВ_2023'!V304)</f>
        <v>Угрозы</v>
      </c>
      <c r="R264" t="e">
        <f>IF('РЕЕСТР РИСКОВ_2023'!W304="",R263,'РЕЕСТР РИСКОВ_2023'!W304)</f>
        <v>#REF!</v>
      </c>
      <c r="S264">
        <f>'РЕЕСТР РИСКОВ_2023'!X304</f>
        <v>0</v>
      </c>
      <c r="T264" s="94">
        <f>IF('INHERENT MAP'!$B$5=2021,'РЕЕСТР РИСКОВ_2023'!Y304,IF('INHERENT MAP'!$B$5=2022,#REF!,IF('INHERENT MAP'!$B$5=2023,#REF!,IF('INHERENT MAP'!$B$5=2024,#REF!,#REF!))))</f>
        <v>0</v>
      </c>
      <c r="U264">
        <f>IF('INHERENT MAP'!$B$5=2021,'РЕЕСТР РИСКОВ_2023'!Z304,IF('INHERENT MAP'!$B$5=2022,#REF!,IF('INHERENT MAP'!$B$5=2023,#REF!,IF('INHERENT MAP'!$B$5=2024,#REF!,#REF!))))</f>
        <v>0</v>
      </c>
      <c r="V264">
        <f>IF('INHERENT MAP'!$B$5=2021,'РЕЕСТР РИСКОВ_2023'!AA304,IF('INHERENT MAP'!$B$5=2022,#REF!,IF('INHERENT MAP'!$B$5=2023,#REF!,IF('INHERENT MAP'!$B$5=2024,#REF!,#REF!))))</f>
        <v>0</v>
      </c>
      <c r="W264">
        <f>IF('INHERENT MAP'!$B$5=2021,'РЕЕСТР РИСКОВ_2023'!AB304,IF('INHERENT MAP'!$B$5=2022,#REF!,IF('INHERENT MAP'!$B$5=2023,#REF!,IF('INHERENT MAP'!$B$5=2024,#REF!,#REF!))))</f>
        <v>0</v>
      </c>
      <c r="X264" s="94">
        <f>IF('INHERENT MAP'!$B$5=2021,'РЕЕСТР РИСКОВ_2023'!AC304,IF('INHERENT MAP'!$B$5=2022,#REF!,IF('INHERENT MAP'!$B$5=2023,#REF!,IF('INHERENT MAP'!$B$5=2024,#REF!,#REF!))))</f>
        <v>0</v>
      </c>
      <c r="Y264">
        <f>IF('INHERENT MAP'!$B$5=2021,'РЕЕСТР РИСКОВ_2023'!AD304,IF('INHERENT MAP'!$B$5=2022,#REF!,IF('INHERENT MAP'!$B$5=2023,#REF!,IF('INHERENT MAP'!$B$5=2024,#REF!,#REF!))))</f>
        <v>0</v>
      </c>
      <c r="Z264">
        <f>IF('INHERENT MAP'!$B$5=2021,'РЕЕСТР РИСКОВ_2023'!AE304,IF('INHERENT MAP'!$B$5=2022,#REF!,IF('INHERENT MAP'!$B$5=2023,#REF!,IF('INHERENT MAP'!$B$5=2024,#REF!,#REF!))))</f>
        <v>0</v>
      </c>
      <c r="AA264">
        <f>IF('INHERENT MAP'!$B$5=2021,'РЕЕСТР РИСКОВ_2023'!AF304,IF('INHERENT MAP'!$B$5=2022,#REF!,IF('INHERENT MAP'!$B$5=2023,#REF!,IF('INHERENT MAP'!$B$5=2024,#REF!,#REF!))))</f>
        <v>0</v>
      </c>
      <c r="AB264">
        <f>IF('INHERENT MAP'!$B$5=2021,'РЕЕСТР РИСКОВ_2023'!AG304,IF('INHERENT MAP'!$B$5=2022,#REF!,IF('INHERENT MAP'!$B$5=2023,#REF!,IF('INHERENT MAP'!$B$5=2024,#REF!,#REF!))))</f>
        <v>0</v>
      </c>
      <c r="AC264">
        <f>IF('INHERENT MAP'!$B$5=2021,'РЕЕСТР РИСКОВ_2023'!AH304,IF('INHERENT MAP'!$B$5=2022,#REF!,IF('INHERENT MAP'!$B$5=2023,#REF!,IF('INHERENT MAP'!$B$5=2024,#REF!,#REF!))))</f>
        <v>0</v>
      </c>
      <c r="AD264">
        <f>IF('INHERENT MAP'!$B$5=2021,'РЕЕСТР РИСКОВ_2023'!AI304,IF('INHERENT MAP'!$B$5=2022,#REF!,IF('INHERENT MAP'!$B$5=2023,#REF!,IF('INHERENT MAP'!$B$5=2024,#REF!,#REF!))))</f>
        <v>0</v>
      </c>
      <c r="AE264">
        <f>IF('INHERENT MAP'!$B$5=2021,'РЕЕСТР РИСКОВ_2023'!AK304,IF('INHERENT MAP'!$B$5=2022,#REF!,IF('INHERENT MAP'!$B$5=2023,#REF!,IF('INHERENT MAP'!$B$5=2024,#REF!,#REF!))))</f>
        <v>0</v>
      </c>
      <c r="AF264">
        <f>IF('INHERENT MAP'!$B$5=2021,'РЕЕСТР РИСКОВ_2023'!AL304,IF('INHERENT MAP'!$B$5=2022,#REF!,IF('INHERENT MAP'!$B$5=2023,#REF!,IF('INHERENT MAP'!$B$5=2024,#REF!,#REF!))))</f>
        <v>0</v>
      </c>
      <c r="AG264">
        <f>IF('INHERENT MAP'!$B$5=2021,'РЕЕСТР РИСКОВ_2023'!AM304,IF('INHERENT MAP'!$B$5=2022,#REF!,IF('INHERENT MAP'!$B$5=2023,#REF!,IF('INHERENT MAP'!$B$5=2024,#REF!,#REF!))))</f>
        <v>0</v>
      </c>
      <c r="AH264">
        <f>IF('INHERENT MAP'!$B$5=2021,'РЕЕСТР РИСКОВ_2023'!AN304,IF('INHERENT MAP'!$B$5=2022,#REF!,IF('INHERENT MAP'!$B$5=2023,#REF!,IF('INHERENT MAP'!$B$5=2024,#REF!,#REF!))))</f>
        <v>0</v>
      </c>
      <c r="AI264">
        <f>IF('INHERENT MAP'!$B$5=2021,'РЕЕСТР РИСКОВ_2023'!AO304,IF('INHERENT MAP'!$B$5=2022,#REF!,IF('INHERENT MAP'!$B$5=2023,#REF!,IF('INHERENT MAP'!$B$5=2024,#REF!,#REF!))))</f>
        <v>0</v>
      </c>
      <c r="AJ264">
        <f>IF('INHERENT MAP'!$B$5=2021,'РЕЕСТР РИСКОВ_2023'!AP304,IF('INHERENT MAP'!$B$5=2022,#REF!,IF('INHERENT MAP'!$B$5=2023,#REF!,IF('INHERENT MAP'!$B$5=2024,#REF!,#REF!))))</f>
        <v>0</v>
      </c>
      <c r="AK264">
        <f>IF('РЕЕСТР РИСКОВ_2023'!AQ304="",AK263,'РЕЕСТР РИСКОВ_2023'!AQ304)</f>
        <v>-216</v>
      </c>
      <c r="AL264">
        <f>IF('РЕЕСТР РИСКОВ_2023'!AR304="",AL263,'РЕЕСТР РИСКОВ_2023'!AR304)</f>
        <v>0.12</v>
      </c>
      <c r="AM264" t="str">
        <f>IF('РЕЕСТР РИСКОВ_2023'!AS304="",AM263,'РЕЕСТР РИСКОВ_2023'!AS304)</f>
        <v>стоп</v>
      </c>
      <c r="AN264" t="str">
        <f>IF('РЕЕСТР РИСКОВ_2023'!AT304="",AN263,'РЕЕСТР РИСКОВ_2023'!AT304)</f>
        <v>стоп</v>
      </c>
      <c r="AO264" t="e">
        <f>IF('РЕЕСТР РИСКОВ_2023'!AU304="",AO263,'РЕЕСТР РИСКОВ_2023'!AU304)</f>
        <v>#REF!</v>
      </c>
    </row>
    <row r="265" spans="2:41">
      <c r="B265" t="str">
        <f>IF('INHERENT MAP'!$B$5=2021,IF('РЕЕСТР РИСКОВ_2023'!F305="",B264,'РЕЕСТР РИСКОВ_2023'!F305),IF('INHERENT MAP'!$B$5=2022,IF(#REF!="",B264,#REF!),IF('INHERENT MAP'!$B$5=2023,IF(#REF!="",B264,#REF!),IF('INHERENT MAP'!$B$5=2024,IF(#REF!="",B264,#REF!),IF('РЕЕСТР РИСКОВ_2023'!F305="",B264,'РЕЕСТР РИСКОВ_2023'!F305)))))</f>
        <v>ПРОЦЕНТНЫЙ РИСК</v>
      </c>
      <c r="C265" t="e">
        <f>IF('INHERENT MAP'!$B$5=2021,IF('РЕЕСТР РИСКОВ_2023'!G305="",C264,'РЕЕСТР РИСКОВ_2023'!G305),IF('INHERENT MAP'!$B$5=2022,IF(#REF!="",C264,#REF!),IF('INHERENT MAP'!$B$5=2023,IF(#REF!="",C264,#REF!),IF('INHERENT MAP'!$B$5=2024,IF(#REF!="",C264,#REF!),IF('РЕЕСТР РИСКОВ_2023'!G305="",C264,'РЕЕСТР РИСКОВ_2023'!G305)))))</f>
        <v>#REF!</v>
      </c>
      <c r="D265" t="str">
        <f>IF('INHERENT MAP'!$B$5=2021,IF('РЕЕСТР РИСКОВ_2023'!H305="",D264,'РЕЕСТР РИСКОВ_2023'!H305),IF('INHERENT MAP'!$B$5=2022,IF(#REF!="",D264,#REF!),IF('INHERENT MAP'!$B$5=2023,IF(#REF!="",D264,#REF!),IF('INHERENT MAP'!$B$5=2024,IF(#REF!="",D264,#REF!),IF('РЕЕСТР РИСКОВ_2023'!H305="",D264,'РЕЕСТР РИСКОВ_2023'!H305)))))</f>
        <v>IRR-1</v>
      </c>
      <c r="E265" t="str">
        <f>IF('INHERENT MAP'!$B$5=2021,IF('РЕЕСТР РИСКОВ_2023'!I305="",E264,'РЕЕСТР РИСКОВ_2023'!I305),IF('INHERENT MAP'!$B$5=2022,IF(#REF!="",E264,#REF!),IF('INHERENT MAP'!$B$5=2023,IF(#REF!="",E264,#REF!),IF('INHERENT MAP'!$B$5=2024,IF(#REF!="",E264,#REF!),IF('РЕЕСТР РИСКОВ_2023'!I305="",E264,'РЕЕСТР РИСКОВ_2023'!I305)))))</f>
        <v>ЦЗФ</v>
      </c>
      <c r="F265" t="str">
        <f>IF('INHERENT MAP'!$B$5=2021,IF('РЕЕСТР РИСКОВ_2023'!J305="",F264,'РЕЕСТР РИСКОВ_2023'!J305),IF('INHERENT MAP'!$B$5=2022,IF(#REF!="",F264,#REF!),IF('INHERENT MAP'!$B$5=2023,IF(#REF!="",F264,#REF!),IF('INHERENT MAP'!$B$5=2024,IF(#REF!="",F264,#REF!),IF('РЕЕСТР РИСКОВ_2023'!J305="",F264,'РЕЕСТР РИСКОВ_2023'!J305)))))</f>
        <v>Цзайм</v>
      </c>
      <c r="G265" t="str">
        <f>IF('INHERENT MAP'!$B$5=2021,IF('РЕЕСТР РИСКОВ_2023'!K305="",G264,'РЕЕСТР РИСКОВ_2023'!K305),IF('INHERENT MAP'!$B$5=2022,IF(#REF!="",G264,#REF!),IF('INHERENT MAP'!$B$5=2023,IF(#REF!="",G264,#REF!),IF('INHERENT MAP'!$B$5=2024,IF(#REF!="",G264,#REF!),IF('РЕЕСТР РИСКОВ_2023'!K305="",G264,'РЕЕСТР РИСКОВ_2023'!K305)))))</f>
        <v>Увеличение расходов по процентам на новые займы, а также текущие займы (с плавающей ставкой) в тенге.</v>
      </c>
      <c r="H265">
        <f>IF('INHERENT MAP'!$B$5=2021,'РЕЕСТР РИСКОВ_2023'!L305,IF('INHERENT MAP'!$B$5=2022,#REF!,IF('INHERENT MAP'!$B$5=2023,#REF!,IF('INHERENT MAP'!$B$5=2024,#REF!,#REF!))))</f>
        <v>0</v>
      </c>
      <c r="I265">
        <f>IF('INHERENT MAP'!$B$5=2021,'РЕЕСТР РИСКОВ_2023'!M305,IF('INHERENT MAP'!$B$5=2022,#REF!,IF('INHERENT MAP'!$B$5=2023,#REF!,IF('INHERENT MAP'!$B$5=2024,#REF!,#REF!))))</f>
        <v>0</v>
      </c>
      <c r="J265">
        <f>IF('INHERENT MAP'!$B$5=2021,'РЕЕСТР РИСКОВ_2023'!N305,IF('INHERENT MAP'!$B$5=2022,#REF!,IF('INHERENT MAP'!$B$5=2023,#REF!,IF('INHERENT MAP'!$B$5=2024,#REF!,#REF!))))</f>
        <v>0</v>
      </c>
      <c r="K265">
        <f>IF('INHERENT MAP'!$B$5=2021,'РЕЕСТР РИСКОВ_2023'!O305,IF('INHERENT MAP'!$B$5=2022,#REF!,IF('INHERENT MAP'!$B$5=2023,#REF!,IF('INHERENT MAP'!$B$5=2024,#REF!,#REF!))))</f>
        <v>0</v>
      </c>
      <c r="L265">
        <f>IF('INHERENT MAP'!$B$5=2021,'РЕЕСТР РИСКОВ_2023'!P305,IF('INHERENT MAP'!$B$5=2022,#REF!,IF('INHERENT MAP'!$B$5=2023,#REF!,IF('INHERENT MAP'!$B$5=2024,#REF!,#REF!))))</f>
        <v>0</v>
      </c>
      <c r="M265" t="str">
        <f>IF('INHERENT MAP'!$B$5=2021,IF('РЕЕСТР РИСКОВ_2023'!Q305="",M264,'РЕЕСТР РИСКОВ_2023'!Q305),IF('INHERENT MAP'!$B$5=2022,IF(#REF!="",M264,#REF!),IF('INHERENT MAP'!$B$5=2023,IF(#REF!="",M264,#REF!),IF('INHERENT MAP'!$B$5=2024,IF(#REF!="",M264,#REF!),IF('РЕЕСТР РИСКОВ_2023'!Q305="",M264,'РЕЕСТР РИСКОВ_2023'!Q305)))))</f>
        <v>Увеличение базовой ставки Национального банка Республики Казахстан до 16%</v>
      </c>
      <c r="N265" t="str">
        <f>IF('INHERENT MAP'!$B$5=2021,IF('РЕЕСТР РИСКОВ_2023'!R305="",N264,'РЕЕСТР РИСКОВ_2023'!R305),IF('INHERENT MAP'!$B$5=2022,IF(#REF!="",N264,#REF!),IF('INHERENT MAP'!$B$5=2023,IF(#REF!="",N264,#REF!),IF('INHERENT MAP'!$B$5=2024,IF(#REF!="",N264,#REF!),IF('РЕЕСТР РИСКОВ_2023'!R305="",N264,'РЕЕСТР РИСКОВ_2023'!R305)))))</f>
        <v>Рецессия экономики европейских стран</v>
      </c>
      <c r="O265">
        <f>'РЕЕСТР РИСКОВ_2023'!T305</f>
        <v>0</v>
      </c>
      <c r="P265" t="e">
        <f>IF('РЕЕСТР РИСКОВ_2023'!U305="",P264,'РЕЕСТР РИСКОВ_2023'!U305)</f>
        <v>#REF!</v>
      </c>
      <c r="Q265" t="str">
        <f>IF('РЕЕСТР РИСКОВ_2023'!V305="",Q264,'РЕЕСТР РИСКОВ_2023'!V305)</f>
        <v>Угрозы</v>
      </c>
      <c r="R265" t="e">
        <f>IF('РЕЕСТР РИСКОВ_2023'!W305="",R264,'РЕЕСТР РИСКОВ_2023'!W305)</f>
        <v>#REF!</v>
      </c>
      <c r="S265">
        <f>'РЕЕСТР РИСКОВ_2023'!X305</f>
        <v>0</v>
      </c>
      <c r="T265" s="94">
        <f>IF('INHERENT MAP'!$B$5=2021,'РЕЕСТР РИСКОВ_2023'!Y305,IF('INHERENT MAP'!$B$5=2022,#REF!,IF('INHERENT MAP'!$B$5=2023,#REF!,IF('INHERENT MAP'!$B$5=2024,#REF!,#REF!))))</f>
        <v>0</v>
      </c>
      <c r="U265">
        <f>IF('INHERENT MAP'!$B$5=2021,'РЕЕСТР РИСКОВ_2023'!Z305,IF('INHERENT MAP'!$B$5=2022,#REF!,IF('INHERENT MAP'!$B$5=2023,#REF!,IF('INHERENT MAP'!$B$5=2024,#REF!,#REF!))))</f>
        <v>0</v>
      </c>
      <c r="V265">
        <f>IF('INHERENT MAP'!$B$5=2021,'РЕЕСТР РИСКОВ_2023'!AA305,IF('INHERENT MAP'!$B$5=2022,#REF!,IF('INHERENT MAP'!$B$5=2023,#REF!,IF('INHERENT MAP'!$B$5=2024,#REF!,#REF!))))</f>
        <v>0</v>
      </c>
      <c r="W265">
        <f>IF('INHERENT MAP'!$B$5=2021,'РЕЕСТР РИСКОВ_2023'!AB305,IF('INHERENT MAP'!$B$5=2022,#REF!,IF('INHERENT MAP'!$B$5=2023,#REF!,IF('INHERENT MAP'!$B$5=2024,#REF!,#REF!))))</f>
        <v>0</v>
      </c>
      <c r="X265" s="94">
        <f>IF('INHERENT MAP'!$B$5=2021,'РЕЕСТР РИСКОВ_2023'!AC305,IF('INHERENT MAP'!$B$5=2022,#REF!,IF('INHERENT MAP'!$B$5=2023,#REF!,IF('INHERENT MAP'!$B$5=2024,#REF!,#REF!))))</f>
        <v>0</v>
      </c>
      <c r="Y265">
        <f>IF('INHERENT MAP'!$B$5=2021,'РЕЕСТР РИСКОВ_2023'!AD305,IF('INHERENT MAP'!$B$5=2022,#REF!,IF('INHERENT MAP'!$B$5=2023,#REF!,IF('INHERENT MAP'!$B$5=2024,#REF!,#REF!))))</f>
        <v>0</v>
      </c>
      <c r="Z265">
        <f>IF('INHERENT MAP'!$B$5=2021,'РЕЕСТР РИСКОВ_2023'!AE305,IF('INHERENT MAP'!$B$5=2022,#REF!,IF('INHERENT MAP'!$B$5=2023,#REF!,IF('INHERENT MAP'!$B$5=2024,#REF!,#REF!))))</f>
        <v>0</v>
      </c>
      <c r="AA265">
        <f>IF('INHERENT MAP'!$B$5=2021,'РЕЕСТР РИСКОВ_2023'!AF305,IF('INHERENT MAP'!$B$5=2022,#REF!,IF('INHERENT MAP'!$B$5=2023,#REF!,IF('INHERENT MAP'!$B$5=2024,#REF!,#REF!))))</f>
        <v>0</v>
      </c>
      <c r="AB265">
        <f>IF('INHERENT MAP'!$B$5=2021,'РЕЕСТР РИСКОВ_2023'!AG305,IF('INHERENT MAP'!$B$5=2022,#REF!,IF('INHERENT MAP'!$B$5=2023,#REF!,IF('INHERENT MAP'!$B$5=2024,#REF!,#REF!))))</f>
        <v>0</v>
      </c>
      <c r="AC265">
        <f>IF('INHERENT MAP'!$B$5=2021,'РЕЕСТР РИСКОВ_2023'!AH305,IF('INHERENT MAP'!$B$5=2022,#REF!,IF('INHERENT MAP'!$B$5=2023,#REF!,IF('INHERENT MAP'!$B$5=2024,#REF!,#REF!))))</f>
        <v>0</v>
      </c>
      <c r="AD265">
        <f>IF('INHERENT MAP'!$B$5=2021,'РЕЕСТР РИСКОВ_2023'!AI305,IF('INHERENT MAP'!$B$5=2022,#REF!,IF('INHERENT MAP'!$B$5=2023,#REF!,IF('INHERENT MAP'!$B$5=2024,#REF!,#REF!))))</f>
        <v>0</v>
      </c>
      <c r="AE265">
        <f>IF('INHERENT MAP'!$B$5=2021,'РЕЕСТР РИСКОВ_2023'!AK305,IF('INHERENT MAP'!$B$5=2022,#REF!,IF('INHERENT MAP'!$B$5=2023,#REF!,IF('INHERENT MAP'!$B$5=2024,#REF!,#REF!))))</f>
        <v>0</v>
      </c>
      <c r="AF265">
        <f>IF('INHERENT MAP'!$B$5=2021,'РЕЕСТР РИСКОВ_2023'!AL305,IF('INHERENT MAP'!$B$5=2022,#REF!,IF('INHERENT MAP'!$B$5=2023,#REF!,IF('INHERENT MAP'!$B$5=2024,#REF!,#REF!))))</f>
        <v>0</v>
      </c>
      <c r="AG265">
        <f>IF('INHERENT MAP'!$B$5=2021,'РЕЕСТР РИСКОВ_2023'!AM305,IF('INHERENT MAP'!$B$5=2022,#REF!,IF('INHERENT MAP'!$B$5=2023,#REF!,IF('INHERENT MAP'!$B$5=2024,#REF!,#REF!))))</f>
        <v>0</v>
      </c>
      <c r="AH265">
        <f>IF('INHERENT MAP'!$B$5=2021,'РЕЕСТР РИСКОВ_2023'!AN305,IF('INHERENT MAP'!$B$5=2022,#REF!,IF('INHERENT MAP'!$B$5=2023,#REF!,IF('INHERENT MAP'!$B$5=2024,#REF!,#REF!))))</f>
        <v>0</v>
      </c>
      <c r="AI265">
        <f>IF('INHERENT MAP'!$B$5=2021,'РЕЕСТР РИСКОВ_2023'!AO305,IF('INHERENT MAP'!$B$5=2022,#REF!,IF('INHERENT MAP'!$B$5=2023,#REF!,IF('INHERENT MAP'!$B$5=2024,#REF!,#REF!))))</f>
        <v>0</v>
      </c>
      <c r="AJ265">
        <f>IF('INHERENT MAP'!$B$5=2021,'РЕЕСТР РИСКОВ_2023'!AP305,IF('INHERENT MAP'!$B$5=2022,#REF!,IF('INHERENT MAP'!$B$5=2023,#REF!,IF('INHERENT MAP'!$B$5=2024,#REF!,#REF!))))</f>
        <v>0</v>
      </c>
      <c r="AK265">
        <f>IF('РЕЕСТР РИСКОВ_2023'!AQ305="",AK264,'РЕЕСТР РИСКОВ_2023'!AQ305)</f>
        <v>-216</v>
      </c>
      <c r="AL265">
        <f>IF('РЕЕСТР РИСКОВ_2023'!AR305="",AL264,'РЕЕСТР РИСКОВ_2023'!AR305)</f>
        <v>0.12</v>
      </c>
      <c r="AM265" t="str">
        <f>IF('РЕЕСТР РИСКОВ_2023'!AS305="",AM264,'РЕЕСТР РИСКОВ_2023'!AS305)</f>
        <v>стоп</v>
      </c>
      <c r="AN265" t="str">
        <f>IF('РЕЕСТР РИСКОВ_2023'!AT305="",AN264,'РЕЕСТР РИСКОВ_2023'!AT305)</f>
        <v>стоп</v>
      </c>
      <c r="AO265" t="e">
        <f>IF('РЕЕСТР РИСКОВ_2023'!AU305="",AO264,'РЕЕСТР РИСКОВ_2023'!AU305)</f>
        <v>#REF!</v>
      </c>
    </row>
    <row r="266" spans="2:41">
      <c r="B266" t="str">
        <f>IF('INHERENT MAP'!$B$5=2021,IF('РЕЕСТР РИСКОВ_2023'!F306="",B265,'РЕЕСТР РИСКОВ_2023'!F306),IF('INHERENT MAP'!$B$5=2022,IF(#REF!="",B265,#REF!),IF('INHERENT MAP'!$B$5=2023,IF(#REF!="",B265,#REF!),IF('INHERENT MAP'!$B$5=2024,IF(#REF!="",B265,#REF!),IF('РЕЕСТР РИСКОВ_2023'!F306="",B265,'РЕЕСТР РИСКОВ_2023'!F306)))))</f>
        <v>ПРОЦЕНТНЫЙ РИСК</v>
      </c>
      <c r="C266" t="e">
        <f>IF('INHERENT MAP'!$B$5=2021,IF('РЕЕСТР РИСКОВ_2023'!G306="",C265,'РЕЕСТР РИСКОВ_2023'!G306),IF('INHERENT MAP'!$B$5=2022,IF(#REF!="",C265,#REF!),IF('INHERENT MAP'!$B$5=2023,IF(#REF!="",C265,#REF!),IF('INHERENT MAP'!$B$5=2024,IF(#REF!="",C265,#REF!),IF('РЕЕСТР РИСКОВ_2023'!G306="",C265,'РЕЕСТР РИСКОВ_2023'!G306)))))</f>
        <v>#REF!</v>
      </c>
      <c r="D266" t="str">
        <f>IF('INHERENT MAP'!$B$5=2021,IF('РЕЕСТР РИСКОВ_2023'!H306="",D265,'РЕЕСТР РИСКОВ_2023'!H306),IF('INHERENT MAP'!$B$5=2022,IF(#REF!="",D265,#REF!),IF('INHERENT MAP'!$B$5=2023,IF(#REF!="",D265,#REF!),IF('INHERENT MAP'!$B$5=2024,IF(#REF!="",D265,#REF!),IF('РЕЕСТР РИСКОВ_2023'!H306="",D265,'РЕЕСТР РИСКОВ_2023'!H306)))))</f>
        <v>IRR-1</v>
      </c>
      <c r="E266" t="str">
        <f>IF('INHERENT MAP'!$B$5=2021,IF('РЕЕСТР РИСКОВ_2023'!I306="",E265,'РЕЕСТР РИСКОВ_2023'!I306),IF('INHERENT MAP'!$B$5=2022,IF(#REF!="",E265,#REF!),IF('INHERENT MAP'!$B$5=2023,IF(#REF!="",E265,#REF!),IF('INHERENT MAP'!$B$5=2024,IF(#REF!="",E265,#REF!),IF('РЕЕСТР РИСКОВ_2023'!I306="",E265,'РЕЕСТР РИСКОВ_2023'!I306)))))</f>
        <v>ЦЗФ</v>
      </c>
      <c r="F266" t="str">
        <f>IF('INHERENT MAP'!$B$5=2021,IF('РЕЕСТР РИСКОВ_2023'!J306="",F265,'РЕЕСТР РИСКОВ_2023'!J306),IF('INHERENT MAP'!$B$5=2022,IF(#REF!="",F265,#REF!),IF('INHERENT MAP'!$B$5=2023,IF(#REF!="",F265,#REF!),IF('INHERENT MAP'!$B$5=2024,IF(#REF!="",F265,#REF!),IF('РЕЕСТР РИСКОВ_2023'!J306="",F265,'РЕЕСТР РИСКОВ_2023'!J306)))))</f>
        <v>Цзайм</v>
      </c>
      <c r="G266" t="str">
        <f>IF('INHERENT MAP'!$B$5=2021,IF('РЕЕСТР РИСКОВ_2023'!K306="",G265,'РЕЕСТР РИСКОВ_2023'!K306),IF('INHERENT MAP'!$B$5=2022,IF(#REF!="",G265,#REF!),IF('INHERENT MAP'!$B$5=2023,IF(#REF!="",G265,#REF!),IF('INHERENT MAP'!$B$5=2024,IF(#REF!="",G265,#REF!),IF('РЕЕСТР РИСКОВ_2023'!K306="",G265,'РЕЕСТР РИСКОВ_2023'!K306)))))</f>
        <v>Увеличение расходов по процентам на новые займы, а также текущие займы (с плавающей ставкой) в тенге.</v>
      </c>
      <c r="H266">
        <f>IF('INHERENT MAP'!$B$5=2021,'РЕЕСТР РИСКОВ_2023'!L306,IF('INHERENT MAP'!$B$5=2022,#REF!,IF('INHERENT MAP'!$B$5=2023,#REF!,IF('INHERENT MAP'!$B$5=2024,#REF!,#REF!))))</f>
        <v>0</v>
      </c>
      <c r="I266">
        <f>IF('INHERENT MAP'!$B$5=2021,'РЕЕСТР РИСКОВ_2023'!M306,IF('INHERENT MAP'!$B$5=2022,#REF!,IF('INHERENT MAP'!$B$5=2023,#REF!,IF('INHERENT MAP'!$B$5=2024,#REF!,#REF!))))</f>
        <v>0</v>
      </c>
      <c r="J266">
        <f>IF('INHERENT MAP'!$B$5=2021,'РЕЕСТР РИСКОВ_2023'!N306,IF('INHERENT MAP'!$B$5=2022,#REF!,IF('INHERENT MAP'!$B$5=2023,#REF!,IF('INHERENT MAP'!$B$5=2024,#REF!,#REF!))))</f>
        <v>0</v>
      </c>
      <c r="K266">
        <f>IF('INHERENT MAP'!$B$5=2021,'РЕЕСТР РИСКОВ_2023'!O306,IF('INHERENT MAP'!$B$5=2022,#REF!,IF('INHERENT MAP'!$B$5=2023,#REF!,IF('INHERENT MAP'!$B$5=2024,#REF!,#REF!))))</f>
        <v>0</v>
      </c>
      <c r="L266">
        <f>IF('INHERENT MAP'!$B$5=2021,'РЕЕСТР РИСКОВ_2023'!P306,IF('INHERENT MAP'!$B$5=2022,#REF!,IF('INHERENT MAP'!$B$5=2023,#REF!,IF('INHERENT MAP'!$B$5=2024,#REF!,#REF!))))</f>
        <v>0</v>
      </c>
      <c r="M266" t="str">
        <f>IF('INHERENT MAP'!$B$5=2021,IF('РЕЕСТР РИСКОВ_2023'!Q306="",M265,'РЕЕСТР РИСКОВ_2023'!Q306),IF('INHERENT MAP'!$B$5=2022,IF(#REF!="",M265,#REF!),IF('INHERENT MAP'!$B$5=2023,IF(#REF!="",M265,#REF!),IF('INHERENT MAP'!$B$5=2024,IF(#REF!="",M265,#REF!),IF('РЕЕСТР РИСКОВ_2023'!Q306="",M265,'РЕЕСТР РИСКОВ_2023'!Q306)))))</f>
        <v>Увеличение базовой ставки Национального банка Республики Казахстан до 16%</v>
      </c>
      <c r="N266" t="str">
        <f>IF('INHERENT MAP'!$B$5=2021,IF('РЕЕСТР РИСКОВ_2023'!R306="",N265,'РЕЕСТР РИСКОВ_2023'!R306),IF('INHERENT MAP'!$B$5=2022,IF(#REF!="",N265,#REF!),IF('INHERENT MAP'!$B$5=2023,IF(#REF!="",N265,#REF!),IF('INHERENT MAP'!$B$5=2024,IF(#REF!="",N265,#REF!),IF('РЕЕСТР РИСКОВ_2023'!R306="",N265,'РЕЕСТР РИСКОВ_2023'!R306)))))</f>
        <v>Рецессия экономики европейских стран</v>
      </c>
      <c r="O266">
        <f>'РЕЕСТР РИСКОВ_2023'!T306</f>
        <v>0</v>
      </c>
      <c r="P266" t="e">
        <f>IF('РЕЕСТР РИСКОВ_2023'!U306="",P265,'РЕЕСТР РИСКОВ_2023'!U306)</f>
        <v>#REF!</v>
      </c>
      <c r="Q266" t="str">
        <f>IF('РЕЕСТР РИСКОВ_2023'!V306="",Q265,'РЕЕСТР РИСКОВ_2023'!V306)</f>
        <v>Угрозы</v>
      </c>
      <c r="R266" t="e">
        <f>IF('РЕЕСТР РИСКОВ_2023'!W306="",R265,'РЕЕСТР РИСКОВ_2023'!W306)</f>
        <v>#REF!</v>
      </c>
      <c r="S266">
        <f>'РЕЕСТР РИСКОВ_2023'!X306</f>
        <v>0</v>
      </c>
      <c r="T266" s="94">
        <f>IF('INHERENT MAP'!$B$5=2021,'РЕЕСТР РИСКОВ_2023'!Y306,IF('INHERENT MAP'!$B$5=2022,#REF!,IF('INHERENT MAP'!$B$5=2023,#REF!,IF('INHERENT MAP'!$B$5=2024,#REF!,#REF!))))</f>
        <v>0</v>
      </c>
      <c r="U266">
        <f>IF('INHERENT MAP'!$B$5=2021,'РЕЕСТР РИСКОВ_2023'!Z306,IF('INHERENT MAP'!$B$5=2022,#REF!,IF('INHERENT MAP'!$B$5=2023,#REF!,IF('INHERENT MAP'!$B$5=2024,#REF!,#REF!))))</f>
        <v>0</v>
      </c>
      <c r="V266">
        <f>IF('INHERENT MAP'!$B$5=2021,'РЕЕСТР РИСКОВ_2023'!AA306,IF('INHERENT MAP'!$B$5=2022,#REF!,IF('INHERENT MAP'!$B$5=2023,#REF!,IF('INHERENT MAP'!$B$5=2024,#REF!,#REF!))))</f>
        <v>0</v>
      </c>
      <c r="W266">
        <f>IF('INHERENT MAP'!$B$5=2021,'РЕЕСТР РИСКОВ_2023'!AB306,IF('INHERENT MAP'!$B$5=2022,#REF!,IF('INHERENT MAP'!$B$5=2023,#REF!,IF('INHERENT MAP'!$B$5=2024,#REF!,#REF!))))</f>
        <v>0</v>
      </c>
      <c r="X266" s="94">
        <f>IF('INHERENT MAP'!$B$5=2021,'РЕЕСТР РИСКОВ_2023'!AC306,IF('INHERENT MAP'!$B$5=2022,#REF!,IF('INHERENT MAP'!$B$5=2023,#REF!,IF('INHERENT MAP'!$B$5=2024,#REF!,#REF!))))</f>
        <v>0</v>
      </c>
      <c r="Y266">
        <f>IF('INHERENT MAP'!$B$5=2021,'РЕЕСТР РИСКОВ_2023'!AD306,IF('INHERENT MAP'!$B$5=2022,#REF!,IF('INHERENT MAP'!$B$5=2023,#REF!,IF('INHERENT MAP'!$B$5=2024,#REF!,#REF!))))</f>
        <v>0</v>
      </c>
      <c r="Z266">
        <f>IF('INHERENT MAP'!$B$5=2021,'РЕЕСТР РИСКОВ_2023'!AE306,IF('INHERENT MAP'!$B$5=2022,#REF!,IF('INHERENT MAP'!$B$5=2023,#REF!,IF('INHERENT MAP'!$B$5=2024,#REF!,#REF!))))</f>
        <v>0</v>
      </c>
      <c r="AA266">
        <f>IF('INHERENT MAP'!$B$5=2021,'РЕЕСТР РИСКОВ_2023'!AF306,IF('INHERENT MAP'!$B$5=2022,#REF!,IF('INHERENT MAP'!$B$5=2023,#REF!,IF('INHERENT MAP'!$B$5=2024,#REF!,#REF!))))</f>
        <v>0</v>
      </c>
      <c r="AB266">
        <f>IF('INHERENT MAP'!$B$5=2021,'РЕЕСТР РИСКОВ_2023'!AG306,IF('INHERENT MAP'!$B$5=2022,#REF!,IF('INHERENT MAP'!$B$5=2023,#REF!,IF('INHERENT MAP'!$B$5=2024,#REF!,#REF!))))</f>
        <v>0</v>
      </c>
      <c r="AC266">
        <f>IF('INHERENT MAP'!$B$5=2021,'РЕЕСТР РИСКОВ_2023'!AH306,IF('INHERENT MAP'!$B$5=2022,#REF!,IF('INHERENT MAP'!$B$5=2023,#REF!,IF('INHERENT MAP'!$B$5=2024,#REF!,#REF!))))</f>
        <v>0</v>
      </c>
      <c r="AD266">
        <f>IF('INHERENT MAP'!$B$5=2021,'РЕЕСТР РИСКОВ_2023'!AI306,IF('INHERENT MAP'!$B$5=2022,#REF!,IF('INHERENT MAP'!$B$5=2023,#REF!,IF('INHERENT MAP'!$B$5=2024,#REF!,#REF!))))</f>
        <v>0</v>
      </c>
      <c r="AE266">
        <f>IF('INHERENT MAP'!$B$5=2021,'РЕЕСТР РИСКОВ_2023'!AK306,IF('INHERENT MAP'!$B$5=2022,#REF!,IF('INHERENT MAP'!$B$5=2023,#REF!,IF('INHERENT MAP'!$B$5=2024,#REF!,#REF!))))</f>
        <v>0</v>
      </c>
      <c r="AF266">
        <f>IF('INHERENT MAP'!$B$5=2021,'РЕЕСТР РИСКОВ_2023'!AL306,IF('INHERENT MAP'!$B$5=2022,#REF!,IF('INHERENT MAP'!$B$5=2023,#REF!,IF('INHERENT MAP'!$B$5=2024,#REF!,#REF!))))</f>
        <v>0</v>
      </c>
      <c r="AG266">
        <f>IF('INHERENT MAP'!$B$5=2021,'РЕЕСТР РИСКОВ_2023'!AM306,IF('INHERENT MAP'!$B$5=2022,#REF!,IF('INHERENT MAP'!$B$5=2023,#REF!,IF('INHERENT MAP'!$B$5=2024,#REF!,#REF!))))</f>
        <v>0</v>
      </c>
      <c r="AH266">
        <f>IF('INHERENT MAP'!$B$5=2021,'РЕЕСТР РИСКОВ_2023'!AN306,IF('INHERENT MAP'!$B$5=2022,#REF!,IF('INHERENT MAP'!$B$5=2023,#REF!,IF('INHERENT MAP'!$B$5=2024,#REF!,#REF!))))</f>
        <v>0</v>
      </c>
      <c r="AI266">
        <f>IF('INHERENT MAP'!$B$5=2021,'РЕЕСТР РИСКОВ_2023'!AO306,IF('INHERENT MAP'!$B$5=2022,#REF!,IF('INHERENT MAP'!$B$5=2023,#REF!,IF('INHERENT MAP'!$B$5=2024,#REF!,#REF!))))</f>
        <v>0</v>
      </c>
      <c r="AJ266">
        <f>IF('INHERENT MAP'!$B$5=2021,'РЕЕСТР РИСКОВ_2023'!AP306,IF('INHERENT MAP'!$B$5=2022,#REF!,IF('INHERENT MAP'!$B$5=2023,#REF!,IF('INHERENT MAP'!$B$5=2024,#REF!,#REF!))))</f>
        <v>0</v>
      </c>
      <c r="AK266">
        <f>IF('РЕЕСТР РИСКОВ_2023'!AQ306="",AK265,'РЕЕСТР РИСКОВ_2023'!AQ306)</f>
        <v>-216</v>
      </c>
      <c r="AL266">
        <f>IF('РЕЕСТР РИСКОВ_2023'!AR306="",AL265,'РЕЕСТР РИСКОВ_2023'!AR306)</f>
        <v>0.12</v>
      </c>
      <c r="AM266" t="str">
        <f>IF('РЕЕСТР РИСКОВ_2023'!AS306="",AM265,'РЕЕСТР РИСКОВ_2023'!AS306)</f>
        <v>стоп</v>
      </c>
      <c r="AN266" t="str">
        <f>IF('РЕЕСТР РИСКОВ_2023'!AT306="",AN265,'РЕЕСТР РИСКОВ_2023'!AT306)</f>
        <v>стоп</v>
      </c>
      <c r="AO266" t="e">
        <f>IF('РЕЕСТР РИСКОВ_2023'!AU306="",AO265,'РЕЕСТР РИСКОВ_2023'!AU306)</f>
        <v>#REF!</v>
      </c>
    </row>
    <row r="267" spans="2:41">
      <c r="B267" t="str">
        <f>IF('INHERENT MAP'!$B$5=2021,IF('РЕЕСТР РИСКОВ_2023'!F307="",B266,'РЕЕСТР РИСКОВ_2023'!F307),IF('INHERENT MAP'!$B$5=2022,IF(#REF!="",B266,#REF!),IF('INHERENT MAP'!$B$5=2023,IF(#REF!="",B266,#REF!),IF('INHERENT MAP'!$B$5=2024,IF(#REF!="",B266,#REF!),IF('РЕЕСТР РИСКОВ_2023'!F307="",B266,'РЕЕСТР РИСКОВ_2023'!F307)))))</f>
        <v>ПРОЦЕНТНЫЙ РИСК</v>
      </c>
      <c r="C267" t="e">
        <f>IF('INHERENT MAP'!$B$5=2021,IF('РЕЕСТР РИСКОВ_2023'!G307="",C266,'РЕЕСТР РИСКОВ_2023'!G307),IF('INHERENT MAP'!$B$5=2022,IF(#REF!="",C266,#REF!),IF('INHERENT MAP'!$B$5=2023,IF(#REF!="",C266,#REF!),IF('INHERENT MAP'!$B$5=2024,IF(#REF!="",C266,#REF!),IF('РЕЕСТР РИСКОВ_2023'!G307="",C266,'РЕЕСТР РИСКОВ_2023'!G307)))))</f>
        <v>#REF!</v>
      </c>
      <c r="D267" t="str">
        <f>IF('INHERENT MAP'!$B$5=2021,IF('РЕЕСТР РИСКОВ_2023'!H307="",D266,'РЕЕСТР РИСКОВ_2023'!H307),IF('INHERENT MAP'!$B$5=2022,IF(#REF!="",D266,#REF!),IF('INHERENT MAP'!$B$5=2023,IF(#REF!="",D266,#REF!),IF('INHERENT MAP'!$B$5=2024,IF(#REF!="",D266,#REF!),IF('РЕЕСТР РИСКОВ_2023'!H307="",D266,'РЕЕСТР РИСКОВ_2023'!H307)))))</f>
        <v>IRR-1</v>
      </c>
      <c r="E267" t="str">
        <f>IF('INHERENT MAP'!$B$5=2021,IF('РЕЕСТР РИСКОВ_2023'!I307="",E266,'РЕЕСТР РИСКОВ_2023'!I307),IF('INHERENT MAP'!$B$5=2022,IF(#REF!="",E266,#REF!),IF('INHERENT MAP'!$B$5=2023,IF(#REF!="",E266,#REF!),IF('INHERENT MAP'!$B$5=2024,IF(#REF!="",E266,#REF!),IF('РЕЕСТР РИСКОВ_2023'!I307="",E266,'РЕЕСТР РИСКОВ_2023'!I307)))))</f>
        <v>ЦЗФ</v>
      </c>
      <c r="F267" t="str">
        <f>IF('INHERENT MAP'!$B$5=2021,IF('РЕЕСТР РИСКОВ_2023'!J307="",F266,'РЕЕСТР РИСКОВ_2023'!J307),IF('INHERENT MAP'!$B$5=2022,IF(#REF!="",F266,#REF!),IF('INHERENT MAP'!$B$5=2023,IF(#REF!="",F266,#REF!),IF('INHERENT MAP'!$B$5=2024,IF(#REF!="",F266,#REF!),IF('РЕЕСТР РИСКОВ_2023'!J307="",F266,'РЕЕСТР РИСКОВ_2023'!J307)))))</f>
        <v>Цзайм</v>
      </c>
      <c r="G267" t="str">
        <f>IF('INHERENT MAP'!$B$5=2021,IF('РЕЕСТР РИСКОВ_2023'!K307="",G266,'РЕЕСТР РИСКОВ_2023'!K307),IF('INHERENT MAP'!$B$5=2022,IF(#REF!="",G266,#REF!),IF('INHERENT MAP'!$B$5=2023,IF(#REF!="",G266,#REF!),IF('INHERENT MAP'!$B$5=2024,IF(#REF!="",G266,#REF!),IF('РЕЕСТР РИСКОВ_2023'!K307="",G266,'РЕЕСТР РИСКОВ_2023'!K307)))))</f>
        <v>Увеличение расходов по процентам на новые займы, а также текущие займы (с плавающей ставкой) в тенге.</v>
      </c>
      <c r="H267">
        <f>IF('INHERENT MAP'!$B$5=2021,'РЕЕСТР РИСКОВ_2023'!L307,IF('INHERENT MAP'!$B$5=2022,#REF!,IF('INHERENT MAP'!$B$5=2023,#REF!,IF('INHERENT MAP'!$B$5=2024,#REF!,#REF!))))</f>
        <v>0</v>
      </c>
      <c r="I267">
        <f>IF('INHERENT MAP'!$B$5=2021,'РЕЕСТР РИСКОВ_2023'!M307,IF('INHERENT MAP'!$B$5=2022,#REF!,IF('INHERENT MAP'!$B$5=2023,#REF!,IF('INHERENT MAP'!$B$5=2024,#REF!,#REF!))))</f>
        <v>0</v>
      </c>
      <c r="J267">
        <f>IF('INHERENT MAP'!$B$5=2021,'РЕЕСТР РИСКОВ_2023'!N307,IF('INHERENT MAP'!$B$5=2022,#REF!,IF('INHERENT MAP'!$B$5=2023,#REF!,IF('INHERENT MAP'!$B$5=2024,#REF!,#REF!))))</f>
        <v>0</v>
      </c>
      <c r="K267">
        <f>IF('INHERENT MAP'!$B$5=2021,'РЕЕСТР РИСКОВ_2023'!O307,IF('INHERENT MAP'!$B$5=2022,#REF!,IF('INHERENT MAP'!$B$5=2023,#REF!,IF('INHERENT MAP'!$B$5=2024,#REF!,#REF!))))</f>
        <v>0</v>
      </c>
      <c r="L267">
        <f>IF('INHERENT MAP'!$B$5=2021,'РЕЕСТР РИСКОВ_2023'!P307,IF('INHERENT MAP'!$B$5=2022,#REF!,IF('INHERENT MAP'!$B$5=2023,#REF!,IF('INHERENT MAP'!$B$5=2024,#REF!,#REF!))))</f>
        <v>0</v>
      </c>
      <c r="M267" t="str">
        <f>IF('INHERENT MAP'!$B$5=2021,IF('РЕЕСТР РИСКОВ_2023'!Q307="",M266,'РЕЕСТР РИСКОВ_2023'!Q307),IF('INHERENT MAP'!$B$5=2022,IF(#REF!="",M266,#REF!),IF('INHERENT MAP'!$B$5=2023,IF(#REF!="",M266,#REF!),IF('INHERENT MAP'!$B$5=2024,IF(#REF!="",M266,#REF!),IF('РЕЕСТР РИСКОВ_2023'!Q307="",M266,'РЕЕСТР РИСКОВ_2023'!Q307)))))</f>
        <v>Увеличение базовой ставки Национального банка Республики Казахстан до 16%</v>
      </c>
      <c r="N267" t="str">
        <f>IF('INHERENT MAP'!$B$5=2021,IF('РЕЕСТР РИСКОВ_2023'!R307="",N266,'РЕЕСТР РИСКОВ_2023'!R307),IF('INHERENT MAP'!$B$5=2022,IF(#REF!="",N266,#REF!),IF('INHERENT MAP'!$B$5=2023,IF(#REF!="",N266,#REF!),IF('INHERENT MAP'!$B$5=2024,IF(#REF!="",N266,#REF!),IF('РЕЕСТР РИСКОВ_2023'!R307="",N266,'РЕЕСТР РИСКОВ_2023'!R307)))))</f>
        <v>Рецессия экономики европейских стран</v>
      </c>
      <c r="O267">
        <f>'РЕЕСТР РИСКОВ_2023'!T307</f>
        <v>0</v>
      </c>
      <c r="P267" t="e">
        <f>IF('РЕЕСТР РИСКОВ_2023'!U307="",P266,'РЕЕСТР РИСКОВ_2023'!U307)</f>
        <v>#REF!</v>
      </c>
      <c r="Q267" t="str">
        <f>IF('РЕЕСТР РИСКОВ_2023'!V307="",Q266,'РЕЕСТР РИСКОВ_2023'!V307)</f>
        <v>Угрозы</v>
      </c>
      <c r="R267" t="e">
        <f>IF('РЕЕСТР РИСКОВ_2023'!W307="",R266,'РЕЕСТР РИСКОВ_2023'!W307)</f>
        <v>#REF!</v>
      </c>
      <c r="S267">
        <f>'РЕЕСТР РИСКОВ_2023'!X307</f>
        <v>0</v>
      </c>
      <c r="T267" s="94">
        <f>IF('INHERENT MAP'!$B$5=2021,'РЕЕСТР РИСКОВ_2023'!Y307,IF('INHERENT MAP'!$B$5=2022,#REF!,IF('INHERENT MAP'!$B$5=2023,#REF!,IF('INHERENT MAP'!$B$5=2024,#REF!,#REF!))))</f>
        <v>0</v>
      </c>
      <c r="U267">
        <f>IF('INHERENT MAP'!$B$5=2021,'РЕЕСТР РИСКОВ_2023'!Z307,IF('INHERENT MAP'!$B$5=2022,#REF!,IF('INHERENT MAP'!$B$5=2023,#REF!,IF('INHERENT MAP'!$B$5=2024,#REF!,#REF!))))</f>
        <v>0</v>
      </c>
      <c r="V267">
        <f>IF('INHERENT MAP'!$B$5=2021,'РЕЕСТР РИСКОВ_2023'!AA307,IF('INHERENT MAP'!$B$5=2022,#REF!,IF('INHERENT MAP'!$B$5=2023,#REF!,IF('INHERENT MAP'!$B$5=2024,#REF!,#REF!))))</f>
        <v>0</v>
      </c>
      <c r="W267">
        <f>IF('INHERENT MAP'!$B$5=2021,'РЕЕСТР РИСКОВ_2023'!AB307,IF('INHERENT MAP'!$B$5=2022,#REF!,IF('INHERENT MAP'!$B$5=2023,#REF!,IF('INHERENT MAP'!$B$5=2024,#REF!,#REF!))))</f>
        <v>0</v>
      </c>
      <c r="X267" s="94">
        <f>IF('INHERENT MAP'!$B$5=2021,'РЕЕСТР РИСКОВ_2023'!AC307,IF('INHERENT MAP'!$B$5=2022,#REF!,IF('INHERENT MAP'!$B$5=2023,#REF!,IF('INHERENT MAP'!$B$5=2024,#REF!,#REF!))))</f>
        <v>0</v>
      </c>
      <c r="Y267">
        <f>IF('INHERENT MAP'!$B$5=2021,'РЕЕСТР РИСКОВ_2023'!AD307,IF('INHERENT MAP'!$B$5=2022,#REF!,IF('INHERENT MAP'!$B$5=2023,#REF!,IF('INHERENT MAP'!$B$5=2024,#REF!,#REF!))))</f>
        <v>0</v>
      </c>
      <c r="Z267">
        <f>IF('INHERENT MAP'!$B$5=2021,'РЕЕСТР РИСКОВ_2023'!AE307,IF('INHERENT MAP'!$B$5=2022,#REF!,IF('INHERENT MAP'!$B$5=2023,#REF!,IF('INHERENT MAP'!$B$5=2024,#REF!,#REF!))))</f>
        <v>0</v>
      </c>
      <c r="AA267">
        <f>IF('INHERENT MAP'!$B$5=2021,'РЕЕСТР РИСКОВ_2023'!AF307,IF('INHERENT MAP'!$B$5=2022,#REF!,IF('INHERENT MAP'!$B$5=2023,#REF!,IF('INHERENT MAP'!$B$5=2024,#REF!,#REF!))))</f>
        <v>0</v>
      </c>
      <c r="AB267">
        <f>IF('INHERENT MAP'!$B$5=2021,'РЕЕСТР РИСКОВ_2023'!AG307,IF('INHERENT MAP'!$B$5=2022,#REF!,IF('INHERENT MAP'!$B$5=2023,#REF!,IF('INHERENT MAP'!$B$5=2024,#REF!,#REF!))))</f>
        <v>0</v>
      </c>
      <c r="AC267">
        <f>IF('INHERENT MAP'!$B$5=2021,'РЕЕСТР РИСКОВ_2023'!AH307,IF('INHERENT MAP'!$B$5=2022,#REF!,IF('INHERENT MAP'!$B$5=2023,#REF!,IF('INHERENT MAP'!$B$5=2024,#REF!,#REF!))))</f>
        <v>0</v>
      </c>
      <c r="AD267">
        <f>IF('INHERENT MAP'!$B$5=2021,'РЕЕСТР РИСКОВ_2023'!AI307,IF('INHERENT MAP'!$B$5=2022,#REF!,IF('INHERENT MAP'!$B$5=2023,#REF!,IF('INHERENT MAP'!$B$5=2024,#REF!,#REF!))))</f>
        <v>0</v>
      </c>
      <c r="AE267">
        <f>IF('INHERENT MAP'!$B$5=2021,'РЕЕСТР РИСКОВ_2023'!AK307,IF('INHERENT MAP'!$B$5=2022,#REF!,IF('INHERENT MAP'!$B$5=2023,#REF!,IF('INHERENT MAP'!$B$5=2024,#REF!,#REF!))))</f>
        <v>0</v>
      </c>
      <c r="AF267">
        <f>IF('INHERENT MAP'!$B$5=2021,'РЕЕСТР РИСКОВ_2023'!AL307,IF('INHERENT MAP'!$B$5=2022,#REF!,IF('INHERENT MAP'!$B$5=2023,#REF!,IF('INHERENT MAP'!$B$5=2024,#REF!,#REF!))))</f>
        <v>0</v>
      </c>
      <c r="AG267">
        <f>IF('INHERENT MAP'!$B$5=2021,'РЕЕСТР РИСКОВ_2023'!AM307,IF('INHERENT MAP'!$B$5=2022,#REF!,IF('INHERENT MAP'!$B$5=2023,#REF!,IF('INHERENT MAP'!$B$5=2024,#REF!,#REF!))))</f>
        <v>0</v>
      </c>
      <c r="AH267">
        <f>IF('INHERENT MAP'!$B$5=2021,'РЕЕСТР РИСКОВ_2023'!AN307,IF('INHERENT MAP'!$B$5=2022,#REF!,IF('INHERENT MAP'!$B$5=2023,#REF!,IF('INHERENT MAP'!$B$5=2024,#REF!,#REF!))))</f>
        <v>0</v>
      </c>
      <c r="AI267">
        <f>IF('INHERENT MAP'!$B$5=2021,'РЕЕСТР РИСКОВ_2023'!AO307,IF('INHERENT MAP'!$B$5=2022,#REF!,IF('INHERENT MAP'!$B$5=2023,#REF!,IF('INHERENT MAP'!$B$5=2024,#REF!,#REF!))))</f>
        <v>0</v>
      </c>
      <c r="AJ267">
        <f>IF('INHERENT MAP'!$B$5=2021,'РЕЕСТР РИСКОВ_2023'!AP307,IF('INHERENT MAP'!$B$5=2022,#REF!,IF('INHERENT MAP'!$B$5=2023,#REF!,IF('INHERENT MAP'!$B$5=2024,#REF!,#REF!))))</f>
        <v>0</v>
      </c>
      <c r="AK267">
        <f>IF('РЕЕСТР РИСКОВ_2023'!AQ307="",AK266,'РЕЕСТР РИСКОВ_2023'!AQ307)</f>
        <v>-216</v>
      </c>
      <c r="AL267">
        <f>IF('РЕЕСТР РИСКОВ_2023'!AR307="",AL266,'РЕЕСТР РИСКОВ_2023'!AR307)</f>
        <v>0.12</v>
      </c>
      <c r="AM267" t="str">
        <f>IF('РЕЕСТР РИСКОВ_2023'!AS307="",AM266,'РЕЕСТР РИСКОВ_2023'!AS307)</f>
        <v>стоп</v>
      </c>
      <c r="AN267" t="str">
        <f>IF('РЕЕСТР РИСКОВ_2023'!AT307="",AN266,'РЕЕСТР РИСКОВ_2023'!AT307)</f>
        <v>стоп</v>
      </c>
      <c r="AO267" t="e">
        <f>IF('РЕЕСТР РИСКОВ_2023'!AU307="",AO266,'РЕЕСТР РИСКОВ_2023'!AU307)</f>
        <v>#REF!</v>
      </c>
    </row>
    <row r="268" spans="2:41">
      <c r="B268" t="str">
        <f>IF('INHERENT MAP'!$B$5=2021,IF('РЕЕСТР РИСКОВ_2023'!F308="",B267,'РЕЕСТР РИСКОВ_2023'!F308),IF('INHERENT MAP'!$B$5=2022,IF(#REF!="",B267,#REF!),IF('INHERENT MAP'!$B$5=2023,IF(#REF!="",B267,#REF!),IF('INHERENT MAP'!$B$5=2024,IF(#REF!="",B267,#REF!),IF('РЕЕСТР РИСКОВ_2023'!F308="",B267,'РЕЕСТР РИСКОВ_2023'!F308)))))</f>
        <v>ПРОЦЕНТНЫЙ РИСК</v>
      </c>
      <c r="C268" t="e">
        <f>IF('INHERENT MAP'!$B$5=2021,IF('РЕЕСТР РИСКОВ_2023'!G308="",C267,'РЕЕСТР РИСКОВ_2023'!G308),IF('INHERENT MAP'!$B$5=2022,IF(#REF!="",C267,#REF!),IF('INHERENT MAP'!$B$5=2023,IF(#REF!="",C267,#REF!),IF('INHERENT MAP'!$B$5=2024,IF(#REF!="",C267,#REF!),IF('РЕЕСТР РИСКОВ_2023'!G308="",C267,'РЕЕСТР РИСКОВ_2023'!G308)))))</f>
        <v>#REF!</v>
      </c>
      <c r="D268" t="str">
        <f>IF('INHERENT MAP'!$B$5=2021,IF('РЕЕСТР РИСКОВ_2023'!H308="",D267,'РЕЕСТР РИСКОВ_2023'!H308),IF('INHERENT MAP'!$B$5=2022,IF(#REF!="",D267,#REF!),IF('INHERENT MAP'!$B$5=2023,IF(#REF!="",D267,#REF!),IF('INHERENT MAP'!$B$5=2024,IF(#REF!="",D267,#REF!),IF('РЕЕСТР РИСКОВ_2023'!H308="",D267,'РЕЕСТР РИСКОВ_2023'!H308)))))</f>
        <v>IRR-1</v>
      </c>
      <c r="E268" t="str">
        <f>IF('INHERENT MAP'!$B$5=2021,IF('РЕЕСТР РИСКОВ_2023'!I308="",E267,'РЕЕСТР РИСКОВ_2023'!I308),IF('INHERENT MAP'!$B$5=2022,IF(#REF!="",E267,#REF!),IF('INHERENT MAP'!$B$5=2023,IF(#REF!="",E267,#REF!),IF('INHERENT MAP'!$B$5=2024,IF(#REF!="",E267,#REF!),IF('РЕЕСТР РИСКОВ_2023'!I308="",E267,'РЕЕСТР РИСКОВ_2023'!I308)))))</f>
        <v>ЦЗФ</v>
      </c>
      <c r="F268" t="str">
        <f>IF('INHERENT MAP'!$B$5=2021,IF('РЕЕСТР РИСКОВ_2023'!J308="",F267,'РЕЕСТР РИСКОВ_2023'!J308),IF('INHERENT MAP'!$B$5=2022,IF(#REF!="",F267,#REF!),IF('INHERENT MAP'!$B$5=2023,IF(#REF!="",F267,#REF!),IF('INHERENT MAP'!$B$5=2024,IF(#REF!="",F267,#REF!),IF('РЕЕСТР РИСКОВ_2023'!J308="",F267,'РЕЕСТР РИСКОВ_2023'!J308)))))</f>
        <v>Цзайм</v>
      </c>
      <c r="G268" t="str">
        <f>IF('INHERENT MAP'!$B$5=2021,IF('РЕЕСТР РИСКОВ_2023'!K308="",G267,'РЕЕСТР РИСКОВ_2023'!K308),IF('INHERENT MAP'!$B$5=2022,IF(#REF!="",G267,#REF!),IF('INHERENT MAP'!$B$5=2023,IF(#REF!="",G267,#REF!),IF('INHERENT MAP'!$B$5=2024,IF(#REF!="",G267,#REF!),IF('РЕЕСТР РИСКОВ_2023'!K308="",G267,'РЕЕСТР РИСКОВ_2023'!K308)))))</f>
        <v>Увеличение расходов по процентам на новые займы, а также текущие займы (с плавающей ставкой) в тенге.</v>
      </c>
      <c r="H268">
        <f>IF('INHERENT MAP'!$B$5=2021,'РЕЕСТР РИСКОВ_2023'!L308,IF('INHERENT MAP'!$B$5=2022,#REF!,IF('INHERENT MAP'!$B$5=2023,#REF!,IF('INHERENT MAP'!$B$5=2024,#REF!,#REF!))))</f>
        <v>0</v>
      </c>
      <c r="I268">
        <f>IF('INHERENT MAP'!$B$5=2021,'РЕЕСТР РИСКОВ_2023'!M308,IF('INHERENT MAP'!$B$5=2022,#REF!,IF('INHERENT MAP'!$B$5=2023,#REF!,IF('INHERENT MAP'!$B$5=2024,#REF!,#REF!))))</f>
        <v>0</v>
      </c>
      <c r="J268">
        <f>IF('INHERENT MAP'!$B$5=2021,'РЕЕСТР РИСКОВ_2023'!N308,IF('INHERENT MAP'!$B$5=2022,#REF!,IF('INHERENT MAP'!$B$5=2023,#REF!,IF('INHERENT MAP'!$B$5=2024,#REF!,#REF!))))</f>
        <v>0</v>
      </c>
      <c r="K268">
        <f>IF('INHERENT MAP'!$B$5=2021,'РЕЕСТР РИСКОВ_2023'!O308,IF('INHERENT MAP'!$B$5=2022,#REF!,IF('INHERENT MAP'!$B$5=2023,#REF!,IF('INHERENT MAP'!$B$5=2024,#REF!,#REF!))))</f>
        <v>0</v>
      </c>
      <c r="L268">
        <f>IF('INHERENT MAP'!$B$5=2021,'РЕЕСТР РИСКОВ_2023'!P308,IF('INHERENT MAP'!$B$5=2022,#REF!,IF('INHERENT MAP'!$B$5=2023,#REF!,IF('INHERENT MAP'!$B$5=2024,#REF!,#REF!))))</f>
        <v>0</v>
      </c>
      <c r="M268" t="str">
        <f>IF('INHERENT MAP'!$B$5=2021,IF('РЕЕСТР РИСКОВ_2023'!Q308="",M267,'РЕЕСТР РИСКОВ_2023'!Q308),IF('INHERENT MAP'!$B$5=2022,IF(#REF!="",M267,#REF!),IF('INHERENT MAP'!$B$5=2023,IF(#REF!="",M267,#REF!),IF('INHERENT MAP'!$B$5=2024,IF(#REF!="",M267,#REF!),IF('РЕЕСТР РИСКОВ_2023'!Q308="",M267,'РЕЕСТР РИСКОВ_2023'!Q308)))))</f>
        <v>Увеличение базовой ставки Национального банка Республики Казахстан до 16%</v>
      </c>
      <c r="N268" t="str">
        <f>IF('INHERENT MAP'!$B$5=2021,IF('РЕЕСТР РИСКОВ_2023'!R308="",N267,'РЕЕСТР РИСКОВ_2023'!R308),IF('INHERENT MAP'!$B$5=2022,IF(#REF!="",N267,#REF!),IF('INHERENT MAP'!$B$5=2023,IF(#REF!="",N267,#REF!),IF('INHERENT MAP'!$B$5=2024,IF(#REF!="",N267,#REF!),IF('РЕЕСТР РИСКОВ_2023'!R308="",N267,'РЕЕСТР РИСКОВ_2023'!R308)))))</f>
        <v>Рецессия экономики европейских стран</v>
      </c>
      <c r="O268">
        <f>'РЕЕСТР РИСКОВ_2023'!T308</f>
        <v>0</v>
      </c>
      <c r="P268" t="e">
        <f>IF('РЕЕСТР РИСКОВ_2023'!U308="",P267,'РЕЕСТР РИСКОВ_2023'!U308)</f>
        <v>#REF!</v>
      </c>
      <c r="Q268" t="str">
        <f>IF('РЕЕСТР РИСКОВ_2023'!V308="",Q267,'РЕЕСТР РИСКОВ_2023'!V308)</f>
        <v>Угрозы</v>
      </c>
      <c r="R268" t="e">
        <f>IF('РЕЕСТР РИСКОВ_2023'!W308="",R267,'РЕЕСТР РИСКОВ_2023'!W308)</f>
        <v>#REF!</v>
      </c>
      <c r="S268">
        <f>'РЕЕСТР РИСКОВ_2023'!X308</f>
        <v>0</v>
      </c>
      <c r="T268" s="94">
        <f>IF('INHERENT MAP'!$B$5=2021,'РЕЕСТР РИСКОВ_2023'!Y308,IF('INHERENT MAP'!$B$5=2022,#REF!,IF('INHERENT MAP'!$B$5=2023,#REF!,IF('INHERENT MAP'!$B$5=2024,#REF!,#REF!))))</f>
        <v>0</v>
      </c>
      <c r="U268">
        <f>IF('INHERENT MAP'!$B$5=2021,'РЕЕСТР РИСКОВ_2023'!Z308,IF('INHERENT MAP'!$B$5=2022,#REF!,IF('INHERENT MAP'!$B$5=2023,#REF!,IF('INHERENT MAP'!$B$5=2024,#REF!,#REF!))))</f>
        <v>0</v>
      </c>
      <c r="V268">
        <f>IF('INHERENT MAP'!$B$5=2021,'РЕЕСТР РИСКОВ_2023'!AA308,IF('INHERENT MAP'!$B$5=2022,#REF!,IF('INHERENT MAP'!$B$5=2023,#REF!,IF('INHERENT MAP'!$B$5=2024,#REF!,#REF!))))</f>
        <v>0</v>
      </c>
      <c r="W268">
        <f>IF('INHERENT MAP'!$B$5=2021,'РЕЕСТР РИСКОВ_2023'!AB308,IF('INHERENT MAP'!$B$5=2022,#REF!,IF('INHERENT MAP'!$B$5=2023,#REF!,IF('INHERENT MAP'!$B$5=2024,#REF!,#REF!))))</f>
        <v>0</v>
      </c>
      <c r="X268" s="94">
        <f>IF('INHERENT MAP'!$B$5=2021,'РЕЕСТР РИСКОВ_2023'!AC308,IF('INHERENT MAP'!$B$5=2022,#REF!,IF('INHERENT MAP'!$B$5=2023,#REF!,IF('INHERENT MAP'!$B$5=2024,#REF!,#REF!))))</f>
        <v>0</v>
      </c>
      <c r="Y268">
        <f>IF('INHERENT MAP'!$B$5=2021,'РЕЕСТР РИСКОВ_2023'!AD308,IF('INHERENT MAP'!$B$5=2022,#REF!,IF('INHERENT MAP'!$B$5=2023,#REF!,IF('INHERENT MAP'!$B$5=2024,#REF!,#REF!))))</f>
        <v>0</v>
      </c>
      <c r="Z268">
        <f>IF('INHERENT MAP'!$B$5=2021,'РЕЕСТР РИСКОВ_2023'!AE308,IF('INHERENT MAP'!$B$5=2022,#REF!,IF('INHERENT MAP'!$B$5=2023,#REF!,IF('INHERENT MAP'!$B$5=2024,#REF!,#REF!))))</f>
        <v>0</v>
      </c>
      <c r="AA268">
        <f>IF('INHERENT MAP'!$B$5=2021,'РЕЕСТР РИСКОВ_2023'!AF308,IF('INHERENT MAP'!$B$5=2022,#REF!,IF('INHERENT MAP'!$B$5=2023,#REF!,IF('INHERENT MAP'!$B$5=2024,#REF!,#REF!))))</f>
        <v>0</v>
      </c>
      <c r="AB268">
        <f>IF('INHERENT MAP'!$B$5=2021,'РЕЕСТР РИСКОВ_2023'!AG308,IF('INHERENT MAP'!$B$5=2022,#REF!,IF('INHERENT MAP'!$B$5=2023,#REF!,IF('INHERENT MAP'!$B$5=2024,#REF!,#REF!))))</f>
        <v>0</v>
      </c>
      <c r="AC268">
        <f>IF('INHERENT MAP'!$B$5=2021,'РЕЕСТР РИСКОВ_2023'!AH308,IF('INHERENT MAP'!$B$5=2022,#REF!,IF('INHERENT MAP'!$B$5=2023,#REF!,IF('INHERENT MAP'!$B$5=2024,#REF!,#REF!))))</f>
        <v>0</v>
      </c>
      <c r="AD268">
        <f>IF('INHERENT MAP'!$B$5=2021,'РЕЕСТР РИСКОВ_2023'!AI308,IF('INHERENT MAP'!$B$5=2022,#REF!,IF('INHERENT MAP'!$B$5=2023,#REF!,IF('INHERENT MAP'!$B$5=2024,#REF!,#REF!))))</f>
        <v>0</v>
      </c>
      <c r="AE268">
        <f>IF('INHERENT MAP'!$B$5=2021,'РЕЕСТР РИСКОВ_2023'!AK308,IF('INHERENT MAP'!$B$5=2022,#REF!,IF('INHERENT MAP'!$B$5=2023,#REF!,IF('INHERENT MAP'!$B$5=2024,#REF!,#REF!))))</f>
        <v>0</v>
      </c>
      <c r="AF268">
        <f>IF('INHERENT MAP'!$B$5=2021,'РЕЕСТР РИСКОВ_2023'!AL308,IF('INHERENT MAP'!$B$5=2022,#REF!,IF('INHERENT MAP'!$B$5=2023,#REF!,IF('INHERENT MAP'!$B$5=2024,#REF!,#REF!))))</f>
        <v>0</v>
      </c>
      <c r="AG268">
        <f>IF('INHERENT MAP'!$B$5=2021,'РЕЕСТР РИСКОВ_2023'!AM308,IF('INHERENT MAP'!$B$5=2022,#REF!,IF('INHERENT MAP'!$B$5=2023,#REF!,IF('INHERENT MAP'!$B$5=2024,#REF!,#REF!))))</f>
        <v>0</v>
      </c>
      <c r="AH268">
        <f>IF('INHERENT MAP'!$B$5=2021,'РЕЕСТР РИСКОВ_2023'!AN308,IF('INHERENT MAP'!$B$5=2022,#REF!,IF('INHERENT MAP'!$B$5=2023,#REF!,IF('INHERENT MAP'!$B$5=2024,#REF!,#REF!))))</f>
        <v>0</v>
      </c>
      <c r="AI268">
        <f>IF('INHERENT MAP'!$B$5=2021,'РЕЕСТР РИСКОВ_2023'!AO308,IF('INHERENT MAP'!$B$5=2022,#REF!,IF('INHERENT MAP'!$B$5=2023,#REF!,IF('INHERENT MAP'!$B$5=2024,#REF!,#REF!))))</f>
        <v>0</v>
      </c>
      <c r="AJ268">
        <f>IF('INHERENT MAP'!$B$5=2021,'РЕЕСТР РИСКОВ_2023'!AP308,IF('INHERENT MAP'!$B$5=2022,#REF!,IF('INHERENT MAP'!$B$5=2023,#REF!,IF('INHERENT MAP'!$B$5=2024,#REF!,#REF!))))</f>
        <v>0</v>
      </c>
      <c r="AK268">
        <f>IF('РЕЕСТР РИСКОВ_2023'!AQ308="",AK267,'РЕЕСТР РИСКОВ_2023'!AQ308)</f>
        <v>-216</v>
      </c>
      <c r="AL268">
        <f>IF('РЕЕСТР РИСКОВ_2023'!AR308="",AL267,'РЕЕСТР РИСКОВ_2023'!AR308)</f>
        <v>0.12</v>
      </c>
      <c r="AM268" t="str">
        <f>IF('РЕЕСТР РИСКОВ_2023'!AS308="",AM267,'РЕЕСТР РИСКОВ_2023'!AS308)</f>
        <v>стоп</v>
      </c>
      <c r="AN268" t="str">
        <f>IF('РЕЕСТР РИСКОВ_2023'!AT308="",AN267,'РЕЕСТР РИСКОВ_2023'!AT308)</f>
        <v>стоп</v>
      </c>
      <c r="AO268" t="e">
        <f>IF('РЕЕСТР РИСКОВ_2023'!AU308="",AO267,'РЕЕСТР РИСКОВ_2023'!AU308)</f>
        <v>#REF!</v>
      </c>
    </row>
    <row r="269" spans="2:41">
      <c r="B269" t="str">
        <f>IF('INHERENT MAP'!$B$5=2021,IF('РЕЕСТР РИСКОВ_2023'!F309="",B268,'РЕЕСТР РИСКОВ_2023'!F309),IF('INHERENT MAP'!$B$5=2022,IF(#REF!="",B268,#REF!),IF('INHERENT MAP'!$B$5=2023,IF(#REF!="",B268,#REF!),IF('INHERENT MAP'!$B$5=2024,IF(#REF!="",B268,#REF!),IF('РЕЕСТР РИСКОВ_2023'!F309="",B268,'РЕЕСТР РИСКОВ_2023'!F309)))))</f>
        <v>ПРОЦЕНТНЫЙ РИСК</v>
      </c>
      <c r="C269" t="e">
        <f>IF('INHERENT MAP'!$B$5=2021,IF('РЕЕСТР РИСКОВ_2023'!G309="",C268,'РЕЕСТР РИСКОВ_2023'!G309),IF('INHERENT MAP'!$B$5=2022,IF(#REF!="",C268,#REF!),IF('INHERENT MAP'!$B$5=2023,IF(#REF!="",C268,#REF!),IF('INHERENT MAP'!$B$5=2024,IF(#REF!="",C268,#REF!),IF('РЕЕСТР РИСКОВ_2023'!G309="",C268,'РЕЕСТР РИСКОВ_2023'!G309)))))</f>
        <v>#REF!</v>
      </c>
      <c r="D269" t="str">
        <f>IF('INHERENT MAP'!$B$5=2021,IF('РЕЕСТР РИСКОВ_2023'!H309="",D268,'РЕЕСТР РИСКОВ_2023'!H309),IF('INHERENT MAP'!$B$5=2022,IF(#REF!="",D268,#REF!),IF('INHERENT MAP'!$B$5=2023,IF(#REF!="",D268,#REF!),IF('INHERENT MAP'!$B$5=2024,IF(#REF!="",D268,#REF!),IF('РЕЕСТР РИСКОВ_2023'!H309="",D268,'РЕЕСТР РИСКОВ_2023'!H309)))))</f>
        <v>IRR-1</v>
      </c>
      <c r="E269" t="str">
        <f>IF('INHERENT MAP'!$B$5=2021,IF('РЕЕСТР РИСКОВ_2023'!I309="",E268,'РЕЕСТР РИСКОВ_2023'!I309),IF('INHERENT MAP'!$B$5=2022,IF(#REF!="",E268,#REF!),IF('INHERENT MAP'!$B$5=2023,IF(#REF!="",E268,#REF!),IF('INHERENT MAP'!$B$5=2024,IF(#REF!="",E268,#REF!),IF('РЕЕСТР РИСКОВ_2023'!I309="",E268,'РЕЕСТР РИСКОВ_2023'!I309)))))</f>
        <v>ЦЗФ</v>
      </c>
      <c r="F269" t="str">
        <f>IF('INHERENT MAP'!$B$5=2021,IF('РЕЕСТР РИСКОВ_2023'!J309="",F268,'РЕЕСТР РИСКОВ_2023'!J309),IF('INHERENT MAP'!$B$5=2022,IF(#REF!="",F268,#REF!),IF('INHERENT MAP'!$B$5=2023,IF(#REF!="",F268,#REF!),IF('INHERENT MAP'!$B$5=2024,IF(#REF!="",F268,#REF!),IF('РЕЕСТР РИСКОВ_2023'!J309="",F268,'РЕЕСТР РИСКОВ_2023'!J309)))))</f>
        <v>Цзайм</v>
      </c>
      <c r="G269" t="str">
        <f>IF('INHERENT MAP'!$B$5=2021,IF('РЕЕСТР РИСКОВ_2023'!K309="",G268,'РЕЕСТР РИСКОВ_2023'!K309),IF('INHERENT MAP'!$B$5=2022,IF(#REF!="",G268,#REF!),IF('INHERENT MAP'!$B$5=2023,IF(#REF!="",G268,#REF!),IF('INHERENT MAP'!$B$5=2024,IF(#REF!="",G268,#REF!),IF('РЕЕСТР РИСКОВ_2023'!K309="",G268,'РЕЕСТР РИСКОВ_2023'!K309)))))</f>
        <v>Увеличение расходов по процентам на новые займы, а также текущие займы (с плавающей ставкой) в тенге.</v>
      </c>
      <c r="H269">
        <f>IF('INHERENT MAP'!$B$5=2021,'РЕЕСТР РИСКОВ_2023'!L309,IF('INHERENT MAP'!$B$5=2022,#REF!,IF('INHERENT MAP'!$B$5=2023,#REF!,IF('INHERENT MAP'!$B$5=2024,#REF!,#REF!))))</f>
        <v>0</v>
      </c>
      <c r="I269">
        <f>IF('INHERENT MAP'!$B$5=2021,'РЕЕСТР РИСКОВ_2023'!M309,IF('INHERENT MAP'!$B$5=2022,#REF!,IF('INHERENT MAP'!$B$5=2023,#REF!,IF('INHERENT MAP'!$B$5=2024,#REF!,#REF!))))</f>
        <v>0</v>
      </c>
      <c r="J269">
        <f>IF('INHERENT MAP'!$B$5=2021,'РЕЕСТР РИСКОВ_2023'!N309,IF('INHERENT MAP'!$B$5=2022,#REF!,IF('INHERENT MAP'!$B$5=2023,#REF!,IF('INHERENT MAP'!$B$5=2024,#REF!,#REF!))))</f>
        <v>0</v>
      </c>
      <c r="K269">
        <f>IF('INHERENT MAP'!$B$5=2021,'РЕЕСТР РИСКОВ_2023'!O309,IF('INHERENT MAP'!$B$5=2022,#REF!,IF('INHERENT MAP'!$B$5=2023,#REF!,IF('INHERENT MAP'!$B$5=2024,#REF!,#REF!))))</f>
        <v>0</v>
      </c>
      <c r="L269">
        <f>IF('INHERENT MAP'!$B$5=2021,'РЕЕСТР РИСКОВ_2023'!P309,IF('INHERENT MAP'!$B$5=2022,#REF!,IF('INHERENT MAP'!$B$5=2023,#REF!,IF('INHERENT MAP'!$B$5=2024,#REF!,#REF!))))</f>
        <v>0</v>
      </c>
      <c r="M269" t="str">
        <f>IF('INHERENT MAP'!$B$5=2021,IF('РЕЕСТР РИСКОВ_2023'!Q309="",M268,'РЕЕСТР РИСКОВ_2023'!Q309),IF('INHERENT MAP'!$B$5=2022,IF(#REF!="",M268,#REF!),IF('INHERENT MAP'!$B$5=2023,IF(#REF!="",M268,#REF!),IF('INHERENT MAP'!$B$5=2024,IF(#REF!="",M268,#REF!),IF('РЕЕСТР РИСКОВ_2023'!Q309="",M268,'РЕЕСТР РИСКОВ_2023'!Q309)))))</f>
        <v>Увеличение базовой ставки Национального банка Республики Казахстан до 16%</v>
      </c>
      <c r="N269" t="str">
        <f>IF('INHERENT MAP'!$B$5=2021,IF('РЕЕСТР РИСКОВ_2023'!R309="",N268,'РЕЕСТР РИСКОВ_2023'!R309),IF('INHERENT MAP'!$B$5=2022,IF(#REF!="",N268,#REF!),IF('INHERENT MAP'!$B$5=2023,IF(#REF!="",N268,#REF!),IF('INHERENT MAP'!$B$5=2024,IF(#REF!="",N268,#REF!),IF('РЕЕСТР РИСКОВ_2023'!R309="",N268,'РЕЕСТР РИСКОВ_2023'!R309)))))</f>
        <v>Рецессия экономики европейских стран</v>
      </c>
      <c r="O269">
        <f>'РЕЕСТР РИСКОВ_2023'!T309</f>
        <v>0</v>
      </c>
      <c r="P269" t="e">
        <f>IF('РЕЕСТР РИСКОВ_2023'!U309="",P268,'РЕЕСТР РИСКОВ_2023'!U309)</f>
        <v>#REF!</v>
      </c>
      <c r="Q269" t="str">
        <f>IF('РЕЕСТР РИСКОВ_2023'!V309="",Q268,'РЕЕСТР РИСКОВ_2023'!V309)</f>
        <v>Угрозы</v>
      </c>
      <c r="R269" t="e">
        <f>IF('РЕЕСТР РИСКОВ_2023'!W309="",R268,'РЕЕСТР РИСКОВ_2023'!W309)</f>
        <v>#REF!</v>
      </c>
      <c r="S269">
        <f>'РЕЕСТР РИСКОВ_2023'!X309</f>
        <v>0</v>
      </c>
      <c r="T269" s="94">
        <f>IF('INHERENT MAP'!$B$5=2021,'РЕЕСТР РИСКОВ_2023'!Y309,IF('INHERENT MAP'!$B$5=2022,#REF!,IF('INHERENT MAP'!$B$5=2023,#REF!,IF('INHERENT MAP'!$B$5=2024,#REF!,#REF!))))</f>
        <v>0</v>
      </c>
      <c r="U269">
        <f>IF('INHERENT MAP'!$B$5=2021,'РЕЕСТР РИСКОВ_2023'!Z309,IF('INHERENT MAP'!$B$5=2022,#REF!,IF('INHERENT MAP'!$B$5=2023,#REF!,IF('INHERENT MAP'!$B$5=2024,#REF!,#REF!))))</f>
        <v>0</v>
      </c>
      <c r="V269">
        <f>IF('INHERENT MAP'!$B$5=2021,'РЕЕСТР РИСКОВ_2023'!AA309,IF('INHERENT MAP'!$B$5=2022,#REF!,IF('INHERENT MAP'!$B$5=2023,#REF!,IF('INHERENT MAP'!$B$5=2024,#REF!,#REF!))))</f>
        <v>0</v>
      </c>
      <c r="W269">
        <f>IF('INHERENT MAP'!$B$5=2021,'РЕЕСТР РИСКОВ_2023'!AB309,IF('INHERENT MAP'!$B$5=2022,#REF!,IF('INHERENT MAP'!$B$5=2023,#REF!,IF('INHERENT MAP'!$B$5=2024,#REF!,#REF!))))</f>
        <v>0</v>
      </c>
      <c r="X269" s="94">
        <f>IF('INHERENT MAP'!$B$5=2021,'РЕЕСТР РИСКОВ_2023'!AC309,IF('INHERENT MAP'!$B$5=2022,#REF!,IF('INHERENT MAP'!$B$5=2023,#REF!,IF('INHERENT MAP'!$B$5=2024,#REF!,#REF!))))</f>
        <v>0</v>
      </c>
      <c r="Y269">
        <f>IF('INHERENT MAP'!$B$5=2021,'РЕЕСТР РИСКОВ_2023'!AD309,IF('INHERENT MAP'!$B$5=2022,#REF!,IF('INHERENT MAP'!$B$5=2023,#REF!,IF('INHERENT MAP'!$B$5=2024,#REF!,#REF!))))</f>
        <v>0</v>
      </c>
      <c r="Z269">
        <f>IF('INHERENT MAP'!$B$5=2021,'РЕЕСТР РИСКОВ_2023'!AE309,IF('INHERENT MAP'!$B$5=2022,#REF!,IF('INHERENT MAP'!$B$5=2023,#REF!,IF('INHERENT MAP'!$B$5=2024,#REF!,#REF!))))</f>
        <v>0</v>
      </c>
      <c r="AA269">
        <f>IF('INHERENT MAP'!$B$5=2021,'РЕЕСТР РИСКОВ_2023'!AF309,IF('INHERENT MAP'!$B$5=2022,#REF!,IF('INHERENT MAP'!$B$5=2023,#REF!,IF('INHERENT MAP'!$B$5=2024,#REF!,#REF!))))</f>
        <v>0</v>
      </c>
      <c r="AB269">
        <f>IF('INHERENT MAP'!$B$5=2021,'РЕЕСТР РИСКОВ_2023'!AG309,IF('INHERENT MAP'!$B$5=2022,#REF!,IF('INHERENT MAP'!$B$5=2023,#REF!,IF('INHERENT MAP'!$B$5=2024,#REF!,#REF!))))</f>
        <v>0</v>
      </c>
      <c r="AC269">
        <f>IF('INHERENT MAP'!$B$5=2021,'РЕЕСТР РИСКОВ_2023'!AH309,IF('INHERENT MAP'!$B$5=2022,#REF!,IF('INHERENT MAP'!$B$5=2023,#REF!,IF('INHERENT MAP'!$B$5=2024,#REF!,#REF!))))</f>
        <v>0</v>
      </c>
      <c r="AD269">
        <f>IF('INHERENT MAP'!$B$5=2021,'РЕЕСТР РИСКОВ_2023'!AI309,IF('INHERENT MAP'!$B$5=2022,#REF!,IF('INHERENT MAP'!$B$5=2023,#REF!,IF('INHERENT MAP'!$B$5=2024,#REF!,#REF!))))</f>
        <v>0</v>
      </c>
      <c r="AE269">
        <f>IF('INHERENT MAP'!$B$5=2021,'РЕЕСТР РИСКОВ_2023'!AK309,IF('INHERENT MAP'!$B$5=2022,#REF!,IF('INHERENT MAP'!$B$5=2023,#REF!,IF('INHERENT MAP'!$B$5=2024,#REF!,#REF!))))</f>
        <v>0</v>
      </c>
      <c r="AF269">
        <f>IF('INHERENT MAP'!$B$5=2021,'РЕЕСТР РИСКОВ_2023'!AL309,IF('INHERENT MAP'!$B$5=2022,#REF!,IF('INHERENT MAP'!$B$5=2023,#REF!,IF('INHERENT MAP'!$B$5=2024,#REF!,#REF!))))</f>
        <v>0</v>
      </c>
      <c r="AG269">
        <f>IF('INHERENT MAP'!$B$5=2021,'РЕЕСТР РИСКОВ_2023'!AM309,IF('INHERENT MAP'!$B$5=2022,#REF!,IF('INHERENT MAP'!$B$5=2023,#REF!,IF('INHERENT MAP'!$B$5=2024,#REF!,#REF!))))</f>
        <v>0</v>
      </c>
      <c r="AH269">
        <f>IF('INHERENT MAP'!$B$5=2021,'РЕЕСТР РИСКОВ_2023'!AN309,IF('INHERENT MAP'!$B$5=2022,#REF!,IF('INHERENT MAP'!$B$5=2023,#REF!,IF('INHERENT MAP'!$B$5=2024,#REF!,#REF!))))</f>
        <v>0</v>
      </c>
      <c r="AI269">
        <f>IF('INHERENT MAP'!$B$5=2021,'РЕЕСТР РИСКОВ_2023'!AO309,IF('INHERENT MAP'!$B$5=2022,#REF!,IF('INHERENT MAP'!$B$5=2023,#REF!,IF('INHERENT MAP'!$B$5=2024,#REF!,#REF!))))</f>
        <v>0</v>
      </c>
      <c r="AJ269">
        <f>IF('INHERENT MAP'!$B$5=2021,'РЕЕСТР РИСКОВ_2023'!AP309,IF('INHERENT MAP'!$B$5=2022,#REF!,IF('INHERENT MAP'!$B$5=2023,#REF!,IF('INHERENT MAP'!$B$5=2024,#REF!,#REF!))))</f>
        <v>0</v>
      </c>
      <c r="AK269">
        <f>IF('РЕЕСТР РИСКОВ_2023'!AQ309="",AK268,'РЕЕСТР РИСКОВ_2023'!AQ309)</f>
        <v>-216</v>
      </c>
      <c r="AL269">
        <f>IF('РЕЕСТР РИСКОВ_2023'!AR309="",AL268,'РЕЕСТР РИСКОВ_2023'!AR309)</f>
        <v>0.12</v>
      </c>
      <c r="AM269" t="str">
        <f>IF('РЕЕСТР РИСКОВ_2023'!AS309="",AM268,'РЕЕСТР РИСКОВ_2023'!AS309)</f>
        <v>стоп</v>
      </c>
      <c r="AN269" t="str">
        <f>IF('РЕЕСТР РИСКОВ_2023'!AT309="",AN268,'РЕЕСТР РИСКОВ_2023'!AT309)</f>
        <v>стоп</v>
      </c>
      <c r="AO269" t="e">
        <f>IF('РЕЕСТР РИСКОВ_2023'!AU309="",AO268,'РЕЕСТР РИСКОВ_2023'!AU309)</f>
        <v>#REF!</v>
      </c>
    </row>
    <row r="270" spans="2:41">
      <c r="B270" t="str">
        <f>IF('INHERENT MAP'!$B$5=2021,IF('РЕЕСТР РИСКОВ_2023'!F310="",B269,'РЕЕСТР РИСКОВ_2023'!F310),IF('INHERENT MAP'!$B$5=2022,IF(#REF!="",B269,#REF!),IF('INHERENT MAP'!$B$5=2023,IF(#REF!="",B269,#REF!),IF('INHERENT MAP'!$B$5=2024,IF(#REF!="",B269,#REF!),IF('РЕЕСТР РИСКОВ_2023'!F310="",B269,'РЕЕСТР РИСКОВ_2023'!F310)))))</f>
        <v>ПРОЦЕНТНЫЙ РИСК</v>
      </c>
      <c r="C270" t="e">
        <f>IF('INHERENT MAP'!$B$5=2021,IF('РЕЕСТР РИСКОВ_2023'!G310="",C269,'РЕЕСТР РИСКОВ_2023'!G310),IF('INHERENT MAP'!$B$5=2022,IF(#REF!="",C269,#REF!),IF('INHERENT MAP'!$B$5=2023,IF(#REF!="",C269,#REF!),IF('INHERENT MAP'!$B$5=2024,IF(#REF!="",C269,#REF!),IF('РЕЕСТР РИСКОВ_2023'!G310="",C269,'РЕЕСТР РИСКОВ_2023'!G310)))))</f>
        <v>#REF!</v>
      </c>
      <c r="D270" t="str">
        <f>IF('INHERENT MAP'!$B$5=2021,IF('РЕЕСТР РИСКОВ_2023'!H310="",D269,'РЕЕСТР РИСКОВ_2023'!H310),IF('INHERENT MAP'!$B$5=2022,IF(#REF!="",D269,#REF!),IF('INHERENT MAP'!$B$5=2023,IF(#REF!="",D269,#REF!),IF('INHERENT MAP'!$B$5=2024,IF(#REF!="",D269,#REF!),IF('РЕЕСТР РИСКОВ_2023'!H310="",D269,'РЕЕСТР РИСКОВ_2023'!H310)))))</f>
        <v>IRR-1</v>
      </c>
      <c r="E270" t="str">
        <f>IF('INHERENT MAP'!$B$5=2021,IF('РЕЕСТР РИСКОВ_2023'!I310="",E269,'РЕЕСТР РИСКОВ_2023'!I310),IF('INHERENT MAP'!$B$5=2022,IF(#REF!="",E269,#REF!),IF('INHERENT MAP'!$B$5=2023,IF(#REF!="",E269,#REF!),IF('INHERENT MAP'!$B$5=2024,IF(#REF!="",E269,#REF!),IF('РЕЕСТР РИСКОВ_2023'!I310="",E269,'РЕЕСТР РИСКОВ_2023'!I310)))))</f>
        <v>ЦЗФ</v>
      </c>
      <c r="F270" t="str">
        <f>IF('INHERENT MAP'!$B$5=2021,IF('РЕЕСТР РИСКОВ_2023'!J310="",F269,'РЕЕСТР РИСКОВ_2023'!J310),IF('INHERENT MAP'!$B$5=2022,IF(#REF!="",F269,#REF!),IF('INHERENT MAP'!$B$5=2023,IF(#REF!="",F269,#REF!),IF('INHERENT MAP'!$B$5=2024,IF(#REF!="",F269,#REF!),IF('РЕЕСТР РИСКОВ_2023'!J310="",F269,'РЕЕСТР РИСКОВ_2023'!J310)))))</f>
        <v>Цзайм</v>
      </c>
      <c r="G270" t="str">
        <f>IF('INHERENT MAP'!$B$5=2021,IF('РЕЕСТР РИСКОВ_2023'!K310="",G269,'РЕЕСТР РИСКОВ_2023'!K310),IF('INHERENT MAP'!$B$5=2022,IF(#REF!="",G269,#REF!),IF('INHERENT MAP'!$B$5=2023,IF(#REF!="",G269,#REF!),IF('INHERENT MAP'!$B$5=2024,IF(#REF!="",G269,#REF!),IF('РЕЕСТР РИСКОВ_2023'!K310="",G269,'РЕЕСТР РИСКОВ_2023'!K310)))))</f>
        <v>Увеличение расходов по процентам на новые займы, а также текущие займы (с плавающей ставкой) в тенге.</v>
      </c>
      <c r="H270">
        <f>IF('INHERENT MAP'!$B$5=2021,'РЕЕСТР РИСКОВ_2023'!L310,IF('INHERENT MAP'!$B$5=2022,#REF!,IF('INHERENT MAP'!$B$5=2023,#REF!,IF('INHERENT MAP'!$B$5=2024,#REF!,#REF!))))</f>
        <v>0</v>
      </c>
      <c r="I270">
        <f>IF('INHERENT MAP'!$B$5=2021,'РЕЕСТР РИСКОВ_2023'!M310,IF('INHERENT MAP'!$B$5=2022,#REF!,IF('INHERENT MAP'!$B$5=2023,#REF!,IF('INHERENT MAP'!$B$5=2024,#REF!,#REF!))))</f>
        <v>0</v>
      </c>
      <c r="J270">
        <f>IF('INHERENT MAP'!$B$5=2021,'РЕЕСТР РИСКОВ_2023'!N310,IF('INHERENT MAP'!$B$5=2022,#REF!,IF('INHERENT MAP'!$B$5=2023,#REF!,IF('INHERENT MAP'!$B$5=2024,#REF!,#REF!))))</f>
        <v>0</v>
      </c>
      <c r="K270">
        <f>IF('INHERENT MAP'!$B$5=2021,'РЕЕСТР РИСКОВ_2023'!O310,IF('INHERENT MAP'!$B$5=2022,#REF!,IF('INHERENT MAP'!$B$5=2023,#REF!,IF('INHERENT MAP'!$B$5=2024,#REF!,#REF!))))</f>
        <v>0</v>
      </c>
      <c r="L270">
        <f>IF('INHERENT MAP'!$B$5=2021,'РЕЕСТР РИСКОВ_2023'!P310,IF('INHERENT MAP'!$B$5=2022,#REF!,IF('INHERENT MAP'!$B$5=2023,#REF!,IF('INHERENT MAP'!$B$5=2024,#REF!,#REF!))))</f>
        <v>0</v>
      </c>
      <c r="M270" t="str">
        <f>IF('INHERENT MAP'!$B$5=2021,IF('РЕЕСТР РИСКОВ_2023'!Q310="",M269,'РЕЕСТР РИСКОВ_2023'!Q310),IF('INHERENT MAP'!$B$5=2022,IF(#REF!="",M269,#REF!),IF('INHERENT MAP'!$B$5=2023,IF(#REF!="",M269,#REF!),IF('INHERENT MAP'!$B$5=2024,IF(#REF!="",M269,#REF!),IF('РЕЕСТР РИСКОВ_2023'!Q310="",M269,'РЕЕСТР РИСКОВ_2023'!Q310)))))</f>
        <v>Увеличение базовой ставки Национального банка Республики Казахстан до 16%</v>
      </c>
      <c r="N270" t="str">
        <f>IF('INHERENT MAP'!$B$5=2021,IF('РЕЕСТР РИСКОВ_2023'!R310="",N269,'РЕЕСТР РИСКОВ_2023'!R310),IF('INHERENT MAP'!$B$5=2022,IF(#REF!="",N269,#REF!),IF('INHERENT MAP'!$B$5=2023,IF(#REF!="",N269,#REF!),IF('INHERENT MAP'!$B$5=2024,IF(#REF!="",N269,#REF!),IF('РЕЕСТР РИСКОВ_2023'!R310="",N269,'РЕЕСТР РИСКОВ_2023'!R310)))))</f>
        <v>Рецессия экономики европейских стран</v>
      </c>
      <c r="O270">
        <f>'РЕЕСТР РИСКОВ_2023'!T310</f>
        <v>0</v>
      </c>
      <c r="P270" t="e">
        <f>IF('РЕЕСТР РИСКОВ_2023'!U310="",P269,'РЕЕСТР РИСКОВ_2023'!U310)</f>
        <v>#REF!</v>
      </c>
      <c r="Q270" t="str">
        <f>IF('РЕЕСТР РИСКОВ_2023'!V310="",Q269,'РЕЕСТР РИСКОВ_2023'!V310)</f>
        <v>Угрозы</v>
      </c>
      <c r="R270" t="e">
        <f>IF('РЕЕСТР РИСКОВ_2023'!W310="",R269,'РЕЕСТР РИСКОВ_2023'!W310)</f>
        <v>#REF!</v>
      </c>
      <c r="S270">
        <f>'РЕЕСТР РИСКОВ_2023'!X310</f>
        <v>0</v>
      </c>
      <c r="T270" s="94">
        <f>IF('INHERENT MAP'!$B$5=2021,'РЕЕСТР РИСКОВ_2023'!Y310,IF('INHERENT MAP'!$B$5=2022,#REF!,IF('INHERENT MAP'!$B$5=2023,#REF!,IF('INHERENT MAP'!$B$5=2024,#REF!,#REF!))))</f>
        <v>0</v>
      </c>
      <c r="U270">
        <f>IF('INHERENT MAP'!$B$5=2021,'РЕЕСТР РИСКОВ_2023'!Z310,IF('INHERENT MAP'!$B$5=2022,#REF!,IF('INHERENT MAP'!$B$5=2023,#REF!,IF('INHERENT MAP'!$B$5=2024,#REF!,#REF!))))</f>
        <v>0</v>
      </c>
      <c r="V270">
        <f>IF('INHERENT MAP'!$B$5=2021,'РЕЕСТР РИСКОВ_2023'!AA310,IF('INHERENT MAP'!$B$5=2022,#REF!,IF('INHERENT MAP'!$B$5=2023,#REF!,IF('INHERENT MAP'!$B$5=2024,#REF!,#REF!))))</f>
        <v>0</v>
      </c>
      <c r="W270">
        <f>IF('INHERENT MAP'!$B$5=2021,'РЕЕСТР РИСКОВ_2023'!AB310,IF('INHERENT MAP'!$B$5=2022,#REF!,IF('INHERENT MAP'!$B$5=2023,#REF!,IF('INHERENT MAP'!$B$5=2024,#REF!,#REF!))))</f>
        <v>0</v>
      </c>
      <c r="X270" s="94">
        <f>IF('INHERENT MAP'!$B$5=2021,'РЕЕСТР РИСКОВ_2023'!AC310,IF('INHERENT MAP'!$B$5=2022,#REF!,IF('INHERENT MAP'!$B$5=2023,#REF!,IF('INHERENT MAP'!$B$5=2024,#REF!,#REF!))))</f>
        <v>0</v>
      </c>
      <c r="Y270">
        <f>IF('INHERENT MAP'!$B$5=2021,'РЕЕСТР РИСКОВ_2023'!AD310,IF('INHERENT MAP'!$B$5=2022,#REF!,IF('INHERENT MAP'!$B$5=2023,#REF!,IF('INHERENT MAP'!$B$5=2024,#REF!,#REF!))))</f>
        <v>0</v>
      </c>
      <c r="Z270">
        <f>IF('INHERENT MAP'!$B$5=2021,'РЕЕСТР РИСКОВ_2023'!AE310,IF('INHERENT MAP'!$B$5=2022,#REF!,IF('INHERENT MAP'!$B$5=2023,#REF!,IF('INHERENT MAP'!$B$5=2024,#REF!,#REF!))))</f>
        <v>0</v>
      </c>
      <c r="AA270">
        <f>IF('INHERENT MAP'!$B$5=2021,'РЕЕСТР РИСКОВ_2023'!AF310,IF('INHERENT MAP'!$B$5=2022,#REF!,IF('INHERENT MAP'!$B$5=2023,#REF!,IF('INHERENT MAP'!$B$5=2024,#REF!,#REF!))))</f>
        <v>0</v>
      </c>
      <c r="AB270">
        <f>IF('INHERENT MAP'!$B$5=2021,'РЕЕСТР РИСКОВ_2023'!AG310,IF('INHERENT MAP'!$B$5=2022,#REF!,IF('INHERENT MAP'!$B$5=2023,#REF!,IF('INHERENT MAP'!$B$5=2024,#REF!,#REF!))))</f>
        <v>0</v>
      </c>
      <c r="AC270">
        <f>IF('INHERENT MAP'!$B$5=2021,'РЕЕСТР РИСКОВ_2023'!AH310,IF('INHERENT MAP'!$B$5=2022,#REF!,IF('INHERENT MAP'!$B$5=2023,#REF!,IF('INHERENT MAP'!$B$5=2024,#REF!,#REF!))))</f>
        <v>0</v>
      </c>
      <c r="AD270">
        <f>IF('INHERENT MAP'!$B$5=2021,'РЕЕСТР РИСКОВ_2023'!AI310,IF('INHERENT MAP'!$B$5=2022,#REF!,IF('INHERENT MAP'!$B$5=2023,#REF!,IF('INHERENT MAP'!$B$5=2024,#REF!,#REF!))))</f>
        <v>0</v>
      </c>
      <c r="AE270">
        <f>IF('INHERENT MAP'!$B$5=2021,'РЕЕСТР РИСКОВ_2023'!AK310,IF('INHERENT MAP'!$B$5=2022,#REF!,IF('INHERENT MAP'!$B$5=2023,#REF!,IF('INHERENT MAP'!$B$5=2024,#REF!,#REF!))))</f>
        <v>0</v>
      </c>
      <c r="AF270">
        <f>IF('INHERENT MAP'!$B$5=2021,'РЕЕСТР РИСКОВ_2023'!AL310,IF('INHERENT MAP'!$B$5=2022,#REF!,IF('INHERENT MAP'!$B$5=2023,#REF!,IF('INHERENT MAP'!$B$5=2024,#REF!,#REF!))))</f>
        <v>0</v>
      </c>
      <c r="AG270">
        <f>IF('INHERENT MAP'!$B$5=2021,'РЕЕСТР РИСКОВ_2023'!AM310,IF('INHERENT MAP'!$B$5=2022,#REF!,IF('INHERENT MAP'!$B$5=2023,#REF!,IF('INHERENT MAP'!$B$5=2024,#REF!,#REF!))))</f>
        <v>0</v>
      </c>
      <c r="AH270">
        <f>IF('INHERENT MAP'!$B$5=2021,'РЕЕСТР РИСКОВ_2023'!AN310,IF('INHERENT MAP'!$B$5=2022,#REF!,IF('INHERENT MAP'!$B$5=2023,#REF!,IF('INHERENT MAP'!$B$5=2024,#REF!,#REF!))))</f>
        <v>0</v>
      </c>
      <c r="AI270">
        <f>IF('INHERENT MAP'!$B$5=2021,'РЕЕСТР РИСКОВ_2023'!AO310,IF('INHERENT MAP'!$B$5=2022,#REF!,IF('INHERENT MAP'!$B$5=2023,#REF!,IF('INHERENT MAP'!$B$5=2024,#REF!,#REF!))))</f>
        <v>0</v>
      </c>
      <c r="AJ270">
        <f>IF('INHERENT MAP'!$B$5=2021,'РЕЕСТР РИСКОВ_2023'!AP310,IF('INHERENT MAP'!$B$5=2022,#REF!,IF('INHERENT MAP'!$B$5=2023,#REF!,IF('INHERENT MAP'!$B$5=2024,#REF!,#REF!))))</f>
        <v>0</v>
      </c>
      <c r="AK270">
        <f>IF('РЕЕСТР РИСКОВ_2023'!AQ310="",AK269,'РЕЕСТР РИСКОВ_2023'!AQ310)</f>
        <v>-216</v>
      </c>
      <c r="AL270">
        <f>IF('РЕЕСТР РИСКОВ_2023'!AR310="",AL269,'РЕЕСТР РИСКОВ_2023'!AR310)</f>
        <v>0.12</v>
      </c>
      <c r="AM270" t="str">
        <f>IF('РЕЕСТР РИСКОВ_2023'!AS310="",AM269,'РЕЕСТР РИСКОВ_2023'!AS310)</f>
        <v>стоп</v>
      </c>
      <c r="AN270" t="str">
        <f>IF('РЕЕСТР РИСКОВ_2023'!AT310="",AN269,'РЕЕСТР РИСКОВ_2023'!AT310)</f>
        <v>стоп</v>
      </c>
      <c r="AO270" t="e">
        <f>IF('РЕЕСТР РИСКОВ_2023'!AU310="",AO269,'РЕЕСТР РИСКОВ_2023'!AU310)</f>
        <v>#REF!</v>
      </c>
    </row>
    <row r="271" spans="2:41">
      <c r="B271" t="str">
        <f>IF('INHERENT MAP'!$B$5=2021,IF('РЕЕСТР РИСКОВ_2023'!F311="",B270,'РЕЕСТР РИСКОВ_2023'!F311),IF('INHERENT MAP'!$B$5=2022,IF(#REF!="",B270,#REF!),IF('INHERENT MAP'!$B$5=2023,IF(#REF!="",B270,#REF!),IF('INHERENT MAP'!$B$5=2024,IF(#REF!="",B270,#REF!),IF('РЕЕСТР РИСКОВ_2023'!F311="",B270,'РЕЕСТР РИСКОВ_2023'!F311)))))</f>
        <v>ПРОЦЕНТНЫЙ РИСК</v>
      </c>
      <c r="C271" t="e">
        <f>IF('INHERENT MAP'!$B$5=2021,IF('РЕЕСТР РИСКОВ_2023'!G311="",C270,'РЕЕСТР РИСКОВ_2023'!G311),IF('INHERENT MAP'!$B$5=2022,IF(#REF!="",C270,#REF!),IF('INHERENT MAP'!$B$5=2023,IF(#REF!="",C270,#REF!),IF('INHERENT MAP'!$B$5=2024,IF(#REF!="",C270,#REF!),IF('РЕЕСТР РИСКОВ_2023'!G311="",C270,'РЕЕСТР РИСКОВ_2023'!G311)))))</f>
        <v>#REF!</v>
      </c>
      <c r="D271" t="str">
        <f>IF('INHERENT MAP'!$B$5=2021,IF('РЕЕСТР РИСКОВ_2023'!H311="",D270,'РЕЕСТР РИСКОВ_2023'!H311),IF('INHERENT MAP'!$B$5=2022,IF(#REF!="",D270,#REF!),IF('INHERENT MAP'!$B$5=2023,IF(#REF!="",D270,#REF!),IF('INHERENT MAP'!$B$5=2024,IF(#REF!="",D270,#REF!),IF('РЕЕСТР РИСКОВ_2023'!H311="",D270,'РЕЕСТР РИСКОВ_2023'!H311)))))</f>
        <v>IRR-1</v>
      </c>
      <c r="E271" t="str">
        <f>IF('INHERENT MAP'!$B$5=2021,IF('РЕЕСТР РИСКОВ_2023'!I311="",E270,'РЕЕСТР РИСКОВ_2023'!I311),IF('INHERENT MAP'!$B$5=2022,IF(#REF!="",E270,#REF!),IF('INHERENT MAP'!$B$5=2023,IF(#REF!="",E270,#REF!),IF('INHERENT MAP'!$B$5=2024,IF(#REF!="",E270,#REF!),IF('РЕЕСТР РИСКОВ_2023'!I311="",E270,'РЕЕСТР РИСКОВ_2023'!I311)))))</f>
        <v>ЦЗФ</v>
      </c>
      <c r="F271" t="str">
        <f>IF('INHERENT MAP'!$B$5=2021,IF('РЕЕСТР РИСКОВ_2023'!J311="",F270,'РЕЕСТР РИСКОВ_2023'!J311),IF('INHERENT MAP'!$B$5=2022,IF(#REF!="",F270,#REF!),IF('INHERENT MAP'!$B$5=2023,IF(#REF!="",F270,#REF!),IF('INHERENT MAP'!$B$5=2024,IF(#REF!="",F270,#REF!),IF('РЕЕСТР РИСКОВ_2023'!J311="",F270,'РЕЕСТР РИСКОВ_2023'!J311)))))</f>
        <v>Цзайм</v>
      </c>
      <c r="G271" t="str">
        <f>IF('INHERENT MAP'!$B$5=2021,IF('РЕЕСТР РИСКОВ_2023'!K311="",G270,'РЕЕСТР РИСКОВ_2023'!K311),IF('INHERENT MAP'!$B$5=2022,IF(#REF!="",G270,#REF!),IF('INHERENT MAP'!$B$5=2023,IF(#REF!="",G270,#REF!),IF('INHERENT MAP'!$B$5=2024,IF(#REF!="",G270,#REF!),IF('РЕЕСТР РИСКОВ_2023'!K311="",G270,'РЕЕСТР РИСКОВ_2023'!K311)))))</f>
        <v>Увеличение расходов по процентам на новые займы, а также текущие займы (с плавающей ставкой) в тенге.</v>
      </c>
      <c r="H271">
        <f>IF('INHERENT MAP'!$B$5=2021,'РЕЕСТР РИСКОВ_2023'!L311,IF('INHERENT MAP'!$B$5=2022,#REF!,IF('INHERENT MAP'!$B$5=2023,#REF!,IF('INHERENT MAP'!$B$5=2024,#REF!,#REF!))))</f>
        <v>0</v>
      </c>
      <c r="I271">
        <f>IF('INHERENT MAP'!$B$5=2021,'РЕЕСТР РИСКОВ_2023'!M311,IF('INHERENT MAP'!$B$5=2022,#REF!,IF('INHERENT MAP'!$B$5=2023,#REF!,IF('INHERENT MAP'!$B$5=2024,#REF!,#REF!))))</f>
        <v>0</v>
      </c>
      <c r="J271">
        <f>IF('INHERENT MAP'!$B$5=2021,'РЕЕСТР РИСКОВ_2023'!N311,IF('INHERENT MAP'!$B$5=2022,#REF!,IF('INHERENT MAP'!$B$5=2023,#REF!,IF('INHERENT MAP'!$B$5=2024,#REF!,#REF!))))</f>
        <v>0</v>
      </c>
      <c r="K271">
        <f>IF('INHERENT MAP'!$B$5=2021,'РЕЕСТР РИСКОВ_2023'!O311,IF('INHERENT MAP'!$B$5=2022,#REF!,IF('INHERENT MAP'!$B$5=2023,#REF!,IF('INHERENT MAP'!$B$5=2024,#REF!,#REF!))))</f>
        <v>0</v>
      </c>
      <c r="L271">
        <f>IF('INHERENT MAP'!$B$5=2021,'РЕЕСТР РИСКОВ_2023'!P311,IF('INHERENT MAP'!$B$5=2022,#REF!,IF('INHERENT MAP'!$B$5=2023,#REF!,IF('INHERENT MAP'!$B$5=2024,#REF!,#REF!))))</f>
        <v>0</v>
      </c>
      <c r="M271" t="str">
        <f>IF('INHERENT MAP'!$B$5=2021,IF('РЕЕСТР РИСКОВ_2023'!Q311="",M270,'РЕЕСТР РИСКОВ_2023'!Q311),IF('INHERENT MAP'!$B$5=2022,IF(#REF!="",M270,#REF!),IF('INHERENT MAP'!$B$5=2023,IF(#REF!="",M270,#REF!),IF('INHERENT MAP'!$B$5=2024,IF(#REF!="",M270,#REF!),IF('РЕЕСТР РИСКОВ_2023'!Q311="",M270,'РЕЕСТР РИСКОВ_2023'!Q311)))))</f>
        <v>Увеличение базовой ставки Национального банка Республики Казахстан до 16%</v>
      </c>
      <c r="N271" t="str">
        <f>IF('INHERENT MAP'!$B$5=2021,IF('РЕЕСТР РИСКОВ_2023'!R311="",N270,'РЕЕСТР РИСКОВ_2023'!R311),IF('INHERENT MAP'!$B$5=2022,IF(#REF!="",N270,#REF!),IF('INHERENT MAP'!$B$5=2023,IF(#REF!="",N270,#REF!),IF('INHERENT MAP'!$B$5=2024,IF(#REF!="",N270,#REF!),IF('РЕЕСТР РИСКОВ_2023'!R311="",N270,'РЕЕСТР РИСКОВ_2023'!R311)))))</f>
        <v>Рецессия экономики европейских стран</v>
      </c>
      <c r="O271">
        <f>'РЕЕСТР РИСКОВ_2023'!T311</f>
        <v>0</v>
      </c>
      <c r="P271" t="e">
        <f>IF('РЕЕСТР РИСКОВ_2023'!U311="",P270,'РЕЕСТР РИСКОВ_2023'!U311)</f>
        <v>#REF!</v>
      </c>
      <c r="Q271" t="str">
        <f>IF('РЕЕСТР РИСКОВ_2023'!V311="",Q270,'РЕЕСТР РИСКОВ_2023'!V311)</f>
        <v>Угрозы</v>
      </c>
      <c r="R271" t="e">
        <f>IF('РЕЕСТР РИСКОВ_2023'!W311="",R270,'РЕЕСТР РИСКОВ_2023'!W311)</f>
        <v>#REF!</v>
      </c>
      <c r="S271">
        <f>'РЕЕСТР РИСКОВ_2023'!X311</f>
        <v>0</v>
      </c>
      <c r="T271" s="94">
        <f>IF('INHERENT MAP'!$B$5=2021,'РЕЕСТР РИСКОВ_2023'!Y311,IF('INHERENT MAP'!$B$5=2022,#REF!,IF('INHERENT MAP'!$B$5=2023,#REF!,IF('INHERENT MAP'!$B$5=2024,#REF!,#REF!))))</f>
        <v>0</v>
      </c>
      <c r="U271">
        <f>IF('INHERENT MAP'!$B$5=2021,'РЕЕСТР РИСКОВ_2023'!Z311,IF('INHERENT MAP'!$B$5=2022,#REF!,IF('INHERENT MAP'!$B$5=2023,#REF!,IF('INHERENT MAP'!$B$5=2024,#REF!,#REF!))))</f>
        <v>0</v>
      </c>
      <c r="V271">
        <f>IF('INHERENT MAP'!$B$5=2021,'РЕЕСТР РИСКОВ_2023'!AA311,IF('INHERENT MAP'!$B$5=2022,#REF!,IF('INHERENT MAP'!$B$5=2023,#REF!,IF('INHERENT MAP'!$B$5=2024,#REF!,#REF!))))</f>
        <v>0</v>
      </c>
      <c r="W271">
        <f>IF('INHERENT MAP'!$B$5=2021,'РЕЕСТР РИСКОВ_2023'!AB311,IF('INHERENT MAP'!$B$5=2022,#REF!,IF('INHERENT MAP'!$B$5=2023,#REF!,IF('INHERENT MAP'!$B$5=2024,#REF!,#REF!))))</f>
        <v>0</v>
      </c>
      <c r="X271" s="94">
        <f>IF('INHERENT MAP'!$B$5=2021,'РЕЕСТР РИСКОВ_2023'!AC311,IF('INHERENT MAP'!$B$5=2022,#REF!,IF('INHERENT MAP'!$B$5=2023,#REF!,IF('INHERENT MAP'!$B$5=2024,#REF!,#REF!))))</f>
        <v>0</v>
      </c>
      <c r="Y271">
        <f>IF('INHERENT MAP'!$B$5=2021,'РЕЕСТР РИСКОВ_2023'!AD311,IF('INHERENT MAP'!$B$5=2022,#REF!,IF('INHERENT MAP'!$B$5=2023,#REF!,IF('INHERENT MAP'!$B$5=2024,#REF!,#REF!))))</f>
        <v>0</v>
      </c>
      <c r="Z271">
        <f>IF('INHERENT MAP'!$B$5=2021,'РЕЕСТР РИСКОВ_2023'!AE311,IF('INHERENT MAP'!$B$5=2022,#REF!,IF('INHERENT MAP'!$B$5=2023,#REF!,IF('INHERENT MAP'!$B$5=2024,#REF!,#REF!))))</f>
        <v>0</v>
      </c>
      <c r="AA271">
        <f>IF('INHERENT MAP'!$B$5=2021,'РЕЕСТР РИСКОВ_2023'!AF311,IF('INHERENT MAP'!$B$5=2022,#REF!,IF('INHERENT MAP'!$B$5=2023,#REF!,IF('INHERENT MAP'!$B$5=2024,#REF!,#REF!))))</f>
        <v>0</v>
      </c>
      <c r="AB271">
        <f>IF('INHERENT MAP'!$B$5=2021,'РЕЕСТР РИСКОВ_2023'!AG311,IF('INHERENT MAP'!$B$5=2022,#REF!,IF('INHERENT MAP'!$B$5=2023,#REF!,IF('INHERENT MAP'!$B$5=2024,#REF!,#REF!))))</f>
        <v>0</v>
      </c>
      <c r="AC271">
        <f>IF('INHERENT MAP'!$B$5=2021,'РЕЕСТР РИСКОВ_2023'!AH311,IF('INHERENT MAP'!$B$5=2022,#REF!,IF('INHERENT MAP'!$B$5=2023,#REF!,IF('INHERENT MAP'!$B$5=2024,#REF!,#REF!))))</f>
        <v>0</v>
      </c>
      <c r="AD271">
        <f>IF('INHERENT MAP'!$B$5=2021,'РЕЕСТР РИСКОВ_2023'!AI311,IF('INHERENT MAP'!$B$5=2022,#REF!,IF('INHERENT MAP'!$B$5=2023,#REF!,IF('INHERENT MAP'!$B$5=2024,#REF!,#REF!))))</f>
        <v>0</v>
      </c>
      <c r="AE271">
        <f>IF('INHERENT MAP'!$B$5=2021,'РЕЕСТР РИСКОВ_2023'!AK311,IF('INHERENT MAP'!$B$5=2022,#REF!,IF('INHERENT MAP'!$B$5=2023,#REF!,IF('INHERENT MAP'!$B$5=2024,#REF!,#REF!))))</f>
        <v>0</v>
      </c>
      <c r="AF271">
        <f>IF('INHERENT MAP'!$B$5=2021,'РЕЕСТР РИСКОВ_2023'!AL311,IF('INHERENT MAP'!$B$5=2022,#REF!,IF('INHERENT MAP'!$B$5=2023,#REF!,IF('INHERENT MAP'!$B$5=2024,#REF!,#REF!))))</f>
        <v>0</v>
      </c>
      <c r="AG271">
        <f>IF('INHERENT MAP'!$B$5=2021,'РЕЕСТР РИСКОВ_2023'!AM311,IF('INHERENT MAP'!$B$5=2022,#REF!,IF('INHERENT MAP'!$B$5=2023,#REF!,IF('INHERENT MAP'!$B$5=2024,#REF!,#REF!))))</f>
        <v>0</v>
      </c>
      <c r="AH271">
        <f>IF('INHERENT MAP'!$B$5=2021,'РЕЕСТР РИСКОВ_2023'!AN311,IF('INHERENT MAP'!$B$5=2022,#REF!,IF('INHERENT MAP'!$B$5=2023,#REF!,IF('INHERENT MAP'!$B$5=2024,#REF!,#REF!))))</f>
        <v>0</v>
      </c>
      <c r="AI271">
        <f>IF('INHERENT MAP'!$B$5=2021,'РЕЕСТР РИСКОВ_2023'!AO311,IF('INHERENT MAP'!$B$5=2022,#REF!,IF('INHERENT MAP'!$B$5=2023,#REF!,IF('INHERENT MAP'!$B$5=2024,#REF!,#REF!))))</f>
        <v>0</v>
      </c>
      <c r="AJ271">
        <f>IF('INHERENT MAP'!$B$5=2021,'РЕЕСТР РИСКОВ_2023'!AP311,IF('INHERENT MAP'!$B$5=2022,#REF!,IF('INHERENT MAP'!$B$5=2023,#REF!,IF('INHERENT MAP'!$B$5=2024,#REF!,#REF!))))</f>
        <v>0</v>
      </c>
      <c r="AK271">
        <f>IF('РЕЕСТР РИСКОВ_2023'!AQ311="",AK270,'РЕЕСТР РИСКОВ_2023'!AQ311)</f>
        <v>-216</v>
      </c>
      <c r="AL271">
        <f>IF('РЕЕСТР РИСКОВ_2023'!AR311="",AL270,'РЕЕСТР РИСКОВ_2023'!AR311)</f>
        <v>0.12</v>
      </c>
      <c r="AM271" t="str">
        <f>IF('РЕЕСТР РИСКОВ_2023'!AS311="",AM270,'РЕЕСТР РИСКОВ_2023'!AS311)</f>
        <v>стоп</v>
      </c>
      <c r="AN271" t="str">
        <f>IF('РЕЕСТР РИСКОВ_2023'!AT311="",AN270,'РЕЕСТР РИСКОВ_2023'!AT311)</f>
        <v>стоп</v>
      </c>
      <c r="AO271" t="e">
        <f>IF('РЕЕСТР РИСКОВ_2023'!AU311="",AO270,'РЕЕСТР РИСКОВ_2023'!AU311)</f>
        <v>#REF!</v>
      </c>
    </row>
    <row r="272" spans="2:41">
      <c r="B272" t="str">
        <f>IF('INHERENT MAP'!$B$5=2021,IF('РЕЕСТР РИСКОВ_2023'!F312="",B271,'РЕЕСТР РИСКОВ_2023'!F312),IF('INHERENT MAP'!$B$5=2022,IF(#REF!="",B271,#REF!),IF('INHERENT MAP'!$B$5=2023,IF(#REF!="",B271,#REF!),IF('INHERENT MAP'!$B$5=2024,IF(#REF!="",B271,#REF!),IF('РЕЕСТР РИСКОВ_2023'!F312="",B271,'РЕЕСТР РИСКОВ_2023'!F312)))))</f>
        <v>ПРОЦЕНТНЫЙ РИСК</v>
      </c>
      <c r="C272" t="e">
        <f>IF('INHERENT MAP'!$B$5=2021,IF('РЕЕСТР РИСКОВ_2023'!G312="",C271,'РЕЕСТР РИСКОВ_2023'!G312),IF('INHERENT MAP'!$B$5=2022,IF(#REF!="",C271,#REF!),IF('INHERENT MAP'!$B$5=2023,IF(#REF!="",C271,#REF!),IF('INHERENT MAP'!$B$5=2024,IF(#REF!="",C271,#REF!),IF('РЕЕСТР РИСКОВ_2023'!G312="",C271,'РЕЕСТР РИСКОВ_2023'!G312)))))</f>
        <v>#REF!</v>
      </c>
      <c r="D272" t="str">
        <f>IF('INHERENT MAP'!$B$5=2021,IF('РЕЕСТР РИСКОВ_2023'!H312="",D271,'РЕЕСТР РИСКОВ_2023'!H312),IF('INHERENT MAP'!$B$5=2022,IF(#REF!="",D271,#REF!),IF('INHERENT MAP'!$B$5=2023,IF(#REF!="",D271,#REF!),IF('INHERENT MAP'!$B$5=2024,IF(#REF!="",D271,#REF!),IF('РЕЕСТР РИСКОВ_2023'!H312="",D271,'РЕЕСТР РИСКОВ_2023'!H312)))))</f>
        <v>IRR-1</v>
      </c>
      <c r="E272" t="str">
        <f>IF('INHERENT MAP'!$B$5=2021,IF('РЕЕСТР РИСКОВ_2023'!I312="",E271,'РЕЕСТР РИСКОВ_2023'!I312),IF('INHERENT MAP'!$B$5=2022,IF(#REF!="",E271,#REF!),IF('INHERENT MAP'!$B$5=2023,IF(#REF!="",E271,#REF!),IF('INHERENT MAP'!$B$5=2024,IF(#REF!="",E271,#REF!),IF('РЕЕСТР РИСКОВ_2023'!I312="",E271,'РЕЕСТР РИСКОВ_2023'!I312)))))</f>
        <v>ЦЗФ</v>
      </c>
      <c r="F272" t="str">
        <f>IF('INHERENT MAP'!$B$5=2021,IF('РЕЕСТР РИСКОВ_2023'!J312="",F271,'РЕЕСТР РИСКОВ_2023'!J312),IF('INHERENT MAP'!$B$5=2022,IF(#REF!="",F271,#REF!),IF('INHERENT MAP'!$B$5=2023,IF(#REF!="",F271,#REF!),IF('INHERENT MAP'!$B$5=2024,IF(#REF!="",F271,#REF!),IF('РЕЕСТР РИСКОВ_2023'!J312="",F271,'РЕЕСТР РИСКОВ_2023'!J312)))))</f>
        <v>Цзайм</v>
      </c>
      <c r="G272" t="str">
        <f>IF('INHERENT MAP'!$B$5=2021,IF('РЕЕСТР РИСКОВ_2023'!K312="",G271,'РЕЕСТР РИСКОВ_2023'!K312),IF('INHERENT MAP'!$B$5=2022,IF(#REF!="",G271,#REF!),IF('INHERENT MAP'!$B$5=2023,IF(#REF!="",G271,#REF!),IF('INHERENT MAP'!$B$5=2024,IF(#REF!="",G271,#REF!),IF('РЕЕСТР РИСКОВ_2023'!K312="",G271,'РЕЕСТР РИСКОВ_2023'!K312)))))</f>
        <v>Увеличение расходов по процентам на новые займы, а также текущие займы (с плавающей ставкой) в тенге.</v>
      </c>
      <c r="H272">
        <f>IF('INHERENT MAP'!$B$5=2021,'РЕЕСТР РИСКОВ_2023'!L312,IF('INHERENT MAP'!$B$5=2022,#REF!,IF('INHERENT MAP'!$B$5=2023,#REF!,IF('INHERENT MAP'!$B$5=2024,#REF!,#REF!))))</f>
        <v>0</v>
      </c>
      <c r="I272">
        <f>IF('INHERENT MAP'!$B$5=2021,'РЕЕСТР РИСКОВ_2023'!M312,IF('INHERENT MAP'!$B$5=2022,#REF!,IF('INHERENT MAP'!$B$5=2023,#REF!,IF('INHERENT MAP'!$B$5=2024,#REF!,#REF!))))</f>
        <v>0</v>
      </c>
      <c r="J272">
        <f>IF('INHERENT MAP'!$B$5=2021,'РЕЕСТР РИСКОВ_2023'!N312,IF('INHERENT MAP'!$B$5=2022,#REF!,IF('INHERENT MAP'!$B$5=2023,#REF!,IF('INHERENT MAP'!$B$5=2024,#REF!,#REF!))))</f>
        <v>0</v>
      </c>
      <c r="K272">
        <f>IF('INHERENT MAP'!$B$5=2021,'РЕЕСТР РИСКОВ_2023'!O312,IF('INHERENT MAP'!$B$5=2022,#REF!,IF('INHERENT MAP'!$B$5=2023,#REF!,IF('INHERENT MAP'!$B$5=2024,#REF!,#REF!))))</f>
        <v>0</v>
      </c>
      <c r="L272">
        <f>IF('INHERENT MAP'!$B$5=2021,'РЕЕСТР РИСКОВ_2023'!P312,IF('INHERENT MAP'!$B$5=2022,#REF!,IF('INHERENT MAP'!$B$5=2023,#REF!,IF('INHERENT MAP'!$B$5=2024,#REF!,#REF!))))</f>
        <v>0</v>
      </c>
      <c r="M272" t="str">
        <f>IF('INHERENT MAP'!$B$5=2021,IF('РЕЕСТР РИСКОВ_2023'!Q312="",M271,'РЕЕСТР РИСКОВ_2023'!Q312),IF('INHERENT MAP'!$B$5=2022,IF(#REF!="",M271,#REF!),IF('INHERENT MAP'!$B$5=2023,IF(#REF!="",M271,#REF!),IF('INHERENT MAP'!$B$5=2024,IF(#REF!="",M271,#REF!),IF('РЕЕСТР РИСКОВ_2023'!Q312="",M271,'РЕЕСТР РИСКОВ_2023'!Q312)))))</f>
        <v>Увеличение базовой ставки Национального банка Республики Казахстан до 16%</v>
      </c>
      <c r="N272" t="str">
        <f>IF('INHERENT MAP'!$B$5=2021,IF('РЕЕСТР РИСКОВ_2023'!R312="",N271,'РЕЕСТР РИСКОВ_2023'!R312),IF('INHERENT MAP'!$B$5=2022,IF(#REF!="",N271,#REF!),IF('INHERENT MAP'!$B$5=2023,IF(#REF!="",N271,#REF!),IF('INHERENT MAP'!$B$5=2024,IF(#REF!="",N271,#REF!),IF('РЕЕСТР РИСКОВ_2023'!R312="",N271,'РЕЕСТР РИСКОВ_2023'!R312)))))</f>
        <v>Рецессия экономики европейских стран</v>
      </c>
      <c r="O272">
        <f>'РЕЕСТР РИСКОВ_2023'!T312</f>
        <v>0</v>
      </c>
      <c r="P272" t="e">
        <f>IF('РЕЕСТР РИСКОВ_2023'!U312="",P271,'РЕЕСТР РИСКОВ_2023'!U312)</f>
        <v>#REF!</v>
      </c>
      <c r="Q272" t="str">
        <f>IF('РЕЕСТР РИСКОВ_2023'!V312="",Q271,'РЕЕСТР РИСКОВ_2023'!V312)</f>
        <v>Угрозы</v>
      </c>
      <c r="R272" t="e">
        <f>IF('РЕЕСТР РИСКОВ_2023'!W312="",R271,'РЕЕСТР РИСКОВ_2023'!W312)</f>
        <v>#REF!</v>
      </c>
      <c r="S272">
        <f>'РЕЕСТР РИСКОВ_2023'!X312</f>
        <v>0</v>
      </c>
      <c r="T272" s="94">
        <f>IF('INHERENT MAP'!$B$5=2021,'РЕЕСТР РИСКОВ_2023'!Y312,IF('INHERENT MAP'!$B$5=2022,#REF!,IF('INHERENT MAP'!$B$5=2023,#REF!,IF('INHERENT MAP'!$B$5=2024,#REF!,#REF!))))</f>
        <v>0</v>
      </c>
      <c r="U272">
        <f>IF('INHERENT MAP'!$B$5=2021,'РЕЕСТР РИСКОВ_2023'!Z312,IF('INHERENT MAP'!$B$5=2022,#REF!,IF('INHERENT MAP'!$B$5=2023,#REF!,IF('INHERENT MAP'!$B$5=2024,#REF!,#REF!))))</f>
        <v>0</v>
      </c>
      <c r="V272">
        <f>IF('INHERENT MAP'!$B$5=2021,'РЕЕСТР РИСКОВ_2023'!AA312,IF('INHERENT MAP'!$B$5=2022,#REF!,IF('INHERENT MAP'!$B$5=2023,#REF!,IF('INHERENT MAP'!$B$5=2024,#REF!,#REF!))))</f>
        <v>0</v>
      </c>
      <c r="W272">
        <f>IF('INHERENT MAP'!$B$5=2021,'РЕЕСТР РИСКОВ_2023'!AB312,IF('INHERENT MAP'!$B$5=2022,#REF!,IF('INHERENT MAP'!$B$5=2023,#REF!,IF('INHERENT MAP'!$B$5=2024,#REF!,#REF!))))</f>
        <v>0</v>
      </c>
      <c r="X272" s="94">
        <f>IF('INHERENT MAP'!$B$5=2021,'РЕЕСТР РИСКОВ_2023'!AC312,IF('INHERENT MAP'!$B$5=2022,#REF!,IF('INHERENT MAP'!$B$5=2023,#REF!,IF('INHERENT MAP'!$B$5=2024,#REF!,#REF!))))</f>
        <v>0</v>
      </c>
      <c r="Y272">
        <f>IF('INHERENT MAP'!$B$5=2021,'РЕЕСТР РИСКОВ_2023'!AD312,IF('INHERENT MAP'!$B$5=2022,#REF!,IF('INHERENT MAP'!$B$5=2023,#REF!,IF('INHERENT MAP'!$B$5=2024,#REF!,#REF!))))</f>
        <v>0</v>
      </c>
      <c r="Z272">
        <f>IF('INHERENT MAP'!$B$5=2021,'РЕЕСТР РИСКОВ_2023'!AE312,IF('INHERENT MAP'!$B$5=2022,#REF!,IF('INHERENT MAP'!$B$5=2023,#REF!,IF('INHERENT MAP'!$B$5=2024,#REF!,#REF!))))</f>
        <v>0</v>
      </c>
      <c r="AA272">
        <f>IF('INHERENT MAP'!$B$5=2021,'РЕЕСТР РИСКОВ_2023'!AF312,IF('INHERENT MAP'!$B$5=2022,#REF!,IF('INHERENT MAP'!$B$5=2023,#REF!,IF('INHERENT MAP'!$B$5=2024,#REF!,#REF!))))</f>
        <v>0</v>
      </c>
      <c r="AB272">
        <f>IF('INHERENT MAP'!$B$5=2021,'РЕЕСТР РИСКОВ_2023'!AG312,IF('INHERENT MAP'!$B$5=2022,#REF!,IF('INHERENT MAP'!$B$5=2023,#REF!,IF('INHERENT MAP'!$B$5=2024,#REF!,#REF!))))</f>
        <v>0</v>
      </c>
      <c r="AC272">
        <f>IF('INHERENT MAP'!$B$5=2021,'РЕЕСТР РИСКОВ_2023'!AH312,IF('INHERENT MAP'!$B$5=2022,#REF!,IF('INHERENT MAP'!$B$5=2023,#REF!,IF('INHERENT MAP'!$B$5=2024,#REF!,#REF!))))</f>
        <v>0</v>
      </c>
      <c r="AD272">
        <f>IF('INHERENT MAP'!$B$5=2021,'РЕЕСТР РИСКОВ_2023'!AI312,IF('INHERENT MAP'!$B$5=2022,#REF!,IF('INHERENT MAP'!$B$5=2023,#REF!,IF('INHERENT MAP'!$B$5=2024,#REF!,#REF!))))</f>
        <v>0</v>
      </c>
      <c r="AE272">
        <f>IF('INHERENT MAP'!$B$5=2021,'РЕЕСТР РИСКОВ_2023'!AK312,IF('INHERENT MAP'!$B$5=2022,#REF!,IF('INHERENT MAP'!$B$5=2023,#REF!,IF('INHERENT MAP'!$B$5=2024,#REF!,#REF!))))</f>
        <v>0</v>
      </c>
      <c r="AF272">
        <f>IF('INHERENT MAP'!$B$5=2021,'РЕЕСТР РИСКОВ_2023'!AL312,IF('INHERENT MAP'!$B$5=2022,#REF!,IF('INHERENT MAP'!$B$5=2023,#REF!,IF('INHERENT MAP'!$B$5=2024,#REF!,#REF!))))</f>
        <v>0</v>
      </c>
      <c r="AG272">
        <f>IF('INHERENT MAP'!$B$5=2021,'РЕЕСТР РИСКОВ_2023'!AM312,IF('INHERENT MAP'!$B$5=2022,#REF!,IF('INHERENT MAP'!$B$5=2023,#REF!,IF('INHERENT MAP'!$B$5=2024,#REF!,#REF!))))</f>
        <v>0</v>
      </c>
      <c r="AH272">
        <f>IF('INHERENT MAP'!$B$5=2021,'РЕЕСТР РИСКОВ_2023'!AN312,IF('INHERENT MAP'!$B$5=2022,#REF!,IF('INHERENT MAP'!$B$5=2023,#REF!,IF('INHERENT MAP'!$B$5=2024,#REF!,#REF!))))</f>
        <v>0</v>
      </c>
      <c r="AI272">
        <f>IF('INHERENT MAP'!$B$5=2021,'РЕЕСТР РИСКОВ_2023'!AO312,IF('INHERENT MAP'!$B$5=2022,#REF!,IF('INHERENT MAP'!$B$5=2023,#REF!,IF('INHERENT MAP'!$B$5=2024,#REF!,#REF!))))</f>
        <v>0</v>
      </c>
      <c r="AJ272">
        <f>IF('INHERENT MAP'!$B$5=2021,'РЕЕСТР РИСКОВ_2023'!AP312,IF('INHERENT MAP'!$B$5=2022,#REF!,IF('INHERENT MAP'!$B$5=2023,#REF!,IF('INHERENT MAP'!$B$5=2024,#REF!,#REF!))))</f>
        <v>0</v>
      </c>
      <c r="AK272">
        <f>IF('РЕЕСТР РИСКОВ_2023'!AQ312="",AK271,'РЕЕСТР РИСКОВ_2023'!AQ312)</f>
        <v>-216</v>
      </c>
      <c r="AL272">
        <f>IF('РЕЕСТР РИСКОВ_2023'!AR312="",AL271,'РЕЕСТР РИСКОВ_2023'!AR312)</f>
        <v>0.12</v>
      </c>
      <c r="AM272" t="str">
        <f>IF('РЕЕСТР РИСКОВ_2023'!AS312="",AM271,'РЕЕСТР РИСКОВ_2023'!AS312)</f>
        <v>стоп</v>
      </c>
      <c r="AN272" t="str">
        <f>IF('РЕЕСТР РИСКОВ_2023'!AT312="",AN271,'РЕЕСТР РИСКОВ_2023'!AT312)</f>
        <v>стоп</v>
      </c>
      <c r="AO272" t="e">
        <f>IF('РЕЕСТР РИСКОВ_2023'!AU312="",AO271,'РЕЕСТР РИСКОВ_2023'!AU312)</f>
        <v>#REF!</v>
      </c>
    </row>
    <row r="273" spans="2:41">
      <c r="B273" t="str">
        <f>IF('INHERENT MAP'!$B$5=2021,IF('РЕЕСТР РИСКОВ_2023'!F313="",B272,'РЕЕСТР РИСКОВ_2023'!F313),IF('INHERENT MAP'!$B$5=2022,IF(#REF!="",B272,#REF!),IF('INHERENT MAP'!$B$5=2023,IF(#REF!="",B272,#REF!),IF('INHERENT MAP'!$B$5=2024,IF(#REF!="",B272,#REF!),IF('РЕЕСТР РИСКОВ_2023'!F313="",B272,'РЕЕСТР РИСКОВ_2023'!F313)))))</f>
        <v>ПРОЦЕНТНЫЙ РИСК</v>
      </c>
      <c r="C273" t="e">
        <f>IF('INHERENT MAP'!$B$5=2021,IF('РЕЕСТР РИСКОВ_2023'!G313="",C272,'РЕЕСТР РИСКОВ_2023'!G313),IF('INHERENT MAP'!$B$5=2022,IF(#REF!="",C272,#REF!),IF('INHERENT MAP'!$B$5=2023,IF(#REF!="",C272,#REF!),IF('INHERENT MAP'!$B$5=2024,IF(#REF!="",C272,#REF!),IF('РЕЕСТР РИСКОВ_2023'!G313="",C272,'РЕЕСТР РИСКОВ_2023'!G313)))))</f>
        <v>#REF!</v>
      </c>
      <c r="D273" t="str">
        <f>IF('INHERENT MAP'!$B$5=2021,IF('РЕЕСТР РИСКОВ_2023'!H313="",D272,'РЕЕСТР РИСКОВ_2023'!H313),IF('INHERENT MAP'!$B$5=2022,IF(#REF!="",D272,#REF!),IF('INHERENT MAP'!$B$5=2023,IF(#REF!="",D272,#REF!),IF('INHERENT MAP'!$B$5=2024,IF(#REF!="",D272,#REF!),IF('РЕЕСТР РИСКОВ_2023'!H313="",D272,'РЕЕСТР РИСКОВ_2023'!H313)))))</f>
        <v>IRR-1</v>
      </c>
      <c r="E273" t="str">
        <f>IF('INHERENT MAP'!$B$5=2021,IF('РЕЕСТР РИСКОВ_2023'!I313="",E272,'РЕЕСТР РИСКОВ_2023'!I313),IF('INHERENT MAP'!$B$5=2022,IF(#REF!="",E272,#REF!),IF('INHERENT MAP'!$B$5=2023,IF(#REF!="",E272,#REF!),IF('INHERENT MAP'!$B$5=2024,IF(#REF!="",E272,#REF!),IF('РЕЕСТР РИСКОВ_2023'!I313="",E272,'РЕЕСТР РИСКОВ_2023'!I313)))))</f>
        <v>ЦЗФ</v>
      </c>
      <c r="F273" t="str">
        <f>IF('INHERENT MAP'!$B$5=2021,IF('РЕЕСТР РИСКОВ_2023'!J313="",F272,'РЕЕСТР РИСКОВ_2023'!J313),IF('INHERENT MAP'!$B$5=2022,IF(#REF!="",F272,#REF!),IF('INHERENT MAP'!$B$5=2023,IF(#REF!="",F272,#REF!),IF('INHERENT MAP'!$B$5=2024,IF(#REF!="",F272,#REF!),IF('РЕЕСТР РИСКОВ_2023'!J313="",F272,'РЕЕСТР РИСКОВ_2023'!J313)))))</f>
        <v>Цзайм</v>
      </c>
      <c r="G273" t="str">
        <f>IF('INHERENT MAP'!$B$5=2021,IF('РЕЕСТР РИСКОВ_2023'!K313="",G272,'РЕЕСТР РИСКОВ_2023'!K313),IF('INHERENT MAP'!$B$5=2022,IF(#REF!="",G272,#REF!),IF('INHERENT MAP'!$B$5=2023,IF(#REF!="",G272,#REF!),IF('INHERENT MAP'!$B$5=2024,IF(#REF!="",G272,#REF!),IF('РЕЕСТР РИСКОВ_2023'!K313="",G272,'РЕЕСТР РИСКОВ_2023'!K313)))))</f>
        <v>Увеличение расходов по процентам на новые займы, а также текущие займы (с плавающей ставкой) в тенге.</v>
      </c>
      <c r="H273">
        <f>IF('INHERENT MAP'!$B$5=2021,'РЕЕСТР РИСКОВ_2023'!L313,IF('INHERENT MAP'!$B$5=2022,#REF!,IF('INHERENT MAP'!$B$5=2023,#REF!,IF('INHERENT MAP'!$B$5=2024,#REF!,#REF!))))</f>
        <v>0</v>
      </c>
      <c r="I273">
        <f>IF('INHERENT MAP'!$B$5=2021,'РЕЕСТР РИСКОВ_2023'!M313,IF('INHERENT MAP'!$B$5=2022,#REF!,IF('INHERENT MAP'!$B$5=2023,#REF!,IF('INHERENT MAP'!$B$5=2024,#REF!,#REF!))))</f>
        <v>0</v>
      </c>
      <c r="J273">
        <f>IF('INHERENT MAP'!$B$5=2021,'РЕЕСТР РИСКОВ_2023'!N313,IF('INHERENT MAP'!$B$5=2022,#REF!,IF('INHERENT MAP'!$B$5=2023,#REF!,IF('INHERENT MAP'!$B$5=2024,#REF!,#REF!))))</f>
        <v>0</v>
      </c>
      <c r="K273">
        <f>IF('INHERENT MAP'!$B$5=2021,'РЕЕСТР РИСКОВ_2023'!O313,IF('INHERENT MAP'!$B$5=2022,#REF!,IF('INHERENT MAP'!$B$5=2023,#REF!,IF('INHERENT MAP'!$B$5=2024,#REF!,#REF!))))</f>
        <v>0</v>
      </c>
      <c r="L273">
        <f>IF('INHERENT MAP'!$B$5=2021,'РЕЕСТР РИСКОВ_2023'!P313,IF('INHERENT MAP'!$B$5=2022,#REF!,IF('INHERENT MAP'!$B$5=2023,#REF!,IF('INHERENT MAP'!$B$5=2024,#REF!,#REF!))))</f>
        <v>0</v>
      </c>
      <c r="M273" t="str">
        <f>IF('INHERENT MAP'!$B$5=2021,IF('РЕЕСТР РИСКОВ_2023'!Q313="",M272,'РЕЕСТР РИСКОВ_2023'!Q313),IF('INHERENT MAP'!$B$5=2022,IF(#REF!="",M272,#REF!),IF('INHERENT MAP'!$B$5=2023,IF(#REF!="",M272,#REF!),IF('INHERENT MAP'!$B$5=2024,IF(#REF!="",M272,#REF!),IF('РЕЕСТР РИСКОВ_2023'!Q313="",M272,'РЕЕСТР РИСКОВ_2023'!Q313)))))</f>
        <v>Увеличение базовой ставки Национального банка Республики Казахстан до 16%</v>
      </c>
      <c r="N273" t="str">
        <f>IF('INHERENT MAP'!$B$5=2021,IF('РЕЕСТР РИСКОВ_2023'!R313="",N272,'РЕЕСТР РИСКОВ_2023'!R313),IF('INHERENT MAP'!$B$5=2022,IF(#REF!="",N272,#REF!),IF('INHERENT MAP'!$B$5=2023,IF(#REF!="",N272,#REF!),IF('INHERENT MAP'!$B$5=2024,IF(#REF!="",N272,#REF!),IF('РЕЕСТР РИСКОВ_2023'!R313="",N272,'РЕЕСТР РИСКОВ_2023'!R313)))))</f>
        <v>Рецессия экономики европейских стран</v>
      </c>
      <c r="O273">
        <f>'РЕЕСТР РИСКОВ_2023'!T313</f>
        <v>0</v>
      </c>
      <c r="P273" t="e">
        <f>IF('РЕЕСТР РИСКОВ_2023'!U313="",P272,'РЕЕСТР РИСКОВ_2023'!U313)</f>
        <v>#REF!</v>
      </c>
      <c r="Q273" t="str">
        <f>IF('РЕЕСТР РИСКОВ_2023'!V313="",Q272,'РЕЕСТР РИСКОВ_2023'!V313)</f>
        <v>Угрозы</v>
      </c>
      <c r="R273" t="e">
        <f>IF('РЕЕСТР РИСКОВ_2023'!W313="",R272,'РЕЕСТР РИСКОВ_2023'!W313)</f>
        <v>#REF!</v>
      </c>
      <c r="S273">
        <f>'РЕЕСТР РИСКОВ_2023'!X313</f>
        <v>0</v>
      </c>
      <c r="T273" s="94">
        <f>IF('INHERENT MAP'!$B$5=2021,'РЕЕСТР РИСКОВ_2023'!Y313,IF('INHERENT MAP'!$B$5=2022,#REF!,IF('INHERENT MAP'!$B$5=2023,#REF!,IF('INHERENT MAP'!$B$5=2024,#REF!,#REF!))))</f>
        <v>0</v>
      </c>
      <c r="U273">
        <f>IF('INHERENT MAP'!$B$5=2021,'РЕЕСТР РИСКОВ_2023'!Z313,IF('INHERENT MAP'!$B$5=2022,#REF!,IF('INHERENT MAP'!$B$5=2023,#REF!,IF('INHERENT MAP'!$B$5=2024,#REF!,#REF!))))</f>
        <v>0</v>
      </c>
      <c r="V273">
        <f>IF('INHERENT MAP'!$B$5=2021,'РЕЕСТР РИСКОВ_2023'!AA313,IF('INHERENT MAP'!$B$5=2022,#REF!,IF('INHERENT MAP'!$B$5=2023,#REF!,IF('INHERENT MAP'!$B$5=2024,#REF!,#REF!))))</f>
        <v>0</v>
      </c>
      <c r="W273">
        <f>IF('INHERENT MAP'!$B$5=2021,'РЕЕСТР РИСКОВ_2023'!AB313,IF('INHERENT MAP'!$B$5=2022,#REF!,IF('INHERENT MAP'!$B$5=2023,#REF!,IF('INHERENT MAP'!$B$5=2024,#REF!,#REF!))))</f>
        <v>0</v>
      </c>
      <c r="X273" s="94">
        <f>IF('INHERENT MAP'!$B$5=2021,'РЕЕСТР РИСКОВ_2023'!AC313,IF('INHERENT MAP'!$B$5=2022,#REF!,IF('INHERENT MAP'!$B$5=2023,#REF!,IF('INHERENT MAP'!$B$5=2024,#REF!,#REF!))))</f>
        <v>0</v>
      </c>
      <c r="Y273">
        <f>IF('INHERENT MAP'!$B$5=2021,'РЕЕСТР РИСКОВ_2023'!AD313,IF('INHERENT MAP'!$B$5=2022,#REF!,IF('INHERENT MAP'!$B$5=2023,#REF!,IF('INHERENT MAP'!$B$5=2024,#REF!,#REF!))))</f>
        <v>0</v>
      </c>
      <c r="Z273">
        <f>IF('INHERENT MAP'!$B$5=2021,'РЕЕСТР РИСКОВ_2023'!AE313,IF('INHERENT MAP'!$B$5=2022,#REF!,IF('INHERENT MAP'!$B$5=2023,#REF!,IF('INHERENT MAP'!$B$5=2024,#REF!,#REF!))))</f>
        <v>0</v>
      </c>
      <c r="AA273">
        <f>IF('INHERENT MAP'!$B$5=2021,'РЕЕСТР РИСКОВ_2023'!AF313,IF('INHERENT MAP'!$B$5=2022,#REF!,IF('INHERENT MAP'!$B$5=2023,#REF!,IF('INHERENT MAP'!$B$5=2024,#REF!,#REF!))))</f>
        <v>0</v>
      </c>
      <c r="AB273">
        <f>IF('INHERENT MAP'!$B$5=2021,'РЕЕСТР РИСКОВ_2023'!AG313,IF('INHERENT MAP'!$B$5=2022,#REF!,IF('INHERENT MAP'!$B$5=2023,#REF!,IF('INHERENT MAP'!$B$5=2024,#REF!,#REF!))))</f>
        <v>0</v>
      </c>
      <c r="AC273">
        <f>IF('INHERENT MAP'!$B$5=2021,'РЕЕСТР РИСКОВ_2023'!AH313,IF('INHERENT MAP'!$B$5=2022,#REF!,IF('INHERENT MAP'!$B$5=2023,#REF!,IF('INHERENT MAP'!$B$5=2024,#REF!,#REF!))))</f>
        <v>0</v>
      </c>
      <c r="AD273">
        <f>IF('INHERENT MAP'!$B$5=2021,'РЕЕСТР РИСКОВ_2023'!AI313,IF('INHERENT MAP'!$B$5=2022,#REF!,IF('INHERENT MAP'!$B$5=2023,#REF!,IF('INHERENT MAP'!$B$5=2024,#REF!,#REF!))))</f>
        <v>0</v>
      </c>
      <c r="AE273">
        <f>IF('INHERENT MAP'!$B$5=2021,'РЕЕСТР РИСКОВ_2023'!AK313,IF('INHERENT MAP'!$B$5=2022,#REF!,IF('INHERENT MAP'!$B$5=2023,#REF!,IF('INHERENT MAP'!$B$5=2024,#REF!,#REF!))))</f>
        <v>0</v>
      </c>
      <c r="AF273">
        <f>IF('INHERENT MAP'!$B$5=2021,'РЕЕСТР РИСКОВ_2023'!AL313,IF('INHERENT MAP'!$B$5=2022,#REF!,IF('INHERENT MAP'!$B$5=2023,#REF!,IF('INHERENT MAP'!$B$5=2024,#REF!,#REF!))))</f>
        <v>0</v>
      </c>
      <c r="AG273">
        <f>IF('INHERENT MAP'!$B$5=2021,'РЕЕСТР РИСКОВ_2023'!AM313,IF('INHERENT MAP'!$B$5=2022,#REF!,IF('INHERENT MAP'!$B$5=2023,#REF!,IF('INHERENT MAP'!$B$5=2024,#REF!,#REF!))))</f>
        <v>0</v>
      </c>
      <c r="AH273">
        <f>IF('INHERENT MAP'!$B$5=2021,'РЕЕСТР РИСКОВ_2023'!AN313,IF('INHERENT MAP'!$B$5=2022,#REF!,IF('INHERENT MAP'!$B$5=2023,#REF!,IF('INHERENT MAP'!$B$5=2024,#REF!,#REF!))))</f>
        <v>0</v>
      </c>
      <c r="AI273">
        <f>IF('INHERENT MAP'!$B$5=2021,'РЕЕСТР РИСКОВ_2023'!AO313,IF('INHERENT MAP'!$B$5=2022,#REF!,IF('INHERENT MAP'!$B$5=2023,#REF!,IF('INHERENT MAP'!$B$5=2024,#REF!,#REF!))))</f>
        <v>0</v>
      </c>
      <c r="AJ273">
        <f>IF('INHERENT MAP'!$B$5=2021,'РЕЕСТР РИСКОВ_2023'!AP313,IF('INHERENT MAP'!$B$5=2022,#REF!,IF('INHERENT MAP'!$B$5=2023,#REF!,IF('INHERENT MAP'!$B$5=2024,#REF!,#REF!))))</f>
        <v>0</v>
      </c>
      <c r="AK273">
        <f>IF('РЕЕСТР РИСКОВ_2023'!AQ313="",AK272,'РЕЕСТР РИСКОВ_2023'!AQ313)</f>
        <v>-216</v>
      </c>
      <c r="AL273">
        <f>IF('РЕЕСТР РИСКОВ_2023'!AR313="",AL272,'РЕЕСТР РИСКОВ_2023'!AR313)</f>
        <v>0.12</v>
      </c>
      <c r="AM273" t="str">
        <f>IF('РЕЕСТР РИСКОВ_2023'!AS313="",AM272,'РЕЕСТР РИСКОВ_2023'!AS313)</f>
        <v>стоп</v>
      </c>
      <c r="AN273" t="str">
        <f>IF('РЕЕСТР РИСКОВ_2023'!AT313="",AN272,'РЕЕСТР РИСКОВ_2023'!AT313)</f>
        <v>стоп</v>
      </c>
      <c r="AO273" t="e">
        <f>IF('РЕЕСТР РИСКОВ_2023'!AU313="",AO272,'РЕЕСТР РИСКОВ_2023'!AU313)</f>
        <v>#REF!</v>
      </c>
    </row>
    <row r="274" spans="2:41">
      <c r="B274" t="str">
        <f>IF('INHERENT MAP'!$B$5=2021,IF('РЕЕСТР РИСКОВ_2023'!F314="",B273,'РЕЕСТР РИСКОВ_2023'!F314),IF('INHERENT MAP'!$B$5=2022,IF(#REF!="",B273,#REF!),IF('INHERENT MAP'!$B$5=2023,IF(#REF!="",B273,#REF!),IF('INHERENT MAP'!$B$5=2024,IF(#REF!="",B273,#REF!),IF('РЕЕСТР РИСКОВ_2023'!F314="",B273,'РЕЕСТР РИСКОВ_2023'!F314)))))</f>
        <v>ПРОЦЕНТНЫЙ РИСК</v>
      </c>
      <c r="C274" t="e">
        <f>IF('INHERENT MAP'!$B$5=2021,IF('РЕЕСТР РИСКОВ_2023'!G314="",C273,'РЕЕСТР РИСКОВ_2023'!G314),IF('INHERENT MAP'!$B$5=2022,IF(#REF!="",C273,#REF!),IF('INHERENT MAP'!$B$5=2023,IF(#REF!="",C273,#REF!),IF('INHERENT MAP'!$B$5=2024,IF(#REF!="",C273,#REF!),IF('РЕЕСТР РИСКОВ_2023'!G314="",C273,'РЕЕСТР РИСКОВ_2023'!G314)))))</f>
        <v>#REF!</v>
      </c>
      <c r="D274" t="str">
        <f>IF('INHERENT MAP'!$B$5=2021,IF('РЕЕСТР РИСКОВ_2023'!H314="",D273,'РЕЕСТР РИСКОВ_2023'!H314),IF('INHERENT MAP'!$B$5=2022,IF(#REF!="",D273,#REF!),IF('INHERENT MAP'!$B$5=2023,IF(#REF!="",D273,#REF!),IF('INHERENT MAP'!$B$5=2024,IF(#REF!="",D273,#REF!),IF('РЕЕСТР РИСКОВ_2023'!H314="",D273,'РЕЕСТР РИСКОВ_2023'!H314)))))</f>
        <v>IRR-1</v>
      </c>
      <c r="E274" t="str">
        <f>IF('INHERENT MAP'!$B$5=2021,IF('РЕЕСТР РИСКОВ_2023'!I314="",E273,'РЕЕСТР РИСКОВ_2023'!I314),IF('INHERENT MAP'!$B$5=2022,IF(#REF!="",E273,#REF!),IF('INHERENT MAP'!$B$5=2023,IF(#REF!="",E273,#REF!),IF('INHERENT MAP'!$B$5=2024,IF(#REF!="",E273,#REF!),IF('РЕЕСТР РИСКОВ_2023'!I314="",E273,'РЕЕСТР РИСКОВ_2023'!I314)))))</f>
        <v>ЦЗФ</v>
      </c>
      <c r="F274" t="str">
        <f>IF('INHERENT MAP'!$B$5=2021,IF('РЕЕСТР РИСКОВ_2023'!J314="",F273,'РЕЕСТР РИСКОВ_2023'!J314),IF('INHERENT MAP'!$B$5=2022,IF(#REF!="",F273,#REF!),IF('INHERENT MAP'!$B$5=2023,IF(#REF!="",F273,#REF!),IF('INHERENT MAP'!$B$5=2024,IF(#REF!="",F273,#REF!),IF('РЕЕСТР РИСКОВ_2023'!J314="",F273,'РЕЕСТР РИСКОВ_2023'!J314)))))</f>
        <v>Цзайм</v>
      </c>
      <c r="G274" t="str">
        <f>IF('INHERENT MAP'!$B$5=2021,IF('РЕЕСТР РИСКОВ_2023'!K314="",G273,'РЕЕСТР РИСКОВ_2023'!K314),IF('INHERENT MAP'!$B$5=2022,IF(#REF!="",G273,#REF!),IF('INHERENT MAP'!$B$5=2023,IF(#REF!="",G273,#REF!),IF('INHERENT MAP'!$B$5=2024,IF(#REF!="",G273,#REF!),IF('РЕЕСТР РИСКОВ_2023'!K314="",G273,'РЕЕСТР РИСКОВ_2023'!K314)))))</f>
        <v>Увеличение расходов по процентам на новые займы, а также текущие займы (с плавающей ставкой) в тенге.</v>
      </c>
      <c r="H274">
        <f>IF('INHERENT MAP'!$B$5=2021,'РЕЕСТР РИСКОВ_2023'!L314,IF('INHERENT MAP'!$B$5=2022,#REF!,IF('INHERENT MAP'!$B$5=2023,#REF!,IF('INHERENT MAP'!$B$5=2024,#REF!,#REF!))))</f>
        <v>0</v>
      </c>
      <c r="I274">
        <f>IF('INHERENT MAP'!$B$5=2021,'РЕЕСТР РИСКОВ_2023'!M314,IF('INHERENT MAP'!$B$5=2022,#REF!,IF('INHERENT MAP'!$B$5=2023,#REF!,IF('INHERENT MAP'!$B$5=2024,#REF!,#REF!))))</f>
        <v>0</v>
      </c>
      <c r="J274">
        <f>IF('INHERENT MAP'!$B$5=2021,'РЕЕСТР РИСКОВ_2023'!N314,IF('INHERENT MAP'!$B$5=2022,#REF!,IF('INHERENT MAP'!$B$5=2023,#REF!,IF('INHERENT MAP'!$B$5=2024,#REF!,#REF!))))</f>
        <v>0</v>
      </c>
      <c r="K274">
        <f>IF('INHERENT MAP'!$B$5=2021,'РЕЕСТР РИСКОВ_2023'!O314,IF('INHERENT MAP'!$B$5=2022,#REF!,IF('INHERENT MAP'!$B$5=2023,#REF!,IF('INHERENT MAP'!$B$5=2024,#REF!,#REF!))))</f>
        <v>0</v>
      </c>
      <c r="L274">
        <f>IF('INHERENT MAP'!$B$5=2021,'РЕЕСТР РИСКОВ_2023'!P314,IF('INHERENT MAP'!$B$5=2022,#REF!,IF('INHERENT MAP'!$B$5=2023,#REF!,IF('INHERENT MAP'!$B$5=2024,#REF!,#REF!))))</f>
        <v>0</v>
      </c>
      <c r="M274" t="str">
        <f>IF('INHERENT MAP'!$B$5=2021,IF('РЕЕСТР РИСКОВ_2023'!Q314="",M273,'РЕЕСТР РИСКОВ_2023'!Q314),IF('INHERENT MAP'!$B$5=2022,IF(#REF!="",M273,#REF!),IF('INHERENT MAP'!$B$5=2023,IF(#REF!="",M273,#REF!),IF('INHERENT MAP'!$B$5=2024,IF(#REF!="",M273,#REF!),IF('РЕЕСТР РИСКОВ_2023'!Q314="",M273,'РЕЕСТР РИСКОВ_2023'!Q314)))))</f>
        <v>Увеличение базовой ставки Национального банка Республики Казахстан до 16%</v>
      </c>
      <c r="N274" t="str">
        <f>IF('INHERENT MAP'!$B$5=2021,IF('РЕЕСТР РИСКОВ_2023'!R314="",N273,'РЕЕСТР РИСКОВ_2023'!R314),IF('INHERENT MAP'!$B$5=2022,IF(#REF!="",N273,#REF!),IF('INHERENT MAP'!$B$5=2023,IF(#REF!="",N273,#REF!),IF('INHERENT MAP'!$B$5=2024,IF(#REF!="",N273,#REF!),IF('РЕЕСТР РИСКОВ_2023'!R314="",N273,'РЕЕСТР РИСКОВ_2023'!R314)))))</f>
        <v>Рецессия экономики европейских стран</v>
      </c>
      <c r="O274">
        <f>'РЕЕСТР РИСКОВ_2023'!T314</f>
        <v>0</v>
      </c>
      <c r="P274" t="e">
        <f>IF('РЕЕСТР РИСКОВ_2023'!U314="",P273,'РЕЕСТР РИСКОВ_2023'!U314)</f>
        <v>#REF!</v>
      </c>
      <c r="Q274" t="str">
        <f>IF('РЕЕСТР РИСКОВ_2023'!V314="",Q273,'РЕЕСТР РИСКОВ_2023'!V314)</f>
        <v>Угрозы</v>
      </c>
      <c r="R274" t="e">
        <f>IF('РЕЕСТР РИСКОВ_2023'!W314="",R273,'РЕЕСТР РИСКОВ_2023'!W314)</f>
        <v>#REF!</v>
      </c>
      <c r="S274">
        <f>'РЕЕСТР РИСКОВ_2023'!X314</f>
        <v>0</v>
      </c>
      <c r="T274" s="94">
        <f>IF('INHERENT MAP'!$B$5=2021,'РЕЕСТР РИСКОВ_2023'!Y314,IF('INHERENT MAP'!$B$5=2022,#REF!,IF('INHERENT MAP'!$B$5=2023,#REF!,IF('INHERENT MAP'!$B$5=2024,#REF!,#REF!))))</f>
        <v>0</v>
      </c>
      <c r="U274">
        <f>IF('INHERENT MAP'!$B$5=2021,'РЕЕСТР РИСКОВ_2023'!Z314,IF('INHERENT MAP'!$B$5=2022,#REF!,IF('INHERENT MAP'!$B$5=2023,#REF!,IF('INHERENT MAP'!$B$5=2024,#REF!,#REF!))))</f>
        <v>0</v>
      </c>
      <c r="V274">
        <f>IF('INHERENT MAP'!$B$5=2021,'РЕЕСТР РИСКОВ_2023'!AA314,IF('INHERENT MAP'!$B$5=2022,#REF!,IF('INHERENT MAP'!$B$5=2023,#REF!,IF('INHERENT MAP'!$B$5=2024,#REF!,#REF!))))</f>
        <v>0</v>
      </c>
      <c r="W274">
        <f>IF('INHERENT MAP'!$B$5=2021,'РЕЕСТР РИСКОВ_2023'!AB314,IF('INHERENT MAP'!$B$5=2022,#REF!,IF('INHERENT MAP'!$B$5=2023,#REF!,IF('INHERENT MAP'!$B$5=2024,#REF!,#REF!))))</f>
        <v>0</v>
      </c>
      <c r="X274" s="94">
        <f>IF('INHERENT MAP'!$B$5=2021,'РЕЕСТР РИСКОВ_2023'!AC314,IF('INHERENT MAP'!$B$5=2022,#REF!,IF('INHERENT MAP'!$B$5=2023,#REF!,IF('INHERENT MAP'!$B$5=2024,#REF!,#REF!))))</f>
        <v>0</v>
      </c>
      <c r="Y274">
        <f>IF('INHERENT MAP'!$B$5=2021,'РЕЕСТР РИСКОВ_2023'!AD314,IF('INHERENT MAP'!$B$5=2022,#REF!,IF('INHERENT MAP'!$B$5=2023,#REF!,IF('INHERENT MAP'!$B$5=2024,#REF!,#REF!))))</f>
        <v>0</v>
      </c>
      <c r="Z274">
        <f>IF('INHERENT MAP'!$B$5=2021,'РЕЕСТР РИСКОВ_2023'!AE314,IF('INHERENT MAP'!$B$5=2022,#REF!,IF('INHERENT MAP'!$B$5=2023,#REF!,IF('INHERENT MAP'!$B$5=2024,#REF!,#REF!))))</f>
        <v>0</v>
      </c>
      <c r="AA274">
        <f>IF('INHERENT MAP'!$B$5=2021,'РЕЕСТР РИСКОВ_2023'!AF314,IF('INHERENT MAP'!$B$5=2022,#REF!,IF('INHERENT MAP'!$B$5=2023,#REF!,IF('INHERENT MAP'!$B$5=2024,#REF!,#REF!))))</f>
        <v>0</v>
      </c>
      <c r="AB274">
        <f>IF('INHERENT MAP'!$B$5=2021,'РЕЕСТР РИСКОВ_2023'!AG314,IF('INHERENT MAP'!$B$5=2022,#REF!,IF('INHERENT MAP'!$B$5=2023,#REF!,IF('INHERENT MAP'!$B$5=2024,#REF!,#REF!))))</f>
        <v>0</v>
      </c>
      <c r="AC274">
        <f>IF('INHERENT MAP'!$B$5=2021,'РЕЕСТР РИСКОВ_2023'!AH314,IF('INHERENT MAP'!$B$5=2022,#REF!,IF('INHERENT MAP'!$B$5=2023,#REF!,IF('INHERENT MAP'!$B$5=2024,#REF!,#REF!))))</f>
        <v>0</v>
      </c>
      <c r="AD274">
        <f>IF('INHERENT MAP'!$B$5=2021,'РЕЕСТР РИСКОВ_2023'!AI314,IF('INHERENT MAP'!$B$5=2022,#REF!,IF('INHERENT MAP'!$B$5=2023,#REF!,IF('INHERENT MAP'!$B$5=2024,#REF!,#REF!))))</f>
        <v>0</v>
      </c>
      <c r="AE274">
        <f>IF('INHERENT MAP'!$B$5=2021,'РЕЕСТР РИСКОВ_2023'!AK314,IF('INHERENT MAP'!$B$5=2022,#REF!,IF('INHERENT MAP'!$B$5=2023,#REF!,IF('INHERENT MAP'!$B$5=2024,#REF!,#REF!))))</f>
        <v>0</v>
      </c>
      <c r="AF274">
        <f>IF('INHERENT MAP'!$B$5=2021,'РЕЕСТР РИСКОВ_2023'!AL314,IF('INHERENT MAP'!$B$5=2022,#REF!,IF('INHERENT MAP'!$B$5=2023,#REF!,IF('INHERENT MAP'!$B$5=2024,#REF!,#REF!))))</f>
        <v>0</v>
      </c>
      <c r="AG274">
        <f>IF('INHERENT MAP'!$B$5=2021,'РЕЕСТР РИСКОВ_2023'!AM314,IF('INHERENT MAP'!$B$5=2022,#REF!,IF('INHERENT MAP'!$B$5=2023,#REF!,IF('INHERENT MAP'!$B$5=2024,#REF!,#REF!))))</f>
        <v>0</v>
      </c>
      <c r="AH274">
        <f>IF('INHERENT MAP'!$B$5=2021,'РЕЕСТР РИСКОВ_2023'!AN314,IF('INHERENT MAP'!$B$5=2022,#REF!,IF('INHERENT MAP'!$B$5=2023,#REF!,IF('INHERENT MAP'!$B$5=2024,#REF!,#REF!))))</f>
        <v>0</v>
      </c>
      <c r="AI274">
        <f>IF('INHERENT MAP'!$B$5=2021,'РЕЕСТР РИСКОВ_2023'!AO314,IF('INHERENT MAP'!$B$5=2022,#REF!,IF('INHERENT MAP'!$B$5=2023,#REF!,IF('INHERENT MAP'!$B$5=2024,#REF!,#REF!))))</f>
        <v>0</v>
      </c>
      <c r="AJ274">
        <f>IF('INHERENT MAP'!$B$5=2021,'РЕЕСТР РИСКОВ_2023'!AP314,IF('INHERENT MAP'!$B$5=2022,#REF!,IF('INHERENT MAP'!$B$5=2023,#REF!,IF('INHERENT MAP'!$B$5=2024,#REF!,#REF!))))</f>
        <v>0</v>
      </c>
      <c r="AK274">
        <f>IF('РЕЕСТР РИСКОВ_2023'!AQ314="",AK273,'РЕЕСТР РИСКОВ_2023'!AQ314)</f>
        <v>-216</v>
      </c>
      <c r="AL274">
        <f>IF('РЕЕСТР РИСКОВ_2023'!AR314="",AL273,'РЕЕСТР РИСКОВ_2023'!AR314)</f>
        <v>0.12</v>
      </c>
      <c r="AM274" t="str">
        <f>IF('РЕЕСТР РИСКОВ_2023'!AS314="",AM273,'РЕЕСТР РИСКОВ_2023'!AS314)</f>
        <v>стоп</v>
      </c>
      <c r="AN274" t="str">
        <f>IF('РЕЕСТР РИСКОВ_2023'!AT314="",AN273,'РЕЕСТР РИСКОВ_2023'!AT314)</f>
        <v>стоп</v>
      </c>
      <c r="AO274" t="e">
        <f>IF('РЕЕСТР РИСКОВ_2023'!AU314="",AO273,'РЕЕСТР РИСКОВ_2023'!AU314)</f>
        <v>#REF!</v>
      </c>
    </row>
    <row r="275" spans="2:41">
      <c r="B275" t="str">
        <f>IF('INHERENT MAP'!$B$5=2021,IF('РЕЕСТР РИСКОВ_2023'!F315="",B274,'РЕЕСТР РИСКОВ_2023'!F315),IF('INHERENT MAP'!$B$5=2022,IF(#REF!="",B274,#REF!),IF('INHERENT MAP'!$B$5=2023,IF(#REF!="",B274,#REF!),IF('INHERENT MAP'!$B$5=2024,IF(#REF!="",B274,#REF!),IF('РЕЕСТР РИСКОВ_2023'!F315="",B274,'РЕЕСТР РИСКОВ_2023'!F315)))))</f>
        <v>ПРОЦЕНТНЫЙ РИСК</v>
      </c>
      <c r="C275" t="e">
        <f>IF('INHERENT MAP'!$B$5=2021,IF('РЕЕСТР РИСКОВ_2023'!G315="",C274,'РЕЕСТР РИСКОВ_2023'!G315),IF('INHERENT MAP'!$B$5=2022,IF(#REF!="",C274,#REF!),IF('INHERENT MAP'!$B$5=2023,IF(#REF!="",C274,#REF!),IF('INHERENT MAP'!$B$5=2024,IF(#REF!="",C274,#REF!),IF('РЕЕСТР РИСКОВ_2023'!G315="",C274,'РЕЕСТР РИСКОВ_2023'!G315)))))</f>
        <v>#REF!</v>
      </c>
      <c r="D275" t="str">
        <f>IF('INHERENT MAP'!$B$5=2021,IF('РЕЕСТР РИСКОВ_2023'!H315="",D274,'РЕЕСТР РИСКОВ_2023'!H315),IF('INHERENT MAP'!$B$5=2022,IF(#REF!="",D274,#REF!),IF('INHERENT MAP'!$B$5=2023,IF(#REF!="",D274,#REF!),IF('INHERENT MAP'!$B$5=2024,IF(#REF!="",D274,#REF!),IF('РЕЕСТР РИСКОВ_2023'!H315="",D274,'РЕЕСТР РИСКОВ_2023'!H315)))))</f>
        <v>IRR-1</v>
      </c>
      <c r="E275" t="str">
        <f>IF('INHERENT MAP'!$B$5=2021,IF('РЕЕСТР РИСКОВ_2023'!I315="",E274,'РЕЕСТР РИСКОВ_2023'!I315),IF('INHERENT MAP'!$B$5=2022,IF(#REF!="",E274,#REF!),IF('INHERENT MAP'!$B$5=2023,IF(#REF!="",E274,#REF!),IF('INHERENT MAP'!$B$5=2024,IF(#REF!="",E274,#REF!),IF('РЕЕСТР РИСКОВ_2023'!I315="",E274,'РЕЕСТР РИСКОВ_2023'!I315)))))</f>
        <v>ЦЗФ</v>
      </c>
      <c r="F275" t="str">
        <f>IF('INHERENT MAP'!$B$5=2021,IF('РЕЕСТР РИСКОВ_2023'!J315="",F274,'РЕЕСТР РИСКОВ_2023'!J315),IF('INHERENT MAP'!$B$5=2022,IF(#REF!="",F274,#REF!),IF('INHERENT MAP'!$B$5=2023,IF(#REF!="",F274,#REF!),IF('INHERENT MAP'!$B$5=2024,IF(#REF!="",F274,#REF!),IF('РЕЕСТР РИСКОВ_2023'!J315="",F274,'РЕЕСТР РИСКОВ_2023'!J315)))))</f>
        <v>Цзайм</v>
      </c>
      <c r="G275" t="str">
        <f>IF('INHERENT MAP'!$B$5=2021,IF('РЕЕСТР РИСКОВ_2023'!K315="",G274,'РЕЕСТР РИСКОВ_2023'!K315),IF('INHERENT MAP'!$B$5=2022,IF(#REF!="",G274,#REF!),IF('INHERENT MAP'!$B$5=2023,IF(#REF!="",G274,#REF!),IF('INHERENT MAP'!$B$5=2024,IF(#REF!="",G274,#REF!),IF('РЕЕСТР РИСКОВ_2023'!K315="",G274,'РЕЕСТР РИСКОВ_2023'!K315)))))</f>
        <v>Увеличение расходов по процентам на новые займы, а также текущие займы (с плавающей ставкой) в тенге.</v>
      </c>
      <c r="H275">
        <f>IF('INHERENT MAP'!$B$5=2021,'РЕЕСТР РИСКОВ_2023'!L315,IF('INHERENT MAP'!$B$5=2022,#REF!,IF('INHERENT MAP'!$B$5=2023,#REF!,IF('INHERENT MAP'!$B$5=2024,#REF!,#REF!))))</f>
        <v>0</v>
      </c>
      <c r="I275">
        <f>IF('INHERENT MAP'!$B$5=2021,'РЕЕСТР РИСКОВ_2023'!M315,IF('INHERENT MAP'!$B$5=2022,#REF!,IF('INHERENT MAP'!$B$5=2023,#REF!,IF('INHERENT MAP'!$B$5=2024,#REF!,#REF!))))</f>
        <v>0</v>
      </c>
      <c r="J275">
        <f>IF('INHERENT MAP'!$B$5=2021,'РЕЕСТР РИСКОВ_2023'!N315,IF('INHERENT MAP'!$B$5=2022,#REF!,IF('INHERENT MAP'!$B$5=2023,#REF!,IF('INHERENT MAP'!$B$5=2024,#REF!,#REF!))))</f>
        <v>0</v>
      </c>
      <c r="K275">
        <f>IF('INHERENT MAP'!$B$5=2021,'РЕЕСТР РИСКОВ_2023'!O315,IF('INHERENT MAP'!$B$5=2022,#REF!,IF('INHERENT MAP'!$B$5=2023,#REF!,IF('INHERENT MAP'!$B$5=2024,#REF!,#REF!))))</f>
        <v>0</v>
      </c>
      <c r="L275">
        <f>IF('INHERENT MAP'!$B$5=2021,'РЕЕСТР РИСКОВ_2023'!P315,IF('INHERENT MAP'!$B$5=2022,#REF!,IF('INHERENT MAP'!$B$5=2023,#REF!,IF('INHERENT MAP'!$B$5=2024,#REF!,#REF!))))</f>
        <v>0</v>
      </c>
      <c r="M275" t="str">
        <f>IF('INHERENT MAP'!$B$5=2021,IF('РЕЕСТР РИСКОВ_2023'!Q315="",M274,'РЕЕСТР РИСКОВ_2023'!Q315),IF('INHERENT MAP'!$B$5=2022,IF(#REF!="",M274,#REF!),IF('INHERENT MAP'!$B$5=2023,IF(#REF!="",M274,#REF!),IF('INHERENT MAP'!$B$5=2024,IF(#REF!="",M274,#REF!),IF('РЕЕСТР РИСКОВ_2023'!Q315="",M274,'РЕЕСТР РИСКОВ_2023'!Q315)))))</f>
        <v>Увеличение базовой ставки Национального банка Республики Казахстан до 16%</v>
      </c>
      <c r="N275" t="str">
        <f>IF('INHERENT MAP'!$B$5=2021,IF('РЕЕСТР РИСКОВ_2023'!R315="",N274,'РЕЕСТР РИСКОВ_2023'!R315),IF('INHERENT MAP'!$B$5=2022,IF(#REF!="",N274,#REF!),IF('INHERENT MAP'!$B$5=2023,IF(#REF!="",N274,#REF!),IF('INHERENT MAP'!$B$5=2024,IF(#REF!="",N274,#REF!),IF('РЕЕСТР РИСКОВ_2023'!R315="",N274,'РЕЕСТР РИСКОВ_2023'!R315)))))</f>
        <v>Рецессия экономики европейских стран</v>
      </c>
      <c r="O275">
        <f>'РЕЕСТР РИСКОВ_2023'!T315</f>
        <v>0</v>
      </c>
      <c r="P275" t="e">
        <f>IF('РЕЕСТР РИСКОВ_2023'!U315="",P274,'РЕЕСТР РИСКОВ_2023'!U315)</f>
        <v>#REF!</v>
      </c>
      <c r="Q275" t="str">
        <f>IF('РЕЕСТР РИСКОВ_2023'!V315="",Q274,'РЕЕСТР РИСКОВ_2023'!V315)</f>
        <v>Угрозы</v>
      </c>
      <c r="R275" t="e">
        <f>IF('РЕЕСТР РИСКОВ_2023'!W315="",R274,'РЕЕСТР РИСКОВ_2023'!W315)</f>
        <v>#REF!</v>
      </c>
      <c r="S275">
        <f>'РЕЕСТР РИСКОВ_2023'!X315</f>
        <v>0</v>
      </c>
      <c r="T275" s="94">
        <f>IF('INHERENT MAP'!$B$5=2021,'РЕЕСТР РИСКОВ_2023'!Y315,IF('INHERENT MAP'!$B$5=2022,#REF!,IF('INHERENT MAP'!$B$5=2023,#REF!,IF('INHERENT MAP'!$B$5=2024,#REF!,#REF!))))</f>
        <v>0</v>
      </c>
      <c r="U275">
        <f>IF('INHERENT MAP'!$B$5=2021,'РЕЕСТР РИСКОВ_2023'!Z315,IF('INHERENT MAP'!$B$5=2022,#REF!,IF('INHERENT MAP'!$B$5=2023,#REF!,IF('INHERENT MAP'!$B$5=2024,#REF!,#REF!))))</f>
        <v>0</v>
      </c>
      <c r="V275">
        <f>IF('INHERENT MAP'!$B$5=2021,'РЕЕСТР РИСКОВ_2023'!AA315,IF('INHERENT MAP'!$B$5=2022,#REF!,IF('INHERENT MAP'!$B$5=2023,#REF!,IF('INHERENT MAP'!$B$5=2024,#REF!,#REF!))))</f>
        <v>0</v>
      </c>
      <c r="W275">
        <f>IF('INHERENT MAP'!$B$5=2021,'РЕЕСТР РИСКОВ_2023'!AB315,IF('INHERENT MAP'!$B$5=2022,#REF!,IF('INHERENT MAP'!$B$5=2023,#REF!,IF('INHERENT MAP'!$B$5=2024,#REF!,#REF!))))</f>
        <v>0</v>
      </c>
      <c r="X275" s="94">
        <f>IF('INHERENT MAP'!$B$5=2021,'РЕЕСТР РИСКОВ_2023'!AC315,IF('INHERENT MAP'!$B$5=2022,#REF!,IF('INHERENT MAP'!$B$5=2023,#REF!,IF('INHERENT MAP'!$B$5=2024,#REF!,#REF!))))</f>
        <v>0</v>
      </c>
      <c r="Y275">
        <f>IF('INHERENT MAP'!$B$5=2021,'РЕЕСТР РИСКОВ_2023'!AD315,IF('INHERENT MAP'!$B$5=2022,#REF!,IF('INHERENT MAP'!$B$5=2023,#REF!,IF('INHERENT MAP'!$B$5=2024,#REF!,#REF!))))</f>
        <v>0</v>
      </c>
      <c r="Z275">
        <f>IF('INHERENT MAP'!$B$5=2021,'РЕЕСТР РИСКОВ_2023'!AE315,IF('INHERENT MAP'!$B$5=2022,#REF!,IF('INHERENT MAP'!$B$5=2023,#REF!,IF('INHERENT MAP'!$B$5=2024,#REF!,#REF!))))</f>
        <v>0</v>
      </c>
      <c r="AA275">
        <f>IF('INHERENT MAP'!$B$5=2021,'РЕЕСТР РИСКОВ_2023'!AF315,IF('INHERENT MAP'!$B$5=2022,#REF!,IF('INHERENT MAP'!$B$5=2023,#REF!,IF('INHERENT MAP'!$B$5=2024,#REF!,#REF!))))</f>
        <v>0</v>
      </c>
      <c r="AB275">
        <f>IF('INHERENT MAP'!$B$5=2021,'РЕЕСТР РИСКОВ_2023'!AG315,IF('INHERENT MAP'!$B$5=2022,#REF!,IF('INHERENT MAP'!$B$5=2023,#REF!,IF('INHERENT MAP'!$B$5=2024,#REF!,#REF!))))</f>
        <v>0</v>
      </c>
      <c r="AC275">
        <f>IF('INHERENT MAP'!$B$5=2021,'РЕЕСТР РИСКОВ_2023'!AH315,IF('INHERENT MAP'!$B$5=2022,#REF!,IF('INHERENT MAP'!$B$5=2023,#REF!,IF('INHERENT MAP'!$B$5=2024,#REF!,#REF!))))</f>
        <v>0</v>
      </c>
      <c r="AD275">
        <f>IF('INHERENT MAP'!$B$5=2021,'РЕЕСТР РИСКОВ_2023'!AI315,IF('INHERENT MAP'!$B$5=2022,#REF!,IF('INHERENT MAP'!$B$5=2023,#REF!,IF('INHERENT MAP'!$B$5=2024,#REF!,#REF!))))</f>
        <v>0</v>
      </c>
      <c r="AE275">
        <f>IF('INHERENT MAP'!$B$5=2021,'РЕЕСТР РИСКОВ_2023'!AK315,IF('INHERENT MAP'!$B$5=2022,#REF!,IF('INHERENT MAP'!$B$5=2023,#REF!,IF('INHERENT MAP'!$B$5=2024,#REF!,#REF!))))</f>
        <v>0</v>
      </c>
      <c r="AF275">
        <f>IF('INHERENT MAP'!$B$5=2021,'РЕЕСТР РИСКОВ_2023'!AL315,IF('INHERENT MAP'!$B$5=2022,#REF!,IF('INHERENT MAP'!$B$5=2023,#REF!,IF('INHERENT MAP'!$B$5=2024,#REF!,#REF!))))</f>
        <v>0</v>
      </c>
      <c r="AG275">
        <f>IF('INHERENT MAP'!$B$5=2021,'РЕЕСТР РИСКОВ_2023'!AM315,IF('INHERENT MAP'!$B$5=2022,#REF!,IF('INHERENT MAP'!$B$5=2023,#REF!,IF('INHERENT MAP'!$B$5=2024,#REF!,#REF!))))</f>
        <v>0</v>
      </c>
      <c r="AH275">
        <f>IF('INHERENT MAP'!$B$5=2021,'РЕЕСТР РИСКОВ_2023'!AN315,IF('INHERENT MAP'!$B$5=2022,#REF!,IF('INHERENT MAP'!$B$5=2023,#REF!,IF('INHERENT MAP'!$B$5=2024,#REF!,#REF!))))</f>
        <v>0</v>
      </c>
      <c r="AI275">
        <f>IF('INHERENT MAP'!$B$5=2021,'РЕЕСТР РИСКОВ_2023'!AO315,IF('INHERENT MAP'!$B$5=2022,#REF!,IF('INHERENT MAP'!$B$5=2023,#REF!,IF('INHERENT MAP'!$B$5=2024,#REF!,#REF!))))</f>
        <v>0</v>
      </c>
      <c r="AJ275">
        <f>IF('INHERENT MAP'!$B$5=2021,'РЕЕСТР РИСКОВ_2023'!AP315,IF('INHERENT MAP'!$B$5=2022,#REF!,IF('INHERENT MAP'!$B$5=2023,#REF!,IF('INHERENT MAP'!$B$5=2024,#REF!,#REF!))))</f>
        <v>0</v>
      </c>
      <c r="AK275">
        <f>IF('РЕЕСТР РИСКОВ_2023'!AQ315="",AK274,'РЕЕСТР РИСКОВ_2023'!AQ315)</f>
        <v>-216</v>
      </c>
      <c r="AL275">
        <f>IF('РЕЕСТР РИСКОВ_2023'!AR315="",AL274,'РЕЕСТР РИСКОВ_2023'!AR315)</f>
        <v>0.12</v>
      </c>
      <c r="AM275" t="str">
        <f>IF('РЕЕСТР РИСКОВ_2023'!AS315="",AM274,'РЕЕСТР РИСКОВ_2023'!AS315)</f>
        <v>стоп</v>
      </c>
      <c r="AN275" t="str">
        <f>IF('РЕЕСТР РИСКОВ_2023'!AT315="",AN274,'РЕЕСТР РИСКОВ_2023'!AT315)</f>
        <v>стоп</v>
      </c>
      <c r="AO275" t="e">
        <f>IF('РЕЕСТР РИСКОВ_2023'!AU315="",AO274,'РЕЕСТР РИСКОВ_2023'!AU315)</f>
        <v>#REF!</v>
      </c>
    </row>
    <row r="276" spans="2:41">
      <c r="B276" t="str">
        <f>IF('INHERENT MAP'!$B$5=2021,IF('РЕЕСТР РИСКОВ_2023'!F316="",B275,'РЕЕСТР РИСКОВ_2023'!F316),IF('INHERENT MAP'!$B$5=2022,IF(#REF!="",B275,#REF!),IF('INHERENT MAP'!$B$5=2023,IF(#REF!="",B275,#REF!),IF('INHERENT MAP'!$B$5=2024,IF(#REF!="",B275,#REF!),IF('РЕЕСТР РИСКОВ_2023'!F316="",B275,'РЕЕСТР РИСКОВ_2023'!F316)))))</f>
        <v>ПРОЦЕНТНЫЙ РИСК</v>
      </c>
      <c r="C276" t="e">
        <f>IF('INHERENT MAP'!$B$5=2021,IF('РЕЕСТР РИСКОВ_2023'!G316="",C275,'РЕЕСТР РИСКОВ_2023'!G316),IF('INHERENT MAP'!$B$5=2022,IF(#REF!="",C275,#REF!),IF('INHERENT MAP'!$B$5=2023,IF(#REF!="",C275,#REF!),IF('INHERENT MAP'!$B$5=2024,IF(#REF!="",C275,#REF!),IF('РЕЕСТР РИСКОВ_2023'!G316="",C275,'РЕЕСТР РИСКОВ_2023'!G316)))))</f>
        <v>#REF!</v>
      </c>
      <c r="D276" t="str">
        <f>IF('INHERENT MAP'!$B$5=2021,IF('РЕЕСТР РИСКОВ_2023'!H316="",D275,'РЕЕСТР РИСКОВ_2023'!H316),IF('INHERENT MAP'!$B$5=2022,IF(#REF!="",D275,#REF!),IF('INHERENT MAP'!$B$5=2023,IF(#REF!="",D275,#REF!),IF('INHERENT MAP'!$B$5=2024,IF(#REF!="",D275,#REF!),IF('РЕЕСТР РИСКОВ_2023'!H316="",D275,'РЕЕСТР РИСКОВ_2023'!H316)))))</f>
        <v>IRR-1</v>
      </c>
      <c r="E276" t="str">
        <f>IF('INHERENT MAP'!$B$5=2021,IF('РЕЕСТР РИСКОВ_2023'!I316="",E275,'РЕЕСТР РИСКОВ_2023'!I316),IF('INHERENT MAP'!$B$5=2022,IF(#REF!="",E275,#REF!),IF('INHERENT MAP'!$B$5=2023,IF(#REF!="",E275,#REF!),IF('INHERENT MAP'!$B$5=2024,IF(#REF!="",E275,#REF!),IF('РЕЕСТР РИСКОВ_2023'!I316="",E275,'РЕЕСТР РИСКОВ_2023'!I316)))))</f>
        <v>ЦЗФ</v>
      </c>
      <c r="F276" t="str">
        <f>IF('INHERENT MAP'!$B$5=2021,IF('РЕЕСТР РИСКОВ_2023'!J316="",F275,'РЕЕСТР РИСКОВ_2023'!J316),IF('INHERENT MAP'!$B$5=2022,IF(#REF!="",F275,#REF!),IF('INHERENT MAP'!$B$5=2023,IF(#REF!="",F275,#REF!),IF('INHERENT MAP'!$B$5=2024,IF(#REF!="",F275,#REF!),IF('РЕЕСТР РИСКОВ_2023'!J316="",F275,'РЕЕСТР РИСКОВ_2023'!J316)))))</f>
        <v>Цзайм</v>
      </c>
      <c r="G276" t="str">
        <f>IF('INHERENT MAP'!$B$5=2021,IF('РЕЕСТР РИСКОВ_2023'!K316="",G275,'РЕЕСТР РИСКОВ_2023'!K316),IF('INHERENT MAP'!$B$5=2022,IF(#REF!="",G275,#REF!),IF('INHERENT MAP'!$B$5=2023,IF(#REF!="",G275,#REF!),IF('INHERENT MAP'!$B$5=2024,IF(#REF!="",G275,#REF!),IF('РЕЕСТР РИСКОВ_2023'!K316="",G275,'РЕЕСТР РИСКОВ_2023'!K316)))))</f>
        <v>Увеличение расходов по процентам на новые займы, а также текущие займы (с плавающей ставкой) в тенге.</v>
      </c>
      <c r="H276">
        <f>IF('INHERENT MAP'!$B$5=2021,'РЕЕСТР РИСКОВ_2023'!L316,IF('INHERENT MAP'!$B$5=2022,#REF!,IF('INHERENT MAP'!$B$5=2023,#REF!,IF('INHERENT MAP'!$B$5=2024,#REF!,#REF!))))</f>
        <v>0</v>
      </c>
      <c r="I276">
        <f>IF('INHERENT MAP'!$B$5=2021,'РЕЕСТР РИСКОВ_2023'!M316,IF('INHERENT MAP'!$B$5=2022,#REF!,IF('INHERENT MAP'!$B$5=2023,#REF!,IF('INHERENT MAP'!$B$5=2024,#REF!,#REF!))))</f>
        <v>0</v>
      </c>
      <c r="J276">
        <f>IF('INHERENT MAP'!$B$5=2021,'РЕЕСТР РИСКОВ_2023'!N316,IF('INHERENT MAP'!$B$5=2022,#REF!,IF('INHERENT MAP'!$B$5=2023,#REF!,IF('INHERENT MAP'!$B$5=2024,#REF!,#REF!))))</f>
        <v>0</v>
      </c>
      <c r="K276">
        <f>IF('INHERENT MAP'!$B$5=2021,'РЕЕСТР РИСКОВ_2023'!O316,IF('INHERENT MAP'!$B$5=2022,#REF!,IF('INHERENT MAP'!$B$5=2023,#REF!,IF('INHERENT MAP'!$B$5=2024,#REF!,#REF!))))</f>
        <v>0</v>
      </c>
      <c r="L276">
        <f>IF('INHERENT MAP'!$B$5=2021,'РЕЕСТР РИСКОВ_2023'!P316,IF('INHERENT MAP'!$B$5=2022,#REF!,IF('INHERENT MAP'!$B$5=2023,#REF!,IF('INHERENT MAP'!$B$5=2024,#REF!,#REF!))))</f>
        <v>0</v>
      </c>
      <c r="M276" t="str">
        <f>IF('INHERENT MAP'!$B$5=2021,IF('РЕЕСТР РИСКОВ_2023'!Q316="",M275,'РЕЕСТР РИСКОВ_2023'!Q316),IF('INHERENT MAP'!$B$5=2022,IF(#REF!="",M275,#REF!),IF('INHERENT MAP'!$B$5=2023,IF(#REF!="",M275,#REF!),IF('INHERENT MAP'!$B$5=2024,IF(#REF!="",M275,#REF!),IF('РЕЕСТР РИСКОВ_2023'!Q316="",M275,'РЕЕСТР РИСКОВ_2023'!Q316)))))</f>
        <v>Увеличение базовой ставки Национального банка Республики Казахстан до 16%</v>
      </c>
      <c r="N276" t="str">
        <f>IF('INHERENT MAP'!$B$5=2021,IF('РЕЕСТР РИСКОВ_2023'!R316="",N275,'РЕЕСТР РИСКОВ_2023'!R316),IF('INHERENT MAP'!$B$5=2022,IF(#REF!="",N275,#REF!),IF('INHERENT MAP'!$B$5=2023,IF(#REF!="",N275,#REF!),IF('INHERENT MAP'!$B$5=2024,IF(#REF!="",N275,#REF!),IF('РЕЕСТР РИСКОВ_2023'!R316="",N275,'РЕЕСТР РИСКОВ_2023'!R316)))))</f>
        <v>Рецессия экономики европейских стран</v>
      </c>
      <c r="O276">
        <f>'РЕЕСТР РИСКОВ_2023'!T316</f>
        <v>0</v>
      </c>
      <c r="P276" t="e">
        <f>IF('РЕЕСТР РИСКОВ_2023'!U316="",P275,'РЕЕСТР РИСКОВ_2023'!U316)</f>
        <v>#REF!</v>
      </c>
      <c r="Q276" t="str">
        <f>IF('РЕЕСТР РИСКОВ_2023'!V316="",Q275,'РЕЕСТР РИСКОВ_2023'!V316)</f>
        <v>Угрозы</v>
      </c>
      <c r="R276" t="e">
        <f>IF('РЕЕСТР РИСКОВ_2023'!W316="",R275,'РЕЕСТР РИСКОВ_2023'!W316)</f>
        <v>#REF!</v>
      </c>
      <c r="S276">
        <f>'РЕЕСТР РИСКОВ_2023'!X316</f>
        <v>0</v>
      </c>
      <c r="T276" s="94">
        <f>IF('INHERENT MAP'!$B$5=2021,'РЕЕСТР РИСКОВ_2023'!Y316,IF('INHERENT MAP'!$B$5=2022,#REF!,IF('INHERENT MAP'!$B$5=2023,#REF!,IF('INHERENT MAP'!$B$5=2024,#REF!,#REF!))))</f>
        <v>0</v>
      </c>
      <c r="U276">
        <f>IF('INHERENT MAP'!$B$5=2021,'РЕЕСТР РИСКОВ_2023'!Z316,IF('INHERENT MAP'!$B$5=2022,#REF!,IF('INHERENT MAP'!$B$5=2023,#REF!,IF('INHERENT MAP'!$B$5=2024,#REF!,#REF!))))</f>
        <v>0</v>
      </c>
      <c r="V276">
        <f>IF('INHERENT MAP'!$B$5=2021,'РЕЕСТР РИСКОВ_2023'!AA316,IF('INHERENT MAP'!$B$5=2022,#REF!,IF('INHERENT MAP'!$B$5=2023,#REF!,IF('INHERENT MAP'!$B$5=2024,#REF!,#REF!))))</f>
        <v>0</v>
      </c>
      <c r="W276">
        <f>IF('INHERENT MAP'!$B$5=2021,'РЕЕСТР РИСКОВ_2023'!AB316,IF('INHERENT MAP'!$B$5=2022,#REF!,IF('INHERENT MAP'!$B$5=2023,#REF!,IF('INHERENT MAP'!$B$5=2024,#REF!,#REF!))))</f>
        <v>0</v>
      </c>
      <c r="X276" s="94">
        <f>IF('INHERENT MAP'!$B$5=2021,'РЕЕСТР РИСКОВ_2023'!AC316,IF('INHERENT MAP'!$B$5=2022,#REF!,IF('INHERENT MAP'!$B$5=2023,#REF!,IF('INHERENT MAP'!$B$5=2024,#REF!,#REF!))))</f>
        <v>0</v>
      </c>
      <c r="Y276">
        <f>IF('INHERENT MAP'!$B$5=2021,'РЕЕСТР РИСКОВ_2023'!AD316,IF('INHERENT MAP'!$B$5=2022,#REF!,IF('INHERENT MAP'!$B$5=2023,#REF!,IF('INHERENT MAP'!$B$5=2024,#REF!,#REF!))))</f>
        <v>0</v>
      </c>
      <c r="Z276">
        <f>IF('INHERENT MAP'!$B$5=2021,'РЕЕСТР РИСКОВ_2023'!AE316,IF('INHERENT MAP'!$B$5=2022,#REF!,IF('INHERENT MAP'!$B$5=2023,#REF!,IF('INHERENT MAP'!$B$5=2024,#REF!,#REF!))))</f>
        <v>0</v>
      </c>
      <c r="AA276">
        <f>IF('INHERENT MAP'!$B$5=2021,'РЕЕСТР РИСКОВ_2023'!AF316,IF('INHERENT MAP'!$B$5=2022,#REF!,IF('INHERENT MAP'!$B$5=2023,#REF!,IF('INHERENT MAP'!$B$5=2024,#REF!,#REF!))))</f>
        <v>0</v>
      </c>
      <c r="AB276">
        <f>IF('INHERENT MAP'!$B$5=2021,'РЕЕСТР РИСКОВ_2023'!AG316,IF('INHERENT MAP'!$B$5=2022,#REF!,IF('INHERENT MAP'!$B$5=2023,#REF!,IF('INHERENT MAP'!$B$5=2024,#REF!,#REF!))))</f>
        <v>0</v>
      </c>
      <c r="AC276">
        <f>IF('INHERENT MAP'!$B$5=2021,'РЕЕСТР РИСКОВ_2023'!AH316,IF('INHERENT MAP'!$B$5=2022,#REF!,IF('INHERENT MAP'!$B$5=2023,#REF!,IF('INHERENT MAP'!$B$5=2024,#REF!,#REF!))))</f>
        <v>0</v>
      </c>
      <c r="AD276">
        <f>IF('INHERENT MAP'!$B$5=2021,'РЕЕСТР РИСКОВ_2023'!AI316,IF('INHERENT MAP'!$B$5=2022,#REF!,IF('INHERENT MAP'!$B$5=2023,#REF!,IF('INHERENT MAP'!$B$5=2024,#REF!,#REF!))))</f>
        <v>0</v>
      </c>
      <c r="AE276">
        <f>IF('INHERENT MAP'!$B$5=2021,'РЕЕСТР РИСКОВ_2023'!AK316,IF('INHERENT MAP'!$B$5=2022,#REF!,IF('INHERENT MAP'!$B$5=2023,#REF!,IF('INHERENT MAP'!$B$5=2024,#REF!,#REF!))))</f>
        <v>0</v>
      </c>
      <c r="AF276">
        <f>IF('INHERENT MAP'!$B$5=2021,'РЕЕСТР РИСКОВ_2023'!AL316,IF('INHERENT MAP'!$B$5=2022,#REF!,IF('INHERENT MAP'!$B$5=2023,#REF!,IF('INHERENT MAP'!$B$5=2024,#REF!,#REF!))))</f>
        <v>0</v>
      </c>
      <c r="AG276">
        <f>IF('INHERENT MAP'!$B$5=2021,'РЕЕСТР РИСКОВ_2023'!AM316,IF('INHERENT MAP'!$B$5=2022,#REF!,IF('INHERENT MAP'!$B$5=2023,#REF!,IF('INHERENT MAP'!$B$5=2024,#REF!,#REF!))))</f>
        <v>0</v>
      </c>
      <c r="AH276">
        <f>IF('INHERENT MAP'!$B$5=2021,'РЕЕСТР РИСКОВ_2023'!AN316,IF('INHERENT MAP'!$B$5=2022,#REF!,IF('INHERENT MAP'!$B$5=2023,#REF!,IF('INHERENT MAP'!$B$5=2024,#REF!,#REF!))))</f>
        <v>0</v>
      </c>
      <c r="AI276">
        <f>IF('INHERENT MAP'!$B$5=2021,'РЕЕСТР РИСКОВ_2023'!AO316,IF('INHERENT MAP'!$B$5=2022,#REF!,IF('INHERENT MAP'!$B$5=2023,#REF!,IF('INHERENT MAP'!$B$5=2024,#REF!,#REF!))))</f>
        <v>0</v>
      </c>
      <c r="AJ276">
        <f>IF('INHERENT MAP'!$B$5=2021,'РЕЕСТР РИСКОВ_2023'!AP316,IF('INHERENT MAP'!$B$5=2022,#REF!,IF('INHERENT MAP'!$B$5=2023,#REF!,IF('INHERENT MAP'!$B$5=2024,#REF!,#REF!))))</f>
        <v>0</v>
      </c>
      <c r="AK276">
        <f>IF('РЕЕСТР РИСКОВ_2023'!AQ316="",AK275,'РЕЕСТР РИСКОВ_2023'!AQ316)</f>
        <v>-216</v>
      </c>
      <c r="AL276">
        <f>IF('РЕЕСТР РИСКОВ_2023'!AR316="",AL275,'РЕЕСТР РИСКОВ_2023'!AR316)</f>
        <v>0.12</v>
      </c>
      <c r="AM276" t="str">
        <f>IF('РЕЕСТР РИСКОВ_2023'!AS316="",AM275,'РЕЕСТР РИСКОВ_2023'!AS316)</f>
        <v>стоп</v>
      </c>
      <c r="AN276" t="str">
        <f>IF('РЕЕСТР РИСКОВ_2023'!AT316="",AN275,'РЕЕСТР РИСКОВ_2023'!AT316)</f>
        <v>стоп</v>
      </c>
      <c r="AO276" t="e">
        <f>IF('РЕЕСТР РИСКОВ_2023'!AU316="",AO275,'РЕЕСТР РИСКОВ_2023'!AU316)</f>
        <v>#REF!</v>
      </c>
    </row>
    <row r="277" spans="2:41">
      <c r="B277" t="str">
        <f>IF('INHERENT MAP'!$B$5=2021,IF('РЕЕСТР РИСКОВ_2023'!F317="",B276,'РЕЕСТР РИСКОВ_2023'!F317),IF('INHERENT MAP'!$B$5=2022,IF(#REF!="",B276,#REF!),IF('INHERENT MAP'!$B$5=2023,IF(#REF!="",B276,#REF!),IF('INHERENT MAP'!$B$5=2024,IF(#REF!="",B276,#REF!),IF('РЕЕСТР РИСКОВ_2023'!F317="",B276,'РЕЕСТР РИСКОВ_2023'!F317)))))</f>
        <v>ПРОЦЕНТНЫЙ РИСК</v>
      </c>
      <c r="C277" t="e">
        <f>IF('INHERENT MAP'!$B$5=2021,IF('РЕЕСТР РИСКОВ_2023'!G317="",C276,'РЕЕСТР РИСКОВ_2023'!G317),IF('INHERENT MAP'!$B$5=2022,IF(#REF!="",C276,#REF!),IF('INHERENT MAP'!$B$5=2023,IF(#REF!="",C276,#REF!),IF('INHERENT MAP'!$B$5=2024,IF(#REF!="",C276,#REF!),IF('РЕЕСТР РИСКОВ_2023'!G317="",C276,'РЕЕСТР РИСКОВ_2023'!G317)))))</f>
        <v>#REF!</v>
      </c>
      <c r="D277" t="str">
        <f>IF('INHERENT MAP'!$B$5=2021,IF('РЕЕСТР РИСКОВ_2023'!H317="",D276,'РЕЕСТР РИСКОВ_2023'!H317),IF('INHERENT MAP'!$B$5=2022,IF(#REF!="",D276,#REF!),IF('INHERENT MAP'!$B$5=2023,IF(#REF!="",D276,#REF!),IF('INHERENT MAP'!$B$5=2024,IF(#REF!="",D276,#REF!),IF('РЕЕСТР РИСКОВ_2023'!H317="",D276,'РЕЕСТР РИСКОВ_2023'!H317)))))</f>
        <v>IRR-1</v>
      </c>
      <c r="E277" t="str">
        <f>IF('INHERENT MAP'!$B$5=2021,IF('РЕЕСТР РИСКОВ_2023'!I317="",E276,'РЕЕСТР РИСКОВ_2023'!I317),IF('INHERENT MAP'!$B$5=2022,IF(#REF!="",E276,#REF!),IF('INHERENT MAP'!$B$5=2023,IF(#REF!="",E276,#REF!),IF('INHERENT MAP'!$B$5=2024,IF(#REF!="",E276,#REF!),IF('РЕЕСТР РИСКОВ_2023'!I317="",E276,'РЕЕСТР РИСКОВ_2023'!I317)))))</f>
        <v>ЦЗФ</v>
      </c>
      <c r="F277" t="str">
        <f>IF('INHERENT MAP'!$B$5=2021,IF('РЕЕСТР РИСКОВ_2023'!J317="",F276,'РЕЕСТР РИСКОВ_2023'!J317),IF('INHERENT MAP'!$B$5=2022,IF(#REF!="",F276,#REF!),IF('INHERENT MAP'!$B$5=2023,IF(#REF!="",F276,#REF!),IF('INHERENT MAP'!$B$5=2024,IF(#REF!="",F276,#REF!),IF('РЕЕСТР РИСКОВ_2023'!J317="",F276,'РЕЕСТР РИСКОВ_2023'!J317)))))</f>
        <v>Цзайм</v>
      </c>
      <c r="G277" t="str">
        <f>IF('INHERENT MAP'!$B$5=2021,IF('РЕЕСТР РИСКОВ_2023'!K317="",G276,'РЕЕСТР РИСКОВ_2023'!K317),IF('INHERENT MAP'!$B$5=2022,IF(#REF!="",G276,#REF!),IF('INHERENT MAP'!$B$5=2023,IF(#REF!="",G276,#REF!),IF('INHERENT MAP'!$B$5=2024,IF(#REF!="",G276,#REF!),IF('РЕЕСТР РИСКОВ_2023'!K317="",G276,'РЕЕСТР РИСКОВ_2023'!K317)))))</f>
        <v>Увеличение расходов по процентам на новые займы, а также текущие займы (с плавающей ставкой) в тенге.</v>
      </c>
      <c r="H277">
        <f>IF('INHERENT MAP'!$B$5=2021,'РЕЕСТР РИСКОВ_2023'!L317,IF('INHERENT MAP'!$B$5=2022,#REF!,IF('INHERENT MAP'!$B$5=2023,#REF!,IF('INHERENT MAP'!$B$5=2024,#REF!,#REF!))))</f>
        <v>0</v>
      </c>
      <c r="I277">
        <f>IF('INHERENT MAP'!$B$5=2021,'РЕЕСТР РИСКОВ_2023'!M317,IF('INHERENT MAP'!$B$5=2022,#REF!,IF('INHERENT MAP'!$B$5=2023,#REF!,IF('INHERENT MAP'!$B$5=2024,#REF!,#REF!))))</f>
        <v>0</v>
      </c>
      <c r="J277">
        <f>IF('INHERENT MAP'!$B$5=2021,'РЕЕСТР РИСКОВ_2023'!N317,IF('INHERENT MAP'!$B$5=2022,#REF!,IF('INHERENT MAP'!$B$5=2023,#REF!,IF('INHERENT MAP'!$B$5=2024,#REF!,#REF!))))</f>
        <v>0</v>
      </c>
      <c r="K277">
        <f>IF('INHERENT MAP'!$B$5=2021,'РЕЕСТР РИСКОВ_2023'!O317,IF('INHERENT MAP'!$B$5=2022,#REF!,IF('INHERENT MAP'!$B$5=2023,#REF!,IF('INHERENT MAP'!$B$5=2024,#REF!,#REF!))))</f>
        <v>0</v>
      </c>
      <c r="L277">
        <f>IF('INHERENT MAP'!$B$5=2021,'РЕЕСТР РИСКОВ_2023'!P317,IF('INHERENT MAP'!$B$5=2022,#REF!,IF('INHERENT MAP'!$B$5=2023,#REF!,IF('INHERENT MAP'!$B$5=2024,#REF!,#REF!))))</f>
        <v>0</v>
      </c>
      <c r="M277" t="str">
        <f>IF('INHERENT MAP'!$B$5=2021,IF('РЕЕСТР РИСКОВ_2023'!Q317="",M276,'РЕЕСТР РИСКОВ_2023'!Q317),IF('INHERENT MAP'!$B$5=2022,IF(#REF!="",M276,#REF!),IF('INHERENT MAP'!$B$5=2023,IF(#REF!="",M276,#REF!),IF('INHERENT MAP'!$B$5=2024,IF(#REF!="",M276,#REF!),IF('РЕЕСТР РИСКОВ_2023'!Q317="",M276,'РЕЕСТР РИСКОВ_2023'!Q317)))))</f>
        <v>Увеличение базовой ставки Национального банка Республики Казахстан до 16%</v>
      </c>
      <c r="N277" t="str">
        <f>IF('INHERENT MAP'!$B$5=2021,IF('РЕЕСТР РИСКОВ_2023'!R317="",N276,'РЕЕСТР РИСКОВ_2023'!R317),IF('INHERENT MAP'!$B$5=2022,IF(#REF!="",N276,#REF!),IF('INHERENT MAP'!$B$5=2023,IF(#REF!="",N276,#REF!),IF('INHERENT MAP'!$B$5=2024,IF(#REF!="",N276,#REF!),IF('РЕЕСТР РИСКОВ_2023'!R317="",N276,'РЕЕСТР РИСКОВ_2023'!R317)))))</f>
        <v>Рецессия экономики европейских стран</v>
      </c>
      <c r="O277">
        <f>'РЕЕСТР РИСКОВ_2023'!T317</f>
        <v>0</v>
      </c>
      <c r="P277" t="e">
        <f>IF('РЕЕСТР РИСКОВ_2023'!U317="",P276,'РЕЕСТР РИСКОВ_2023'!U317)</f>
        <v>#REF!</v>
      </c>
      <c r="Q277" t="str">
        <f>IF('РЕЕСТР РИСКОВ_2023'!V317="",Q276,'РЕЕСТР РИСКОВ_2023'!V317)</f>
        <v>Угрозы</v>
      </c>
      <c r="R277" t="e">
        <f>IF('РЕЕСТР РИСКОВ_2023'!W317="",R276,'РЕЕСТР РИСКОВ_2023'!W317)</f>
        <v>#REF!</v>
      </c>
      <c r="S277">
        <f>'РЕЕСТР РИСКОВ_2023'!X317</f>
        <v>0</v>
      </c>
      <c r="T277" s="94">
        <f>IF('INHERENT MAP'!$B$5=2021,'РЕЕСТР РИСКОВ_2023'!Y317,IF('INHERENT MAP'!$B$5=2022,#REF!,IF('INHERENT MAP'!$B$5=2023,#REF!,IF('INHERENT MAP'!$B$5=2024,#REF!,#REF!))))</f>
        <v>0</v>
      </c>
      <c r="U277">
        <f>IF('INHERENT MAP'!$B$5=2021,'РЕЕСТР РИСКОВ_2023'!Z317,IF('INHERENT MAP'!$B$5=2022,#REF!,IF('INHERENT MAP'!$B$5=2023,#REF!,IF('INHERENT MAP'!$B$5=2024,#REF!,#REF!))))</f>
        <v>0</v>
      </c>
      <c r="V277">
        <f>IF('INHERENT MAP'!$B$5=2021,'РЕЕСТР РИСКОВ_2023'!AA317,IF('INHERENT MAP'!$B$5=2022,#REF!,IF('INHERENT MAP'!$B$5=2023,#REF!,IF('INHERENT MAP'!$B$5=2024,#REF!,#REF!))))</f>
        <v>0</v>
      </c>
      <c r="W277">
        <f>IF('INHERENT MAP'!$B$5=2021,'РЕЕСТР РИСКОВ_2023'!AB317,IF('INHERENT MAP'!$B$5=2022,#REF!,IF('INHERENT MAP'!$B$5=2023,#REF!,IF('INHERENT MAP'!$B$5=2024,#REF!,#REF!))))</f>
        <v>0</v>
      </c>
      <c r="X277" s="94">
        <f>IF('INHERENT MAP'!$B$5=2021,'РЕЕСТР РИСКОВ_2023'!AC317,IF('INHERENT MAP'!$B$5=2022,#REF!,IF('INHERENT MAP'!$B$5=2023,#REF!,IF('INHERENT MAP'!$B$5=2024,#REF!,#REF!))))</f>
        <v>0</v>
      </c>
      <c r="Y277">
        <f>IF('INHERENT MAP'!$B$5=2021,'РЕЕСТР РИСКОВ_2023'!AD317,IF('INHERENT MAP'!$B$5=2022,#REF!,IF('INHERENT MAP'!$B$5=2023,#REF!,IF('INHERENT MAP'!$B$5=2024,#REF!,#REF!))))</f>
        <v>0</v>
      </c>
      <c r="Z277">
        <f>IF('INHERENT MAP'!$B$5=2021,'РЕЕСТР РИСКОВ_2023'!AE317,IF('INHERENT MAP'!$B$5=2022,#REF!,IF('INHERENT MAP'!$B$5=2023,#REF!,IF('INHERENT MAP'!$B$5=2024,#REF!,#REF!))))</f>
        <v>0</v>
      </c>
      <c r="AA277">
        <f>IF('INHERENT MAP'!$B$5=2021,'РЕЕСТР РИСКОВ_2023'!AF317,IF('INHERENT MAP'!$B$5=2022,#REF!,IF('INHERENT MAP'!$B$5=2023,#REF!,IF('INHERENT MAP'!$B$5=2024,#REF!,#REF!))))</f>
        <v>0</v>
      </c>
      <c r="AB277">
        <f>IF('INHERENT MAP'!$B$5=2021,'РЕЕСТР РИСКОВ_2023'!AG317,IF('INHERENT MAP'!$B$5=2022,#REF!,IF('INHERENT MAP'!$B$5=2023,#REF!,IF('INHERENT MAP'!$B$5=2024,#REF!,#REF!))))</f>
        <v>0</v>
      </c>
      <c r="AC277">
        <f>IF('INHERENT MAP'!$B$5=2021,'РЕЕСТР РИСКОВ_2023'!AH317,IF('INHERENT MAP'!$B$5=2022,#REF!,IF('INHERENT MAP'!$B$5=2023,#REF!,IF('INHERENT MAP'!$B$5=2024,#REF!,#REF!))))</f>
        <v>0</v>
      </c>
      <c r="AD277">
        <f>IF('INHERENT MAP'!$B$5=2021,'РЕЕСТР РИСКОВ_2023'!AI317,IF('INHERENT MAP'!$B$5=2022,#REF!,IF('INHERENT MAP'!$B$5=2023,#REF!,IF('INHERENT MAP'!$B$5=2024,#REF!,#REF!))))</f>
        <v>0</v>
      </c>
      <c r="AE277">
        <f>IF('INHERENT MAP'!$B$5=2021,'РЕЕСТР РИСКОВ_2023'!AK317,IF('INHERENT MAP'!$B$5=2022,#REF!,IF('INHERENT MAP'!$B$5=2023,#REF!,IF('INHERENT MAP'!$B$5=2024,#REF!,#REF!))))</f>
        <v>0</v>
      </c>
      <c r="AF277">
        <f>IF('INHERENT MAP'!$B$5=2021,'РЕЕСТР РИСКОВ_2023'!AL317,IF('INHERENT MAP'!$B$5=2022,#REF!,IF('INHERENT MAP'!$B$5=2023,#REF!,IF('INHERENT MAP'!$B$5=2024,#REF!,#REF!))))</f>
        <v>0</v>
      </c>
      <c r="AG277">
        <f>IF('INHERENT MAP'!$B$5=2021,'РЕЕСТР РИСКОВ_2023'!AM317,IF('INHERENT MAP'!$B$5=2022,#REF!,IF('INHERENT MAP'!$B$5=2023,#REF!,IF('INHERENT MAP'!$B$5=2024,#REF!,#REF!))))</f>
        <v>0</v>
      </c>
      <c r="AH277">
        <f>IF('INHERENT MAP'!$B$5=2021,'РЕЕСТР РИСКОВ_2023'!AN317,IF('INHERENT MAP'!$B$5=2022,#REF!,IF('INHERENT MAP'!$B$5=2023,#REF!,IF('INHERENT MAP'!$B$5=2024,#REF!,#REF!))))</f>
        <v>0</v>
      </c>
      <c r="AI277">
        <f>IF('INHERENT MAP'!$B$5=2021,'РЕЕСТР РИСКОВ_2023'!AO317,IF('INHERENT MAP'!$B$5=2022,#REF!,IF('INHERENT MAP'!$B$5=2023,#REF!,IF('INHERENT MAP'!$B$5=2024,#REF!,#REF!))))</f>
        <v>0</v>
      </c>
      <c r="AJ277">
        <f>IF('INHERENT MAP'!$B$5=2021,'РЕЕСТР РИСКОВ_2023'!AP317,IF('INHERENT MAP'!$B$5=2022,#REF!,IF('INHERENT MAP'!$B$5=2023,#REF!,IF('INHERENT MAP'!$B$5=2024,#REF!,#REF!))))</f>
        <v>0</v>
      </c>
      <c r="AK277">
        <f>IF('РЕЕСТР РИСКОВ_2023'!AQ317="",AK276,'РЕЕСТР РИСКОВ_2023'!AQ317)</f>
        <v>-216</v>
      </c>
      <c r="AL277">
        <f>IF('РЕЕСТР РИСКОВ_2023'!AR317="",AL276,'РЕЕСТР РИСКОВ_2023'!AR317)</f>
        <v>0.12</v>
      </c>
      <c r="AM277" t="str">
        <f>IF('РЕЕСТР РИСКОВ_2023'!AS317="",AM276,'РЕЕСТР РИСКОВ_2023'!AS317)</f>
        <v>стоп</v>
      </c>
      <c r="AN277" t="str">
        <f>IF('РЕЕСТР РИСКОВ_2023'!AT317="",AN276,'РЕЕСТР РИСКОВ_2023'!AT317)</f>
        <v>стоп</v>
      </c>
      <c r="AO277" t="e">
        <f>IF('РЕЕСТР РИСКОВ_2023'!AU317="",AO276,'РЕЕСТР РИСКОВ_2023'!AU317)</f>
        <v>#REF!</v>
      </c>
    </row>
    <row r="278" spans="2:41">
      <c r="B278" t="str">
        <f>IF('INHERENT MAP'!$B$5=2021,IF('РЕЕСТР РИСКОВ_2023'!F318="",B277,'РЕЕСТР РИСКОВ_2023'!F318),IF('INHERENT MAP'!$B$5=2022,IF(#REF!="",B277,#REF!),IF('INHERENT MAP'!$B$5=2023,IF(#REF!="",B277,#REF!),IF('INHERENT MAP'!$B$5=2024,IF(#REF!="",B277,#REF!),IF('РЕЕСТР РИСКОВ_2023'!F318="",B277,'РЕЕСТР РИСКОВ_2023'!F318)))))</f>
        <v>ПРОЦЕНТНЫЙ РИСК</v>
      </c>
      <c r="C278" t="e">
        <f>IF('INHERENT MAP'!$B$5=2021,IF('РЕЕСТР РИСКОВ_2023'!G318="",C277,'РЕЕСТР РИСКОВ_2023'!G318),IF('INHERENT MAP'!$B$5=2022,IF(#REF!="",C277,#REF!),IF('INHERENT MAP'!$B$5=2023,IF(#REF!="",C277,#REF!),IF('INHERENT MAP'!$B$5=2024,IF(#REF!="",C277,#REF!),IF('РЕЕСТР РИСКОВ_2023'!G318="",C277,'РЕЕСТР РИСКОВ_2023'!G318)))))</f>
        <v>#REF!</v>
      </c>
      <c r="D278" t="str">
        <f>IF('INHERENT MAP'!$B$5=2021,IF('РЕЕСТР РИСКОВ_2023'!H318="",D277,'РЕЕСТР РИСКОВ_2023'!H318),IF('INHERENT MAP'!$B$5=2022,IF(#REF!="",D277,#REF!),IF('INHERENT MAP'!$B$5=2023,IF(#REF!="",D277,#REF!),IF('INHERENT MAP'!$B$5=2024,IF(#REF!="",D277,#REF!),IF('РЕЕСТР РИСКОВ_2023'!H318="",D277,'РЕЕСТР РИСКОВ_2023'!H318)))))</f>
        <v>IRR-1</v>
      </c>
      <c r="E278" t="str">
        <f>IF('INHERENT MAP'!$B$5=2021,IF('РЕЕСТР РИСКОВ_2023'!I318="",E277,'РЕЕСТР РИСКОВ_2023'!I318),IF('INHERENT MAP'!$B$5=2022,IF(#REF!="",E277,#REF!),IF('INHERENT MAP'!$B$5=2023,IF(#REF!="",E277,#REF!),IF('INHERENT MAP'!$B$5=2024,IF(#REF!="",E277,#REF!),IF('РЕЕСТР РИСКОВ_2023'!I318="",E277,'РЕЕСТР РИСКОВ_2023'!I318)))))</f>
        <v>ЦЗФ</v>
      </c>
      <c r="F278" t="str">
        <f>IF('INHERENT MAP'!$B$5=2021,IF('РЕЕСТР РИСКОВ_2023'!J318="",F277,'РЕЕСТР РИСКОВ_2023'!J318),IF('INHERENT MAP'!$B$5=2022,IF(#REF!="",F277,#REF!),IF('INHERENT MAP'!$B$5=2023,IF(#REF!="",F277,#REF!),IF('INHERENT MAP'!$B$5=2024,IF(#REF!="",F277,#REF!),IF('РЕЕСТР РИСКОВ_2023'!J318="",F277,'РЕЕСТР РИСКОВ_2023'!J318)))))</f>
        <v>Цзайм</v>
      </c>
      <c r="G278" t="str">
        <f>IF('INHERENT MAP'!$B$5=2021,IF('РЕЕСТР РИСКОВ_2023'!K318="",G277,'РЕЕСТР РИСКОВ_2023'!K318),IF('INHERENT MAP'!$B$5=2022,IF(#REF!="",G277,#REF!),IF('INHERENT MAP'!$B$5=2023,IF(#REF!="",G277,#REF!),IF('INHERENT MAP'!$B$5=2024,IF(#REF!="",G277,#REF!),IF('РЕЕСТР РИСКОВ_2023'!K318="",G277,'РЕЕСТР РИСКОВ_2023'!K318)))))</f>
        <v>Увеличение расходов по процентам на новые займы, а также текущие займы (с плавающей ставкой) в тенге.</v>
      </c>
      <c r="H278">
        <f>IF('INHERENT MAP'!$B$5=2021,'РЕЕСТР РИСКОВ_2023'!L318,IF('INHERENT MAP'!$B$5=2022,#REF!,IF('INHERENT MAP'!$B$5=2023,#REF!,IF('INHERENT MAP'!$B$5=2024,#REF!,#REF!))))</f>
        <v>0</v>
      </c>
      <c r="I278">
        <f>IF('INHERENT MAP'!$B$5=2021,'РЕЕСТР РИСКОВ_2023'!M318,IF('INHERENT MAP'!$B$5=2022,#REF!,IF('INHERENT MAP'!$B$5=2023,#REF!,IF('INHERENT MAP'!$B$5=2024,#REF!,#REF!))))</f>
        <v>0</v>
      </c>
      <c r="J278">
        <f>IF('INHERENT MAP'!$B$5=2021,'РЕЕСТР РИСКОВ_2023'!N318,IF('INHERENT MAP'!$B$5=2022,#REF!,IF('INHERENT MAP'!$B$5=2023,#REF!,IF('INHERENT MAP'!$B$5=2024,#REF!,#REF!))))</f>
        <v>0</v>
      </c>
      <c r="K278">
        <f>IF('INHERENT MAP'!$B$5=2021,'РЕЕСТР РИСКОВ_2023'!O318,IF('INHERENT MAP'!$B$5=2022,#REF!,IF('INHERENT MAP'!$B$5=2023,#REF!,IF('INHERENT MAP'!$B$5=2024,#REF!,#REF!))))</f>
        <v>0</v>
      </c>
      <c r="L278">
        <f>IF('INHERENT MAP'!$B$5=2021,'РЕЕСТР РИСКОВ_2023'!P318,IF('INHERENT MAP'!$B$5=2022,#REF!,IF('INHERENT MAP'!$B$5=2023,#REF!,IF('INHERENT MAP'!$B$5=2024,#REF!,#REF!))))</f>
        <v>0</v>
      </c>
      <c r="M278" t="str">
        <f>IF('INHERENT MAP'!$B$5=2021,IF('РЕЕСТР РИСКОВ_2023'!Q318="",M277,'РЕЕСТР РИСКОВ_2023'!Q318),IF('INHERENT MAP'!$B$5=2022,IF(#REF!="",M277,#REF!),IF('INHERENT MAP'!$B$5=2023,IF(#REF!="",M277,#REF!),IF('INHERENT MAP'!$B$5=2024,IF(#REF!="",M277,#REF!),IF('РЕЕСТР РИСКОВ_2023'!Q318="",M277,'РЕЕСТР РИСКОВ_2023'!Q318)))))</f>
        <v>Увеличение базовой ставки Национального банка Республики Казахстан до 16%</v>
      </c>
      <c r="N278" t="str">
        <f>IF('INHERENT MAP'!$B$5=2021,IF('РЕЕСТР РИСКОВ_2023'!R318="",N277,'РЕЕСТР РИСКОВ_2023'!R318),IF('INHERENT MAP'!$B$5=2022,IF(#REF!="",N277,#REF!),IF('INHERENT MAP'!$B$5=2023,IF(#REF!="",N277,#REF!),IF('INHERENT MAP'!$B$5=2024,IF(#REF!="",N277,#REF!),IF('РЕЕСТР РИСКОВ_2023'!R318="",N277,'РЕЕСТР РИСКОВ_2023'!R318)))))</f>
        <v>Рецессия экономики европейских стран</v>
      </c>
      <c r="O278">
        <f>'РЕЕСТР РИСКОВ_2023'!T318</f>
        <v>0</v>
      </c>
      <c r="P278" t="e">
        <f>IF('РЕЕСТР РИСКОВ_2023'!U318="",P277,'РЕЕСТР РИСКОВ_2023'!U318)</f>
        <v>#REF!</v>
      </c>
      <c r="Q278" t="str">
        <f>IF('РЕЕСТР РИСКОВ_2023'!V318="",Q277,'РЕЕСТР РИСКОВ_2023'!V318)</f>
        <v>Угрозы</v>
      </c>
      <c r="R278" t="e">
        <f>IF('РЕЕСТР РИСКОВ_2023'!W318="",R277,'РЕЕСТР РИСКОВ_2023'!W318)</f>
        <v>#REF!</v>
      </c>
      <c r="S278">
        <f>'РЕЕСТР РИСКОВ_2023'!X318</f>
        <v>0</v>
      </c>
      <c r="T278" s="94">
        <f>IF('INHERENT MAP'!$B$5=2021,'РЕЕСТР РИСКОВ_2023'!Y318,IF('INHERENT MAP'!$B$5=2022,#REF!,IF('INHERENT MAP'!$B$5=2023,#REF!,IF('INHERENT MAP'!$B$5=2024,#REF!,#REF!))))</f>
        <v>0</v>
      </c>
      <c r="U278">
        <f>IF('INHERENT MAP'!$B$5=2021,'РЕЕСТР РИСКОВ_2023'!Z318,IF('INHERENT MAP'!$B$5=2022,#REF!,IF('INHERENT MAP'!$B$5=2023,#REF!,IF('INHERENT MAP'!$B$5=2024,#REF!,#REF!))))</f>
        <v>0</v>
      </c>
      <c r="V278">
        <f>IF('INHERENT MAP'!$B$5=2021,'РЕЕСТР РИСКОВ_2023'!AA318,IF('INHERENT MAP'!$B$5=2022,#REF!,IF('INHERENT MAP'!$B$5=2023,#REF!,IF('INHERENT MAP'!$B$5=2024,#REF!,#REF!))))</f>
        <v>0</v>
      </c>
      <c r="W278">
        <f>IF('INHERENT MAP'!$B$5=2021,'РЕЕСТР РИСКОВ_2023'!AB318,IF('INHERENT MAP'!$B$5=2022,#REF!,IF('INHERENT MAP'!$B$5=2023,#REF!,IF('INHERENT MAP'!$B$5=2024,#REF!,#REF!))))</f>
        <v>0</v>
      </c>
      <c r="X278" s="94">
        <f>IF('INHERENT MAP'!$B$5=2021,'РЕЕСТР РИСКОВ_2023'!AC318,IF('INHERENT MAP'!$B$5=2022,#REF!,IF('INHERENT MAP'!$B$5=2023,#REF!,IF('INHERENT MAP'!$B$5=2024,#REF!,#REF!))))</f>
        <v>0</v>
      </c>
      <c r="Y278">
        <f>IF('INHERENT MAP'!$B$5=2021,'РЕЕСТР РИСКОВ_2023'!AD318,IF('INHERENT MAP'!$B$5=2022,#REF!,IF('INHERENT MAP'!$B$5=2023,#REF!,IF('INHERENT MAP'!$B$5=2024,#REF!,#REF!))))</f>
        <v>0</v>
      </c>
      <c r="Z278">
        <f>IF('INHERENT MAP'!$B$5=2021,'РЕЕСТР РИСКОВ_2023'!AE318,IF('INHERENT MAP'!$B$5=2022,#REF!,IF('INHERENT MAP'!$B$5=2023,#REF!,IF('INHERENT MAP'!$B$5=2024,#REF!,#REF!))))</f>
        <v>0</v>
      </c>
      <c r="AA278">
        <f>IF('INHERENT MAP'!$B$5=2021,'РЕЕСТР РИСКОВ_2023'!AF318,IF('INHERENT MAP'!$B$5=2022,#REF!,IF('INHERENT MAP'!$B$5=2023,#REF!,IF('INHERENT MAP'!$B$5=2024,#REF!,#REF!))))</f>
        <v>0</v>
      </c>
      <c r="AB278">
        <f>IF('INHERENT MAP'!$B$5=2021,'РЕЕСТР РИСКОВ_2023'!AG318,IF('INHERENT MAP'!$B$5=2022,#REF!,IF('INHERENT MAP'!$B$5=2023,#REF!,IF('INHERENT MAP'!$B$5=2024,#REF!,#REF!))))</f>
        <v>0</v>
      </c>
      <c r="AC278">
        <f>IF('INHERENT MAP'!$B$5=2021,'РЕЕСТР РИСКОВ_2023'!AH318,IF('INHERENT MAP'!$B$5=2022,#REF!,IF('INHERENT MAP'!$B$5=2023,#REF!,IF('INHERENT MAP'!$B$5=2024,#REF!,#REF!))))</f>
        <v>0</v>
      </c>
      <c r="AD278">
        <f>IF('INHERENT MAP'!$B$5=2021,'РЕЕСТР РИСКОВ_2023'!AI318,IF('INHERENT MAP'!$B$5=2022,#REF!,IF('INHERENT MAP'!$B$5=2023,#REF!,IF('INHERENT MAP'!$B$5=2024,#REF!,#REF!))))</f>
        <v>0</v>
      </c>
      <c r="AE278">
        <f>IF('INHERENT MAP'!$B$5=2021,'РЕЕСТР РИСКОВ_2023'!AK318,IF('INHERENT MAP'!$B$5=2022,#REF!,IF('INHERENT MAP'!$B$5=2023,#REF!,IF('INHERENT MAP'!$B$5=2024,#REF!,#REF!))))</f>
        <v>0</v>
      </c>
      <c r="AF278">
        <f>IF('INHERENT MAP'!$B$5=2021,'РЕЕСТР РИСКОВ_2023'!AL318,IF('INHERENT MAP'!$B$5=2022,#REF!,IF('INHERENT MAP'!$B$5=2023,#REF!,IF('INHERENT MAP'!$B$5=2024,#REF!,#REF!))))</f>
        <v>0</v>
      </c>
      <c r="AG278">
        <f>IF('INHERENT MAP'!$B$5=2021,'РЕЕСТР РИСКОВ_2023'!AM318,IF('INHERENT MAP'!$B$5=2022,#REF!,IF('INHERENT MAP'!$B$5=2023,#REF!,IF('INHERENT MAP'!$B$5=2024,#REF!,#REF!))))</f>
        <v>0</v>
      </c>
      <c r="AH278">
        <f>IF('INHERENT MAP'!$B$5=2021,'РЕЕСТР РИСКОВ_2023'!AN318,IF('INHERENT MAP'!$B$5=2022,#REF!,IF('INHERENT MAP'!$B$5=2023,#REF!,IF('INHERENT MAP'!$B$5=2024,#REF!,#REF!))))</f>
        <v>0</v>
      </c>
      <c r="AI278">
        <f>IF('INHERENT MAP'!$B$5=2021,'РЕЕСТР РИСКОВ_2023'!AO318,IF('INHERENT MAP'!$B$5=2022,#REF!,IF('INHERENT MAP'!$B$5=2023,#REF!,IF('INHERENT MAP'!$B$5=2024,#REF!,#REF!))))</f>
        <v>0</v>
      </c>
      <c r="AJ278">
        <f>IF('INHERENT MAP'!$B$5=2021,'РЕЕСТР РИСКОВ_2023'!AP318,IF('INHERENT MAP'!$B$5=2022,#REF!,IF('INHERENT MAP'!$B$5=2023,#REF!,IF('INHERENT MAP'!$B$5=2024,#REF!,#REF!))))</f>
        <v>0</v>
      </c>
      <c r="AK278">
        <f>IF('РЕЕСТР РИСКОВ_2023'!AQ318="",AK277,'РЕЕСТР РИСКОВ_2023'!AQ318)</f>
        <v>-216</v>
      </c>
      <c r="AL278">
        <f>IF('РЕЕСТР РИСКОВ_2023'!AR318="",AL277,'РЕЕСТР РИСКОВ_2023'!AR318)</f>
        <v>0.12</v>
      </c>
      <c r="AM278" t="str">
        <f>IF('РЕЕСТР РИСКОВ_2023'!AS318="",AM277,'РЕЕСТР РИСКОВ_2023'!AS318)</f>
        <v>стоп</v>
      </c>
      <c r="AN278" t="str">
        <f>IF('РЕЕСТР РИСКОВ_2023'!AT318="",AN277,'РЕЕСТР РИСКОВ_2023'!AT318)</f>
        <v>стоп</v>
      </c>
      <c r="AO278" t="e">
        <f>IF('РЕЕСТР РИСКОВ_2023'!AU318="",AO277,'РЕЕСТР РИСКОВ_2023'!AU318)</f>
        <v>#REF!</v>
      </c>
    </row>
    <row r="279" spans="2:41">
      <c r="B279" t="str">
        <f>IF('INHERENT MAP'!$B$5=2021,IF('РЕЕСТР РИСКОВ_2023'!F319="",B278,'РЕЕСТР РИСКОВ_2023'!F319),IF('INHERENT MAP'!$B$5=2022,IF(#REF!="",B278,#REF!),IF('INHERENT MAP'!$B$5=2023,IF(#REF!="",B278,#REF!),IF('INHERENT MAP'!$B$5=2024,IF(#REF!="",B278,#REF!),IF('РЕЕСТР РИСКОВ_2023'!F319="",B278,'РЕЕСТР РИСКОВ_2023'!F319)))))</f>
        <v>ПРОЦЕНТНЫЙ РИСК</v>
      </c>
      <c r="C279" t="e">
        <f>IF('INHERENT MAP'!$B$5=2021,IF('РЕЕСТР РИСКОВ_2023'!G319="",C278,'РЕЕСТР РИСКОВ_2023'!G319),IF('INHERENT MAP'!$B$5=2022,IF(#REF!="",C278,#REF!),IF('INHERENT MAP'!$B$5=2023,IF(#REF!="",C278,#REF!),IF('INHERENT MAP'!$B$5=2024,IF(#REF!="",C278,#REF!),IF('РЕЕСТР РИСКОВ_2023'!G319="",C278,'РЕЕСТР РИСКОВ_2023'!G319)))))</f>
        <v>#REF!</v>
      </c>
      <c r="D279" t="str">
        <f>IF('INHERENT MAP'!$B$5=2021,IF('РЕЕСТР РИСКОВ_2023'!H319="",D278,'РЕЕСТР РИСКОВ_2023'!H319),IF('INHERENT MAP'!$B$5=2022,IF(#REF!="",D278,#REF!),IF('INHERENT MAP'!$B$5=2023,IF(#REF!="",D278,#REF!),IF('INHERENT MAP'!$B$5=2024,IF(#REF!="",D278,#REF!),IF('РЕЕСТР РИСКОВ_2023'!H319="",D278,'РЕЕСТР РИСКОВ_2023'!H319)))))</f>
        <v>IRR-1</v>
      </c>
      <c r="E279" t="str">
        <f>IF('INHERENT MAP'!$B$5=2021,IF('РЕЕСТР РИСКОВ_2023'!I319="",E278,'РЕЕСТР РИСКОВ_2023'!I319),IF('INHERENT MAP'!$B$5=2022,IF(#REF!="",E278,#REF!),IF('INHERENT MAP'!$B$5=2023,IF(#REF!="",E278,#REF!),IF('INHERENT MAP'!$B$5=2024,IF(#REF!="",E278,#REF!),IF('РЕЕСТР РИСКОВ_2023'!I319="",E278,'РЕЕСТР РИСКОВ_2023'!I319)))))</f>
        <v>ЦЗФ</v>
      </c>
      <c r="F279" t="str">
        <f>IF('INHERENT MAP'!$B$5=2021,IF('РЕЕСТР РИСКОВ_2023'!J319="",F278,'РЕЕСТР РИСКОВ_2023'!J319),IF('INHERENT MAP'!$B$5=2022,IF(#REF!="",F278,#REF!),IF('INHERENT MAP'!$B$5=2023,IF(#REF!="",F278,#REF!),IF('INHERENT MAP'!$B$5=2024,IF(#REF!="",F278,#REF!),IF('РЕЕСТР РИСКОВ_2023'!J319="",F278,'РЕЕСТР РИСКОВ_2023'!J319)))))</f>
        <v>Цзайм</v>
      </c>
      <c r="G279" t="str">
        <f>IF('INHERENT MAP'!$B$5=2021,IF('РЕЕСТР РИСКОВ_2023'!K319="",G278,'РЕЕСТР РИСКОВ_2023'!K319),IF('INHERENT MAP'!$B$5=2022,IF(#REF!="",G278,#REF!),IF('INHERENT MAP'!$B$5=2023,IF(#REF!="",G278,#REF!),IF('INHERENT MAP'!$B$5=2024,IF(#REF!="",G278,#REF!),IF('РЕЕСТР РИСКОВ_2023'!K319="",G278,'РЕЕСТР РИСКОВ_2023'!K319)))))</f>
        <v>Увеличение расходов по процентам на новые займы, а также текущие займы (с плавающей ставкой) в тенге.</v>
      </c>
      <c r="H279">
        <f>IF('INHERENT MAP'!$B$5=2021,'РЕЕСТР РИСКОВ_2023'!L319,IF('INHERENT MAP'!$B$5=2022,#REF!,IF('INHERENT MAP'!$B$5=2023,#REF!,IF('INHERENT MAP'!$B$5=2024,#REF!,#REF!))))</f>
        <v>0</v>
      </c>
      <c r="I279">
        <f>IF('INHERENT MAP'!$B$5=2021,'РЕЕСТР РИСКОВ_2023'!M319,IF('INHERENT MAP'!$B$5=2022,#REF!,IF('INHERENT MAP'!$B$5=2023,#REF!,IF('INHERENT MAP'!$B$5=2024,#REF!,#REF!))))</f>
        <v>0</v>
      </c>
      <c r="J279">
        <f>IF('INHERENT MAP'!$B$5=2021,'РЕЕСТР РИСКОВ_2023'!N319,IF('INHERENT MAP'!$B$5=2022,#REF!,IF('INHERENT MAP'!$B$5=2023,#REF!,IF('INHERENT MAP'!$B$5=2024,#REF!,#REF!))))</f>
        <v>0</v>
      </c>
      <c r="K279">
        <f>IF('INHERENT MAP'!$B$5=2021,'РЕЕСТР РИСКОВ_2023'!O319,IF('INHERENT MAP'!$B$5=2022,#REF!,IF('INHERENT MAP'!$B$5=2023,#REF!,IF('INHERENT MAP'!$B$5=2024,#REF!,#REF!))))</f>
        <v>0</v>
      </c>
      <c r="L279">
        <f>IF('INHERENT MAP'!$B$5=2021,'РЕЕСТР РИСКОВ_2023'!P319,IF('INHERENT MAP'!$B$5=2022,#REF!,IF('INHERENT MAP'!$B$5=2023,#REF!,IF('INHERENT MAP'!$B$5=2024,#REF!,#REF!))))</f>
        <v>0</v>
      </c>
      <c r="M279" t="str">
        <f>IF('INHERENT MAP'!$B$5=2021,IF('РЕЕСТР РИСКОВ_2023'!Q319="",M278,'РЕЕСТР РИСКОВ_2023'!Q319),IF('INHERENT MAP'!$B$5=2022,IF(#REF!="",M278,#REF!),IF('INHERENT MAP'!$B$5=2023,IF(#REF!="",M278,#REF!),IF('INHERENT MAP'!$B$5=2024,IF(#REF!="",M278,#REF!),IF('РЕЕСТР РИСКОВ_2023'!Q319="",M278,'РЕЕСТР РИСКОВ_2023'!Q319)))))</f>
        <v>Увеличение базовой ставки Национального банка Республики Казахстан до 16%</v>
      </c>
      <c r="N279" t="str">
        <f>IF('INHERENT MAP'!$B$5=2021,IF('РЕЕСТР РИСКОВ_2023'!R319="",N278,'РЕЕСТР РИСКОВ_2023'!R319),IF('INHERENT MAP'!$B$5=2022,IF(#REF!="",N278,#REF!),IF('INHERENT MAP'!$B$5=2023,IF(#REF!="",N278,#REF!),IF('INHERENT MAP'!$B$5=2024,IF(#REF!="",N278,#REF!),IF('РЕЕСТР РИСКОВ_2023'!R319="",N278,'РЕЕСТР РИСКОВ_2023'!R319)))))</f>
        <v>Рецессия экономики европейских стран</v>
      </c>
      <c r="O279">
        <f>'РЕЕСТР РИСКОВ_2023'!T319</f>
        <v>0</v>
      </c>
      <c r="P279" t="e">
        <f>IF('РЕЕСТР РИСКОВ_2023'!U319="",P278,'РЕЕСТР РИСКОВ_2023'!U319)</f>
        <v>#REF!</v>
      </c>
      <c r="Q279" t="str">
        <f>IF('РЕЕСТР РИСКОВ_2023'!V319="",Q278,'РЕЕСТР РИСКОВ_2023'!V319)</f>
        <v>Угрозы</v>
      </c>
      <c r="R279" t="e">
        <f>IF('РЕЕСТР РИСКОВ_2023'!W319="",R278,'РЕЕСТР РИСКОВ_2023'!W319)</f>
        <v>#REF!</v>
      </c>
      <c r="S279">
        <f>'РЕЕСТР РИСКОВ_2023'!X319</f>
        <v>0</v>
      </c>
      <c r="T279" s="94">
        <f>IF('INHERENT MAP'!$B$5=2021,'РЕЕСТР РИСКОВ_2023'!Y319,IF('INHERENT MAP'!$B$5=2022,#REF!,IF('INHERENT MAP'!$B$5=2023,#REF!,IF('INHERENT MAP'!$B$5=2024,#REF!,#REF!))))</f>
        <v>0</v>
      </c>
      <c r="U279">
        <f>IF('INHERENT MAP'!$B$5=2021,'РЕЕСТР РИСКОВ_2023'!Z319,IF('INHERENT MAP'!$B$5=2022,#REF!,IF('INHERENT MAP'!$B$5=2023,#REF!,IF('INHERENT MAP'!$B$5=2024,#REF!,#REF!))))</f>
        <v>0</v>
      </c>
      <c r="V279">
        <f>IF('INHERENT MAP'!$B$5=2021,'РЕЕСТР РИСКОВ_2023'!AA319,IF('INHERENT MAP'!$B$5=2022,#REF!,IF('INHERENT MAP'!$B$5=2023,#REF!,IF('INHERENT MAP'!$B$5=2024,#REF!,#REF!))))</f>
        <v>0</v>
      </c>
      <c r="W279">
        <f>IF('INHERENT MAP'!$B$5=2021,'РЕЕСТР РИСКОВ_2023'!AB319,IF('INHERENT MAP'!$B$5=2022,#REF!,IF('INHERENT MAP'!$B$5=2023,#REF!,IF('INHERENT MAP'!$B$5=2024,#REF!,#REF!))))</f>
        <v>0</v>
      </c>
      <c r="X279" s="94">
        <f>IF('INHERENT MAP'!$B$5=2021,'РЕЕСТР РИСКОВ_2023'!AC319,IF('INHERENT MAP'!$B$5=2022,#REF!,IF('INHERENT MAP'!$B$5=2023,#REF!,IF('INHERENT MAP'!$B$5=2024,#REF!,#REF!))))</f>
        <v>0</v>
      </c>
      <c r="Y279">
        <f>IF('INHERENT MAP'!$B$5=2021,'РЕЕСТР РИСКОВ_2023'!AD319,IF('INHERENT MAP'!$B$5=2022,#REF!,IF('INHERENT MAP'!$B$5=2023,#REF!,IF('INHERENT MAP'!$B$5=2024,#REF!,#REF!))))</f>
        <v>0</v>
      </c>
      <c r="Z279">
        <f>IF('INHERENT MAP'!$B$5=2021,'РЕЕСТР РИСКОВ_2023'!AE319,IF('INHERENT MAP'!$B$5=2022,#REF!,IF('INHERENT MAP'!$B$5=2023,#REF!,IF('INHERENT MAP'!$B$5=2024,#REF!,#REF!))))</f>
        <v>0</v>
      </c>
      <c r="AA279">
        <f>IF('INHERENT MAP'!$B$5=2021,'РЕЕСТР РИСКОВ_2023'!AF319,IF('INHERENT MAP'!$B$5=2022,#REF!,IF('INHERENT MAP'!$B$5=2023,#REF!,IF('INHERENT MAP'!$B$5=2024,#REF!,#REF!))))</f>
        <v>0</v>
      </c>
      <c r="AB279">
        <f>IF('INHERENT MAP'!$B$5=2021,'РЕЕСТР РИСКОВ_2023'!AG319,IF('INHERENT MAP'!$B$5=2022,#REF!,IF('INHERENT MAP'!$B$5=2023,#REF!,IF('INHERENT MAP'!$B$5=2024,#REF!,#REF!))))</f>
        <v>0</v>
      </c>
      <c r="AC279">
        <f>IF('INHERENT MAP'!$B$5=2021,'РЕЕСТР РИСКОВ_2023'!AH319,IF('INHERENT MAP'!$B$5=2022,#REF!,IF('INHERENT MAP'!$B$5=2023,#REF!,IF('INHERENT MAP'!$B$5=2024,#REF!,#REF!))))</f>
        <v>0</v>
      </c>
      <c r="AD279">
        <f>IF('INHERENT MAP'!$B$5=2021,'РЕЕСТР РИСКОВ_2023'!AI319,IF('INHERENT MAP'!$B$5=2022,#REF!,IF('INHERENT MAP'!$B$5=2023,#REF!,IF('INHERENT MAP'!$B$5=2024,#REF!,#REF!))))</f>
        <v>0</v>
      </c>
      <c r="AE279">
        <f>IF('INHERENT MAP'!$B$5=2021,'РЕЕСТР РИСКОВ_2023'!AK319,IF('INHERENT MAP'!$B$5=2022,#REF!,IF('INHERENT MAP'!$B$5=2023,#REF!,IF('INHERENT MAP'!$B$5=2024,#REF!,#REF!))))</f>
        <v>0</v>
      </c>
      <c r="AF279">
        <f>IF('INHERENT MAP'!$B$5=2021,'РЕЕСТР РИСКОВ_2023'!AL319,IF('INHERENT MAP'!$B$5=2022,#REF!,IF('INHERENT MAP'!$B$5=2023,#REF!,IF('INHERENT MAP'!$B$5=2024,#REF!,#REF!))))</f>
        <v>0</v>
      </c>
      <c r="AG279">
        <f>IF('INHERENT MAP'!$B$5=2021,'РЕЕСТР РИСКОВ_2023'!AM319,IF('INHERENT MAP'!$B$5=2022,#REF!,IF('INHERENT MAP'!$B$5=2023,#REF!,IF('INHERENT MAP'!$B$5=2024,#REF!,#REF!))))</f>
        <v>0</v>
      </c>
      <c r="AH279">
        <f>IF('INHERENT MAP'!$B$5=2021,'РЕЕСТР РИСКОВ_2023'!AN319,IF('INHERENT MAP'!$B$5=2022,#REF!,IF('INHERENT MAP'!$B$5=2023,#REF!,IF('INHERENT MAP'!$B$5=2024,#REF!,#REF!))))</f>
        <v>0</v>
      </c>
      <c r="AI279">
        <f>IF('INHERENT MAP'!$B$5=2021,'РЕЕСТР РИСКОВ_2023'!AO319,IF('INHERENT MAP'!$B$5=2022,#REF!,IF('INHERENT MAP'!$B$5=2023,#REF!,IF('INHERENT MAP'!$B$5=2024,#REF!,#REF!))))</f>
        <v>0</v>
      </c>
      <c r="AJ279">
        <f>IF('INHERENT MAP'!$B$5=2021,'РЕЕСТР РИСКОВ_2023'!AP319,IF('INHERENT MAP'!$B$5=2022,#REF!,IF('INHERENT MAP'!$B$5=2023,#REF!,IF('INHERENT MAP'!$B$5=2024,#REF!,#REF!))))</f>
        <v>0</v>
      </c>
      <c r="AK279">
        <f>IF('РЕЕСТР РИСКОВ_2023'!AQ319="",AK278,'РЕЕСТР РИСКОВ_2023'!AQ319)</f>
        <v>-216</v>
      </c>
      <c r="AL279">
        <f>IF('РЕЕСТР РИСКОВ_2023'!AR319="",AL278,'РЕЕСТР РИСКОВ_2023'!AR319)</f>
        <v>0.12</v>
      </c>
      <c r="AM279" t="str">
        <f>IF('РЕЕСТР РИСКОВ_2023'!AS319="",AM278,'РЕЕСТР РИСКОВ_2023'!AS319)</f>
        <v>стоп</v>
      </c>
      <c r="AN279" t="str">
        <f>IF('РЕЕСТР РИСКОВ_2023'!AT319="",AN278,'РЕЕСТР РИСКОВ_2023'!AT319)</f>
        <v>стоп</v>
      </c>
      <c r="AO279" t="e">
        <f>IF('РЕЕСТР РИСКОВ_2023'!AU319="",AO278,'РЕЕСТР РИСКОВ_2023'!AU319)</f>
        <v>#REF!</v>
      </c>
    </row>
    <row r="280" spans="2:41">
      <c r="B280" t="str">
        <f>IF('INHERENT MAP'!$B$5=2021,IF('РЕЕСТР РИСКОВ_2023'!F320="",B279,'РЕЕСТР РИСКОВ_2023'!F320),IF('INHERENT MAP'!$B$5=2022,IF(#REF!="",B279,#REF!),IF('INHERENT MAP'!$B$5=2023,IF(#REF!="",B279,#REF!),IF('INHERENT MAP'!$B$5=2024,IF(#REF!="",B279,#REF!),IF('РЕЕСТР РИСКОВ_2023'!F320="",B279,'РЕЕСТР РИСКОВ_2023'!F320)))))</f>
        <v>ПРОЦЕНТНЫЙ РИСК</v>
      </c>
      <c r="C280" t="e">
        <f>IF('INHERENT MAP'!$B$5=2021,IF('РЕЕСТР РИСКОВ_2023'!G320="",C279,'РЕЕСТР РИСКОВ_2023'!G320),IF('INHERENT MAP'!$B$5=2022,IF(#REF!="",C279,#REF!),IF('INHERENT MAP'!$B$5=2023,IF(#REF!="",C279,#REF!),IF('INHERENT MAP'!$B$5=2024,IF(#REF!="",C279,#REF!),IF('РЕЕСТР РИСКОВ_2023'!G320="",C279,'РЕЕСТР РИСКОВ_2023'!G320)))))</f>
        <v>#REF!</v>
      </c>
      <c r="D280" t="str">
        <f>IF('INHERENT MAP'!$B$5=2021,IF('РЕЕСТР РИСКОВ_2023'!H320="",D279,'РЕЕСТР РИСКОВ_2023'!H320),IF('INHERENT MAP'!$B$5=2022,IF(#REF!="",D279,#REF!),IF('INHERENT MAP'!$B$5=2023,IF(#REF!="",D279,#REF!),IF('INHERENT MAP'!$B$5=2024,IF(#REF!="",D279,#REF!),IF('РЕЕСТР РИСКОВ_2023'!H320="",D279,'РЕЕСТР РИСКОВ_2023'!H320)))))</f>
        <v>IRR-1</v>
      </c>
      <c r="E280" t="str">
        <f>IF('INHERENT MAP'!$B$5=2021,IF('РЕЕСТР РИСКОВ_2023'!I320="",E279,'РЕЕСТР РИСКОВ_2023'!I320),IF('INHERENT MAP'!$B$5=2022,IF(#REF!="",E279,#REF!),IF('INHERENT MAP'!$B$5=2023,IF(#REF!="",E279,#REF!),IF('INHERENT MAP'!$B$5=2024,IF(#REF!="",E279,#REF!),IF('РЕЕСТР РИСКОВ_2023'!I320="",E279,'РЕЕСТР РИСКОВ_2023'!I320)))))</f>
        <v>ЦЗФ</v>
      </c>
      <c r="F280" t="str">
        <f>IF('INHERENT MAP'!$B$5=2021,IF('РЕЕСТР РИСКОВ_2023'!J320="",F279,'РЕЕСТР РИСКОВ_2023'!J320),IF('INHERENT MAP'!$B$5=2022,IF(#REF!="",F279,#REF!),IF('INHERENT MAP'!$B$5=2023,IF(#REF!="",F279,#REF!),IF('INHERENT MAP'!$B$5=2024,IF(#REF!="",F279,#REF!),IF('РЕЕСТР РИСКОВ_2023'!J320="",F279,'РЕЕСТР РИСКОВ_2023'!J320)))))</f>
        <v>Цзайм</v>
      </c>
      <c r="G280" t="str">
        <f>IF('INHERENT MAP'!$B$5=2021,IF('РЕЕСТР РИСКОВ_2023'!K320="",G279,'РЕЕСТР РИСКОВ_2023'!K320),IF('INHERENT MAP'!$B$5=2022,IF(#REF!="",G279,#REF!),IF('INHERENT MAP'!$B$5=2023,IF(#REF!="",G279,#REF!),IF('INHERENT MAP'!$B$5=2024,IF(#REF!="",G279,#REF!),IF('РЕЕСТР РИСКОВ_2023'!K320="",G279,'РЕЕСТР РИСКОВ_2023'!K320)))))</f>
        <v>Увеличение расходов по процентам на новые займы, а также текущие займы (с плавающей ставкой) в тенге.</v>
      </c>
      <c r="H280">
        <f>IF('INHERENT MAP'!$B$5=2021,'РЕЕСТР РИСКОВ_2023'!L320,IF('INHERENT MAP'!$B$5=2022,#REF!,IF('INHERENT MAP'!$B$5=2023,#REF!,IF('INHERENT MAP'!$B$5=2024,#REF!,#REF!))))</f>
        <v>0</v>
      </c>
      <c r="I280">
        <f>IF('INHERENT MAP'!$B$5=2021,'РЕЕСТР РИСКОВ_2023'!M320,IF('INHERENT MAP'!$B$5=2022,#REF!,IF('INHERENT MAP'!$B$5=2023,#REF!,IF('INHERENT MAP'!$B$5=2024,#REF!,#REF!))))</f>
        <v>0</v>
      </c>
      <c r="J280">
        <f>IF('INHERENT MAP'!$B$5=2021,'РЕЕСТР РИСКОВ_2023'!N320,IF('INHERENT MAP'!$B$5=2022,#REF!,IF('INHERENT MAP'!$B$5=2023,#REF!,IF('INHERENT MAP'!$B$5=2024,#REF!,#REF!))))</f>
        <v>0</v>
      </c>
      <c r="K280">
        <f>IF('INHERENT MAP'!$B$5=2021,'РЕЕСТР РИСКОВ_2023'!O320,IF('INHERENT MAP'!$B$5=2022,#REF!,IF('INHERENT MAP'!$B$5=2023,#REF!,IF('INHERENT MAP'!$B$5=2024,#REF!,#REF!))))</f>
        <v>0</v>
      </c>
      <c r="L280">
        <f>IF('INHERENT MAP'!$B$5=2021,'РЕЕСТР РИСКОВ_2023'!P320,IF('INHERENT MAP'!$B$5=2022,#REF!,IF('INHERENT MAP'!$B$5=2023,#REF!,IF('INHERENT MAP'!$B$5=2024,#REF!,#REF!))))</f>
        <v>0</v>
      </c>
      <c r="M280" t="str">
        <f>IF('INHERENT MAP'!$B$5=2021,IF('РЕЕСТР РИСКОВ_2023'!Q320="",M279,'РЕЕСТР РИСКОВ_2023'!Q320),IF('INHERENT MAP'!$B$5=2022,IF(#REF!="",M279,#REF!),IF('INHERENT MAP'!$B$5=2023,IF(#REF!="",M279,#REF!),IF('INHERENT MAP'!$B$5=2024,IF(#REF!="",M279,#REF!),IF('РЕЕСТР РИСКОВ_2023'!Q320="",M279,'РЕЕСТР РИСКОВ_2023'!Q320)))))</f>
        <v>Увеличение базовой ставки Национального банка Республики Казахстан до 16%</v>
      </c>
      <c r="N280" t="str">
        <f>IF('INHERENT MAP'!$B$5=2021,IF('РЕЕСТР РИСКОВ_2023'!R320="",N279,'РЕЕСТР РИСКОВ_2023'!R320),IF('INHERENT MAP'!$B$5=2022,IF(#REF!="",N279,#REF!),IF('INHERENT MAP'!$B$5=2023,IF(#REF!="",N279,#REF!),IF('INHERENT MAP'!$B$5=2024,IF(#REF!="",N279,#REF!),IF('РЕЕСТР РИСКОВ_2023'!R320="",N279,'РЕЕСТР РИСКОВ_2023'!R320)))))</f>
        <v>Рецессия экономики европейских стран</v>
      </c>
      <c r="O280">
        <f>'РЕЕСТР РИСКОВ_2023'!T320</f>
        <v>0</v>
      </c>
      <c r="P280" t="e">
        <f>IF('РЕЕСТР РИСКОВ_2023'!U320="",P279,'РЕЕСТР РИСКОВ_2023'!U320)</f>
        <v>#REF!</v>
      </c>
      <c r="Q280" t="str">
        <f>IF('РЕЕСТР РИСКОВ_2023'!V320="",Q279,'РЕЕСТР РИСКОВ_2023'!V320)</f>
        <v>Угрозы</v>
      </c>
      <c r="R280" t="e">
        <f>IF('РЕЕСТР РИСКОВ_2023'!W320="",R279,'РЕЕСТР РИСКОВ_2023'!W320)</f>
        <v>#REF!</v>
      </c>
      <c r="S280">
        <f>'РЕЕСТР РИСКОВ_2023'!X320</f>
        <v>0</v>
      </c>
      <c r="T280" s="94">
        <f>IF('INHERENT MAP'!$B$5=2021,'РЕЕСТР РИСКОВ_2023'!Y320,IF('INHERENT MAP'!$B$5=2022,#REF!,IF('INHERENT MAP'!$B$5=2023,#REF!,IF('INHERENT MAP'!$B$5=2024,#REF!,#REF!))))</f>
        <v>0</v>
      </c>
      <c r="U280">
        <f>IF('INHERENT MAP'!$B$5=2021,'РЕЕСТР РИСКОВ_2023'!Z320,IF('INHERENT MAP'!$B$5=2022,#REF!,IF('INHERENT MAP'!$B$5=2023,#REF!,IF('INHERENT MAP'!$B$5=2024,#REF!,#REF!))))</f>
        <v>0</v>
      </c>
      <c r="V280">
        <f>IF('INHERENT MAP'!$B$5=2021,'РЕЕСТР РИСКОВ_2023'!AA320,IF('INHERENT MAP'!$B$5=2022,#REF!,IF('INHERENT MAP'!$B$5=2023,#REF!,IF('INHERENT MAP'!$B$5=2024,#REF!,#REF!))))</f>
        <v>0</v>
      </c>
      <c r="W280">
        <f>IF('INHERENT MAP'!$B$5=2021,'РЕЕСТР РИСКОВ_2023'!AB320,IF('INHERENT MAP'!$B$5=2022,#REF!,IF('INHERENT MAP'!$B$5=2023,#REF!,IF('INHERENT MAP'!$B$5=2024,#REF!,#REF!))))</f>
        <v>0</v>
      </c>
      <c r="X280" s="94">
        <f>IF('INHERENT MAP'!$B$5=2021,'РЕЕСТР РИСКОВ_2023'!AC320,IF('INHERENT MAP'!$B$5=2022,#REF!,IF('INHERENT MAP'!$B$5=2023,#REF!,IF('INHERENT MAP'!$B$5=2024,#REF!,#REF!))))</f>
        <v>0</v>
      </c>
      <c r="Y280">
        <f>IF('INHERENT MAP'!$B$5=2021,'РЕЕСТР РИСКОВ_2023'!AD320,IF('INHERENT MAP'!$B$5=2022,#REF!,IF('INHERENT MAP'!$B$5=2023,#REF!,IF('INHERENT MAP'!$B$5=2024,#REF!,#REF!))))</f>
        <v>0</v>
      </c>
      <c r="Z280">
        <f>IF('INHERENT MAP'!$B$5=2021,'РЕЕСТР РИСКОВ_2023'!AE320,IF('INHERENT MAP'!$B$5=2022,#REF!,IF('INHERENT MAP'!$B$5=2023,#REF!,IF('INHERENT MAP'!$B$5=2024,#REF!,#REF!))))</f>
        <v>0</v>
      </c>
      <c r="AA280">
        <f>IF('INHERENT MAP'!$B$5=2021,'РЕЕСТР РИСКОВ_2023'!AF320,IF('INHERENT MAP'!$B$5=2022,#REF!,IF('INHERENT MAP'!$B$5=2023,#REF!,IF('INHERENT MAP'!$B$5=2024,#REF!,#REF!))))</f>
        <v>0</v>
      </c>
      <c r="AB280">
        <f>IF('INHERENT MAP'!$B$5=2021,'РЕЕСТР РИСКОВ_2023'!AG320,IF('INHERENT MAP'!$B$5=2022,#REF!,IF('INHERENT MAP'!$B$5=2023,#REF!,IF('INHERENT MAP'!$B$5=2024,#REF!,#REF!))))</f>
        <v>0</v>
      </c>
      <c r="AC280">
        <f>IF('INHERENT MAP'!$B$5=2021,'РЕЕСТР РИСКОВ_2023'!AH320,IF('INHERENT MAP'!$B$5=2022,#REF!,IF('INHERENT MAP'!$B$5=2023,#REF!,IF('INHERENT MAP'!$B$5=2024,#REF!,#REF!))))</f>
        <v>0</v>
      </c>
      <c r="AD280">
        <f>IF('INHERENT MAP'!$B$5=2021,'РЕЕСТР РИСКОВ_2023'!AI320,IF('INHERENT MAP'!$B$5=2022,#REF!,IF('INHERENT MAP'!$B$5=2023,#REF!,IF('INHERENT MAP'!$B$5=2024,#REF!,#REF!))))</f>
        <v>0</v>
      </c>
      <c r="AE280">
        <f>IF('INHERENT MAP'!$B$5=2021,'РЕЕСТР РИСКОВ_2023'!AK320,IF('INHERENT MAP'!$B$5=2022,#REF!,IF('INHERENT MAP'!$B$5=2023,#REF!,IF('INHERENT MAP'!$B$5=2024,#REF!,#REF!))))</f>
        <v>0</v>
      </c>
      <c r="AF280">
        <f>IF('INHERENT MAP'!$B$5=2021,'РЕЕСТР РИСКОВ_2023'!AL320,IF('INHERENT MAP'!$B$5=2022,#REF!,IF('INHERENT MAP'!$B$5=2023,#REF!,IF('INHERENT MAP'!$B$5=2024,#REF!,#REF!))))</f>
        <v>0</v>
      </c>
      <c r="AG280">
        <f>IF('INHERENT MAP'!$B$5=2021,'РЕЕСТР РИСКОВ_2023'!AM320,IF('INHERENT MAP'!$B$5=2022,#REF!,IF('INHERENT MAP'!$B$5=2023,#REF!,IF('INHERENT MAP'!$B$5=2024,#REF!,#REF!))))</f>
        <v>0</v>
      </c>
      <c r="AH280">
        <f>IF('INHERENT MAP'!$B$5=2021,'РЕЕСТР РИСКОВ_2023'!AN320,IF('INHERENT MAP'!$B$5=2022,#REF!,IF('INHERENT MAP'!$B$5=2023,#REF!,IF('INHERENT MAP'!$B$5=2024,#REF!,#REF!))))</f>
        <v>0</v>
      </c>
      <c r="AI280">
        <f>IF('INHERENT MAP'!$B$5=2021,'РЕЕСТР РИСКОВ_2023'!AO320,IF('INHERENT MAP'!$B$5=2022,#REF!,IF('INHERENT MAP'!$B$5=2023,#REF!,IF('INHERENT MAP'!$B$5=2024,#REF!,#REF!))))</f>
        <v>0</v>
      </c>
      <c r="AJ280">
        <f>IF('INHERENT MAP'!$B$5=2021,'РЕЕСТР РИСКОВ_2023'!AP320,IF('INHERENT MAP'!$B$5=2022,#REF!,IF('INHERENT MAP'!$B$5=2023,#REF!,IF('INHERENT MAP'!$B$5=2024,#REF!,#REF!))))</f>
        <v>0</v>
      </c>
      <c r="AK280">
        <f>IF('РЕЕСТР РИСКОВ_2023'!AQ320="",AK279,'РЕЕСТР РИСКОВ_2023'!AQ320)</f>
        <v>-216</v>
      </c>
      <c r="AL280">
        <f>IF('РЕЕСТР РИСКОВ_2023'!AR320="",AL279,'РЕЕСТР РИСКОВ_2023'!AR320)</f>
        <v>0.12</v>
      </c>
      <c r="AM280" t="str">
        <f>IF('РЕЕСТР РИСКОВ_2023'!AS320="",AM279,'РЕЕСТР РИСКОВ_2023'!AS320)</f>
        <v>стоп</v>
      </c>
      <c r="AN280" t="str">
        <f>IF('РЕЕСТР РИСКОВ_2023'!AT320="",AN279,'РЕЕСТР РИСКОВ_2023'!AT320)</f>
        <v>стоп</v>
      </c>
      <c r="AO280" t="e">
        <f>IF('РЕЕСТР РИСКОВ_2023'!AU320="",AO279,'РЕЕСТР РИСКОВ_2023'!AU320)</f>
        <v>#REF!</v>
      </c>
    </row>
    <row r="281" spans="2:41">
      <c r="B281" t="str">
        <f>IF('INHERENT MAP'!$B$5=2021,IF('РЕЕСТР РИСКОВ_2023'!F321="",B280,'РЕЕСТР РИСКОВ_2023'!F321),IF('INHERENT MAP'!$B$5=2022,IF(#REF!="",B280,#REF!),IF('INHERENT MAP'!$B$5=2023,IF(#REF!="",B280,#REF!),IF('INHERENT MAP'!$B$5=2024,IF(#REF!="",B280,#REF!),IF('РЕЕСТР РИСКОВ_2023'!F321="",B280,'РЕЕСТР РИСКОВ_2023'!F321)))))</f>
        <v>ПРОЦЕНТНЫЙ РИСК</v>
      </c>
      <c r="C281" t="e">
        <f>IF('INHERENT MAP'!$B$5=2021,IF('РЕЕСТР РИСКОВ_2023'!G321="",C280,'РЕЕСТР РИСКОВ_2023'!G321),IF('INHERENT MAP'!$B$5=2022,IF(#REF!="",C280,#REF!),IF('INHERENT MAP'!$B$5=2023,IF(#REF!="",C280,#REF!),IF('INHERENT MAP'!$B$5=2024,IF(#REF!="",C280,#REF!),IF('РЕЕСТР РИСКОВ_2023'!G321="",C280,'РЕЕСТР РИСКОВ_2023'!G321)))))</f>
        <v>#REF!</v>
      </c>
      <c r="D281" t="str">
        <f>IF('INHERENT MAP'!$B$5=2021,IF('РЕЕСТР РИСКОВ_2023'!H321="",D280,'РЕЕСТР РИСКОВ_2023'!H321),IF('INHERENT MAP'!$B$5=2022,IF(#REF!="",D280,#REF!),IF('INHERENT MAP'!$B$5=2023,IF(#REF!="",D280,#REF!),IF('INHERENT MAP'!$B$5=2024,IF(#REF!="",D280,#REF!),IF('РЕЕСТР РИСКОВ_2023'!H321="",D280,'РЕЕСТР РИСКОВ_2023'!H321)))))</f>
        <v>IRR-1</v>
      </c>
      <c r="E281" t="str">
        <f>IF('INHERENT MAP'!$B$5=2021,IF('РЕЕСТР РИСКОВ_2023'!I321="",E280,'РЕЕСТР РИСКОВ_2023'!I321),IF('INHERENT MAP'!$B$5=2022,IF(#REF!="",E280,#REF!),IF('INHERENT MAP'!$B$5=2023,IF(#REF!="",E280,#REF!),IF('INHERENT MAP'!$B$5=2024,IF(#REF!="",E280,#REF!),IF('РЕЕСТР РИСКОВ_2023'!I321="",E280,'РЕЕСТР РИСКОВ_2023'!I321)))))</f>
        <v>ЦЗФ</v>
      </c>
      <c r="F281" t="str">
        <f>IF('INHERENT MAP'!$B$5=2021,IF('РЕЕСТР РИСКОВ_2023'!J321="",F280,'РЕЕСТР РИСКОВ_2023'!J321),IF('INHERENT MAP'!$B$5=2022,IF(#REF!="",F280,#REF!),IF('INHERENT MAP'!$B$5=2023,IF(#REF!="",F280,#REF!),IF('INHERENT MAP'!$B$5=2024,IF(#REF!="",F280,#REF!),IF('РЕЕСТР РИСКОВ_2023'!J321="",F280,'РЕЕСТР РИСКОВ_2023'!J321)))))</f>
        <v>Цзайм</v>
      </c>
      <c r="G281" t="str">
        <f>IF('INHERENT MAP'!$B$5=2021,IF('РЕЕСТР РИСКОВ_2023'!K321="",G280,'РЕЕСТР РИСКОВ_2023'!K321),IF('INHERENT MAP'!$B$5=2022,IF(#REF!="",G280,#REF!),IF('INHERENT MAP'!$B$5=2023,IF(#REF!="",G280,#REF!),IF('INHERENT MAP'!$B$5=2024,IF(#REF!="",G280,#REF!),IF('РЕЕСТР РИСКОВ_2023'!K321="",G280,'РЕЕСТР РИСКОВ_2023'!K321)))))</f>
        <v>Увеличение расходов по процентам на новые займы, а также текущие займы (с плавающей ставкой) в тенге.</v>
      </c>
      <c r="H281">
        <f>IF('INHERENT MAP'!$B$5=2021,'РЕЕСТР РИСКОВ_2023'!L321,IF('INHERENT MAP'!$B$5=2022,#REF!,IF('INHERENT MAP'!$B$5=2023,#REF!,IF('INHERENT MAP'!$B$5=2024,#REF!,#REF!))))</f>
        <v>0</v>
      </c>
      <c r="I281">
        <f>IF('INHERENT MAP'!$B$5=2021,'РЕЕСТР РИСКОВ_2023'!M321,IF('INHERENT MAP'!$B$5=2022,#REF!,IF('INHERENT MAP'!$B$5=2023,#REF!,IF('INHERENT MAP'!$B$5=2024,#REF!,#REF!))))</f>
        <v>0</v>
      </c>
      <c r="J281">
        <f>IF('INHERENT MAP'!$B$5=2021,'РЕЕСТР РИСКОВ_2023'!N321,IF('INHERENT MAP'!$B$5=2022,#REF!,IF('INHERENT MAP'!$B$5=2023,#REF!,IF('INHERENT MAP'!$B$5=2024,#REF!,#REF!))))</f>
        <v>0</v>
      </c>
      <c r="K281">
        <f>IF('INHERENT MAP'!$B$5=2021,'РЕЕСТР РИСКОВ_2023'!O321,IF('INHERENT MAP'!$B$5=2022,#REF!,IF('INHERENT MAP'!$B$5=2023,#REF!,IF('INHERENT MAP'!$B$5=2024,#REF!,#REF!))))</f>
        <v>0</v>
      </c>
      <c r="L281">
        <f>IF('INHERENT MAP'!$B$5=2021,'РЕЕСТР РИСКОВ_2023'!P321,IF('INHERENT MAP'!$B$5=2022,#REF!,IF('INHERENT MAP'!$B$5=2023,#REF!,IF('INHERENT MAP'!$B$5=2024,#REF!,#REF!))))</f>
        <v>0</v>
      </c>
      <c r="M281" t="str">
        <f>IF('INHERENT MAP'!$B$5=2021,IF('РЕЕСТР РИСКОВ_2023'!Q321="",M280,'РЕЕСТР РИСКОВ_2023'!Q321),IF('INHERENT MAP'!$B$5=2022,IF(#REF!="",M280,#REF!),IF('INHERENT MAP'!$B$5=2023,IF(#REF!="",M280,#REF!),IF('INHERENT MAP'!$B$5=2024,IF(#REF!="",M280,#REF!),IF('РЕЕСТР РИСКОВ_2023'!Q321="",M280,'РЕЕСТР РИСКОВ_2023'!Q321)))))</f>
        <v>Увеличение базовой ставки Национального банка Республики Казахстан до 16%</v>
      </c>
      <c r="N281" t="str">
        <f>IF('INHERENT MAP'!$B$5=2021,IF('РЕЕСТР РИСКОВ_2023'!R321="",N280,'РЕЕСТР РИСКОВ_2023'!R321),IF('INHERENT MAP'!$B$5=2022,IF(#REF!="",N280,#REF!),IF('INHERENT MAP'!$B$5=2023,IF(#REF!="",N280,#REF!),IF('INHERENT MAP'!$B$5=2024,IF(#REF!="",N280,#REF!),IF('РЕЕСТР РИСКОВ_2023'!R321="",N280,'РЕЕСТР РИСКОВ_2023'!R321)))))</f>
        <v>Рецессия экономики европейских стран</v>
      </c>
      <c r="O281">
        <f>'РЕЕСТР РИСКОВ_2023'!T321</f>
        <v>0</v>
      </c>
      <c r="P281" t="e">
        <f>IF('РЕЕСТР РИСКОВ_2023'!U321="",P280,'РЕЕСТР РИСКОВ_2023'!U321)</f>
        <v>#REF!</v>
      </c>
      <c r="Q281" t="str">
        <f>IF('РЕЕСТР РИСКОВ_2023'!V321="",Q280,'РЕЕСТР РИСКОВ_2023'!V321)</f>
        <v>Угрозы</v>
      </c>
      <c r="R281" t="e">
        <f>IF('РЕЕСТР РИСКОВ_2023'!W321="",R280,'РЕЕСТР РИСКОВ_2023'!W321)</f>
        <v>#REF!</v>
      </c>
      <c r="S281">
        <f>'РЕЕСТР РИСКОВ_2023'!X321</f>
        <v>0</v>
      </c>
      <c r="T281" s="94">
        <f>IF('INHERENT MAP'!$B$5=2021,'РЕЕСТР РИСКОВ_2023'!Y321,IF('INHERENT MAP'!$B$5=2022,#REF!,IF('INHERENT MAP'!$B$5=2023,#REF!,IF('INHERENT MAP'!$B$5=2024,#REF!,#REF!))))</f>
        <v>0</v>
      </c>
      <c r="U281">
        <f>IF('INHERENT MAP'!$B$5=2021,'РЕЕСТР РИСКОВ_2023'!Z321,IF('INHERENT MAP'!$B$5=2022,#REF!,IF('INHERENT MAP'!$B$5=2023,#REF!,IF('INHERENT MAP'!$B$5=2024,#REF!,#REF!))))</f>
        <v>0</v>
      </c>
      <c r="V281">
        <f>IF('INHERENT MAP'!$B$5=2021,'РЕЕСТР РИСКОВ_2023'!AA321,IF('INHERENT MAP'!$B$5=2022,#REF!,IF('INHERENT MAP'!$B$5=2023,#REF!,IF('INHERENT MAP'!$B$5=2024,#REF!,#REF!))))</f>
        <v>0</v>
      </c>
      <c r="W281">
        <f>IF('INHERENT MAP'!$B$5=2021,'РЕЕСТР РИСКОВ_2023'!AB321,IF('INHERENT MAP'!$B$5=2022,#REF!,IF('INHERENT MAP'!$B$5=2023,#REF!,IF('INHERENT MAP'!$B$5=2024,#REF!,#REF!))))</f>
        <v>0</v>
      </c>
      <c r="X281" s="94">
        <f>IF('INHERENT MAP'!$B$5=2021,'РЕЕСТР РИСКОВ_2023'!AC321,IF('INHERENT MAP'!$B$5=2022,#REF!,IF('INHERENT MAP'!$B$5=2023,#REF!,IF('INHERENT MAP'!$B$5=2024,#REF!,#REF!))))</f>
        <v>0</v>
      </c>
      <c r="Y281">
        <f>IF('INHERENT MAP'!$B$5=2021,'РЕЕСТР РИСКОВ_2023'!AD321,IF('INHERENT MAP'!$B$5=2022,#REF!,IF('INHERENT MAP'!$B$5=2023,#REF!,IF('INHERENT MAP'!$B$5=2024,#REF!,#REF!))))</f>
        <v>0</v>
      </c>
      <c r="Z281">
        <f>IF('INHERENT MAP'!$B$5=2021,'РЕЕСТР РИСКОВ_2023'!AE321,IF('INHERENT MAP'!$B$5=2022,#REF!,IF('INHERENT MAP'!$B$5=2023,#REF!,IF('INHERENT MAP'!$B$5=2024,#REF!,#REF!))))</f>
        <v>0</v>
      </c>
      <c r="AA281">
        <f>IF('INHERENT MAP'!$B$5=2021,'РЕЕСТР РИСКОВ_2023'!AF321,IF('INHERENT MAP'!$B$5=2022,#REF!,IF('INHERENT MAP'!$B$5=2023,#REF!,IF('INHERENT MAP'!$B$5=2024,#REF!,#REF!))))</f>
        <v>0</v>
      </c>
      <c r="AB281">
        <f>IF('INHERENT MAP'!$B$5=2021,'РЕЕСТР РИСКОВ_2023'!AG321,IF('INHERENT MAP'!$B$5=2022,#REF!,IF('INHERENT MAP'!$B$5=2023,#REF!,IF('INHERENT MAP'!$B$5=2024,#REF!,#REF!))))</f>
        <v>0</v>
      </c>
      <c r="AC281">
        <f>IF('INHERENT MAP'!$B$5=2021,'РЕЕСТР РИСКОВ_2023'!AH321,IF('INHERENT MAP'!$B$5=2022,#REF!,IF('INHERENT MAP'!$B$5=2023,#REF!,IF('INHERENT MAP'!$B$5=2024,#REF!,#REF!))))</f>
        <v>0</v>
      </c>
      <c r="AD281">
        <f>IF('INHERENT MAP'!$B$5=2021,'РЕЕСТР РИСКОВ_2023'!AI321,IF('INHERENT MAP'!$B$5=2022,#REF!,IF('INHERENT MAP'!$B$5=2023,#REF!,IF('INHERENT MAP'!$B$5=2024,#REF!,#REF!))))</f>
        <v>0</v>
      </c>
      <c r="AE281">
        <f>IF('INHERENT MAP'!$B$5=2021,'РЕЕСТР РИСКОВ_2023'!AK321,IF('INHERENT MAP'!$B$5=2022,#REF!,IF('INHERENT MAP'!$B$5=2023,#REF!,IF('INHERENT MAP'!$B$5=2024,#REF!,#REF!))))</f>
        <v>0</v>
      </c>
      <c r="AF281">
        <f>IF('INHERENT MAP'!$B$5=2021,'РЕЕСТР РИСКОВ_2023'!AL321,IF('INHERENT MAP'!$B$5=2022,#REF!,IF('INHERENT MAP'!$B$5=2023,#REF!,IF('INHERENT MAP'!$B$5=2024,#REF!,#REF!))))</f>
        <v>0</v>
      </c>
      <c r="AG281">
        <f>IF('INHERENT MAP'!$B$5=2021,'РЕЕСТР РИСКОВ_2023'!AM321,IF('INHERENT MAP'!$B$5=2022,#REF!,IF('INHERENT MAP'!$B$5=2023,#REF!,IF('INHERENT MAP'!$B$5=2024,#REF!,#REF!))))</f>
        <v>0</v>
      </c>
      <c r="AH281">
        <f>IF('INHERENT MAP'!$B$5=2021,'РЕЕСТР РИСКОВ_2023'!AN321,IF('INHERENT MAP'!$B$5=2022,#REF!,IF('INHERENT MAP'!$B$5=2023,#REF!,IF('INHERENT MAP'!$B$5=2024,#REF!,#REF!))))</f>
        <v>0</v>
      </c>
      <c r="AI281">
        <f>IF('INHERENT MAP'!$B$5=2021,'РЕЕСТР РИСКОВ_2023'!AO321,IF('INHERENT MAP'!$B$5=2022,#REF!,IF('INHERENT MAP'!$B$5=2023,#REF!,IF('INHERENT MAP'!$B$5=2024,#REF!,#REF!))))</f>
        <v>0</v>
      </c>
      <c r="AJ281">
        <f>IF('INHERENT MAP'!$B$5=2021,'РЕЕСТР РИСКОВ_2023'!AP321,IF('INHERENT MAP'!$B$5=2022,#REF!,IF('INHERENT MAP'!$B$5=2023,#REF!,IF('INHERENT MAP'!$B$5=2024,#REF!,#REF!))))</f>
        <v>0</v>
      </c>
      <c r="AK281">
        <f>IF('РЕЕСТР РИСКОВ_2023'!AQ321="",AK280,'РЕЕСТР РИСКОВ_2023'!AQ321)</f>
        <v>-216</v>
      </c>
      <c r="AL281">
        <f>IF('РЕЕСТР РИСКОВ_2023'!AR321="",AL280,'РЕЕСТР РИСКОВ_2023'!AR321)</f>
        <v>0.12</v>
      </c>
      <c r="AM281" t="str">
        <f>IF('РЕЕСТР РИСКОВ_2023'!AS321="",AM280,'РЕЕСТР РИСКОВ_2023'!AS321)</f>
        <v>стоп</v>
      </c>
      <c r="AN281" t="str">
        <f>IF('РЕЕСТР РИСКОВ_2023'!AT321="",AN280,'РЕЕСТР РИСКОВ_2023'!AT321)</f>
        <v>стоп</v>
      </c>
      <c r="AO281" t="e">
        <f>IF('РЕЕСТР РИСКОВ_2023'!AU321="",AO280,'РЕЕСТР РИСКОВ_2023'!AU321)</f>
        <v>#REF!</v>
      </c>
    </row>
    <row r="282" spans="2:41">
      <c r="B282" t="str">
        <f>IF('INHERENT MAP'!$B$5=2021,IF('РЕЕСТР РИСКОВ_2023'!F322="",B281,'РЕЕСТР РИСКОВ_2023'!F322),IF('INHERENT MAP'!$B$5=2022,IF(#REF!="",B281,#REF!),IF('INHERENT MAP'!$B$5=2023,IF(#REF!="",B281,#REF!),IF('INHERENT MAP'!$B$5=2024,IF(#REF!="",B281,#REF!),IF('РЕЕСТР РИСКОВ_2023'!F322="",B281,'РЕЕСТР РИСКОВ_2023'!F322)))))</f>
        <v>ПРОЦЕНТНЫЙ РИСК</v>
      </c>
      <c r="C282" t="e">
        <f>IF('INHERENT MAP'!$B$5=2021,IF('РЕЕСТР РИСКОВ_2023'!G322="",C281,'РЕЕСТР РИСКОВ_2023'!G322),IF('INHERENT MAP'!$B$5=2022,IF(#REF!="",C281,#REF!),IF('INHERENT MAP'!$B$5=2023,IF(#REF!="",C281,#REF!),IF('INHERENT MAP'!$B$5=2024,IF(#REF!="",C281,#REF!),IF('РЕЕСТР РИСКОВ_2023'!G322="",C281,'РЕЕСТР РИСКОВ_2023'!G322)))))</f>
        <v>#REF!</v>
      </c>
      <c r="D282" t="str">
        <f>IF('INHERENT MAP'!$B$5=2021,IF('РЕЕСТР РИСКОВ_2023'!H322="",D281,'РЕЕСТР РИСКОВ_2023'!H322),IF('INHERENT MAP'!$B$5=2022,IF(#REF!="",D281,#REF!),IF('INHERENT MAP'!$B$5=2023,IF(#REF!="",D281,#REF!),IF('INHERENT MAP'!$B$5=2024,IF(#REF!="",D281,#REF!),IF('РЕЕСТР РИСКОВ_2023'!H322="",D281,'РЕЕСТР РИСКОВ_2023'!H322)))))</f>
        <v>IRR-1</v>
      </c>
      <c r="E282" t="str">
        <f>IF('INHERENT MAP'!$B$5=2021,IF('РЕЕСТР РИСКОВ_2023'!I322="",E281,'РЕЕСТР РИСКОВ_2023'!I322),IF('INHERENT MAP'!$B$5=2022,IF(#REF!="",E281,#REF!),IF('INHERENT MAP'!$B$5=2023,IF(#REF!="",E281,#REF!),IF('INHERENT MAP'!$B$5=2024,IF(#REF!="",E281,#REF!),IF('РЕЕСТР РИСКОВ_2023'!I322="",E281,'РЕЕСТР РИСКОВ_2023'!I322)))))</f>
        <v>ЦЗФ</v>
      </c>
      <c r="F282" t="str">
        <f>IF('INHERENT MAP'!$B$5=2021,IF('РЕЕСТР РИСКОВ_2023'!J322="",F281,'РЕЕСТР РИСКОВ_2023'!J322),IF('INHERENT MAP'!$B$5=2022,IF(#REF!="",F281,#REF!),IF('INHERENT MAP'!$B$5=2023,IF(#REF!="",F281,#REF!),IF('INHERENT MAP'!$B$5=2024,IF(#REF!="",F281,#REF!),IF('РЕЕСТР РИСКОВ_2023'!J322="",F281,'РЕЕСТР РИСКОВ_2023'!J322)))))</f>
        <v>Цзайм</v>
      </c>
      <c r="G282" t="str">
        <f>IF('INHERENT MAP'!$B$5=2021,IF('РЕЕСТР РИСКОВ_2023'!K322="",G281,'РЕЕСТР РИСКОВ_2023'!K322),IF('INHERENT MAP'!$B$5=2022,IF(#REF!="",G281,#REF!),IF('INHERENT MAP'!$B$5=2023,IF(#REF!="",G281,#REF!),IF('INHERENT MAP'!$B$5=2024,IF(#REF!="",G281,#REF!),IF('РЕЕСТР РИСКОВ_2023'!K322="",G281,'РЕЕСТР РИСКОВ_2023'!K322)))))</f>
        <v>Увеличение расходов по процентам на новые займы, а также текущие займы (с плавающей ставкой) в тенге.</v>
      </c>
      <c r="H282">
        <f>IF('INHERENT MAP'!$B$5=2021,'РЕЕСТР РИСКОВ_2023'!L322,IF('INHERENT MAP'!$B$5=2022,#REF!,IF('INHERENT MAP'!$B$5=2023,#REF!,IF('INHERENT MAP'!$B$5=2024,#REF!,#REF!))))</f>
        <v>0</v>
      </c>
      <c r="I282">
        <f>IF('INHERENT MAP'!$B$5=2021,'РЕЕСТР РИСКОВ_2023'!M322,IF('INHERENT MAP'!$B$5=2022,#REF!,IF('INHERENT MAP'!$B$5=2023,#REF!,IF('INHERENT MAP'!$B$5=2024,#REF!,#REF!))))</f>
        <v>0</v>
      </c>
      <c r="J282">
        <f>IF('INHERENT MAP'!$B$5=2021,'РЕЕСТР РИСКОВ_2023'!N322,IF('INHERENT MAP'!$B$5=2022,#REF!,IF('INHERENT MAP'!$B$5=2023,#REF!,IF('INHERENT MAP'!$B$5=2024,#REF!,#REF!))))</f>
        <v>0</v>
      </c>
      <c r="K282">
        <f>IF('INHERENT MAP'!$B$5=2021,'РЕЕСТР РИСКОВ_2023'!O322,IF('INHERENT MAP'!$B$5=2022,#REF!,IF('INHERENT MAP'!$B$5=2023,#REF!,IF('INHERENT MAP'!$B$5=2024,#REF!,#REF!))))</f>
        <v>0</v>
      </c>
      <c r="L282">
        <f>IF('INHERENT MAP'!$B$5=2021,'РЕЕСТР РИСКОВ_2023'!P322,IF('INHERENT MAP'!$B$5=2022,#REF!,IF('INHERENT MAP'!$B$5=2023,#REF!,IF('INHERENT MAP'!$B$5=2024,#REF!,#REF!))))</f>
        <v>0</v>
      </c>
      <c r="M282" t="str">
        <f>IF('INHERENT MAP'!$B$5=2021,IF('РЕЕСТР РИСКОВ_2023'!Q322="",M281,'РЕЕСТР РИСКОВ_2023'!Q322),IF('INHERENT MAP'!$B$5=2022,IF(#REF!="",M281,#REF!),IF('INHERENT MAP'!$B$5=2023,IF(#REF!="",M281,#REF!),IF('INHERENT MAP'!$B$5=2024,IF(#REF!="",M281,#REF!),IF('РЕЕСТР РИСКОВ_2023'!Q322="",M281,'РЕЕСТР РИСКОВ_2023'!Q322)))))</f>
        <v>Увеличение базовой ставки Национального банка Республики Казахстан до 16%</v>
      </c>
      <c r="N282" t="str">
        <f>IF('INHERENT MAP'!$B$5=2021,IF('РЕЕСТР РИСКОВ_2023'!R322="",N281,'РЕЕСТР РИСКОВ_2023'!R322),IF('INHERENT MAP'!$B$5=2022,IF(#REF!="",N281,#REF!),IF('INHERENT MAP'!$B$5=2023,IF(#REF!="",N281,#REF!),IF('INHERENT MAP'!$B$5=2024,IF(#REF!="",N281,#REF!),IF('РЕЕСТР РИСКОВ_2023'!R322="",N281,'РЕЕСТР РИСКОВ_2023'!R322)))))</f>
        <v>Рецессия экономики европейских стран</v>
      </c>
      <c r="O282">
        <f>'РЕЕСТР РИСКОВ_2023'!T322</f>
        <v>0</v>
      </c>
      <c r="P282" t="e">
        <f>IF('РЕЕСТР РИСКОВ_2023'!U322="",P281,'РЕЕСТР РИСКОВ_2023'!U322)</f>
        <v>#REF!</v>
      </c>
      <c r="Q282" t="str">
        <f>IF('РЕЕСТР РИСКОВ_2023'!V322="",Q281,'РЕЕСТР РИСКОВ_2023'!V322)</f>
        <v>Угрозы</v>
      </c>
      <c r="R282" t="e">
        <f>IF('РЕЕСТР РИСКОВ_2023'!W322="",R281,'РЕЕСТР РИСКОВ_2023'!W322)</f>
        <v>#REF!</v>
      </c>
      <c r="S282">
        <f>'РЕЕСТР РИСКОВ_2023'!X322</f>
        <v>0</v>
      </c>
      <c r="T282" s="94">
        <f>IF('INHERENT MAP'!$B$5=2021,'РЕЕСТР РИСКОВ_2023'!Y322,IF('INHERENT MAP'!$B$5=2022,#REF!,IF('INHERENT MAP'!$B$5=2023,#REF!,IF('INHERENT MAP'!$B$5=2024,#REF!,#REF!))))</f>
        <v>0</v>
      </c>
      <c r="U282">
        <f>IF('INHERENT MAP'!$B$5=2021,'РЕЕСТР РИСКОВ_2023'!Z322,IF('INHERENT MAP'!$B$5=2022,#REF!,IF('INHERENT MAP'!$B$5=2023,#REF!,IF('INHERENT MAP'!$B$5=2024,#REF!,#REF!))))</f>
        <v>0</v>
      </c>
      <c r="V282">
        <f>IF('INHERENT MAP'!$B$5=2021,'РЕЕСТР РИСКОВ_2023'!AA322,IF('INHERENT MAP'!$B$5=2022,#REF!,IF('INHERENT MAP'!$B$5=2023,#REF!,IF('INHERENT MAP'!$B$5=2024,#REF!,#REF!))))</f>
        <v>0</v>
      </c>
      <c r="W282">
        <f>IF('INHERENT MAP'!$B$5=2021,'РЕЕСТР РИСКОВ_2023'!AB322,IF('INHERENT MAP'!$B$5=2022,#REF!,IF('INHERENT MAP'!$B$5=2023,#REF!,IF('INHERENT MAP'!$B$5=2024,#REF!,#REF!))))</f>
        <v>0</v>
      </c>
      <c r="X282" s="94">
        <f>IF('INHERENT MAP'!$B$5=2021,'РЕЕСТР РИСКОВ_2023'!AC322,IF('INHERENT MAP'!$B$5=2022,#REF!,IF('INHERENT MAP'!$B$5=2023,#REF!,IF('INHERENT MAP'!$B$5=2024,#REF!,#REF!))))</f>
        <v>0</v>
      </c>
      <c r="Y282">
        <f>IF('INHERENT MAP'!$B$5=2021,'РЕЕСТР РИСКОВ_2023'!AD322,IF('INHERENT MAP'!$B$5=2022,#REF!,IF('INHERENT MAP'!$B$5=2023,#REF!,IF('INHERENT MAP'!$B$5=2024,#REF!,#REF!))))</f>
        <v>0</v>
      </c>
      <c r="Z282">
        <f>IF('INHERENT MAP'!$B$5=2021,'РЕЕСТР РИСКОВ_2023'!AE322,IF('INHERENT MAP'!$B$5=2022,#REF!,IF('INHERENT MAP'!$B$5=2023,#REF!,IF('INHERENT MAP'!$B$5=2024,#REF!,#REF!))))</f>
        <v>0</v>
      </c>
      <c r="AA282">
        <f>IF('INHERENT MAP'!$B$5=2021,'РЕЕСТР РИСКОВ_2023'!AF322,IF('INHERENT MAP'!$B$5=2022,#REF!,IF('INHERENT MAP'!$B$5=2023,#REF!,IF('INHERENT MAP'!$B$5=2024,#REF!,#REF!))))</f>
        <v>0</v>
      </c>
      <c r="AB282">
        <f>IF('INHERENT MAP'!$B$5=2021,'РЕЕСТР РИСКОВ_2023'!AG322,IF('INHERENT MAP'!$B$5=2022,#REF!,IF('INHERENT MAP'!$B$5=2023,#REF!,IF('INHERENT MAP'!$B$5=2024,#REF!,#REF!))))</f>
        <v>0</v>
      </c>
      <c r="AC282">
        <f>IF('INHERENT MAP'!$B$5=2021,'РЕЕСТР РИСКОВ_2023'!AH322,IF('INHERENT MAP'!$B$5=2022,#REF!,IF('INHERENT MAP'!$B$5=2023,#REF!,IF('INHERENT MAP'!$B$5=2024,#REF!,#REF!))))</f>
        <v>0</v>
      </c>
      <c r="AD282">
        <f>IF('INHERENT MAP'!$B$5=2021,'РЕЕСТР РИСКОВ_2023'!AI322,IF('INHERENT MAP'!$B$5=2022,#REF!,IF('INHERENT MAP'!$B$5=2023,#REF!,IF('INHERENT MAP'!$B$5=2024,#REF!,#REF!))))</f>
        <v>0</v>
      </c>
      <c r="AE282">
        <f>IF('INHERENT MAP'!$B$5=2021,'РЕЕСТР РИСКОВ_2023'!AK322,IF('INHERENT MAP'!$B$5=2022,#REF!,IF('INHERENT MAP'!$B$5=2023,#REF!,IF('INHERENT MAP'!$B$5=2024,#REF!,#REF!))))</f>
        <v>0</v>
      </c>
      <c r="AF282">
        <f>IF('INHERENT MAP'!$B$5=2021,'РЕЕСТР РИСКОВ_2023'!AL322,IF('INHERENT MAP'!$B$5=2022,#REF!,IF('INHERENT MAP'!$B$5=2023,#REF!,IF('INHERENT MAP'!$B$5=2024,#REF!,#REF!))))</f>
        <v>0</v>
      </c>
      <c r="AG282">
        <f>IF('INHERENT MAP'!$B$5=2021,'РЕЕСТР РИСКОВ_2023'!AM322,IF('INHERENT MAP'!$B$5=2022,#REF!,IF('INHERENT MAP'!$B$5=2023,#REF!,IF('INHERENT MAP'!$B$5=2024,#REF!,#REF!))))</f>
        <v>0</v>
      </c>
      <c r="AH282">
        <f>IF('INHERENT MAP'!$B$5=2021,'РЕЕСТР РИСКОВ_2023'!AN322,IF('INHERENT MAP'!$B$5=2022,#REF!,IF('INHERENT MAP'!$B$5=2023,#REF!,IF('INHERENT MAP'!$B$5=2024,#REF!,#REF!))))</f>
        <v>0</v>
      </c>
      <c r="AI282">
        <f>IF('INHERENT MAP'!$B$5=2021,'РЕЕСТР РИСКОВ_2023'!AO322,IF('INHERENT MAP'!$B$5=2022,#REF!,IF('INHERENT MAP'!$B$5=2023,#REF!,IF('INHERENT MAP'!$B$5=2024,#REF!,#REF!))))</f>
        <v>0</v>
      </c>
      <c r="AJ282">
        <f>IF('INHERENT MAP'!$B$5=2021,'РЕЕСТР РИСКОВ_2023'!AP322,IF('INHERENT MAP'!$B$5=2022,#REF!,IF('INHERENT MAP'!$B$5=2023,#REF!,IF('INHERENT MAP'!$B$5=2024,#REF!,#REF!))))</f>
        <v>0</v>
      </c>
      <c r="AK282">
        <f>IF('РЕЕСТР РИСКОВ_2023'!AQ322="",AK281,'РЕЕСТР РИСКОВ_2023'!AQ322)</f>
        <v>-216</v>
      </c>
      <c r="AL282">
        <f>IF('РЕЕСТР РИСКОВ_2023'!AR322="",AL281,'РЕЕСТР РИСКОВ_2023'!AR322)</f>
        <v>0.12</v>
      </c>
      <c r="AM282" t="str">
        <f>IF('РЕЕСТР РИСКОВ_2023'!AS322="",AM281,'РЕЕСТР РИСКОВ_2023'!AS322)</f>
        <v>стоп</v>
      </c>
      <c r="AN282" t="str">
        <f>IF('РЕЕСТР РИСКОВ_2023'!AT322="",AN281,'РЕЕСТР РИСКОВ_2023'!AT322)</f>
        <v>стоп</v>
      </c>
      <c r="AO282" t="e">
        <f>IF('РЕЕСТР РИСКОВ_2023'!AU322="",AO281,'РЕЕСТР РИСКОВ_2023'!AU322)</f>
        <v>#REF!</v>
      </c>
    </row>
    <row r="283" spans="2:41">
      <c r="B283" t="str">
        <f>IF('INHERENT MAP'!$B$5=2021,IF('РЕЕСТР РИСКОВ_2023'!F323="",B282,'РЕЕСТР РИСКОВ_2023'!F323),IF('INHERENT MAP'!$B$5=2022,IF(#REF!="",B282,#REF!),IF('INHERENT MAP'!$B$5=2023,IF(#REF!="",B282,#REF!),IF('INHERENT MAP'!$B$5=2024,IF(#REF!="",B282,#REF!),IF('РЕЕСТР РИСКОВ_2023'!F323="",B282,'РЕЕСТР РИСКОВ_2023'!F323)))))</f>
        <v>ПРОЦЕНТНЫЙ РИСК</v>
      </c>
      <c r="C283" t="e">
        <f>IF('INHERENT MAP'!$B$5=2021,IF('РЕЕСТР РИСКОВ_2023'!G323="",C282,'РЕЕСТР РИСКОВ_2023'!G323),IF('INHERENT MAP'!$B$5=2022,IF(#REF!="",C282,#REF!),IF('INHERENT MAP'!$B$5=2023,IF(#REF!="",C282,#REF!),IF('INHERENT MAP'!$B$5=2024,IF(#REF!="",C282,#REF!),IF('РЕЕСТР РИСКОВ_2023'!G323="",C282,'РЕЕСТР РИСКОВ_2023'!G323)))))</f>
        <v>#REF!</v>
      </c>
      <c r="D283" t="str">
        <f>IF('INHERENT MAP'!$B$5=2021,IF('РЕЕСТР РИСКОВ_2023'!H323="",D282,'РЕЕСТР РИСКОВ_2023'!H323),IF('INHERENT MAP'!$B$5=2022,IF(#REF!="",D282,#REF!),IF('INHERENT MAP'!$B$5=2023,IF(#REF!="",D282,#REF!),IF('INHERENT MAP'!$B$5=2024,IF(#REF!="",D282,#REF!),IF('РЕЕСТР РИСКОВ_2023'!H323="",D282,'РЕЕСТР РИСКОВ_2023'!H323)))))</f>
        <v>IRR-1</v>
      </c>
      <c r="E283" t="str">
        <f>IF('INHERENT MAP'!$B$5=2021,IF('РЕЕСТР РИСКОВ_2023'!I323="",E282,'РЕЕСТР РИСКОВ_2023'!I323),IF('INHERENT MAP'!$B$5=2022,IF(#REF!="",E282,#REF!),IF('INHERENT MAP'!$B$5=2023,IF(#REF!="",E282,#REF!),IF('INHERENT MAP'!$B$5=2024,IF(#REF!="",E282,#REF!),IF('РЕЕСТР РИСКОВ_2023'!I323="",E282,'РЕЕСТР РИСКОВ_2023'!I323)))))</f>
        <v>ЦЗФ</v>
      </c>
      <c r="F283" t="str">
        <f>IF('INHERENT MAP'!$B$5=2021,IF('РЕЕСТР РИСКОВ_2023'!J323="",F282,'РЕЕСТР РИСКОВ_2023'!J323),IF('INHERENT MAP'!$B$5=2022,IF(#REF!="",F282,#REF!),IF('INHERENT MAP'!$B$5=2023,IF(#REF!="",F282,#REF!),IF('INHERENT MAP'!$B$5=2024,IF(#REF!="",F282,#REF!),IF('РЕЕСТР РИСКОВ_2023'!J323="",F282,'РЕЕСТР РИСКОВ_2023'!J323)))))</f>
        <v>Цзайм</v>
      </c>
      <c r="G283" t="str">
        <f>IF('INHERENT MAP'!$B$5=2021,IF('РЕЕСТР РИСКОВ_2023'!K323="",G282,'РЕЕСТР РИСКОВ_2023'!K323),IF('INHERENT MAP'!$B$5=2022,IF(#REF!="",G282,#REF!),IF('INHERENT MAP'!$B$5=2023,IF(#REF!="",G282,#REF!),IF('INHERENT MAP'!$B$5=2024,IF(#REF!="",G282,#REF!),IF('РЕЕСТР РИСКОВ_2023'!K323="",G282,'РЕЕСТР РИСКОВ_2023'!K323)))))</f>
        <v>Увеличение расходов по процентам на новые займы, а также текущие займы (с плавающей ставкой) в тенге.</v>
      </c>
      <c r="H283">
        <f>IF('INHERENT MAP'!$B$5=2021,'РЕЕСТР РИСКОВ_2023'!L323,IF('INHERENT MAP'!$B$5=2022,#REF!,IF('INHERENT MAP'!$B$5=2023,#REF!,IF('INHERENT MAP'!$B$5=2024,#REF!,#REF!))))</f>
        <v>0</v>
      </c>
      <c r="I283">
        <f>IF('INHERENT MAP'!$B$5=2021,'РЕЕСТР РИСКОВ_2023'!M323,IF('INHERENT MAP'!$B$5=2022,#REF!,IF('INHERENT MAP'!$B$5=2023,#REF!,IF('INHERENT MAP'!$B$5=2024,#REF!,#REF!))))</f>
        <v>0</v>
      </c>
      <c r="J283">
        <f>IF('INHERENT MAP'!$B$5=2021,'РЕЕСТР РИСКОВ_2023'!N323,IF('INHERENT MAP'!$B$5=2022,#REF!,IF('INHERENT MAP'!$B$5=2023,#REF!,IF('INHERENT MAP'!$B$5=2024,#REF!,#REF!))))</f>
        <v>0</v>
      </c>
      <c r="K283">
        <f>IF('INHERENT MAP'!$B$5=2021,'РЕЕСТР РИСКОВ_2023'!O323,IF('INHERENT MAP'!$B$5=2022,#REF!,IF('INHERENT MAP'!$B$5=2023,#REF!,IF('INHERENT MAP'!$B$5=2024,#REF!,#REF!))))</f>
        <v>0</v>
      </c>
      <c r="L283">
        <f>IF('INHERENT MAP'!$B$5=2021,'РЕЕСТР РИСКОВ_2023'!P323,IF('INHERENT MAP'!$B$5=2022,#REF!,IF('INHERENT MAP'!$B$5=2023,#REF!,IF('INHERENT MAP'!$B$5=2024,#REF!,#REF!))))</f>
        <v>0</v>
      </c>
      <c r="M283" t="str">
        <f>IF('INHERENT MAP'!$B$5=2021,IF('РЕЕСТР РИСКОВ_2023'!Q323="",M282,'РЕЕСТР РИСКОВ_2023'!Q323),IF('INHERENT MAP'!$B$5=2022,IF(#REF!="",M282,#REF!),IF('INHERENT MAP'!$B$5=2023,IF(#REF!="",M282,#REF!),IF('INHERENT MAP'!$B$5=2024,IF(#REF!="",M282,#REF!),IF('РЕЕСТР РИСКОВ_2023'!Q323="",M282,'РЕЕСТР РИСКОВ_2023'!Q323)))))</f>
        <v>Увеличение базовой ставки Национального банка Республики Казахстан до 16%</v>
      </c>
      <c r="N283" t="str">
        <f>IF('INHERENT MAP'!$B$5=2021,IF('РЕЕСТР РИСКОВ_2023'!R323="",N282,'РЕЕСТР РИСКОВ_2023'!R323),IF('INHERENT MAP'!$B$5=2022,IF(#REF!="",N282,#REF!),IF('INHERENT MAP'!$B$5=2023,IF(#REF!="",N282,#REF!),IF('INHERENT MAP'!$B$5=2024,IF(#REF!="",N282,#REF!),IF('РЕЕСТР РИСКОВ_2023'!R323="",N282,'РЕЕСТР РИСКОВ_2023'!R323)))))</f>
        <v>Рецессия экономики европейских стран</v>
      </c>
      <c r="O283">
        <f>'РЕЕСТР РИСКОВ_2023'!T323</f>
        <v>0</v>
      </c>
      <c r="P283" t="e">
        <f>IF('РЕЕСТР РИСКОВ_2023'!U323="",P282,'РЕЕСТР РИСКОВ_2023'!U323)</f>
        <v>#REF!</v>
      </c>
      <c r="Q283" t="str">
        <f>IF('РЕЕСТР РИСКОВ_2023'!V323="",Q282,'РЕЕСТР РИСКОВ_2023'!V323)</f>
        <v>Угрозы</v>
      </c>
      <c r="R283" t="e">
        <f>IF('РЕЕСТР РИСКОВ_2023'!W323="",R282,'РЕЕСТР РИСКОВ_2023'!W323)</f>
        <v>#REF!</v>
      </c>
      <c r="S283">
        <f>'РЕЕСТР РИСКОВ_2023'!X323</f>
        <v>0</v>
      </c>
      <c r="T283" s="94">
        <f>IF('INHERENT MAP'!$B$5=2021,'РЕЕСТР РИСКОВ_2023'!Y323,IF('INHERENT MAP'!$B$5=2022,#REF!,IF('INHERENT MAP'!$B$5=2023,#REF!,IF('INHERENT MAP'!$B$5=2024,#REF!,#REF!))))</f>
        <v>0</v>
      </c>
      <c r="U283">
        <f>IF('INHERENT MAP'!$B$5=2021,'РЕЕСТР РИСКОВ_2023'!Z323,IF('INHERENT MAP'!$B$5=2022,#REF!,IF('INHERENT MAP'!$B$5=2023,#REF!,IF('INHERENT MAP'!$B$5=2024,#REF!,#REF!))))</f>
        <v>0</v>
      </c>
      <c r="V283">
        <f>IF('INHERENT MAP'!$B$5=2021,'РЕЕСТР РИСКОВ_2023'!AA323,IF('INHERENT MAP'!$B$5=2022,#REF!,IF('INHERENT MAP'!$B$5=2023,#REF!,IF('INHERENT MAP'!$B$5=2024,#REF!,#REF!))))</f>
        <v>0</v>
      </c>
      <c r="W283">
        <f>IF('INHERENT MAP'!$B$5=2021,'РЕЕСТР РИСКОВ_2023'!AB323,IF('INHERENT MAP'!$B$5=2022,#REF!,IF('INHERENT MAP'!$B$5=2023,#REF!,IF('INHERENT MAP'!$B$5=2024,#REF!,#REF!))))</f>
        <v>0</v>
      </c>
      <c r="X283" s="94">
        <f>IF('INHERENT MAP'!$B$5=2021,'РЕЕСТР РИСКОВ_2023'!AC323,IF('INHERENT MAP'!$B$5=2022,#REF!,IF('INHERENT MAP'!$B$5=2023,#REF!,IF('INHERENT MAP'!$B$5=2024,#REF!,#REF!))))</f>
        <v>0</v>
      </c>
      <c r="Y283">
        <f>IF('INHERENT MAP'!$B$5=2021,'РЕЕСТР РИСКОВ_2023'!AD323,IF('INHERENT MAP'!$B$5=2022,#REF!,IF('INHERENT MAP'!$B$5=2023,#REF!,IF('INHERENT MAP'!$B$5=2024,#REF!,#REF!))))</f>
        <v>0</v>
      </c>
      <c r="Z283">
        <f>IF('INHERENT MAP'!$B$5=2021,'РЕЕСТР РИСКОВ_2023'!AE323,IF('INHERENT MAP'!$B$5=2022,#REF!,IF('INHERENT MAP'!$B$5=2023,#REF!,IF('INHERENT MAP'!$B$5=2024,#REF!,#REF!))))</f>
        <v>0</v>
      </c>
      <c r="AA283">
        <f>IF('INHERENT MAP'!$B$5=2021,'РЕЕСТР РИСКОВ_2023'!AF323,IF('INHERENT MAP'!$B$5=2022,#REF!,IF('INHERENT MAP'!$B$5=2023,#REF!,IF('INHERENT MAP'!$B$5=2024,#REF!,#REF!))))</f>
        <v>0</v>
      </c>
      <c r="AB283">
        <f>IF('INHERENT MAP'!$B$5=2021,'РЕЕСТР РИСКОВ_2023'!AG323,IF('INHERENT MAP'!$B$5=2022,#REF!,IF('INHERENT MAP'!$B$5=2023,#REF!,IF('INHERENT MAP'!$B$5=2024,#REF!,#REF!))))</f>
        <v>0</v>
      </c>
      <c r="AC283">
        <f>IF('INHERENT MAP'!$B$5=2021,'РЕЕСТР РИСКОВ_2023'!AH323,IF('INHERENT MAP'!$B$5=2022,#REF!,IF('INHERENT MAP'!$B$5=2023,#REF!,IF('INHERENT MAP'!$B$5=2024,#REF!,#REF!))))</f>
        <v>0</v>
      </c>
      <c r="AD283">
        <f>IF('INHERENT MAP'!$B$5=2021,'РЕЕСТР РИСКОВ_2023'!AI323,IF('INHERENT MAP'!$B$5=2022,#REF!,IF('INHERENT MAP'!$B$5=2023,#REF!,IF('INHERENT MAP'!$B$5=2024,#REF!,#REF!))))</f>
        <v>0</v>
      </c>
      <c r="AE283">
        <f>IF('INHERENT MAP'!$B$5=2021,'РЕЕСТР РИСКОВ_2023'!AK323,IF('INHERENT MAP'!$B$5=2022,#REF!,IF('INHERENT MAP'!$B$5=2023,#REF!,IF('INHERENT MAP'!$B$5=2024,#REF!,#REF!))))</f>
        <v>0</v>
      </c>
      <c r="AF283">
        <f>IF('INHERENT MAP'!$B$5=2021,'РЕЕСТР РИСКОВ_2023'!AL323,IF('INHERENT MAP'!$B$5=2022,#REF!,IF('INHERENT MAP'!$B$5=2023,#REF!,IF('INHERENT MAP'!$B$5=2024,#REF!,#REF!))))</f>
        <v>0</v>
      </c>
      <c r="AG283">
        <f>IF('INHERENT MAP'!$B$5=2021,'РЕЕСТР РИСКОВ_2023'!AM323,IF('INHERENT MAP'!$B$5=2022,#REF!,IF('INHERENT MAP'!$B$5=2023,#REF!,IF('INHERENT MAP'!$B$5=2024,#REF!,#REF!))))</f>
        <v>0</v>
      </c>
      <c r="AH283">
        <f>IF('INHERENT MAP'!$B$5=2021,'РЕЕСТР РИСКОВ_2023'!AN323,IF('INHERENT MAP'!$B$5=2022,#REF!,IF('INHERENT MAP'!$B$5=2023,#REF!,IF('INHERENT MAP'!$B$5=2024,#REF!,#REF!))))</f>
        <v>0</v>
      </c>
      <c r="AI283">
        <f>IF('INHERENT MAP'!$B$5=2021,'РЕЕСТР РИСКОВ_2023'!AO323,IF('INHERENT MAP'!$B$5=2022,#REF!,IF('INHERENT MAP'!$B$5=2023,#REF!,IF('INHERENT MAP'!$B$5=2024,#REF!,#REF!))))</f>
        <v>0</v>
      </c>
      <c r="AJ283">
        <f>IF('INHERENT MAP'!$B$5=2021,'РЕЕСТР РИСКОВ_2023'!AP323,IF('INHERENT MAP'!$B$5=2022,#REF!,IF('INHERENT MAP'!$B$5=2023,#REF!,IF('INHERENT MAP'!$B$5=2024,#REF!,#REF!))))</f>
        <v>0</v>
      </c>
      <c r="AK283">
        <f>IF('РЕЕСТР РИСКОВ_2023'!AQ323="",AK282,'РЕЕСТР РИСКОВ_2023'!AQ323)</f>
        <v>-216</v>
      </c>
      <c r="AL283">
        <f>IF('РЕЕСТР РИСКОВ_2023'!AR323="",AL282,'РЕЕСТР РИСКОВ_2023'!AR323)</f>
        <v>0.12</v>
      </c>
      <c r="AM283" t="str">
        <f>IF('РЕЕСТР РИСКОВ_2023'!AS323="",AM282,'РЕЕСТР РИСКОВ_2023'!AS323)</f>
        <v>стоп</v>
      </c>
      <c r="AN283" t="str">
        <f>IF('РЕЕСТР РИСКОВ_2023'!AT323="",AN282,'РЕЕСТР РИСКОВ_2023'!AT323)</f>
        <v>стоп</v>
      </c>
      <c r="AO283" t="e">
        <f>IF('РЕЕСТР РИСКОВ_2023'!AU323="",AO282,'РЕЕСТР РИСКОВ_2023'!AU323)</f>
        <v>#REF!</v>
      </c>
    </row>
    <row r="284" spans="2:41">
      <c r="B284" t="str">
        <f>IF('INHERENT MAP'!$B$5=2021,IF('РЕЕСТР РИСКОВ_2023'!F324="",B283,'РЕЕСТР РИСКОВ_2023'!F324),IF('INHERENT MAP'!$B$5=2022,IF(#REF!="",B283,#REF!),IF('INHERENT MAP'!$B$5=2023,IF(#REF!="",B283,#REF!),IF('INHERENT MAP'!$B$5=2024,IF(#REF!="",B283,#REF!),IF('РЕЕСТР РИСКОВ_2023'!F324="",B283,'РЕЕСТР РИСКОВ_2023'!F324)))))</f>
        <v>ПРОЦЕНТНЫЙ РИСК</v>
      </c>
      <c r="C284" t="e">
        <f>IF('INHERENT MAP'!$B$5=2021,IF('РЕЕСТР РИСКОВ_2023'!G324="",C283,'РЕЕСТР РИСКОВ_2023'!G324),IF('INHERENT MAP'!$B$5=2022,IF(#REF!="",C283,#REF!),IF('INHERENT MAP'!$B$5=2023,IF(#REF!="",C283,#REF!),IF('INHERENT MAP'!$B$5=2024,IF(#REF!="",C283,#REF!),IF('РЕЕСТР РИСКОВ_2023'!G324="",C283,'РЕЕСТР РИСКОВ_2023'!G324)))))</f>
        <v>#REF!</v>
      </c>
      <c r="D284" t="str">
        <f>IF('INHERENT MAP'!$B$5=2021,IF('РЕЕСТР РИСКОВ_2023'!H324="",D283,'РЕЕСТР РИСКОВ_2023'!H324),IF('INHERENT MAP'!$B$5=2022,IF(#REF!="",D283,#REF!),IF('INHERENT MAP'!$B$5=2023,IF(#REF!="",D283,#REF!),IF('INHERENT MAP'!$B$5=2024,IF(#REF!="",D283,#REF!),IF('РЕЕСТР РИСКОВ_2023'!H324="",D283,'РЕЕСТР РИСКОВ_2023'!H324)))))</f>
        <v>IRR-1</v>
      </c>
      <c r="E284" t="str">
        <f>IF('INHERENT MAP'!$B$5=2021,IF('РЕЕСТР РИСКОВ_2023'!I324="",E283,'РЕЕСТР РИСКОВ_2023'!I324),IF('INHERENT MAP'!$B$5=2022,IF(#REF!="",E283,#REF!),IF('INHERENT MAP'!$B$5=2023,IF(#REF!="",E283,#REF!),IF('INHERENT MAP'!$B$5=2024,IF(#REF!="",E283,#REF!),IF('РЕЕСТР РИСКОВ_2023'!I324="",E283,'РЕЕСТР РИСКОВ_2023'!I324)))))</f>
        <v>ЦЗФ</v>
      </c>
      <c r="F284" t="str">
        <f>IF('INHERENT MAP'!$B$5=2021,IF('РЕЕСТР РИСКОВ_2023'!J324="",F283,'РЕЕСТР РИСКОВ_2023'!J324),IF('INHERENT MAP'!$B$5=2022,IF(#REF!="",F283,#REF!),IF('INHERENT MAP'!$B$5=2023,IF(#REF!="",F283,#REF!),IF('INHERENT MAP'!$B$5=2024,IF(#REF!="",F283,#REF!),IF('РЕЕСТР РИСКОВ_2023'!J324="",F283,'РЕЕСТР РИСКОВ_2023'!J324)))))</f>
        <v>Цзайм</v>
      </c>
      <c r="G284" t="str">
        <f>IF('INHERENT MAP'!$B$5=2021,IF('РЕЕСТР РИСКОВ_2023'!K324="",G283,'РЕЕСТР РИСКОВ_2023'!K324),IF('INHERENT MAP'!$B$5=2022,IF(#REF!="",G283,#REF!),IF('INHERENT MAP'!$B$5=2023,IF(#REF!="",G283,#REF!),IF('INHERENT MAP'!$B$5=2024,IF(#REF!="",G283,#REF!),IF('РЕЕСТР РИСКОВ_2023'!K324="",G283,'РЕЕСТР РИСКОВ_2023'!K324)))))</f>
        <v>Увеличение расходов по процентам на новые займы, а также текущие займы (с плавающей ставкой) в тенге.</v>
      </c>
      <c r="H284">
        <f>IF('INHERENT MAP'!$B$5=2021,'РЕЕСТР РИСКОВ_2023'!L324,IF('INHERENT MAP'!$B$5=2022,#REF!,IF('INHERENT MAP'!$B$5=2023,#REF!,IF('INHERENT MAP'!$B$5=2024,#REF!,#REF!))))</f>
        <v>0</v>
      </c>
      <c r="I284">
        <f>IF('INHERENT MAP'!$B$5=2021,'РЕЕСТР РИСКОВ_2023'!M324,IF('INHERENT MAP'!$B$5=2022,#REF!,IF('INHERENT MAP'!$B$5=2023,#REF!,IF('INHERENT MAP'!$B$5=2024,#REF!,#REF!))))</f>
        <v>0</v>
      </c>
      <c r="J284">
        <f>IF('INHERENT MAP'!$B$5=2021,'РЕЕСТР РИСКОВ_2023'!N324,IF('INHERENT MAP'!$B$5=2022,#REF!,IF('INHERENT MAP'!$B$5=2023,#REF!,IF('INHERENT MAP'!$B$5=2024,#REF!,#REF!))))</f>
        <v>0</v>
      </c>
      <c r="K284">
        <f>IF('INHERENT MAP'!$B$5=2021,'РЕЕСТР РИСКОВ_2023'!O324,IF('INHERENT MAP'!$B$5=2022,#REF!,IF('INHERENT MAP'!$B$5=2023,#REF!,IF('INHERENT MAP'!$B$5=2024,#REF!,#REF!))))</f>
        <v>0</v>
      </c>
      <c r="L284">
        <f>IF('INHERENT MAP'!$B$5=2021,'РЕЕСТР РИСКОВ_2023'!P324,IF('INHERENT MAP'!$B$5=2022,#REF!,IF('INHERENT MAP'!$B$5=2023,#REF!,IF('INHERENT MAP'!$B$5=2024,#REF!,#REF!))))</f>
        <v>0</v>
      </c>
      <c r="M284" t="str">
        <f>IF('INHERENT MAP'!$B$5=2021,IF('РЕЕСТР РИСКОВ_2023'!Q324="",M283,'РЕЕСТР РИСКОВ_2023'!Q324),IF('INHERENT MAP'!$B$5=2022,IF(#REF!="",M283,#REF!),IF('INHERENT MAP'!$B$5=2023,IF(#REF!="",M283,#REF!),IF('INHERENT MAP'!$B$5=2024,IF(#REF!="",M283,#REF!),IF('РЕЕСТР РИСКОВ_2023'!Q324="",M283,'РЕЕСТР РИСКОВ_2023'!Q324)))))</f>
        <v>Увеличение базовой ставки Национального банка Республики Казахстан до 16%</v>
      </c>
      <c r="N284" t="str">
        <f>IF('INHERENT MAP'!$B$5=2021,IF('РЕЕСТР РИСКОВ_2023'!R324="",N283,'РЕЕСТР РИСКОВ_2023'!R324),IF('INHERENT MAP'!$B$5=2022,IF(#REF!="",N283,#REF!),IF('INHERENT MAP'!$B$5=2023,IF(#REF!="",N283,#REF!),IF('INHERENT MAP'!$B$5=2024,IF(#REF!="",N283,#REF!),IF('РЕЕСТР РИСКОВ_2023'!R324="",N283,'РЕЕСТР РИСКОВ_2023'!R324)))))</f>
        <v>Рецессия экономики европейских стран</v>
      </c>
      <c r="O284">
        <f>'РЕЕСТР РИСКОВ_2023'!T324</f>
        <v>0</v>
      </c>
      <c r="P284" t="e">
        <f>IF('РЕЕСТР РИСКОВ_2023'!U324="",P283,'РЕЕСТР РИСКОВ_2023'!U324)</f>
        <v>#REF!</v>
      </c>
      <c r="Q284" t="str">
        <f>IF('РЕЕСТР РИСКОВ_2023'!V324="",Q283,'РЕЕСТР РИСКОВ_2023'!V324)</f>
        <v>Угрозы</v>
      </c>
      <c r="R284" t="e">
        <f>IF('РЕЕСТР РИСКОВ_2023'!W324="",R283,'РЕЕСТР РИСКОВ_2023'!W324)</f>
        <v>#REF!</v>
      </c>
      <c r="S284">
        <f>'РЕЕСТР РИСКОВ_2023'!X324</f>
        <v>0</v>
      </c>
      <c r="T284" s="94">
        <f>IF('INHERENT MAP'!$B$5=2021,'РЕЕСТР РИСКОВ_2023'!Y324,IF('INHERENT MAP'!$B$5=2022,#REF!,IF('INHERENT MAP'!$B$5=2023,#REF!,IF('INHERENT MAP'!$B$5=2024,#REF!,#REF!))))</f>
        <v>0</v>
      </c>
      <c r="U284">
        <f>IF('INHERENT MAP'!$B$5=2021,'РЕЕСТР РИСКОВ_2023'!Z324,IF('INHERENT MAP'!$B$5=2022,#REF!,IF('INHERENT MAP'!$B$5=2023,#REF!,IF('INHERENT MAP'!$B$5=2024,#REF!,#REF!))))</f>
        <v>0</v>
      </c>
      <c r="V284">
        <f>IF('INHERENT MAP'!$B$5=2021,'РЕЕСТР РИСКОВ_2023'!AA324,IF('INHERENT MAP'!$B$5=2022,#REF!,IF('INHERENT MAP'!$B$5=2023,#REF!,IF('INHERENT MAP'!$B$5=2024,#REF!,#REF!))))</f>
        <v>0</v>
      </c>
      <c r="W284">
        <f>IF('INHERENT MAP'!$B$5=2021,'РЕЕСТР РИСКОВ_2023'!AB324,IF('INHERENT MAP'!$B$5=2022,#REF!,IF('INHERENT MAP'!$B$5=2023,#REF!,IF('INHERENT MAP'!$B$5=2024,#REF!,#REF!))))</f>
        <v>0</v>
      </c>
      <c r="X284" s="94">
        <f>IF('INHERENT MAP'!$B$5=2021,'РЕЕСТР РИСКОВ_2023'!AC324,IF('INHERENT MAP'!$B$5=2022,#REF!,IF('INHERENT MAP'!$B$5=2023,#REF!,IF('INHERENT MAP'!$B$5=2024,#REF!,#REF!))))</f>
        <v>0</v>
      </c>
      <c r="Y284">
        <f>IF('INHERENT MAP'!$B$5=2021,'РЕЕСТР РИСКОВ_2023'!AD324,IF('INHERENT MAP'!$B$5=2022,#REF!,IF('INHERENT MAP'!$B$5=2023,#REF!,IF('INHERENT MAP'!$B$5=2024,#REF!,#REF!))))</f>
        <v>0</v>
      </c>
      <c r="Z284">
        <f>IF('INHERENT MAP'!$B$5=2021,'РЕЕСТР РИСКОВ_2023'!AE324,IF('INHERENT MAP'!$B$5=2022,#REF!,IF('INHERENT MAP'!$B$5=2023,#REF!,IF('INHERENT MAP'!$B$5=2024,#REF!,#REF!))))</f>
        <v>0</v>
      </c>
      <c r="AA284">
        <f>IF('INHERENT MAP'!$B$5=2021,'РЕЕСТР РИСКОВ_2023'!AF324,IF('INHERENT MAP'!$B$5=2022,#REF!,IF('INHERENT MAP'!$B$5=2023,#REF!,IF('INHERENT MAP'!$B$5=2024,#REF!,#REF!))))</f>
        <v>0</v>
      </c>
      <c r="AB284">
        <f>IF('INHERENT MAP'!$B$5=2021,'РЕЕСТР РИСКОВ_2023'!AG324,IF('INHERENT MAP'!$B$5=2022,#REF!,IF('INHERENT MAP'!$B$5=2023,#REF!,IF('INHERENT MAP'!$B$5=2024,#REF!,#REF!))))</f>
        <v>0</v>
      </c>
      <c r="AC284">
        <f>IF('INHERENT MAP'!$B$5=2021,'РЕЕСТР РИСКОВ_2023'!AH324,IF('INHERENT MAP'!$B$5=2022,#REF!,IF('INHERENT MAP'!$B$5=2023,#REF!,IF('INHERENT MAP'!$B$5=2024,#REF!,#REF!))))</f>
        <v>0</v>
      </c>
      <c r="AD284">
        <f>IF('INHERENT MAP'!$B$5=2021,'РЕЕСТР РИСКОВ_2023'!AI324,IF('INHERENT MAP'!$B$5=2022,#REF!,IF('INHERENT MAP'!$B$5=2023,#REF!,IF('INHERENT MAP'!$B$5=2024,#REF!,#REF!))))</f>
        <v>0</v>
      </c>
      <c r="AE284">
        <f>IF('INHERENT MAP'!$B$5=2021,'РЕЕСТР РИСКОВ_2023'!AK324,IF('INHERENT MAP'!$B$5=2022,#REF!,IF('INHERENT MAP'!$B$5=2023,#REF!,IF('INHERENT MAP'!$B$5=2024,#REF!,#REF!))))</f>
        <v>0</v>
      </c>
      <c r="AF284">
        <f>IF('INHERENT MAP'!$B$5=2021,'РЕЕСТР РИСКОВ_2023'!AL324,IF('INHERENT MAP'!$B$5=2022,#REF!,IF('INHERENT MAP'!$B$5=2023,#REF!,IF('INHERENT MAP'!$B$5=2024,#REF!,#REF!))))</f>
        <v>0</v>
      </c>
      <c r="AG284">
        <f>IF('INHERENT MAP'!$B$5=2021,'РЕЕСТР РИСКОВ_2023'!AM324,IF('INHERENT MAP'!$B$5=2022,#REF!,IF('INHERENT MAP'!$B$5=2023,#REF!,IF('INHERENT MAP'!$B$5=2024,#REF!,#REF!))))</f>
        <v>0</v>
      </c>
      <c r="AH284">
        <f>IF('INHERENT MAP'!$B$5=2021,'РЕЕСТР РИСКОВ_2023'!AN324,IF('INHERENT MAP'!$B$5=2022,#REF!,IF('INHERENT MAP'!$B$5=2023,#REF!,IF('INHERENT MAP'!$B$5=2024,#REF!,#REF!))))</f>
        <v>0</v>
      </c>
      <c r="AI284">
        <f>IF('INHERENT MAP'!$B$5=2021,'РЕЕСТР РИСКОВ_2023'!AO324,IF('INHERENT MAP'!$B$5=2022,#REF!,IF('INHERENT MAP'!$B$5=2023,#REF!,IF('INHERENT MAP'!$B$5=2024,#REF!,#REF!))))</f>
        <v>0</v>
      </c>
      <c r="AJ284">
        <f>IF('INHERENT MAP'!$B$5=2021,'РЕЕСТР РИСКОВ_2023'!AP324,IF('INHERENT MAP'!$B$5=2022,#REF!,IF('INHERENT MAP'!$B$5=2023,#REF!,IF('INHERENT MAP'!$B$5=2024,#REF!,#REF!))))</f>
        <v>0</v>
      </c>
      <c r="AK284">
        <f>IF('РЕЕСТР РИСКОВ_2023'!AQ324="",AK283,'РЕЕСТР РИСКОВ_2023'!AQ324)</f>
        <v>-216</v>
      </c>
      <c r="AL284">
        <f>IF('РЕЕСТР РИСКОВ_2023'!AR324="",AL283,'РЕЕСТР РИСКОВ_2023'!AR324)</f>
        <v>0.12</v>
      </c>
      <c r="AM284" t="str">
        <f>IF('РЕЕСТР РИСКОВ_2023'!AS324="",AM283,'РЕЕСТР РИСКОВ_2023'!AS324)</f>
        <v>стоп</v>
      </c>
      <c r="AN284" t="str">
        <f>IF('РЕЕСТР РИСКОВ_2023'!AT324="",AN283,'РЕЕСТР РИСКОВ_2023'!AT324)</f>
        <v>стоп</v>
      </c>
      <c r="AO284" t="e">
        <f>IF('РЕЕСТР РИСКОВ_2023'!AU324="",AO283,'РЕЕСТР РИСКОВ_2023'!AU324)</f>
        <v>#REF!</v>
      </c>
    </row>
    <row r="285" spans="2:41">
      <c r="B285" t="str">
        <f>IF('INHERENT MAP'!$B$5=2021,IF('РЕЕСТР РИСКОВ_2023'!F325="",B284,'РЕЕСТР РИСКОВ_2023'!F325),IF('INHERENT MAP'!$B$5=2022,IF(#REF!="",B284,#REF!),IF('INHERENT MAP'!$B$5=2023,IF(#REF!="",B284,#REF!),IF('INHERENT MAP'!$B$5=2024,IF(#REF!="",B284,#REF!),IF('РЕЕСТР РИСКОВ_2023'!F325="",B284,'РЕЕСТР РИСКОВ_2023'!F325)))))</f>
        <v>ПРОЦЕНТНЫЙ РИСК</v>
      </c>
      <c r="C285" t="e">
        <f>IF('INHERENT MAP'!$B$5=2021,IF('РЕЕСТР РИСКОВ_2023'!G325="",C284,'РЕЕСТР РИСКОВ_2023'!G325),IF('INHERENT MAP'!$B$5=2022,IF(#REF!="",C284,#REF!),IF('INHERENT MAP'!$B$5=2023,IF(#REF!="",C284,#REF!),IF('INHERENT MAP'!$B$5=2024,IF(#REF!="",C284,#REF!),IF('РЕЕСТР РИСКОВ_2023'!G325="",C284,'РЕЕСТР РИСКОВ_2023'!G325)))))</f>
        <v>#REF!</v>
      </c>
      <c r="D285" t="str">
        <f>IF('INHERENT MAP'!$B$5=2021,IF('РЕЕСТР РИСКОВ_2023'!H325="",D284,'РЕЕСТР РИСКОВ_2023'!H325),IF('INHERENT MAP'!$B$5=2022,IF(#REF!="",D284,#REF!),IF('INHERENT MAP'!$B$5=2023,IF(#REF!="",D284,#REF!),IF('INHERENT MAP'!$B$5=2024,IF(#REF!="",D284,#REF!),IF('РЕЕСТР РИСКОВ_2023'!H325="",D284,'РЕЕСТР РИСКОВ_2023'!H325)))))</f>
        <v>IRR-1</v>
      </c>
      <c r="E285" t="str">
        <f>IF('INHERENT MAP'!$B$5=2021,IF('РЕЕСТР РИСКОВ_2023'!I325="",E284,'РЕЕСТР РИСКОВ_2023'!I325),IF('INHERENT MAP'!$B$5=2022,IF(#REF!="",E284,#REF!),IF('INHERENT MAP'!$B$5=2023,IF(#REF!="",E284,#REF!),IF('INHERENT MAP'!$B$5=2024,IF(#REF!="",E284,#REF!),IF('РЕЕСТР РИСКОВ_2023'!I325="",E284,'РЕЕСТР РИСКОВ_2023'!I325)))))</f>
        <v>ЦЗФ</v>
      </c>
      <c r="F285" t="str">
        <f>IF('INHERENT MAP'!$B$5=2021,IF('РЕЕСТР РИСКОВ_2023'!J325="",F284,'РЕЕСТР РИСКОВ_2023'!J325),IF('INHERENT MAP'!$B$5=2022,IF(#REF!="",F284,#REF!),IF('INHERENT MAP'!$B$5=2023,IF(#REF!="",F284,#REF!),IF('INHERENT MAP'!$B$5=2024,IF(#REF!="",F284,#REF!),IF('РЕЕСТР РИСКОВ_2023'!J325="",F284,'РЕЕСТР РИСКОВ_2023'!J325)))))</f>
        <v>Цзайм</v>
      </c>
      <c r="G285" t="str">
        <f>IF('INHERENT MAP'!$B$5=2021,IF('РЕЕСТР РИСКОВ_2023'!K325="",G284,'РЕЕСТР РИСКОВ_2023'!K325),IF('INHERENT MAP'!$B$5=2022,IF(#REF!="",G284,#REF!),IF('INHERENT MAP'!$B$5=2023,IF(#REF!="",G284,#REF!),IF('INHERENT MAP'!$B$5=2024,IF(#REF!="",G284,#REF!),IF('РЕЕСТР РИСКОВ_2023'!K325="",G284,'РЕЕСТР РИСКОВ_2023'!K325)))))</f>
        <v>Увеличение расходов по процентам на новые займы, а также текущие займы (с плавающей ставкой) в тенге.</v>
      </c>
      <c r="H285">
        <f>IF('INHERENT MAP'!$B$5=2021,'РЕЕСТР РИСКОВ_2023'!L325,IF('INHERENT MAP'!$B$5=2022,#REF!,IF('INHERENT MAP'!$B$5=2023,#REF!,IF('INHERENT MAP'!$B$5=2024,#REF!,#REF!))))</f>
        <v>0</v>
      </c>
      <c r="I285">
        <f>IF('INHERENT MAP'!$B$5=2021,'РЕЕСТР РИСКОВ_2023'!M325,IF('INHERENT MAP'!$B$5=2022,#REF!,IF('INHERENT MAP'!$B$5=2023,#REF!,IF('INHERENT MAP'!$B$5=2024,#REF!,#REF!))))</f>
        <v>0</v>
      </c>
      <c r="J285">
        <f>IF('INHERENT MAP'!$B$5=2021,'РЕЕСТР РИСКОВ_2023'!N325,IF('INHERENT MAP'!$B$5=2022,#REF!,IF('INHERENT MAP'!$B$5=2023,#REF!,IF('INHERENT MAP'!$B$5=2024,#REF!,#REF!))))</f>
        <v>0</v>
      </c>
      <c r="K285">
        <f>IF('INHERENT MAP'!$B$5=2021,'РЕЕСТР РИСКОВ_2023'!O325,IF('INHERENT MAP'!$B$5=2022,#REF!,IF('INHERENT MAP'!$B$5=2023,#REF!,IF('INHERENT MAP'!$B$5=2024,#REF!,#REF!))))</f>
        <v>0</v>
      </c>
      <c r="L285">
        <f>IF('INHERENT MAP'!$B$5=2021,'РЕЕСТР РИСКОВ_2023'!P325,IF('INHERENT MAP'!$B$5=2022,#REF!,IF('INHERENT MAP'!$B$5=2023,#REF!,IF('INHERENT MAP'!$B$5=2024,#REF!,#REF!))))</f>
        <v>0</v>
      </c>
      <c r="M285" t="str">
        <f>IF('INHERENT MAP'!$B$5=2021,IF('РЕЕСТР РИСКОВ_2023'!Q325="",M284,'РЕЕСТР РИСКОВ_2023'!Q325),IF('INHERENT MAP'!$B$5=2022,IF(#REF!="",M284,#REF!),IF('INHERENT MAP'!$B$5=2023,IF(#REF!="",M284,#REF!),IF('INHERENT MAP'!$B$5=2024,IF(#REF!="",M284,#REF!),IF('РЕЕСТР РИСКОВ_2023'!Q325="",M284,'РЕЕСТР РИСКОВ_2023'!Q325)))))</f>
        <v>Увеличение базовой ставки Национального банка Республики Казахстан до 16%</v>
      </c>
      <c r="N285" t="str">
        <f>IF('INHERENT MAP'!$B$5=2021,IF('РЕЕСТР РИСКОВ_2023'!R325="",N284,'РЕЕСТР РИСКОВ_2023'!R325),IF('INHERENT MAP'!$B$5=2022,IF(#REF!="",N284,#REF!),IF('INHERENT MAP'!$B$5=2023,IF(#REF!="",N284,#REF!),IF('INHERENT MAP'!$B$5=2024,IF(#REF!="",N284,#REF!),IF('РЕЕСТР РИСКОВ_2023'!R325="",N284,'РЕЕСТР РИСКОВ_2023'!R325)))))</f>
        <v>Рецессия экономики европейских стран</v>
      </c>
      <c r="O285">
        <f>'РЕЕСТР РИСКОВ_2023'!T325</f>
        <v>0</v>
      </c>
      <c r="P285" t="e">
        <f>IF('РЕЕСТР РИСКОВ_2023'!U325="",P284,'РЕЕСТР РИСКОВ_2023'!U325)</f>
        <v>#REF!</v>
      </c>
      <c r="Q285" t="str">
        <f>IF('РЕЕСТР РИСКОВ_2023'!V325="",Q284,'РЕЕСТР РИСКОВ_2023'!V325)</f>
        <v>Угрозы</v>
      </c>
      <c r="R285" t="e">
        <f>IF('РЕЕСТР РИСКОВ_2023'!W325="",R284,'РЕЕСТР РИСКОВ_2023'!W325)</f>
        <v>#REF!</v>
      </c>
      <c r="S285">
        <f>'РЕЕСТР РИСКОВ_2023'!X325</f>
        <v>0</v>
      </c>
      <c r="T285" s="94">
        <f>IF('INHERENT MAP'!$B$5=2021,'РЕЕСТР РИСКОВ_2023'!Y325,IF('INHERENT MAP'!$B$5=2022,#REF!,IF('INHERENT MAP'!$B$5=2023,#REF!,IF('INHERENT MAP'!$B$5=2024,#REF!,#REF!))))</f>
        <v>0</v>
      </c>
      <c r="U285">
        <f>IF('INHERENT MAP'!$B$5=2021,'РЕЕСТР РИСКОВ_2023'!Z325,IF('INHERENT MAP'!$B$5=2022,#REF!,IF('INHERENT MAP'!$B$5=2023,#REF!,IF('INHERENT MAP'!$B$5=2024,#REF!,#REF!))))</f>
        <v>0</v>
      </c>
      <c r="V285">
        <f>IF('INHERENT MAP'!$B$5=2021,'РЕЕСТР РИСКОВ_2023'!AA325,IF('INHERENT MAP'!$B$5=2022,#REF!,IF('INHERENT MAP'!$B$5=2023,#REF!,IF('INHERENT MAP'!$B$5=2024,#REF!,#REF!))))</f>
        <v>0</v>
      </c>
      <c r="W285">
        <f>IF('INHERENT MAP'!$B$5=2021,'РЕЕСТР РИСКОВ_2023'!AB325,IF('INHERENT MAP'!$B$5=2022,#REF!,IF('INHERENT MAP'!$B$5=2023,#REF!,IF('INHERENT MAP'!$B$5=2024,#REF!,#REF!))))</f>
        <v>0</v>
      </c>
      <c r="X285" s="94">
        <f>IF('INHERENT MAP'!$B$5=2021,'РЕЕСТР РИСКОВ_2023'!AC325,IF('INHERENT MAP'!$B$5=2022,#REF!,IF('INHERENT MAP'!$B$5=2023,#REF!,IF('INHERENT MAP'!$B$5=2024,#REF!,#REF!))))</f>
        <v>0</v>
      </c>
      <c r="Y285">
        <f>IF('INHERENT MAP'!$B$5=2021,'РЕЕСТР РИСКОВ_2023'!AD325,IF('INHERENT MAP'!$B$5=2022,#REF!,IF('INHERENT MAP'!$B$5=2023,#REF!,IF('INHERENT MAP'!$B$5=2024,#REF!,#REF!))))</f>
        <v>0</v>
      </c>
      <c r="Z285">
        <f>IF('INHERENT MAP'!$B$5=2021,'РЕЕСТР РИСКОВ_2023'!AE325,IF('INHERENT MAP'!$B$5=2022,#REF!,IF('INHERENT MAP'!$B$5=2023,#REF!,IF('INHERENT MAP'!$B$5=2024,#REF!,#REF!))))</f>
        <v>0</v>
      </c>
      <c r="AA285">
        <f>IF('INHERENT MAP'!$B$5=2021,'РЕЕСТР РИСКОВ_2023'!AF325,IF('INHERENT MAP'!$B$5=2022,#REF!,IF('INHERENT MAP'!$B$5=2023,#REF!,IF('INHERENT MAP'!$B$5=2024,#REF!,#REF!))))</f>
        <v>0</v>
      </c>
      <c r="AB285">
        <f>IF('INHERENT MAP'!$B$5=2021,'РЕЕСТР РИСКОВ_2023'!AG325,IF('INHERENT MAP'!$B$5=2022,#REF!,IF('INHERENT MAP'!$B$5=2023,#REF!,IF('INHERENT MAP'!$B$5=2024,#REF!,#REF!))))</f>
        <v>0</v>
      </c>
      <c r="AC285">
        <f>IF('INHERENT MAP'!$B$5=2021,'РЕЕСТР РИСКОВ_2023'!AH325,IF('INHERENT MAP'!$B$5=2022,#REF!,IF('INHERENT MAP'!$B$5=2023,#REF!,IF('INHERENT MAP'!$B$5=2024,#REF!,#REF!))))</f>
        <v>0</v>
      </c>
      <c r="AD285">
        <f>IF('INHERENT MAP'!$B$5=2021,'РЕЕСТР РИСКОВ_2023'!AI325,IF('INHERENT MAP'!$B$5=2022,#REF!,IF('INHERENT MAP'!$B$5=2023,#REF!,IF('INHERENT MAP'!$B$5=2024,#REF!,#REF!))))</f>
        <v>0</v>
      </c>
      <c r="AE285">
        <f>IF('INHERENT MAP'!$B$5=2021,'РЕЕСТР РИСКОВ_2023'!AK325,IF('INHERENT MAP'!$B$5=2022,#REF!,IF('INHERENT MAP'!$B$5=2023,#REF!,IF('INHERENT MAP'!$B$5=2024,#REF!,#REF!))))</f>
        <v>0</v>
      </c>
      <c r="AF285">
        <f>IF('INHERENT MAP'!$B$5=2021,'РЕЕСТР РИСКОВ_2023'!AL325,IF('INHERENT MAP'!$B$5=2022,#REF!,IF('INHERENT MAP'!$B$5=2023,#REF!,IF('INHERENT MAP'!$B$5=2024,#REF!,#REF!))))</f>
        <v>0</v>
      </c>
      <c r="AG285">
        <f>IF('INHERENT MAP'!$B$5=2021,'РЕЕСТР РИСКОВ_2023'!AM325,IF('INHERENT MAP'!$B$5=2022,#REF!,IF('INHERENT MAP'!$B$5=2023,#REF!,IF('INHERENT MAP'!$B$5=2024,#REF!,#REF!))))</f>
        <v>0</v>
      </c>
      <c r="AH285">
        <f>IF('INHERENT MAP'!$B$5=2021,'РЕЕСТР РИСКОВ_2023'!AN325,IF('INHERENT MAP'!$B$5=2022,#REF!,IF('INHERENT MAP'!$B$5=2023,#REF!,IF('INHERENT MAP'!$B$5=2024,#REF!,#REF!))))</f>
        <v>0</v>
      </c>
      <c r="AI285">
        <f>IF('INHERENT MAP'!$B$5=2021,'РЕЕСТР РИСКОВ_2023'!AO325,IF('INHERENT MAP'!$B$5=2022,#REF!,IF('INHERENT MAP'!$B$5=2023,#REF!,IF('INHERENT MAP'!$B$5=2024,#REF!,#REF!))))</f>
        <v>0</v>
      </c>
      <c r="AJ285">
        <f>IF('INHERENT MAP'!$B$5=2021,'РЕЕСТР РИСКОВ_2023'!AP325,IF('INHERENT MAP'!$B$5=2022,#REF!,IF('INHERENT MAP'!$B$5=2023,#REF!,IF('INHERENT MAP'!$B$5=2024,#REF!,#REF!))))</f>
        <v>0</v>
      </c>
      <c r="AK285">
        <f>IF('РЕЕСТР РИСКОВ_2023'!AQ325="",AK284,'РЕЕСТР РИСКОВ_2023'!AQ325)</f>
        <v>-216</v>
      </c>
      <c r="AL285">
        <f>IF('РЕЕСТР РИСКОВ_2023'!AR325="",AL284,'РЕЕСТР РИСКОВ_2023'!AR325)</f>
        <v>0.12</v>
      </c>
      <c r="AM285" t="str">
        <f>IF('РЕЕСТР РИСКОВ_2023'!AS325="",AM284,'РЕЕСТР РИСКОВ_2023'!AS325)</f>
        <v>стоп</v>
      </c>
      <c r="AN285" t="str">
        <f>IF('РЕЕСТР РИСКОВ_2023'!AT325="",AN284,'РЕЕСТР РИСКОВ_2023'!AT325)</f>
        <v>стоп</v>
      </c>
      <c r="AO285" t="e">
        <f>IF('РЕЕСТР РИСКОВ_2023'!AU325="",AO284,'РЕЕСТР РИСКОВ_2023'!AU325)</f>
        <v>#REF!</v>
      </c>
    </row>
    <row r="286" spans="2:41">
      <c r="B286" t="str">
        <f>IF('INHERENT MAP'!$B$5=2021,IF('РЕЕСТР РИСКОВ_2023'!F326="",B285,'РЕЕСТР РИСКОВ_2023'!F326),IF('INHERENT MAP'!$B$5=2022,IF(#REF!="",B285,#REF!),IF('INHERENT MAP'!$B$5=2023,IF(#REF!="",B285,#REF!),IF('INHERENT MAP'!$B$5=2024,IF(#REF!="",B285,#REF!),IF('РЕЕСТР РИСКОВ_2023'!F326="",B285,'РЕЕСТР РИСКОВ_2023'!F326)))))</f>
        <v>ПРОЦЕНТНЫЙ РИСК</v>
      </c>
      <c r="C286" t="e">
        <f>IF('INHERENT MAP'!$B$5=2021,IF('РЕЕСТР РИСКОВ_2023'!G326="",C285,'РЕЕСТР РИСКОВ_2023'!G326),IF('INHERENT MAP'!$B$5=2022,IF(#REF!="",C285,#REF!),IF('INHERENT MAP'!$B$5=2023,IF(#REF!="",C285,#REF!),IF('INHERENT MAP'!$B$5=2024,IF(#REF!="",C285,#REF!),IF('РЕЕСТР РИСКОВ_2023'!G326="",C285,'РЕЕСТР РИСКОВ_2023'!G326)))))</f>
        <v>#REF!</v>
      </c>
      <c r="D286" t="str">
        <f>IF('INHERENT MAP'!$B$5=2021,IF('РЕЕСТР РИСКОВ_2023'!H326="",D285,'РЕЕСТР РИСКОВ_2023'!H326),IF('INHERENT MAP'!$B$5=2022,IF(#REF!="",D285,#REF!),IF('INHERENT MAP'!$B$5=2023,IF(#REF!="",D285,#REF!),IF('INHERENT MAP'!$B$5=2024,IF(#REF!="",D285,#REF!),IF('РЕЕСТР РИСКОВ_2023'!H326="",D285,'РЕЕСТР РИСКОВ_2023'!H326)))))</f>
        <v>IRR-1</v>
      </c>
      <c r="E286" t="str">
        <f>IF('INHERENT MAP'!$B$5=2021,IF('РЕЕСТР РИСКОВ_2023'!I326="",E285,'РЕЕСТР РИСКОВ_2023'!I326),IF('INHERENT MAP'!$B$5=2022,IF(#REF!="",E285,#REF!),IF('INHERENT MAP'!$B$5=2023,IF(#REF!="",E285,#REF!),IF('INHERENT MAP'!$B$5=2024,IF(#REF!="",E285,#REF!),IF('РЕЕСТР РИСКОВ_2023'!I326="",E285,'РЕЕСТР РИСКОВ_2023'!I326)))))</f>
        <v>ЦЗФ</v>
      </c>
      <c r="F286" t="str">
        <f>IF('INHERENT MAP'!$B$5=2021,IF('РЕЕСТР РИСКОВ_2023'!J326="",F285,'РЕЕСТР РИСКОВ_2023'!J326),IF('INHERENT MAP'!$B$5=2022,IF(#REF!="",F285,#REF!),IF('INHERENT MAP'!$B$5=2023,IF(#REF!="",F285,#REF!),IF('INHERENT MAP'!$B$5=2024,IF(#REF!="",F285,#REF!),IF('РЕЕСТР РИСКОВ_2023'!J326="",F285,'РЕЕСТР РИСКОВ_2023'!J326)))))</f>
        <v>Цзайм</v>
      </c>
      <c r="G286" t="str">
        <f>IF('INHERENT MAP'!$B$5=2021,IF('РЕЕСТР РИСКОВ_2023'!K326="",G285,'РЕЕСТР РИСКОВ_2023'!K326),IF('INHERENT MAP'!$B$5=2022,IF(#REF!="",G285,#REF!),IF('INHERENT MAP'!$B$5=2023,IF(#REF!="",G285,#REF!),IF('INHERENT MAP'!$B$5=2024,IF(#REF!="",G285,#REF!),IF('РЕЕСТР РИСКОВ_2023'!K326="",G285,'РЕЕСТР РИСКОВ_2023'!K326)))))</f>
        <v>Увеличение расходов по процентам на новые займы, а также текущие займы (с плавающей ставкой) в тенге.</v>
      </c>
      <c r="H286">
        <f>IF('INHERENT MAP'!$B$5=2021,'РЕЕСТР РИСКОВ_2023'!L326,IF('INHERENT MAP'!$B$5=2022,#REF!,IF('INHERENT MAP'!$B$5=2023,#REF!,IF('INHERENT MAP'!$B$5=2024,#REF!,#REF!))))</f>
        <v>0</v>
      </c>
      <c r="I286">
        <f>IF('INHERENT MAP'!$B$5=2021,'РЕЕСТР РИСКОВ_2023'!M326,IF('INHERENT MAP'!$B$5=2022,#REF!,IF('INHERENT MAP'!$B$5=2023,#REF!,IF('INHERENT MAP'!$B$5=2024,#REF!,#REF!))))</f>
        <v>0</v>
      </c>
      <c r="J286">
        <f>IF('INHERENT MAP'!$B$5=2021,'РЕЕСТР РИСКОВ_2023'!N326,IF('INHERENT MAP'!$B$5=2022,#REF!,IF('INHERENT MAP'!$B$5=2023,#REF!,IF('INHERENT MAP'!$B$5=2024,#REF!,#REF!))))</f>
        <v>0</v>
      </c>
      <c r="K286">
        <f>IF('INHERENT MAP'!$B$5=2021,'РЕЕСТР РИСКОВ_2023'!O326,IF('INHERENT MAP'!$B$5=2022,#REF!,IF('INHERENT MAP'!$B$5=2023,#REF!,IF('INHERENT MAP'!$B$5=2024,#REF!,#REF!))))</f>
        <v>0</v>
      </c>
      <c r="L286">
        <f>IF('INHERENT MAP'!$B$5=2021,'РЕЕСТР РИСКОВ_2023'!P326,IF('INHERENT MAP'!$B$5=2022,#REF!,IF('INHERENT MAP'!$B$5=2023,#REF!,IF('INHERENT MAP'!$B$5=2024,#REF!,#REF!))))</f>
        <v>0</v>
      </c>
      <c r="M286" t="str">
        <f>IF('INHERENT MAP'!$B$5=2021,IF('РЕЕСТР РИСКОВ_2023'!Q326="",M285,'РЕЕСТР РИСКОВ_2023'!Q326),IF('INHERENT MAP'!$B$5=2022,IF(#REF!="",M285,#REF!),IF('INHERENT MAP'!$B$5=2023,IF(#REF!="",M285,#REF!),IF('INHERENT MAP'!$B$5=2024,IF(#REF!="",M285,#REF!),IF('РЕЕСТР РИСКОВ_2023'!Q326="",M285,'РЕЕСТР РИСКОВ_2023'!Q326)))))</f>
        <v>Увеличение базовой ставки Национального банка Республики Казахстан до 16%</v>
      </c>
      <c r="N286" t="str">
        <f>IF('INHERENT MAP'!$B$5=2021,IF('РЕЕСТР РИСКОВ_2023'!R326="",N285,'РЕЕСТР РИСКОВ_2023'!R326),IF('INHERENT MAP'!$B$5=2022,IF(#REF!="",N285,#REF!),IF('INHERENT MAP'!$B$5=2023,IF(#REF!="",N285,#REF!),IF('INHERENT MAP'!$B$5=2024,IF(#REF!="",N285,#REF!),IF('РЕЕСТР РИСКОВ_2023'!R326="",N285,'РЕЕСТР РИСКОВ_2023'!R326)))))</f>
        <v>Рецессия экономики европейских стран</v>
      </c>
      <c r="O286">
        <f>'РЕЕСТР РИСКОВ_2023'!T326</f>
        <v>0</v>
      </c>
      <c r="P286" t="e">
        <f>IF('РЕЕСТР РИСКОВ_2023'!U326="",P285,'РЕЕСТР РИСКОВ_2023'!U326)</f>
        <v>#REF!</v>
      </c>
      <c r="Q286" t="str">
        <f>IF('РЕЕСТР РИСКОВ_2023'!V326="",Q285,'РЕЕСТР РИСКОВ_2023'!V326)</f>
        <v>Угрозы</v>
      </c>
      <c r="R286" t="e">
        <f>IF('РЕЕСТР РИСКОВ_2023'!W326="",R285,'РЕЕСТР РИСКОВ_2023'!W326)</f>
        <v>#REF!</v>
      </c>
      <c r="S286">
        <f>'РЕЕСТР РИСКОВ_2023'!X326</f>
        <v>0</v>
      </c>
      <c r="T286" s="94">
        <f>IF('INHERENT MAP'!$B$5=2021,'РЕЕСТР РИСКОВ_2023'!Y326,IF('INHERENT MAP'!$B$5=2022,#REF!,IF('INHERENT MAP'!$B$5=2023,#REF!,IF('INHERENT MAP'!$B$5=2024,#REF!,#REF!))))</f>
        <v>0</v>
      </c>
      <c r="U286">
        <f>IF('INHERENT MAP'!$B$5=2021,'РЕЕСТР РИСКОВ_2023'!Z326,IF('INHERENT MAP'!$B$5=2022,#REF!,IF('INHERENT MAP'!$B$5=2023,#REF!,IF('INHERENT MAP'!$B$5=2024,#REF!,#REF!))))</f>
        <v>0</v>
      </c>
      <c r="V286">
        <f>IF('INHERENT MAP'!$B$5=2021,'РЕЕСТР РИСКОВ_2023'!AA326,IF('INHERENT MAP'!$B$5=2022,#REF!,IF('INHERENT MAP'!$B$5=2023,#REF!,IF('INHERENT MAP'!$B$5=2024,#REF!,#REF!))))</f>
        <v>0</v>
      </c>
      <c r="W286">
        <f>IF('INHERENT MAP'!$B$5=2021,'РЕЕСТР РИСКОВ_2023'!AB326,IF('INHERENT MAP'!$B$5=2022,#REF!,IF('INHERENT MAP'!$B$5=2023,#REF!,IF('INHERENT MAP'!$B$5=2024,#REF!,#REF!))))</f>
        <v>0</v>
      </c>
      <c r="X286" s="94">
        <f>IF('INHERENT MAP'!$B$5=2021,'РЕЕСТР РИСКОВ_2023'!AC326,IF('INHERENT MAP'!$B$5=2022,#REF!,IF('INHERENT MAP'!$B$5=2023,#REF!,IF('INHERENT MAP'!$B$5=2024,#REF!,#REF!))))</f>
        <v>0</v>
      </c>
      <c r="Y286">
        <f>IF('INHERENT MAP'!$B$5=2021,'РЕЕСТР РИСКОВ_2023'!AD326,IF('INHERENT MAP'!$B$5=2022,#REF!,IF('INHERENT MAP'!$B$5=2023,#REF!,IF('INHERENT MAP'!$B$5=2024,#REF!,#REF!))))</f>
        <v>0</v>
      </c>
      <c r="Z286">
        <f>IF('INHERENT MAP'!$B$5=2021,'РЕЕСТР РИСКОВ_2023'!AE326,IF('INHERENT MAP'!$B$5=2022,#REF!,IF('INHERENT MAP'!$B$5=2023,#REF!,IF('INHERENT MAP'!$B$5=2024,#REF!,#REF!))))</f>
        <v>0</v>
      </c>
      <c r="AA286">
        <f>IF('INHERENT MAP'!$B$5=2021,'РЕЕСТР РИСКОВ_2023'!AF326,IF('INHERENT MAP'!$B$5=2022,#REF!,IF('INHERENT MAP'!$B$5=2023,#REF!,IF('INHERENT MAP'!$B$5=2024,#REF!,#REF!))))</f>
        <v>0</v>
      </c>
      <c r="AB286">
        <f>IF('INHERENT MAP'!$B$5=2021,'РЕЕСТР РИСКОВ_2023'!AG326,IF('INHERENT MAP'!$B$5=2022,#REF!,IF('INHERENT MAP'!$B$5=2023,#REF!,IF('INHERENT MAP'!$B$5=2024,#REF!,#REF!))))</f>
        <v>0</v>
      </c>
      <c r="AC286">
        <f>IF('INHERENT MAP'!$B$5=2021,'РЕЕСТР РИСКОВ_2023'!AH326,IF('INHERENT MAP'!$B$5=2022,#REF!,IF('INHERENT MAP'!$B$5=2023,#REF!,IF('INHERENT MAP'!$B$5=2024,#REF!,#REF!))))</f>
        <v>0</v>
      </c>
      <c r="AD286">
        <f>IF('INHERENT MAP'!$B$5=2021,'РЕЕСТР РИСКОВ_2023'!AI326,IF('INHERENT MAP'!$B$5=2022,#REF!,IF('INHERENT MAP'!$B$5=2023,#REF!,IF('INHERENT MAP'!$B$5=2024,#REF!,#REF!))))</f>
        <v>0</v>
      </c>
      <c r="AE286">
        <f>IF('INHERENT MAP'!$B$5=2021,'РЕЕСТР РИСКОВ_2023'!AK326,IF('INHERENT MAP'!$B$5=2022,#REF!,IF('INHERENT MAP'!$B$5=2023,#REF!,IF('INHERENT MAP'!$B$5=2024,#REF!,#REF!))))</f>
        <v>0</v>
      </c>
      <c r="AF286">
        <f>IF('INHERENT MAP'!$B$5=2021,'РЕЕСТР РИСКОВ_2023'!AL326,IF('INHERENT MAP'!$B$5=2022,#REF!,IF('INHERENT MAP'!$B$5=2023,#REF!,IF('INHERENT MAP'!$B$5=2024,#REF!,#REF!))))</f>
        <v>0</v>
      </c>
      <c r="AG286">
        <f>IF('INHERENT MAP'!$B$5=2021,'РЕЕСТР РИСКОВ_2023'!AM326,IF('INHERENT MAP'!$B$5=2022,#REF!,IF('INHERENT MAP'!$B$5=2023,#REF!,IF('INHERENT MAP'!$B$5=2024,#REF!,#REF!))))</f>
        <v>0</v>
      </c>
      <c r="AH286">
        <f>IF('INHERENT MAP'!$B$5=2021,'РЕЕСТР РИСКОВ_2023'!AN326,IF('INHERENT MAP'!$B$5=2022,#REF!,IF('INHERENT MAP'!$B$5=2023,#REF!,IF('INHERENT MAP'!$B$5=2024,#REF!,#REF!))))</f>
        <v>0</v>
      </c>
      <c r="AI286">
        <f>IF('INHERENT MAP'!$B$5=2021,'РЕЕСТР РИСКОВ_2023'!AO326,IF('INHERENT MAP'!$B$5=2022,#REF!,IF('INHERENT MAP'!$B$5=2023,#REF!,IF('INHERENT MAP'!$B$5=2024,#REF!,#REF!))))</f>
        <v>0</v>
      </c>
      <c r="AJ286">
        <f>IF('INHERENT MAP'!$B$5=2021,'РЕЕСТР РИСКОВ_2023'!AP326,IF('INHERENT MAP'!$B$5=2022,#REF!,IF('INHERENT MAP'!$B$5=2023,#REF!,IF('INHERENT MAP'!$B$5=2024,#REF!,#REF!))))</f>
        <v>0</v>
      </c>
      <c r="AK286">
        <f>IF('РЕЕСТР РИСКОВ_2023'!AQ326="",AK285,'РЕЕСТР РИСКОВ_2023'!AQ326)</f>
        <v>-216</v>
      </c>
      <c r="AL286">
        <f>IF('РЕЕСТР РИСКОВ_2023'!AR326="",AL285,'РЕЕСТР РИСКОВ_2023'!AR326)</f>
        <v>0.12</v>
      </c>
      <c r="AM286" t="str">
        <f>IF('РЕЕСТР РИСКОВ_2023'!AS326="",AM285,'РЕЕСТР РИСКОВ_2023'!AS326)</f>
        <v>стоп</v>
      </c>
      <c r="AN286" t="str">
        <f>IF('РЕЕСТР РИСКОВ_2023'!AT326="",AN285,'РЕЕСТР РИСКОВ_2023'!AT326)</f>
        <v>стоп</v>
      </c>
      <c r="AO286" t="e">
        <f>IF('РЕЕСТР РИСКОВ_2023'!AU326="",AO285,'РЕЕСТР РИСКОВ_2023'!AU326)</f>
        <v>#REF!</v>
      </c>
    </row>
    <row r="287" spans="2:41">
      <c r="B287" t="str">
        <f>IF('INHERENT MAP'!$B$5=2021,IF('РЕЕСТР РИСКОВ_2023'!F327="",B286,'РЕЕСТР РИСКОВ_2023'!F327),IF('INHERENT MAP'!$B$5=2022,IF(#REF!="",B286,#REF!),IF('INHERENT MAP'!$B$5=2023,IF(#REF!="",B286,#REF!),IF('INHERENT MAP'!$B$5=2024,IF(#REF!="",B286,#REF!),IF('РЕЕСТР РИСКОВ_2023'!F327="",B286,'РЕЕСТР РИСКОВ_2023'!F327)))))</f>
        <v>ПРОЦЕНТНЫЙ РИСК</v>
      </c>
      <c r="C287" t="e">
        <f>IF('INHERENT MAP'!$B$5=2021,IF('РЕЕСТР РИСКОВ_2023'!G327="",C286,'РЕЕСТР РИСКОВ_2023'!G327),IF('INHERENT MAP'!$B$5=2022,IF(#REF!="",C286,#REF!),IF('INHERENT MAP'!$B$5=2023,IF(#REF!="",C286,#REF!),IF('INHERENT MAP'!$B$5=2024,IF(#REF!="",C286,#REF!),IF('РЕЕСТР РИСКОВ_2023'!G327="",C286,'РЕЕСТР РИСКОВ_2023'!G327)))))</f>
        <v>#REF!</v>
      </c>
      <c r="D287" t="str">
        <f>IF('INHERENT MAP'!$B$5=2021,IF('РЕЕСТР РИСКОВ_2023'!H327="",D286,'РЕЕСТР РИСКОВ_2023'!H327),IF('INHERENT MAP'!$B$5=2022,IF(#REF!="",D286,#REF!),IF('INHERENT MAP'!$B$5=2023,IF(#REF!="",D286,#REF!),IF('INHERENT MAP'!$B$5=2024,IF(#REF!="",D286,#REF!),IF('РЕЕСТР РИСКОВ_2023'!H327="",D286,'РЕЕСТР РИСКОВ_2023'!H327)))))</f>
        <v>IRR-1</v>
      </c>
      <c r="E287" t="str">
        <f>IF('INHERENT MAP'!$B$5=2021,IF('РЕЕСТР РИСКОВ_2023'!I327="",E286,'РЕЕСТР РИСКОВ_2023'!I327),IF('INHERENT MAP'!$B$5=2022,IF(#REF!="",E286,#REF!),IF('INHERENT MAP'!$B$5=2023,IF(#REF!="",E286,#REF!),IF('INHERENT MAP'!$B$5=2024,IF(#REF!="",E286,#REF!),IF('РЕЕСТР РИСКОВ_2023'!I327="",E286,'РЕЕСТР РИСКОВ_2023'!I327)))))</f>
        <v>ЦЗФ</v>
      </c>
      <c r="F287" t="str">
        <f>IF('INHERENT MAP'!$B$5=2021,IF('РЕЕСТР РИСКОВ_2023'!J327="",F286,'РЕЕСТР РИСКОВ_2023'!J327),IF('INHERENT MAP'!$B$5=2022,IF(#REF!="",F286,#REF!),IF('INHERENT MAP'!$B$5=2023,IF(#REF!="",F286,#REF!),IF('INHERENT MAP'!$B$5=2024,IF(#REF!="",F286,#REF!),IF('РЕЕСТР РИСКОВ_2023'!J327="",F286,'РЕЕСТР РИСКОВ_2023'!J327)))))</f>
        <v>Цзайм</v>
      </c>
      <c r="G287" t="str">
        <f>IF('INHERENT MAP'!$B$5=2021,IF('РЕЕСТР РИСКОВ_2023'!K327="",G286,'РЕЕСТР РИСКОВ_2023'!K327),IF('INHERENT MAP'!$B$5=2022,IF(#REF!="",G286,#REF!),IF('INHERENT MAP'!$B$5=2023,IF(#REF!="",G286,#REF!),IF('INHERENT MAP'!$B$5=2024,IF(#REF!="",G286,#REF!),IF('РЕЕСТР РИСКОВ_2023'!K327="",G286,'РЕЕСТР РИСКОВ_2023'!K327)))))</f>
        <v>Увеличение расходов по процентам на новые займы, а также текущие займы (с плавающей ставкой) в тенге.</v>
      </c>
      <c r="H287">
        <f>IF('INHERENT MAP'!$B$5=2021,'РЕЕСТР РИСКОВ_2023'!L327,IF('INHERENT MAP'!$B$5=2022,#REF!,IF('INHERENT MAP'!$B$5=2023,#REF!,IF('INHERENT MAP'!$B$5=2024,#REF!,#REF!))))</f>
        <v>0</v>
      </c>
      <c r="I287">
        <f>IF('INHERENT MAP'!$B$5=2021,'РЕЕСТР РИСКОВ_2023'!M327,IF('INHERENT MAP'!$B$5=2022,#REF!,IF('INHERENT MAP'!$B$5=2023,#REF!,IF('INHERENT MAP'!$B$5=2024,#REF!,#REF!))))</f>
        <v>0</v>
      </c>
      <c r="J287">
        <f>IF('INHERENT MAP'!$B$5=2021,'РЕЕСТР РИСКОВ_2023'!N327,IF('INHERENT MAP'!$B$5=2022,#REF!,IF('INHERENT MAP'!$B$5=2023,#REF!,IF('INHERENT MAP'!$B$5=2024,#REF!,#REF!))))</f>
        <v>0</v>
      </c>
      <c r="K287">
        <f>IF('INHERENT MAP'!$B$5=2021,'РЕЕСТР РИСКОВ_2023'!O327,IF('INHERENT MAP'!$B$5=2022,#REF!,IF('INHERENT MAP'!$B$5=2023,#REF!,IF('INHERENT MAP'!$B$5=2024,#REF!,#REF!))))</f>
        <v>0</v>
      </c>
      <c r="L287">
        <f>IF('INHERENT MAP'!$B$5=2021,'РЕЕСТР РИСКОВ_2023'!P327,IF('INHERENT MAP'!$B$5=2022,#REF!,IF('INHERENT MAP'!$B$5=2023,#REF!,IF('INHERENT MAP'!$B$5=2024,#REF!,#REF!))))</f>
        <v>0</v>
      </c>
      <c r="M287" t="str">
        <f>IF('INHERENT MAP'!$B$5=2021,IF('РЕЕСТР РИСКОВ_2023'!Q327="",M286,'РЕЕСТР РИСКОВ_2023'!Q327),IF('INHERENT MAP'!$B$5=2022,IF(#REF!="",M286,#REF!),IF('INHERENT MAP'!$B$5=2023,IF(#REF!="",M286,#REF!),IF('INHERENT MAP'!$B$5=2024,IF(#REF!="",M286,#REF!),IF('РЕЕСТР РИСКОВ_2023'!Q327="",M286,'РЕЕСТР РИСКОВ_2023'!Q327)))))</f>
        <v>Увеличение базовой ставки Национального банка Республики Казахстан до 16%</v>
      </c>
      <c r="N287" t="str">
        <f>IF('INHERENT MAP'!$B$5=2021,IF('РЕЕСТР РИСКОВ_2023'!R327="",N286,'РЕЕСТР РИСКОВ_2023'!R327),IF('INHERENT MAP'!$B$5=2022,IF(#REF!="",N286,#REF!),IF('INHERENT MAP'!$B$5=2023,IF(#REF!="",N286,#REF!),IF('INHERENT MAP'!$B$5=2024,IF(#REF!="",N286,#REF!),IF('РЕЕСТР РИСКОВ_2023'!R327="",N286,'РЕЕСТР РИСКОВ_2023'!R327)))))</f>
        <v>Рецессия экономики европейских стран</v>
      </c>
      <c r="O287">
        <f>'РЕЕСТР РИСКОВ_2023'!T327</f>
        <v>0</v>
      </c>
      <c r="P287" t="e">
        <f>IF('РЕЕСТР РИСКОВ_2023'!U327="",P286,'РЕЕСТР РИСКОВ_2023'!U327)</f>
        <v>#REF!</v>
      </c>
      <c r="Q287" t="str">
        <f>IF('РЕЕСТР РИСКОВ_2023'!V327="",Q286,'РЕЕСТР РИСКОВ_2023'!V327)</f>
        <v>Угрозы</v>
      </c>
      <c r="R287" t="e">
        <f>IF('РЕЕСТР РИСКОВ_2023'!W327="",R286,'РЕЕСТР РИСКОВ_2023'!W327)</f>
        <v>#REF!</v>
      </c>
      <c r="S287">
        <f>'РЕЕСТР РИСКОВ_2023'!X327</f>
        <v>0</v>
      </c>
      <c r="T287" s="94">
        <f>IF('INHERENT MAP'!$B$5=2021,'РЕЕСТР РИСКОВ_2023'!Y327,IF('INHERENT MAP'!$B$5=2022,#REF!,IF('INHERENT MAP'!$B$5=2023,#REF!,IF('INHERENT MAP'!$B$5=2024,#REF!,#REF!))))</f>
        <v>0</v>
      </c>
      <c r="U287">
        <f>IF('INHERENT MAP'!$B$5=2021,'РЕЕСТР РИСКОВ_2023'!Z327,IF('INHERENT MAP'!$B$5=2022,#REF!,IF('INHERENT MAP'!$B$5=2023,#REF!,IF('INHERENT MAP'!$B$5=2024,#REF!,#REF!))))</f>
        <v>0</v>
      </c>
      <c r="V287">
        <f>IF('INHERENT MAP'!$B$5=2021,'РЕЕСТР РИСКОВ_2023'!AA327,IF('INHERENT MAP'!$B$5=2022,#REF!,IF('INHERENT MAP'!$B$5=2023,#REF!,IF('INHERENT MAP'!$B$5=2024,#REF!,#REF!))))</f>
        <v>0</v>
      </c>
      <c r="W287">
        <f>IF('INHERENT MAP'!$B$5=2021,'РЕЕСТР РИСКОВ_2023'!AB327,IF('INHERENT MAP'!$B$5=2022,#REF!,IF('INHERENT MAP'!$B$5=2023,#REF!,IF('INHERENT MAP'!$B$5=2024,#REF!,#REF!))))</f>
        <v>0</v>
      </c>
      <c r="X287" s="94">
        <f>IF('INHERENT MAP'!$B$5=2021,'РЕЕСТР РИСКОВ_2023'!AC327,IF('INHERENT MAP'!$B$5=2022,#REF!,IF('INHERENT MAP'!$B$5=2023,#REF!,IF('INHERENT MAP'!$B$5=2024,#REF!,#REF!))))</f>
        <v>0</v>
      </c>
      <c r="Y287">
        <f>IF('INHERENT MAP'!$B$5=2021,'РЕЕСТР РИСКОВ_2023'!AD327,IF('INHERENT MAP'!$B$5=2022,#REF!,IF('INHERENT MAP'!$B$5=2023,#REF!,IF('INHERENT MAP'!$B$5=2024,#REF!,#REF!))))</f>
        <v>0</v>
      </c>
      <c r="Z287">
        <f>IF('INHERENT MAP'!$B$5=2021,'РЕЕСТР РИСКОВ_2023'!AE327,IF('INHERENT MAP'!$B$5=2022,#REF!,IF('INHERENT MAP'!$B$5=2023,#REF!,IF('INHERENT MAP'!$B$5=2024,#REF!,#REF!))))</f>
        <v>0</v>
      </c>
      <c r="AA287">
        <f>IF('INHERENT MAP'!$B$5=2021,'РЕЕСТР РИСКОВ_2023'!AF327,IF('INHERENT MAP'!$B$5=2022,#REF!,IF('INHERENT MAP'!$B$5=2023,#REF!,IF('INHERENT MAP'!$B$5=2024,#REF!,#REF!))))</f>
        <v>0</v>
      </c>
      <c r="AB287">
        <f>IF('INHERENT MAP'!$B$5=2021,'РЕЕСТР РИСКОВ_2023'!AG327,IF('INHERENT MAP'!$B$5=2022,#REF!,IF('INHERENT MAP'!$B$5=2023,#REF!,IF('INHERENT MAP'!$B$5=2024,#REF!,#REF!))))</f>
        <v>0</v>
      </c>
      <c r="AC287">
        <f>IF('INHERENT MAP'!$B$5=2021,'РЕЕСТР РИСКОВ_2023'!AH327,IF('INHERENT MAP'!$B$5=2022,#REF!,IF('INHERENT MAP'!$B$5=2023,#REF!,IF('INHERENT MAP'!$B$5=2024,#REF!,#REF!))))</f>
        <v>0</v>
      </c>
      <c r="AD287">
        <f>IF('INHERENT MAP'!$B$5=2021,'РЕЕСТР РИСКОВ_2023'!AI327,IF('INHERENT MAP'!$B$5=2022,#REF!,IF('INHERENT MAP'!$B$5=2023,#REF!,IF('INHERENT MAP'!$B$5=2024,#REF!,#REF!))))</f>
        <v>0</v>
      </c>
      <c r="AE287">
        <f>IF('INHERENT MAP'!$B$5=2021,'РЕЕСТР РИСКОВ_2023'!AK327,IF('INHERENT MAP'!$B$5=2022,#REF!,IF('INHERENT MAP'!$B$5=2023,#REF!,IF('INHERENT MAP'!$B$5=2024,#REF!,#REF!))))</f>
        <v>0</v>
      </c>
      <c r="AF287">
        <f>IF('INHERENT MAP'!$B$5=2021,'РЕЕСТР РИСКОВ_2023'!AL327,IF('INHERENT MAP'!$B$5=2022,#REF!,IF('INHERENT MAP'!$B$5=2023,#REF!,IF('INHERENT MAP'!$B$5=2024,#REF!,#REF!))))</f>
        <v>0</v>
      </c>
      <c r="AG287">
        <f>IF('INHERENT MAP'!$B$5=2021,'РЕЕСТР РИСКОВ_2023'!AM327,IF('INHERENT MAP'!$B$5=2022,#REF!,IF('INHERENT MAP'!$B$5=2023,#REF!,IF('INHERENT MAP'!$B$5=2024,#REF!,#REF!))))</f>
        <v>0</v>
      </c>
      <c r="AH287">
        <f>IF('INHERENT MAP'!$B$5=2021,'РЕЕСТР РИСКОВ_2023'!AN327,IF('INHERENT MAP'!$B$5=2022,#REF!,IF('INHERENT MAP'!$B$5=2023,#REF!,IF('INHERENT MAP'!$B$5=2024,#REF!,#REF!))))</f>
        <v>0</v>
      </c>
      <c r="AI287">
        <f>IF('INHERENT MAP'!$B$5=2021,'РЕЕСТР РИСКОВ_2023'!AO327,IF('INHERENT MAP'!$B$5=2022,#REF!,IF('INHERENT MAP'!$B$5=2023,#REF!,IF('INHERENT MAP'!$B$5=2024,#REF!,#REF!))))</f>
        <v>0</v>
      </c>
      <c r="AJ287">
        <f>IF('INHERENT MAP'!$B$5=2021,'РЕЕСТР РИСКОВ_2023'!AP327,IF('INHERENT MAP'!$B$5=2022,#REF!,IF('INHERENT MAP'!$B$5=2023,#REF!,IF('INHERENT MAP'!$B$5=2024,#REF!,#REF!))))</f>
        <v>0</v>
      </c>
      <c r="AK287">
        <f>IF('РЕЕСТР РИСКОВ_2023'!AQ327="",AK286,'РЕЕСТР РИСКОВ_2023'!AQ327)</f>
        <v>-216</v>
      </c>
      <c r="AL287">
        <f>IF('РЕЕСТР РИСКОВ_2023'!AR327="",AL286,'РЕЕСТР РИСКОВ_2023'!AR327)</f>
        <v>0.12</v>
      </c>
      <c r="AM287" t="str">
        <f>IF('РЕЕСТР РИСКОВ_2023'!AS327="",AM286,'РЕЕСТР РИСКОВ_2023'!AS327)</f>
        <v>стоп</v>
      </c>
      <c r="AN287" t="str">
        <f>IF('РЕЕСТР РИСКОВ_2023'!AT327="",AN286,'РЕЕСТР РИСКОВ_2023'!AT327)</f>
        <v>стоп</v>
      </c>
      <c r="AO287" t="e">
        <f>IF('РЕЕСТР РИСКОВ_2023'!AU327="",AO286,'РЕЕСТР РИСКОВ_2023'!AU327)</f>
        <v>#REF!</v>
      </c>
    </row>
    <row r="288" spans="2:41">
      <c r="B288" t="str">
        <f>IF('INHERENT MAP'!$B$5=2021,IF('РЕЕСТР РИСКОВ_2023'!F328="",B287,'РЕЕСТР РИСКОВ_2023'!F328),IF('INHERENT MAP'!$B$5=2022,IF(#REF!="",B287,#REF!),IF('INHERENT MAP'!$B$5=2023,IF(#REF!="",B287,#REF!),IF('INHERENT MAP'!$B$5=2024,IF(#REF!="",B287,#REF!),IF('РЕЕСТР РИСКОВ_2023'!F328="",B287,'РЕЕСТР РИСКОВ_2023'!F328)))))</f>
        <v>ПРОЦЕНТНЫЙ РИСК</v>
      </c>
      <c r="C288" t="e">
        <f>IF('INHERENT MAP'!$B$5=2021,IF('РЕЕСТР РИСКОВ_2023'!G328="",C287,'РЕЕСТР РИСКОВ_2023'!G328),IF('INHERENT MAP'!$B$5=2022,IF(#REF!="",C287,#REF!),IF('INHERENT MAP'!$B$5=2023,IF(#REF!="",C287,#REF!),IF('INHERENT MAP'!$B$5=2024,IF(#REF!="",C287,#REF!),IF('РЕЕСТР РИСКОВ_2023'!G328="",C287,'РЕЕСТР РИСКОВ_2023'!G328)))))</f>
        <v>#REF!</v>
      </c>
      <c r="D288" t="str">
        <f>IF('INHERENT MAP'!$B$5=2021,IF('РЕЕСТР РИСКОВ_2023'!H328="",D287,'РЕЕСТР РИСКОВ_2023'!H328),IF('INHERENT MAP'!$B$5=2022,IF(#REF!="",D287,#REF!),IF('INHERENT MAP'!$B$5=2023,IF(#REF!="",D287,#REF!),IF('INHERENT MAP'!$B$5=2024,IF(#REF!="",D287,#REF!),IF('РЕЕСТР РИСКОВ_2023'!H328="",D287,'РЕЕСТР РИСКОВ_2023'!H328)))))</f>
        <v>IRR-1</v>
      </c>
      <c r="E288" t="str">
        <f>IF('INHERENT MAP'!$B$5=2021,IF('РЕЕСТР РИСКОВ_2023'!I328="",E287,'РЕЕСТР РИСКОВ_2023'!I328),IF('INHERENT MAP'!$B$5=2022,IF(#REF!="",E287,#REF!),IF('INHERENT MAP'!$B$5=2023,IF(#REF!="",E287,#REF!),IF('INHERENT MAP'!$B$5=2024,IF(#REF!="",E287,#REF!),IF('РЕЕСТР РИСКОВ_2023'!I328="",E287,'РЕЕСТР РИСКОВ_2023'!I328)))))</f>
        <v>ЦЗФ</v>
      </c>
      <c r="F288" t="str">
        <f>IF('INHERENT MAP'!$B$5=2021,IF('РЕЕСТР РИСКОВ_2023'!J328="",F287,'РЕЕСТР РИСКОВ_2023'!J328),IF('INHERENT MAP'!$B$5=2022,IF(#REF!="",F287,#REF!),IF('INHERENT MAP'!$B$5=2023,IF(#REF!="",F287,#REF!),IF('INHERENT MAP'!$B$5=2024,IF(#REF!="",F287,#REF!),IF('РЕЕСТР РИСКОВ_2023'!J328="",F287,'РЕЕСТР РИСКОВ_2023'!J328)))))</f>
        <v>Цзайм</v>
      </c>
      <c r="G288" t="str">
        <f>IF('INHERENT MAP'!$B$5=2021,IF('РЕЕСТР РИСКОВ_2023'!K328="",G287,'РЕЕСТР РИСКОВ_2023'!K328),IF('INHERENT MAP'!$B$5=2022,IF(#REF!="",G287,#REF!),IF('INHERENT MAP'!$B$5=2023,IF(#REF!="",G287,#REF!),IF('INHERENT MAP'!$B$5=2024,IF(#REF!="",G287,#REF!),IF('РЕЕСТР РИСКОВ_2023'!K328="",G287,'РЕЕСТР РИСКОВ_2023'!K328)))))</f>
        <v>Увеличение расходов по процентам на новые займы, а также текущие займы (с плавающей ставкой) в тенге.</v>
      </c>
      <c r="H288">
        <f>IF('INHERENT MAP'!$B$5=2021,'РЕЕСТР РИСКОВ_2023'!L328,IF('INHERENT MAP'!$B$5=2022,#REF!,IF('INHERENT MAP'!$B$5=2023,#REF!,IF('INHERENT MAP'!$B$5=2024,#REF!,#REF!))))</f>
        <v>0</v>
      </c>
      <c r="I288">
        <f>IF('INHERENT MAP'!$B$5=2021,'РЕЕСТР РИСКОВ_2023'!M328,IF('INHERENT MAP'!$B$5=2022,#REF!,IF('INHERENT MAP'!$B$5=2023,#REF!,IF('INHERENT MAP'!$B$5=2024,#REF!,#REF!))))</f>
        <v>0</v>
      </c>
      <c r="J288">
        <f>IF('INHERENT MAP'!$B$5=2021,'РЕЕСТР РИСКОВ_2023'!N328,IF('INHERENT MAP'!$B$5=2022,#REF!,IF('INHERENT MAP'!$B$5=2023,#REF!,IF('INHERENT MAP'!$B$5=2024,#REF!,#REF!))))</f>
        <v>0</v>
      </c>
      <c r="K288">
        <f>IF('INHERENT MAP'!$B$5=2021,'РЕЕСТР РИСКОВ_2023'!O328,IF('INHERENT MAP'!$B$5=2022,#REF!,IF('INHERENT MAP'!$B$5=2023,#REF!,IF('INHERENT MAP'!$B$5=2024,#REF!,#REF!))))</f>
        <v>0</v>
      </c>
      <c r="L288">
        <f>IF('INHERENT MAP'!$B$5=2021,'РЕЕСТР РИСКОВ_2023'!P328,IF('INHERENT MAP'!$B$5=2022,#REF!,IF('INHERENT MAP'!$B$5=2023,#REF!,IF('INHERENT MAP'!$B$5=2024,#REF!,#REF!))))</f>
        <v>0</v>
      </c>
      <c r="M288" t="str">
        <f>IF('INHERENT MAP'!$B$5=2021,IF('РЕЕСТР РИСКОВ_2023'!Q328="",M287,'РЕЕСТР РИСКОВ_2023'!Q328),IF('INHERENT MAP'!$B$5=2022,IF(#REF!="",M287,#REF!),IF('INHERENT MAP'!$B$5=2023,IF(#REF!="",M287,#REF!),IF('INHERENT MAP'!$B$5=2024,IF(#REF!="",M287,#REF!),IF('РЕЕСТР РИСКОВ_2023'!Q328="",M287,'РЕЕСТР РИСКОВ_2023'!Q328)))))</f>
        <v>Увеличение базовой ставки Национального банка Республики Казахстан до 16%</v>
      </c>
      <c r="N288" t="str">
        <f>IF('INHERENT MAP'!$B$5=2021,IF('РЕЕСТР РИСКОВ_2023'!R328="",N287,'РЕЕСТР РИСКОВ_2023'!R328),IF('INHERENT MAP'!$B$5=2022,IF(#REF!="",N287,#REF!),IF('INHERENT MAP'!$B$5=2023,IF(#REF!="",N287,#REF!),IF('INHERENT MAP'!$B$5=2024,IF(#REF!="",N287,#REF!),IF('РЕЕСТР РИСКОВ_2023'!R328="",N287,'РЕЕСТР РИСКОВ_2023'!R328)))))</f>
        <v>Рецессия экономики европейских стран</v>
      </c>
      <c r="O288">
        <f>'РЕЕСТР РИСКОВ_2023'!T328</f>
        <v>0</v>
      </c>
      <c r="P288" t="e">
        <f>IF('РЕЕСТР РИСКОВ_2023'!U328="",P287,'РЕЕСТР РИСКОВ_2023'!U328)</f>
        <v>#REF!</v>
      </c>
      <c r="Q288" t="str">
        <f>IF('РЕЕСТР РИСКОВ_2023'!V328="",Q287,'РЕЕСТР РИСКОВ_2023'!V328)</f>
        <v>Угрозы</v>
      </c>
      <c r="R288" t="e">
        <f>IF('РЕЕСТР РИСКОВ_2023'!W328="",R287,'РЕЕСТР РИСКОВ_2023'!W328)</f>
        <v>#REF!</v>
      </c>
      <c r="S288">
        <f>'РЕЕСТР РИСКОВ_2023'!X328</f>
        <v>0</v>
      </c>
      <c r="T288" s="94">
        <f>IF('INHERENT MAP'!$B$5=2021,'РЕЕСТР РИСКОВ_2023'!Y328,IF('INHERENT MAP'!$B$5=2022,#REF!,IF('INHERENT MAP'!$B$5=2023,#REF!,IF('INHERENT MAP'!$B$5=2024,#REF!,#REF!))))</f>
        <v>0</v>
      </c>
      <c r="U288">
        <f>IF('INHERENT MAP'!$B$5=2021,'РЕЕСТР РИСКОВ_2023'!Z328,IF('INHERENT MAP'!$B$5=2022,#REF!,IF('INHERENT MAP'!$B$5=2023,#REF!,IF('INHERENT MAP'!$B$5=2024,#REF!,#REF!))))</f>
        <v>0</v>
      </c>
      <c r="V288">
        <f>IF('INHERENT MAP'!$B$5=2021,'РЕЕСТР РИСКОВ_2023'!AA328,IF('INHERENT MAP'!$B$5=2022,#REF!,IF('INHERENT MAP'!$B$5=2023,#REF!,IF('INHERENT MAP'!$B$5=2024,#REF!,#REF!))))</f>
        <v>0</v>
      </c>
      <c r="W288">
        <f>IF('INHERENT MAP'!$B$5=2021,'РЕЕСТР РИСКОВ_2023'!AB328,IF('INHERENT MAP'!$B$5=2022,#REF!,IF('INHERENT MAP'!$B$5=2023,#REF!,IF('INHERENT MAP'!$B$5=2024,#REF!,#REF!))))</f>
        <v>0</v>
      </c>
      <c r="X288" s="94">
        <f>IF('INHERENT MAP'!$B$5=2021,'РЕЕСТР РИСКОВ_2023'!AC328,IF('INHERENT MAP'!$B$5=2022,#REF!,IF('INHERENT MAP'!$B$5=2023,#REF!,IF('INHERENT MAP'!$B$5=2024,#REF!,#REF!))))</f>
        <v>0</v>
      </c>
      <c r="Y288">
        <f>IF('INHERENT MAP'!$B$5=2021,'РЕЕСТР РИСКОВ_2023'!AD328,IF('INHERENT MAP'!$B$5=2022,#REF!,IF('INHERENT MAP'!$B$5=2023,#REF!,IF('INHERENT MAP'!$B$5=2024,#REF!,#REF!))))</f>
        <v>0</v>
      </c>
      <c r="Z288">
        <f>IF('INHERENT MAP'!$B$5=2021,'РЕЕСТР РИСКОВ_2023'!AE328,IF('INHERENT MAP'!$B$5=2022,#REF!,IF('INHERENT MAP'!$B$5=2023,#REF!,IF('INHERENT MAP'!$B$5=2024,#REF!,#REF!))))</f>
        <v>0</v>
      </c>
      <c r="AA288">
        <f>IF('INHERENT MAP'!$B$5=2021,'РЕЕСТР РИСКОВ_2023'!AF328,IF('INHERENT MAP'!$B$5=2022,#REF!,IF('INHERENT MAP'!$B$5=2023,#REF!,IF('INHERENT MAP'!$B$5=2024,#REF!,#REF!))))</f>
        <v>0</v>
      </c>
      <c r="AB288">
        <f>IF('INHERENT MAP'!$B$5=2021,'РЕЕСТР РИСКОВ_2023'!AG328,IF('INHERENT MAP'!$B$5=2022,#REF!,IF('INHERENT MAP'!$B$5=2023,#REF!,IF('INHERENT MAP'!$B$5=2024,#REF!,#REF!))))</f>
        <v>0</v>
      </c>
      <c r="AC288">
        <f>IF('INHERENT MAP'!$B$5=2021,'РЕЕСТР РИСКОВ_2023'!AH328,IF('INHERENT MAP'!$B$5=2022,#REF!,IF('INHERENT MAP'!$B$5=2023,#REF!,IF('INHERENT MAP'!$B$5=2024,#REF!,#REF!))))</f>
        <v>0</v>
      </c>
      <c r="AD288">
        <f>IF('INHERENT MAP'!$B$5=2021,'РЕЕСТР РИСКОВ_2023'!AI328,IF('INHERENT MAP'!$B$5=2022,#REF!,IF('INHERENT MAP'!$B$5=2023,#REF!,IF('INHERENT MAP'!$B$5=2024,#REF!,#REF!))))</f>
        <v>0</v>
      </c>
      <c r="AE288">
        <f>IF('INHERENT MAP'!$B$5=2021,'РЕЕСТР РИСКОВ_2023'!AK328,IF('INHERENT MAP'!$B$5=2022,#REF!,IF('INHERENT MAP'!$B$5=2023,#REF!,IF('INHERENT MAP'!$B$5=2024,#REF!,#REF!))))</f>
        <v>0</v>
      </c>
      <c r="AF288">
        <f>IF('INHERENT MAP'!$B$5=2021,'РЕЕСТР РИСКОВ_2023'!AL328,IF('INHERENT MAP'!$B$5=2022,#REF!,IF('INHERENT MAP'!$B$5=2023,#REF!,IF('INHERENT MAP'!$B$5=2024,#REF!,#REF!))))</f>
        <v>0</v>
      </c>
      <c r="AG288">
        <f>IF('INHERENT MAP'!$B$5=2021,'РЕЕСТР РИСКОВ_2023'!AM328,IF('INHERENT MAP'!$B$5=2022,#REF!,IF('INHERENT MAP'!$B$5=2023,#REF!,IF('INHERENT MAP'!$B$5=2024,#REF!,#REF!))))</f>
        <v>0</v>
      </c>
      <c r="AH288">
        <f>IF('INHERENT MAP'!$B$5=2021,'РЕЕСТР РИСКОВ_2023'!AN328,IF('INHERENT MAP'!$B$5=2022,#REF!,IF('INHERENT MAP'!$B$5=2023,#REF!,IF('INHERENT MAP'!$B$5=2024,#REF!,#REF!))))</f>
        <v>0</v>
      </c>
      <c r="AI288">
        <f>IF('INHERENT MAP'!$B$5=2021,'РЕЕСТР РИСКОВ_2023'!AO328,IF('INHERENT MAP'!$B$5=2022,#REF!,IF('INHERENT MAP'!$B$5=2023,#REF!,IF('INHERENT MAP'!$B$5=2024,#REF!,#REF!))))</f>
        <v>0</v>
      </c>
      <c r="AJ288">
        <f>IF('INHERENT MAP'!$B$5=2021,'РЕЕСТР РИСКОВ_2023'!AP328,IF('INHERENT MAP'!$B$5=2022,#REF!,IF('INHERENT MAP'!$B$5=2023,#REF!,IF('INHERENT MAP'!$B$5=2024,#REF!,#REF!))))</f>
        <v>0</v>
      </c>
      <c r="AK288">
        <f>IF('РЕЕСТР РИСКОВ_2023'!AQ328="",AK287,'РЕЕСТР РИСКОВ_2023'!AQ328)</f>
        <v>-216</v>
      </c>
      <c r="AL288">
        <f>IF('РЕЕСТР РИСКОВ_2023'!AR328="",AL287,'РЕЕСТР РИСКОВ_2023'!AR328)</f>
        <v>0.12</v>
      </c>
      <c r="AM288" t="str">
        <f>IF('РЕЕСТР РИСКОВ_2023'!AS328="",AM287,'РЕЕСТР РИСКОВ_2023'!AS328)</f>
        <v>стоп</v>
      </c>
      <c r="AN288" t="str">
        <f>IF('РЕЕСТР РИСКОВ_2023'!AT328="",AN287,'РЕЕСТР РИСКОВ_2023'!AT328)</f>
        <v>стоп</v>
      </c>
      <c r="AO288" t="e">
        <f>IF('РЕЕСТР РИСКОВ_2023'!AU328="",AO287,'РЕЕСТР РИСКОВ_2023'!AU328)</f>
        <v>#REF!</v>
      </c>
    </row>
    <row r="289" spans="2:41">
      <c r="B289" t="str">
        <f>IF('INHERENT MAP'!$B$5=2021,IF('РЕЕСТР РИСКОВ_2023'!F329="",B288,'РЕЕСТР РИСКОВ_2023'!F329),IF('INHERENT MAP'!$B$5=2022,IF(#REF!="",B288,#REF!),IF('INHERENT MAP'!$B$5=2023,IF(#REF!="",B288,#REF!),IF('INHERENT MAP'!$B$5=2024,IF(#REF!="",B288,#REF!),IF('РЕЕСТР РИСКОВ_2023'!F329="",B288,'РЕЕСТР РИСКОВ_2023'!F329)))))</f>
        <v>ПРОЦЕНТНЫЙ РИСК</v>
      </c>
      <c r="C289" t="e">
        <f>IF('INHERENT MAP'!$B$5=2021,IF('РЕЕСТР РИСКОВ_2023'!G329="",C288,'РЕЕСТР РИСКОВ_2023'!G329),IF('INHERENT MAP'!$B$5=2022,IF(#REF!="",C288,#REF!),IF('INHERENT MAP'!$B$5=2023,IF(#REF!="",C288,#REF!),IF('INHERENT MAP'!$B$5=2024,IF(#REF!="",C288,#REF!),IF('РЕЕСТР РИСКОВ_2023'!G329="",C288,'РЕЕСТР РИСКОВ_2023'!G329)))))</f>
        <v>#REF!</v>
      </c>
      <c r="D289" t="str">
        <f>IF('INHERENT MAP'!$B$5=2021,IF('РЕЕСТР РИСКОВ_2023'!H329="",D288,'РЕЕСТР РИСКОВ_2023'!H329),IF('INHERENT MAP'!$B$5=2022,IF(#REF!="",D288,#REF!),IF('INHERENT MAP'!$B$5=2023,IF(#REF!="",D288,#REF!),IF('INHERENT MAP'!$B$5=2024,IF(#REF!="",D288,#REF!),IF('РЕЕСТР РИСКОВ_2023'!H329="",D288,'РЕЕСТР РИСКОВ_2023'!H329)))))</f>
        <v>IRR-1</v>
      </c>
      <c r="E289" t="str">
        <f>IF('INHERENT MAP'!$B$5=2021,IF('РЕЕСТР РИСКОВ_2023'!I329="",E288,'РЕЕСТР РИСКОВ_2023'!I329),IF('INHERENT MAP'!$B$5=2022,IF(#REF!="",E288,#REF!),IF('INHERENT MAP'!$B$5=2023,IF(#REF!="",E288,#REF!),IF('INHERENT MAP'!$B$5=2024,IF(#REF!="",E288,#REF!),IF('РЕЕСТР РИСКОВ_2023'!I329="",E288,'РЕЕСТР РИСКОВ_2023'!I329)))))</f>
        <v>ЦЗФ</v>
      </c>
      <c r="F289" t="str">
        <f>IF('INHERENT MAP'!$B$5=2021,IF('РЕЕСТР РИСКОВ_2023'!J329="",F288,'РЕЕСТР РИСКОВ_2023'!J329),IF('INHERENT MAP'!$B$5=2022,IF(#REF!="",F288,#REF!),IF('INHERENT MAP'!$B$5=2023,IF(#REF!="",F288,#REF!),IF('INHERENT MAP'!$B$5=2024,IF(#REF!="",F288,#REF!),IF('РЕЕСТР РИСКОВ_2023'!J329="",F288,'РЕЕСТР РИСКОВ_2023'!J329)))))</f>
        <v>Цзайм</v>
      </c>
      <c r="G289" t="str">
        <f>IF('INHERENT MAP'!$B$5=2021,IF('РЕЕСТР РИСКОВ_2023'!K329="",G288,'РЕЕСТР РИСКОВ_2023'!K329),IF('INHERENT MAP'!$B$5=2022,IF(#REF!="",G288,#REF!),IF('INHERENT MAP'!$B$5=2023,IF(#REF!="",G288,#REF!),IF('INHERENT MAP'!$B$5=2024,IF(#REF!="",G288,#REF!),IF('РЕЕСТР РИСКОВ_2023'!K329="",G288,'РЕЕСТР РИСКОВ_2023'!K329)))))</f>
        <v>Увеличение расходов по процентам на новые займы, а также текущие займы (с плавающей ставкой) в тенге.</v>
      </c>
      <c r="H289">
        <f>IF('INHERENT MAP'!$B$5=2021,'РЕЕСТР РИСКОВ_2023'!L329,IF('INHERENT MAP'!$B$5=2022,#REF!,IF('INHERENT MAP'!$B$5=2023,#REF!,IF('INHERENT MAP'!$B$5=2024,#REF!,#REF!))))</f>
        <v>0</v>
      </c>
      <c r="I289">
        <f>IF('INHERENT MAP'!$B$5=2021,'РЕЕСТР РИСКОВ_2023'!M329,IF('INHERENT MAP'!$B$5=2022,#REF!,IF('INHERENT MAP'!$B$5=2023,#REF!,IF('INHERENT MAP'!$B$5=2024,#REF!,#REF!))))</f>
        <v>0</v>
      </c>
      <c r="J289">
        <f>IF('INHERENT MAP'!$B$5=2021,'РЕЕСТР РИСКОВ_2023'!N329,IF('INHERENT MAP'!$B$5=2022,#REF!,IF('INHERENT MAP'!$B$5=2023,#REF!,IF('INHERENT MAP'!$B$5=2024,#REF!,#REF!))))</f>
        <v>0</v>
      </c>
      <c r="K289">
        <f>IF('INHERENT MAP'!$B$5=2021,'РЕЕСТР РИСКОВ_2023'!O329,IF('INHERENT MAP'!$B$5=2022,#REF!,IF('INHERENT MAP'!$B$5=2023,#REF!,IF('INHERENT MAP'!$B$5=2024,#REF!,#REF!))))</f>
        <v>0</v>
      </c>
      <c r="L289">
        <f>IF('INHERENT MAP'!$B$5=2021,'РЕЕСТР РИСКОВ_2023'!P329,IF('INHERENT MAP'!$B$5=2022,#REF!,IF('INHERENT MAP'!$B$5=2023,#REF!,IF('INHERENT MAP'!$B$5=2024,#REF!,#REF!))))</f>
        <v>0</v>
      </c>
      <c r="M289" t="str">
        <f>IF('INHERENT MAP'!$B$5=2021,IF('РЕЕСТР РИСКОВ_2023'!Q329="",M288,'РЕЕСТР РИСКОВ_2023'!Q329),IF('INHERENT MAP'!$B$5=2022,IF(#REF!="",M288,#REF!),IF('INHERENT MAP'!$B$5=2023,IF(#REF!="",M288,#REF!),IF('INHERENT MAP'!$B$5=2024,IF(#REF!="",M288,#REF!),IF('РЕЕСТР РИСКОВ_2023'!Q329="",M288,'РЕЕСТР РИСКОВ_2023'!Q329)))))</f>
        <v>Увеличение базовой ставки Национального банка Республики Казахстан до 16%</v>
      </c>
      <c r="N289" t="str">
        <f>IF('INHERENT MAP'!$B$5=2021,IF('РЕЕСТР РИСКОВ_2023'!R329="",N288,'РЕЕСТР РИСКОВ_2023'!R329),IF('INHERENT MAP'!$B$5=2022,IF(#REF!="",N288,#REF!),IF('INHERENT MAP'!$B$5=2023,IF(#REF!="",N288,#REF!),IF('INHERENT MAP'!$B$5=2024,IF(#REF!="",N288,#REF!),IF('РЕЕСТР РИСКОВ_2023'!R329="",N288,'РЕЕСТР РИСКОВ_2023'!R329)))))</f>
        <v>Рецессия экономики европейских стран</v>
      </c>
      <c r="O289">
        <f>'РЕЕСТР РИСКОВ_2023'!T329</f>
        <v>0</v>
      </c>
      <c r="P289" t="e">
        <f>IF('РЕЕСТР РИСКОВ_2023'!U329="",P288,'РЕЕСТР РИСКОВ_2023'!U329)</f>
        <v>#REF!</v>
      </c>
      <c r="Q289" t="str">
        <f>IF('РЕЕСТР РИСКОВ_2023'!V329="",Q288,'РЕЕСТР РИСКОВ_2023'!V329)</f>
        <v>Угрозы</v>
      </c>
      <c r="R289" t="e">
        <f>IF('РЕЕСТР РИСКОВ_2023'!W329="",R288,'РЕЕСТР РИСКОВ_2023'!W329)</f>
        <v>#REF!</v>
      </c>
      <c r="S289">
        <f>'РЕЕСТР РИСКОВ_2023'!X329</f>
        <v>0</v>
      </c>
      <c r="T289" s="94">
        <f>IF('INHERENT MAP'!$B$5=2021,'РЕЕСТР РИСКОВ_2023'!Y329,IF('INHERENT MAP'!$B$5=2022,#REF!,IF('INHERENT MAP'!$B$5=2023,#REF!,IF('INHERENT MAP'!$B$5=2024,#REF!,#REF!))))</f>
        <v>0</v>
      </c>
      <c r="U289">
        <f>IF('INHERENT MAP'!$B$5=2021,'РЕЕСТР РИСКОВ_2023'!Z329,IF('INHERENT MAP'!$B$5=2022,#REF!,IF('INHERENT MAP'!$B$5=2023,#REF!,IF('INHERENT MAP'!$B$5=2024,#REF!,#REF!))))</f>
        <v>0</v>
      </c>
      <c r="V289">
        <f>IF('INHERENT MAP'!$B$5=2021,'РЕЕСТР РИСКОВ_2023'!AA329,IF('INHERENT MAP'!$B$5=2022,#REF!,IF('INHERENT MAP'!$B$5=2023,#REF!,IF('INHERENT MAP'!$B$5=2024,#REF!,#REF!))))</f>
        <v>0</v>
      </c>
      <c r="W289">
        <f>IF('INHERENT MAP'!$B$5=2021,'РЕЕСТР РИСКОВ_2023'!AB329,IF('INHERENT MAP'!$B$5=2022,#REF!,IF('INHERENT MAP'!$B$5=2023,#REF!,IF('INHERENT MAP'!$B$5=2024,#REF!,#REF!))))</f>
        <v>0</v>
      </c>
      <c r="X289" s="94">
        <f>IF('INHERENT MAP'!$B$5=2021,'РЕЕСТР РИСКОВ_2023'!AC329,IF('INHERENT MAP'!$B$5=2022,#REF!,IF('INHERENT MAP'!$B$5=2023,#REF!,IF('INHERENT MAP'!$B$5=2024,#REF!,#REF!))))</f>
        <v>0</v>
      </c>
      <c r="Y289">
        <f>IF('INHERENT MAP'!$B$5=2021,'РЕЕСТР РИСКОВ_2023'!AD329,IF('INHERENT MAP'!$B$5=2022,#REF!,IF('INHERENT MAP'!$B$5=2023,#REF!,IF('INHERENT MAP'!$B$5=2024,#REF!,#REF!))))</f>
        <v>0</v>
      </c>
      <c r="Z289">
        <f>IF('INHERENT MAP'!$B$5=2021,'РЕЕСТР РИСКОВ_2023'!AE329,IF('INHERENT MAP'!$B$5=2022,#REF!,IF('INHERENT MAP'!$B$5=2023,#REF!,IF('INHERENT MAP'!$B$5=2024,#REF!,#REF!))))</f>
        <v>0</v>
      </c>
      <c r="AA289">
        <f>IF('INHERENT MAP'!$B$5=2021,'РЕЕСТР РИСКОВ_2023'!AF329,IF('INHERENT MAP'!$B$5=2022,#REF!,IF('INHERENT MAP'!$B$5=2023,#REF!,IF('INHERENT MAP'!$B$5=2024,#REF!,#REF!))))</f>
        <v>0</v>
      </c>
      <c r="AB289">
        <f>IF('INHERENT MAP'!$B$5=2021,'РЕЕСТР РИСКОВ_2023'!AG329,IF('INHERENT MAP'!$B$5=2022,#REF!,IF('INHERENT MAP'!$B$5=2023,#REF!,IF('INHERENT MAP'!$B$5=2024,#REF!,#REF!))))</f>
        <v>0</v>
      </c>
      <c r="AC289">
        <f>IF('INHERENT MAP'!$B$5=2021,'РЕЕСТР РИСКОВ_2023'!AH329,IF('INHERENT MAP'!$B$5=2022,#REF!,IF('INHERENT MAP'!$B$5=2023,#REF!,IF('INHERENT MAP'!$B$5=2024,#REF!,#REF!))))</f>
        <v>0</v>
      </c>
      <c r="AD289">
        <f>IF('INHERENT MAP'!$B$5=2021,'РЕЕСТР РИСКОВ_2023'!AI329,IF('INHERENT MAP'!$B$5=2022,#REF!,IF('INHERENT MAP'!$B$5=2023,#REF!,IF('INHERENT MAP'!$B$5=2024,#REF!,#REF!))))</f>
        <v>0</v>
      </c>
      <c r="AE289">
        <f>IF('INHERENT MAP'!$B$5=2021,'РЕЕСТР РИСКОВ_2023'!AK329,IF('INHERENT MAP'!$B$5=2022,#REF!,IF('INHERENT MAP'!$B$5=2023,#REF!,IF('INHERENT MAP'!$B$5=2024,#REF!,#REF!))))</f>
        <v>0</v>
      </c>
      <c r="AF289">
        <f>IF('INHERENT MAP'!$B$5=2021,'РЕЕСТР РИСКОВ_2023'!AL329,IF('INHERENT MAP'!$B$5=2022,#REF!,IF('INHERENT MAP'!$B$5=2023,#REF!,IF('INHERENT MAP'!$B$5=2024,#REF!,#REF!))))</f>
        <v>0</v>
      </c>
      <c r="AG289">
        <f>IF('INHERENT MAP'!$B$5=2021,'РЕЕСТР РИСКОВ_2023'!AM329,IF('INHERENT MAP'!$B$5=2022,#REF!,IF('INHERENT MAP'!$B$5=2023,#REF!,IF('INHERENT MAP'!$B$5=2024,#REF!,#REF!))))</f>
        <v>0</v>
      </c>
      <c r="AH289">
        <f>IF('INHERENT MAP'!$B$5=2021,'РЕЕСТР РИСКОВ_2023'!AN329,IF('INHERENT MAP'!$B$5=2022,#REF!,IF('INHERENT MAP'!$B$5=2023,#REF!,IF('INHERENT MAP'!$B$5=2024,#REF!,#REF!))))</f>
        <v>0</v>
      </c>
      <c r="AI289">
        <f>IF('INHERENT MAP'!$B$5=2021,'РЕЕСТР РИСКОВ_2023'!AO329,IF('INHERENT MAP'!$B$5=2022,#REF!,IF('INHERENT MAP'!$B$5=2023,#REF!,IF('INHERENT MAP'!$B$5=2024,#REF!,#REF!))))</f>
        <v>0</v>
      </c>
      <c r="AJ289">
        <f>IF('INHERENT MAP'!$B$5=2021,'РЕЕСТР РИСКОВ_2023'!AP329,IF('INHERENT MAP'!$B$5=2022,#REF!,IF('INHERENT MAP'!$B$5=2023,#REF!,IF('INHERENT MAP'!$B$5=2024,#REF!,#REF!))))</f>
        <v>0</v>
      </c>
      <c r="AK289">
        <f>IF('РЕЕСТР РИСКОВ_2023'!AQ329="",AK288,'РЕЕСТР РИСКОВ_2023'!AQ329)</f>
        <v>-216</v>
      </c>
      <c r="AL289">
        <f>IF('РЕЕСТР РИСКОВ_2023'!AR329="",AL288,'РЕЕСТР РИСКОВ_2023'!AR329)</f>
        <v>0.12</v>
      </c>
      <c r="AM289" t="str">
        <f>IF('РЕЕСТР РИСКОВ_2023'!AS329="",AM288,'РЕЕСТР РИСКОВ_2023'!AS329)</f>
        <v>стоп</v>
      </c>
      <c r="AN289" t="str">
        <f>IF('РЕЕСТР РИСКОВ_2023'!AT329="",AN288,'РЕЕСТР РИСКОВ_2023'!AT329)</f>
        <v>стоп</v>
      </c>
      <c r="AO289" t="e">
        <f>IF('РЕЕСТР РИСКОВ_2023'!AU329="",AO288,'РЕЕСТР РИСКОВ_2023'!AU329)</f>
        <v>#REF!</v>
      </c>
    </row>
    <row r="290" spans="2:41">
      <c r="B290" t="str">
        <f>IF('INHERENT MAP'!$B$5=2021,IF('РЕЕСТР РИСКОВ_2023'!F330="",B289,'РЕЕСТР РИСКОВ_2023'!F330),IF('INHERENT MAP'!$B$5=2022,IF(#REF!="",B289,#REF!),IF('INHERENT MAP'!$B$5=2023,IF(#REF!="",B289,#REF!),IF('INHERENT MAP'!$B$5=2024,IF(#REF!="",B289,#REF!),IF('РЕЕСТР РИСКОВ_2023'!F330="",B289,'РЕЕСТР РИСКОВ_2023'!F330)))))</f>
        <v>ПРОЦЕНТНЫЙ РИСК</v>
      </c>
      <c r="C290" t="e">
        <f>IF('INHERENT MAP'!$B$5=2021,IF('РЕЕСТР РИСКОВ_2023'!G330="",C289,'РЕЕСТР РИСКОВ_2023'!G330),IF('INHERENT MAP'!$B$5=2022,IF(#REF!="",C289,#REF!),IF('INHERENT MAP'!$B$5=2023,IF(#REF!="",C289,#REF!),IF('INHERENT MAP'!$B$5=2024,IF(#REF!="",C289,#REF!),IF('РЕЕСТР РИСКОВ_2023'!G330="",C289,'РЕЕСТР РИСКОВ_2023'!G330)))))</f>
        <v>#REF!</v>
      </c>
      <c r="D290" t="str">
        <f>IF('INHERENT MAP'!$B$5=2021,IF('РЕЕСТР РИСКОВ_2023'!H330="",D289,'РЕЕСТР РИСКОВ_2023'!H330),IF('INHERENT MAP'!$B$5=2022,IF(#REF!="",D289,#REF!),IF('INHERENT MAP'!$B$5=2023,IF(#REF!="",D289,#REF!),IF('INHERENT MAP'!$B$5=2024,IF(#REF!="",D289,#REF!),IF('РЕЕСТР РИСКОВ_2023'!H330="",D289,'РЕЕСТР РИСКОВ_2023'!H330)))))</f>
        <v>IRR-1</v>
      </c>
      <c r="E290" t="str">
        <f>IF('INHERENT MAP'!$B$5=2021,IF('РЕЕСТР РИСКОВ_2023'!I330="",E289,'РЕЕСТР РИСКОВ_2023'!I330),IF('INHERENT MAP'!$B$5=2022,IF(#REF!="",E289,#REF!),IF('INHERENT MAP'!$B$5=2023,IF(#REF!="",E289,#REF!),IF('INHERENT MAP'!$B$5=2024,IF(#REF!="",E289,#REF!),IF('РЕЕСТР РИСКОВ_2023'!I330="",E289,'РЕЕСТР РИСКОВ_2023'!I330)))))</f>
        <v>ЦЗФ</v>
      </c>
      <c r="F290" t="str">
        <f>IF('INHERENT MAP'!$B$5=2021,IF('РЕЕСТР РИСКОВ_2023'!J330="",F289,'РЕЕСТР РИСКОВ_2023'!J330),IF('INHERENT MAP'!$B$5=2022,IF(#REF!="",F289,#REF!),IF('INHERENT MAP'!$B$5=2023,IF(#REF!="",F289,#REF!),IF('INHERENT MAP'!$B$5=2024,IF(#REF!="",F289,#REF!),IF('РЕЕСТР РИСКОВ_2023'!J330="",F289,'РЕЕСТР РИСКОВ_2023'!J330)))))</f>
        <v>Цзайм</v>
      </c>
      <c r="G290" t="str">
        <f>IF('INHERENT MAP'!$B$5=2021,IF('РЕЕСТР РИСКОВ_2023'!K330="",G289,'РЕЕСТР РИСКОВ_2023'!K330),IF('INHERENT MAP'!$B$5=2022,IF(#REF!="",G289,#REF!),IF('INHERENT MAP'!$B$5=2023,IF(#REF!="",G289,#REF!),IF('INHERENT MAP'!$B$5=2024,IF(#REF!="",G289,#REF!),IF('РЕЕСТР РИСКОВ_2023'!K330="",G289,'РЕЕСТР РИСКОВ_2023'!K330)))))</f>
        <v>Увеличение расходов по процентам на новые займы, а также текущие займы (с плавающей ставкой) в тенге.</v>
      </c>
      <c r="H290">
        <f>IF('INHERENT MAP'!$B$5=2021,'РЕЕСТР РИСКОВ_2023'!L330,IF('INHERENT MAP'!$B$5=2022,#REF!,IF('INHERENT MAP'!$B$5=2023,#REF!,IF('INHERENT MAP'!$B$5=2024,#REF!,#REF!))))</f>
        <v>0</v>
      </c>
      <c r="I290">
        <f>IF('INHERENT MAP'!$B$5=2021,'РЕЕСТР РИСКОВ_2023'!M330,IF('INHERENT MAP'!$B$5=2022,#REF!,IF('INHERENT MAP'!$B$5=2023,#REF!,IF('INHERENT MAP'!$B$5=2024,#REF!,#REF!))))</f>
        <v>0</v>
      </c>
      <c r="J290">
        <f>IF('INHERENT MAP'!$B$5=2021,'РЕЕСТР РИСКОВ_2023'!N330,IF('INHERENT MAP'!$B$5=2022,#REF!,IF('INHERENT MAP'!$B$5=2023,#REF!,IF('INHERENT MAP'!$B$5=2024,#REF!,#REF!))))</f>
        <v>0</v>
      </c>
      <c r="K290">
        <f>IF('INHERENT MAP'!$B$5=2021,'РЕЕСТР РИСКОВ_2023'!O330,IF('INHERENT MAP'!$B$5=2022,#REF!,IF('INHERENT MAP'!$B$5=2023,#REF!,IF('INHERENT MAP'!$B$5=2024,#REF!,#REF!))))</f>
        <v>0</v>
      </c>
      <c r="L290">
        <f>IF('INHERENT MAP'!$B$5=2021,'РЕЕСТР РИСКОВ_2023'!P330,IF('INHERENT MAP'!$B$5=2022,#REF!,IF('INHERENT MAP'!$B$5=2023,#REF!,IF('INHERENT MAP'!$B$5=2024,#REF!,#REF!))))</f>
        <v>0</v>
      </c>
      <c r="M290" t="str">
        <f>IF('INHERENT MAP'!$B$5=2021,IF('РЕЕСТР РИСКОВ_2023'!Q330="",M289,'РЕЕСТР РИСКОВ_2023'!Q330),IF('INHERENT MAP'!$B$5=2022,IF(#REF!="",M289,#REF!),IF('INHERENT MAP'!$B$5=2023,IF(#REF!="",M289,#REF!),IF('INHERENT MAP'!$B$5=2024,IF(#REF!="",M289,#REF!),IF('РЕЕСТР РИСКОВ_2023'!Q330="",M289,'РЕЕСТР РИСКОВ_2023'!Q330)))))</f>
        <v>Увеличение базовой ставки Национального банка Республики Казахстан до 16%</v>
      </c>
      <c r="N290" t="str">
        <f>IF('INHERENT MAP'!$B$5=2021,IF('РЕЕСТР РИСКОВ_2023'!R330="",N289,'РЕЕСТР РИСКОВ_2023'!R330),IF('INHERENT MAP'!$B$5=2022,IF(#REF!="",N289,#REF!),IF('INHERENT MAP'!$B$5=2023,IF(#REF!="",N289,#REF!),IF('INHERENT MAP'!$B$5=2024,IF(#REF!="",N289,#REF!),IF('РЕЕСТР РИСКОВ_2023'!R330="",N289,'РЕЕСТР РИСКОВ_2023'!R330)))))</f>
        <v>Рецессия экономики европейских стран</v>
      </c>
      <c r="O290">
        <f>'РЕЕСТР РИСКОВ_2023'!T330</f>
        <v>0</v>
      </c>
      <c r="P290" t="e">
        <f>IF('РЕЕСТР РИСКОВ_2023'!U330="",P289,'РЕЕСТР РИСКОВ_2023'!U330)</f>
        <v>#REF!</v>
      </c>
      <c r="Q290" t="str">
        <f>IF('РЕЕСТР РИСКОВ_2023'!V330="",Q289,'РЕЕСТР РИСКОВ_2023'!V330)</f>
        <v>Угрозы</v>
      </c>
      <c r="R290" t="e">
        <f>IF('РЕЕСТР РИСКОВ_2023'!W330="",R289,'РЕЕСТР РИСКОВ_2023'!W330)</f>
        <v>#REF!</v>
      </c>
      <c r="S290">
        <f>'РЕЕСТР РИСКОВ_2023'!X330</f>
        <v>0</v>
      </c>
      <c r="T290" s="94">
        <f>IF('INHERENT MAP'!$B$5=2021,'РЕЕСТР РИСКОВ_2023'!Y330,IF('INHERENT MAP'!$B$5=2022,#REF!,IF('INHERENT MAP'!$B$5=2023,#REF!,IF('INHERENT MAP'!$B$5=2024,#REF!,#REF!))))</f>
        <v>0</v>
      </c>
      <c r="U290">
        <f>IF('INHERENT MAP'!$B$5=2021,'РЕЕСТР РИСКОВ_2023'!Z330,IF('INHERENT MAP'!$B$5=2022,#REF!,IF('INHERENT MAP'!$B$5=2023,#REF!,IF('INHERENT MAP'!$B$5=2024,#REF!,#REF!))))</f>
        <v>0</v>
      </c>
      <c r="V290">
        <f>IF('INHERENT MAP'!$B$5=2021,'РЕЕСТР РИСКОВ_2023'!AA330,IF('INHERENT MAP'!$B$5=2022,#REF!,IF('INHERENT MAP'!$B$5=2023,#REF!,IF('INHERENT MAP'!$B$5=2024,#REF!,#REF!))))</f>
        <v>0</v>
      </c>
      <c r="W290">
        <f>IF('INHERENT MAP'!$B$5=2021,'РЕЕСТР РИСКОВ_2023'!AB330,IF('INHERENT MAP'!$B$5=2022,#REF!,IF('INHERENT MAP'!$B$5=2023,#REF!,IF('INHERENT MAP'!$B$5=2024,#REF!,#REF!))))</f>
        <v>0</v>
      </c>
      <c r="X290" s="94">
        <f>IF('INHERENT MAP'!$B$5=2021,'РЕЕСТР РИСКОВ_2023'!AC330,IF('INHERENT MAP'!$B$5=2022,#REF!,IF('INHERENT MAP'!$B$5=2023,#REF!,IF('INHERENT MAP'!$B$5=2024,#REF!,#REF!))))</f>
        <v>0</v>
      </c>
      <c r="Y290">
        <f>IF('INHERENT MAP'!$B$5=2021,'РЕЕСТР РИСКОВ_2023'!AD330,IF('INHERENT MAP'!$B$5=2022,#REF!,IF('INHERENT MAP'!$B$5=2023,#REF!,IF('INHERENT MAP'!$B$5=2024,#REF!,#REF!))))</f>
        <v>0</v>
      </c>
      <c r="Z290">
        <f>IF('INHERENT MAP'!$B$5=2021,'РЕЕСТР РИСКОВ_2023'!AE330,IF('INHERENT MAP'!$B$5=2022,#REF!,IF('INHERENT MAP'!$B$5=2023,#REF!,IF('INHERENT MAP'!$B$5=2024,#REF!,#REF!))))</f>
        <v>0</v>
      </c>
      <c r="AA290">
        <f>IF('INHERENT MAP'!$B$5=2021,'РЕЕСТР РИСКОВ_2023'!AF330,IF('INHERENT MAP'!$B$5=2022,#REF!,IF('INHERENT MAP'!$B$5=2023,#REF!,IF('INHERENT MAP'!$B$5=2024,#REF!,#REF!))))</f>
        <v>0</v>
      </c>
      <c r="AB290">
        <f>IF('INHERENT MAP'!$B$5=2021,'РЕЕСТР РИСКОВ_2023'!AG330,IF('INHERENT MAP'!$B$5=2022,#REF!,IF('INHERENT MAP'!$B$5=2023,#REF!,IF('INHERENT MAP'!$B$5=2024,#REF!,#REF!))))</f>
        <v>0</v>
      </c>
      <c r="AC290">
        <f>IF('INHERENT MAP'!$B$5=2021,'РЕЕСТР РИСКОВ_2023'!AH330,IF('INHERENT MAP'!$B$5=2022,#REF!,IF('INHERENT MAP'!$B$5=2023,#REF!,IF('INHERENT MAP'!$B$5=2024,#REF!,#REF!))))</f>
        <v>0</v>
      </c>
      <c r="AD290">
        <f>IF('INHERENT MAP'!$B$5=2021,'РЕЕСТР РИСКОВ_2023'!AI330,IF('INHERENT MAP'!$B$5=2022,#REF!,IF('INHERENT MAP'!$B$5=2023,#REF!,IF('INHERENT MAP'!$B$5=2024,#REF!,#REF!))))</f>
        <v>0</v>
      </c>
      <c r="AE290">
        <f>IF('INHERENT MAP'!$B$5=2021,'РЕЕСТР РИСКОВ_2023'!AK330,IF('INHERENT MAP'!$B$5=2022,#REF!,IF('INHERENT MAP'!$B$5=2023,#REF!,IF('INHERENT MAP'!$B$5=2024,#REF!,#REF!))))</f>
        <v>0</v>
      </c>
      <c r="AF290">
        <f>IF('INHERENT MAP'!$B$5=2021,'РЕЕСТР РИСКОВ_2023'!AL330,IF('INHERENT MAP'!$B$5=2022,#REF!,IF('INHERENT MAP'!$B$5=2023,#REF!,IF('INHERENT MAP'!$B$5=2024,#REF!,#REF!))))</f>
        <v>0</v>
      </c>
      <c r="AG290">
        <f>IF('INHERENT MAP'!$B$5=2021,'РЕЕСТР РИСКОВ_2023'!AM330,IF('INHERENT MAP'!$B$5=2022,#REF!,IF('INHERENT MAP'!$B$5=2023,#REF!,IF('INHERENT MAP'!$B$5=2024,#REF!,#REF!))))</f>
        <v>0</v>
      </c>
      <c r="AH290">
        <f>IF('INHERENT MAP'!$B$5=2021,'РЕЕСТР РИСКОВ_2023'!AN330,IF('INHERENT MAP'!$B$5=2022,#REF!,IF('INHERENT MAP'!$B$5=2023,#REF!,IF('INHERENT MAP'!$B$5=2024,#REF!,#REF!))))</f>
        <v>0</v>
      </c>
      <c r="AI290">
        <f>IF('INHERENT MAP'!$B$5=2021,'РЕЕСТР РИСКОВ_2023'!AO330,IF('INHERENT MAP'!$B$5=2022,#REF!,IF('INHERENT MAP'!$B$5=2023,#REF!,IF('INHERENT MAP'!$B$5=2024,#REF!,#REF!))))</f>
        <v>0</v>
      </c>
      <c r="AJ290">
        <f>IF('INHERENT MAP'!$B$5=2021,'РЕЕСТР РИСКОВ_2023'!AP330,IF('INHERENT MAP'!$B$5=2022,#REF!,IF('INHERENT MAP'!$B$5=2023,#REF!,IF('INHERENT MAP'!$B$5=2024,#REF!,#REF!))))</f>
        <v>0</v>
      </c>
      <c r="AK290">
        <f>IF('РЕЕСТР РИСКОВ_2023'!AQ330="",AK289,'РЕЕСТР РИСКОВ_2023'!AQ330)</f>
        <v>-216</v>
      </c>
      <c r="AL290">
        <f>IF('РЕЕСТР РИСКОВ_2023'!AR330="",AL289,'РЕЕСТР РИСКОВ_2023'!AR330)</f>
        <v>0.12</v>
      </c>
      <c r="AM290" t="str">
        <f>IF('РЕЕСТР РИСКОВ_2023'!AS330="",AM289,'РЕЕСТР РИСКОВ_2023'!AS330)</f>
        <v>стоп</v>
      </c>
      <c r="AN290" t="str">
        <f>IF('РЕЕСТР РИСКОВ_2023'!AT330="",AN289,'РЕЕСТР РИСКОВ_2023'!AT330)</f>
        <v>стоп</v>
      </c>
      <c r="AO290" t="e">
        <f>IF('РЕЕСТР РИСКОВ_2023'!AU330="",AO289,'РЕЕСТР РИСКОВ_2023'!AU330)</f>
        <v>#REF!</v>
      </c>
    </row>
    <row r="291" spans="2:41">
      <c r="B291" t="str">
        <f>IF('INHERENT MAP'!$B$5=2021,IF('РЕЕСТР РИСКОВ_2023'!F331="",B290,'РЕЕСТР РИСКОВ_2023'!F331),IF('INHERENT MAP'!$B$5=2022,IF(#REF!="",B290,#REF!),IF('INHERENT MAP'!$B$5=2023,IF(#REF!="",B290,#REF!),IF('INHERENT MAP'!$B$5=2024,IF(#REF!="",B290,#REF!),IF('РЕЕСТР РИСКОВ_2023'!F331="",B290,'РЕЕСТР РИСКОВ_2023'!F331)))))</f>
        <v>ПРОЦЕНТНЫЙ РИСК</v>
      </c>
      <c r="C291" t="e">
        <f>IF('INHERENT MAP'!$B$5=2021,IF('РЕЕСТР РИСКОВ_2023'!G331="",C290,'РЕЕСТР РИСКОВ_2023'!G331),IF('INHERENT MAP'!$B$5=2022,IF(#REF!="",C290,#REF!),IF('INHERENT MAP'!$B$5=2023,IF(#REF!="",C290,#REF!),IF('INHERENT MAP'!$B$5=2024,IF(#REF!="",C290,#REF!),IF('РЕЕСТР РИСКОВ_2023'!G331="",C290,'РЕЕСТР РИСКОВ_2023'!G331)))))</f>
        <v>#REF!</v>
      </c>
      <c r="D291" t="str">
        <f>IF('INHERENT MAP'!$B$5=2021,IF('РЕЕСТР РИСКОВ_2023'!H331="",D290,'РЕЕСТР РИСКОВ_2023'!H331),IF('INHERENT MAP'!$B$5=2022,IF(#REF!="",D290,#REF!),IF('INHERENT MAP'!$B$5=2023,IF(#REF!="",D290,#REF!),IF('INHERENT MAP'!$B$5=2024,IF(#REF!="",D290,#REF!),IF('РЕЕСТР РИСКОВ_2023'!H331="",D290,'РЕЕСТР РИСКОВ_2023'!H331)))))</f>
        <v>IRR-1</v>
      </c>
      <c r="E291" t="str">
        <f>IF('INHERENT MAP'!$B$5=2021,IF('РЕЕСТР РИСКОВ_2023'!I331="",E290,'РЕЕСТР РИСКОВ_2023'!I331),IF('INHERENT MAP'!$B$5=2022,IF(#REF!="",E290,#REF!),IF('INHERENT MAP'!$B$5=2023,IF(#REF!="",E290,#REF!),IF('INHERENT MAP'!$B$5=2024,IF(#REF!="",E290,#REF!),IF('РЕЕСТР РИСКОВ_2023'!I331="",E290,'РЕЕСТР РИСКОВ_2023'!I331)))))</f>
        <v>ЦЗФ</v>
      </c>
      <c r="F291" t="str">
        <f>IF('INHERENT MAP'!$B$5=2021,IF('РЕЕСТР РИСКОВ_2023'!J331="",F290,'РЕЕСТР РИСКОВ_2023'!J331),IF('INHERENT MAP'!$B$5=2022,IF(#REF!="",F290,#REF!),IF('INHERENT MAP'!$B$5=2023,IF(#REF!="",F290,#REF!),IF('INHERENT MAP'!$B$5=2024,IF(#REF!="",F290,#REF!),IF('РЕЕСТР РИСКОВ_2023'!J331="",F290,'РЕЕСТР РИСКОВ_2023'!J331)))))</f>
        <v>Цзайм</v>
      </c>
      <c r="G291" t="str">
        <f>IF('INHERENT MAP'!$B$5=2021,IF('РЕЕСТР РИСКОВ_2023'!K331="",G290,'РЕЕСТР РИСКОВ_2023'!K331),IF('INHERENT MAP'!$B$5=2022,IF(#REF!="",G290,#REF!),IF('INHERENT MAP'!$B$5=2023,IF(#REF!="",G290,#REF!),IF('INHERENT MAP'!$B$5=2024,IF(#REF!="",G290,#REF!),IF('РЕЕСТР РИСКОВ_2023'!K331="",G290,'РЕЕСТР РИСКОВ_2023'!K331)))))</f>
        <v>Увеличение расходов по процентам на новые займы, а также текущие займы (с плавающей ставкой) в тенге.</v>
      </c>
      <c r="H291">
        <f>IF('INHERENT MAP'!$B$5=2021,'РЕЕСТР РИСКОВ_2023'!L331,IF('INHERENT MAP'!$B$5=2022,#REF!,IF('INHERENT MAP'!$B$5=2023,#REF!,IF('INHERENT MAP'!$B$5=2024,#REF!,#REF!))))</f>
        <v>0</v>
      </c>
      <c r="I291">
        <f>IF('INHERENT MAP'!$B$5=2021,'РЕЕСТР РИСКОВ_2023'!M331,IF('INHERENT MAP'!$B$5=2022,#REF!,IF('INHERENT MAP'!$B$5=2023,#REF!,IF('INHERENT MAP'!$B$5=2024,#REF!,#REF!))))</f>
        <v>0</v>
      </c>
      <c r="J291">
        <f>IF('INHERENT MAP'!$B$5=2021,'РЕЕСТР РИСКОВ_2023'!N331,IF('INHERENT MAP'!$B$5=2022,#REF!,IF('INHERENT MAP'!$B$5=2023,#REF!,IF('INHERENT MAP'!$B$5=2024,#REF!,#REF!))))</f>
        <v>0</v>
      </c>
      <c r="K291">
        <f>IF('INHERENT MAP'!$B$5=2021,'РЕЕСТР РИСКОВ_2023'!O331,IF('INHERENT MAP'!$B$5=2022,#REF!,IF('INHERENT MAP'!$B$5=2023,#REF!,IF('INHERENT MAP'!$B$5=2024,#REF!,#REF!))))</f>
        <v>0</v>
      </c>
      <c r="L291">
        <f>IF('INHERENT MAP'!$B$5=2021,'РЕЕСТР РИСКОВ_2023'!P331,IF('INHERENT MAP'!$B$5=2022,#REF!,IF('INHERENT MAP'!$B$5=2023,#REF!,IF('INHERENT MAP'!$B$5=2024,#REF!,#REF!))))</f>
        <v>0</v>
      </c>
      <c r="M291" t="str">
        <f>IF('INHERENT MAP'!$B$5=2021,IF('РЕЕСТР РИСКОВ_2023'!Q331="",M290,'РЕЕСТР РИСКОВ_2023'!Q331),IF('INHERENT MAP'!$B$5=2022,IF(#REF!="",M290,#REF!),IF('INHERENT MAP'!$B$5=2023,IF(#REF!="",M290,#REF!),IF('INHERENT MAP'!$B$5=2024,IF(#REF!="",M290,#REF!),IF('РЕЕСТР РИСКОВ_2023'!Q331="",M290,'РЕЕСТР РИСКОВ_2023'!Q331)))))</f>
        <v>Увеличение базовой ставки Национального банка Республики Казахстан до 16%</v>
      </c>
      <c r="N291" t="str">
        <f>IF('INHERENT MAP'!$B$5=2021,IF('РЕЕСТР РИСКОВ_2023'!R331="",N290,'РЕЕСТР РИСКОВ_2023'!R331),IF('INHERENT MAP'!$B$5=2022,IF(#REF!="",N290,#REF!),IF('INHERENT MAP'!$B$5=2023,IF(#REF!="",N290,#REF!),IF('INHERENT MAP'!$B$5=2024,IF(#REF!="",N290,#REF!),IF('РЕЕСТР РИСКОВ_2023'!R331="",N290,'РЕЕСТР РИСКОВ_2023'!R331)))))</f>
        <v>Рецессия экономики европейских стран</v>
      </c>
      <c r="O291">
        <f>'РЕЕСТР РИСКОВ_2023'!T331</f>
        <v>0</v>
      </c>
      <c r="P291" t="e">
        <f>IF('РЕЕСТР РИСКОВ_2023'!U331="",P290,'РЕЕСТР РИСКОВ_2023'!U331)</f>
        <v>#REF!</v>
      </c>
      <c r="Q291" t="str">
        <f>IF('РЕЕСТР РИСКОВ_2023'!V331="",Q290,'РЕЕСТР РИСКОВ_2023'!V331)</f>
        <v>Угрозы</v>
      </c>
      <c r="R291" t="e">
        <f>IF('РЕЕСТР РИСКОВ_2023'!W331="",R290,'РЕЕСТР РИСКОВ_2023'!W331)</f>
        <v>#REF!</v>
      </c>
      <c r="S291">
        <f>'РЕЕСТР РИСКОВ_2023'!X331</f>
        <v>0</v>
      </c>
      <c r="T291" s="94">
        <f>IF('INHERENT MAP'!$B$5=2021,'РЕЕСТР РИСКОВ_2023'!Y331,IF('INHERENT MAP'!$B$5=2022,#REF!,IF('INHERENT MAP'!$B$5=2023,#REF!,IF('INHERENT MAP'!$B$5=2024,#REF!,#REF!))))</f>
        <v>0</v>
      </c>
      <c r="U291">
        <f>IF('INHERENT MAP'!$B$5=2021,'РЕЕСТР РИСКОВ_2023'!Z331,IF('INHERENT MAP'!$B$5=2022,#REF!,IF('INHERENT MAP'!$B$5=2023,#REF!,IF('INHERENT MAP'!$B$5=2024,#REF!,#REF!))))</f>
        <v>0</v>
      </c>
      <c r="V291">
        <f>IF('INHERENT MAP'!$B$5=2021,'РЕЕСТР РИСКОВ_2023'!AA331,IF('INHERENT MAP'!$B$5=2022,#REF!,IF('INHERENT MAP'!$B$5=2023,#REF!,IF('INHERENT MAP'!$B$5=2024,#REF!,#REF!))))</f>
        <v>0</v>
      </c>
      <c r="W291">
        <f>IF('INHERENT MAP'!$B$5=2021,'РЕЕСТР РИСКОВ_2023'!AB331,IF('INHERENT MAP'!$B$5=2022,#REF!,IF('INHERENT MAP'!$B$5=2023,#REF!,IF('INHERENT MAP'!$B$5=2024,#REF!,#REF!))))</f>
        <v>0</v>
      </c>
      <c r="X291" s="94">
        <f>IF('INHERENT MAP'!$B$5=2021,'РЕЕСТР РИСКОВ_2023'!AC331,IF('INHERENT MAP'!$B$5=2022,#REF!,IF('INHERENT MAP'!$B$5=2023,#REF!,IF('INHERENT MAP'!$B$5=2024,#REF!,#REF!))))</f>
        <v>0</v>
      </c>
      <c r="Y291">
        <f>IF('INHERENT MAP'!$B$5=2021,'РЕЕСТР РИСКОВ_2023'!AD331,IF('INHERENT MAP'!$B$5=2022,#REF!,IF('INHERENT MAP'!$B$5=2023,#REF!,IF('INHERENT MAP'!$B$5=2024,#REF!,#REF!))))</f>
        <v>0</v>
      </c>
      <c r="Z291">
        <f>IF('INHERENT MAP'!$B$5=2021,'РЕЕСТР РИСКОВ_2023'!AE331,IF('INHERENT MAP'!$B$5=2022,#REF!,IF('INHERENT MAP'!$B$5=2023,#REF!,IF('INHERENT MAP'!$B$5=2024,#REF!,#REF!))))</f>
        <v>0</v>
      </c>
      <c r="AA291">
        <f>IF('INHERENT MAP'!$B$5=2021,'РЕЕСТР РИСКОВ_2023'!AF331,IF('INHERENT MAP'!$B$5=2022,#REF!,IF('INHERENT MAP'!$B$5=2023,#REF!,IF('INHERENT MAP'!$B$5=2024,#REF!,#REF!))))</f>
        <v>0</v>
      </c>
      <c r="AB291">
        <f>IF('INHERENT MAP'!$B$5=2021,'РЕЕСТР РИСКОВ_2023'!AG331,IF('INHERENT MAP'!$B$5=2022,#REF!,IF('INHERENT MAP'!$B$5=2023,#REF!,IF('INHERENT MAP'!$B$5=2024,#REF!,#REF!))))</f>
        <v>0</v>
      </c>
      <c r="AC291">
        <f>IF('INHERENT MAP'!$B$5=2021,'РЕЕСТР РИСКОВ_2023'!AH331,IF('INHERENT MAP'!$B$5=2022,#REF!,IF('INHERENT MAP'!$B$5=2023,#REF!,IF('INHERENT MAP'!$B$5=2024,#REF!,#REF!))))</f>
        <v>0</v>
      </c>
      <c r="AD291">
        <f>IF('INHERENT MAP'!$B$5=2021,'РЕЕСТР РИСКОВ_2023'!AI331,IF('INHERENT MAP'!$B$5=2022,#REF!,IF('INHERENT MAP'!$B$5=2023,#REF!,IF('INHERENT MAP'!$B$5=2024,#REF!,#REF!))))</f>
        <v>0</v>
      </c>
      <c r="AE291">
        <f>IF('INHERENT MAP'!$B$5=2021,'РЕЕСТР РИСКОВ_2023'!AK331,IF('INHERENT MAP'!$B$5=2022,#REF!,IF('INHERENT MAP'!$B$5=2023,#REF!,IF('INHERENT MAP'!$B$5=2024,#REF!,#REF!))))</f>
        <v>0</v>
      </c>
      <c r="AF291">
        <f>IF('INHERENT MAP'!$B$5=2021,'РЕЕСТР РИСКОВ_2023'!AL331,IF('INHERENT MAP'!$B$5=2022,#REF!,IF('INHERENT MAP'!$B$5=2023,#REF!,IF('INHERENT MAP'!$B$5=2024,#REF!,#REF!))))</f>
        <v>0</v>
      </c>
      <c r="AG291">
        <f>IF('INHERENT MAP'!$B$5=2021,'РЕЕСТР РИСКОВ_2023'!AM331,IF('INHERENT MAP'!$B$5=2022,#REF!,IF('INHERENT MAP'!$B$5=2023,#REF!,IF('INHERENT MAP'!$B$5=2024,#REF!,#REF!))))</f>
        <v>0</v>
      </c>
      <c r="AH291">
        <f>IF('INHERENT MAP'!$B$5=2021,'РЕЕСТР РИСКОВ_2023'!AN331,IF('INHERENT MAP'!$B$5=2022,#REF!,IF('INHERENT MAP'!$B$5=2023,#REF!,IF('INHERENT MAP'!$B$5=2024,#REF!,#REF!))))</f>
        <v>0</v>
      </c>
      <c r="AI291">
        <f>IF('INHERENT MAP'!$B$5=2021,'РЕЕСТР РИСКОВ_2023'!AO331,IF('INHERENT MAP'!$B$5=2022,#REF!,IF('INHERENT MAP'!$B$5=2023,#REF!,IF('INHERENT MAP'!$B$5=2024,#REF!,#REF!))))</f>
        <v>0</v>
      </c>
      <c r="AJ291">
        <f>IF('INHERENT MAP'!$B$5=2021,'РЕЕСТР РИСКОВ_2023'!AP331,IF('INHERENT MAP'!$B$5=2022,#REF!,IF('INHERENT MAP'!$B$5=2023,#REF!,IF('INHERENT MAP'!$B$5=2024,#REF!,#REF!))))</f>
        <v>0</v>
      </c>
      <c r="AK291">
        <f>IF('РЕЕСТР РИСКОВ_2023'!AQ331="",AK290,'РЕЕСТР РИСКОВ_2023'!AQ331)</f>
        <v>-216</v>
      </c>
      <c r="AL291">
        <f>IF('РЕЕСТР РИСКОВ_2023'!AR331="",AL290,'РЕЕСТР РИСКОВ_2023'!AR331)</f>
        <v>0.12</v>
      </c>
      <c r="AM291" t="str">
        <f>IF('РЕЕСТР РИСКОВ_2023'!AS331="",AM290,'РЕЕСТР РИСКОВ_2023'!AS331)</f>
        <v>стоп</v>
      </c>
      <c r="AN291" t="str">
        <f>IF('РЕЕСТР РИСКОВ_2023'!AT331="",AN290,'РЕЕСТР РИСКОВ_2023'!AT331)</f>
        <v>стоп</v>
      </c>
      <c r="AO291" t="e">
        <f>IF('РЕЕСТР РИСКОВ_2023'!AU331="",AO290,'РЕЕСТР РИСКОВ_2023'!AU331)</f>
        <v>#REF!</v>
      </c>
    </row>
    <row r="292" spans="2:41">
      <c r="B292" t="str">
        <f>IF('INHERENT MAP'!$B$5=2021,IF('РЕЕСТР РИСКОВ_2023'!F332="",B291,'РЕЕСТР РИСКОВ_2023'!F332),IF('INHERENT MAP'!$B$5=2022,IF(#REF!="",B291,#REF!),IF('INHERENT MAP'!$B$5=2023,IF(#REF!="",B291,#REF!),IF('INHERENT MAP'!$B$5=2024,IF(#REF!="",B291,#REF!),IF('РЕЕСТР РИСКОВ_2023'!F332="",B291,'РЕЕСТР РИСКОВ_2023'!F332)))))</f>
        <v>ПРОЦЕНТНЫЙ РИСК</v>
      </c>
      <c r="C292" t="e">
        <f>IF('INHERENT MAP'!$B$5=2021,IF('РЕЕСТР РИСКОВ_2023'!G332="",C291,'РЕЕСТР РИСКОВ_2023'!G332),IF('INHERENT MAP'!$B$5=2022,IF(#REF!="",C291,#REF!),IF('INHERENT MAP'!$B$5=2023,IF(#REF!="",C291,#REF!),IF('INHERENT MAP'!$B$5=2024,IF(#REF!="",C291,#REF!),IF('РЕЕСТР РИСКОВ_2023'!G332="",C291,'РЕЕСТР РИСКОВ_2023'!G332)))))</f>
        <v>#REF!</v>
      </c>
      <c r="D292" t="str">
        <f>IF('INHERENT MAP'!$B$5=2021,IF('РЕЕСТР РИСКОВ_2023'!H332="",D291,'РЕЕСТР РИСКОВ_2023'!H332),IF('INHERENT MAP'!$B$5=2022,IF(#REF!="",D291,#REF!),IF('INHERENT MAP'!$B$5=2023,IF(#REF!="",D291,#REF!),IF('INHERENT MAP'!$B$5=2024,IF(#REF!="",D291,#REF!),IF('РЕЕСТР РИСКОВ_2023'!H332="",D291,'РЕЕСТР РИСКОВ_2023'!H332)))))</f>
        <v>IRR-1</v>
      </c>
      <c r="E292" t="str">
        <f>IF('INHERENT MAP'!$B$5=2021,IF('РЕЕСТР РИСКОВ_2023'!I332="",E291,'РЕЕСТР РИСКОВ_2023'!I332),IF('INHERENT MAP'!$B$5=2022,IF(#REF!="",E291,#REF!),IF('INHERENT MAP'!$B$5=2023,IF(#REF!="",E291,#REF!),IF('INHERENT MAP'!$B$5=2024,IF(#REF!="",E291,#REF!),IF('РЕЕСТР РИСКОВ_2023'!I332="",E291,'РЕЕСТР РИСКОВ_2023'!I332)))))</f>
        <v>ЦЗФ</v>
      </c>
      <c r="F292" t="str">
        <f>IF('INHERENT MAP'!$B$5=2021,IF('РЕЕСТР РИСКОВ_2023'!J332="",F291,'РЕЕСТР РИСКОВ_2023'!J332),IF('INHERENT MAP'!$B$5=2022,IF(#REF!="",F291,#REF!),IF('INHERENT MAP'!$B$5=2023,IF(#REF!="",F291,#REF!),IF('INHERENT MAP'!$B$5=2024,IF(#REF!="",F291,#REF!),IF('РЕЕСТР РИСКОВ_2023'!J332="",F291,'РЕЕСТР РИСКОВ_2023'!J332)))))</f>
        <v>Цзайм</v>
      </c>
      <c r="G292" t="str">
        <f>IF('INHERENT MAP'!$B$5=2021,IF('РЕЕСТР РИСКОВ_2023'!K332="",G291,'РЕЕСТР РИСКОВ_2023'!K332),IF('INHERENT MAP'!$B$5=2022,IF(#REF!="",G291,#REF!),IF('INHERENT MAP'!$B$5=2023,IF(#REF!="",G291,#REF!),IF('INHERENT MAP'!$B$5=2024,IF(#REF!="",G291,#REF!),IF('РЕЕСТР РИСКОВ_2023'!K332="",G291,'РЕЕСТР РИСКОВ_2023'!K332)))))</f>
        <v>Увеличение расходов по процентам на новые займы, а также текущие займы (с плавающей ставкой) в тенге.</v>
      </c>
      <c r="H292">
        <f>IF('INHERENT MAP'!$B$5=2021,'РЕЕСТР РИСКОВ_2023'!L332,IF('INHERENT MAP'!$B$5=2022,#REF!,IF('INHERENT MAP'!$B$5=2023,#REF!,IF('INHERENT MAP'!$B$5=2024,#REF!,#REF!))))</f>
        <v>0</v>
      </c>
      <c r="I292">
        <f>IF('INHERENT MAP'!$B$5=2021,'РЕЕСТР РИСКОВ_2023'!M332,IF('INHERENT MAP'!$B$5=2022,#REF!,IF('INHERENT MAP'!$B$5=2023,#REF!,IF('INHERENT MAP'!$B$5=2024,#REF!,#REF!))))</f>
        <v>0</v>
      </c>
      <c r="J292">
        <f>IF('INHERENT MAP'!$B$5=2021,'РЕЕСТР РИСКОВ_2023'!N332,IF('INHERENT MAP'!$B$5=2022,#REF!,IF('INHERENT MAP'!$B$5=2023,#REF!,IF('INHERENT MAP'!$B$5=2024,#REF!,#REF!))))</f>
        <v>0</v>
      </c>
      <c r="K292">
        <f>IF('INHERENT MAP'!$B$5=2021,'РЕЕСТР РИСКОВ_2023'!O332,IF('INHERENT MAP'!$B$5=2022,#REF!,IF('INHERENT MAP'!$B$5=2023,#REF!,IF('INHERENT MAP'!$B$5=2024,#REF!,#REF!))))</f>
        <v>0</v>
      </c>
      <c r="L292">
        <f>IF('INHERENT MAP'!$B$5=2021,'РЕЕСТР РИСКОВ_2023'!P332,IF('INHERENT MAP'!$B$5=2022,#REF!,IF('INHERENT MAP'!$B$5=2023,#REF!,IF('INHERENT MAP'!$B$5=2024,#REF!,#REF!))))</f>
        <v>0</v>
      </c>
      <c r="M292" t="str">
        <f>IF('INHERENT MAP'!$B$5=2021,IF('РЕЕСТР РИСКОВ_2023'!Q332="",M291,'РЕЕСТР РИСКОВ_2023'!Q332),IF('INHERENT MAP'!$B$5=2022,IF(#REF!="",M291,#REF!),IF('INHERENT MAP'!$B$5=2023,IF(#REF!="",M291,#REF!),IF('INHERENT MAP'!$B$5=2024,IF(#REF!="",M291,#REF!),IF('РЕЕСТР РИСКОВ_2023'!Q332="",M291,'РЕЕСТР РИСКОВ_2023'!Q332)))))</f>
        <v>Увеличение базовой ставки Национального банка Республики Казахстан до 16%</v>
      </c>
      <c r="N292" t="str">
        <f>IF('INHERENT MAP'!$B$5=2021,IF('РЕЕСТР РИСКОВ_2023'!R332="",N291,'РЕЕСТР РИСКОВ_2023'!R332),IF('INHERENT MAP'!$B$5=2022,IF(#REF!="",N291,#REF!),IF('INHERENT MAP'!$B$5=2023,IF(#REF!="",N291,#REF!),IF('INHERENT MAP'!$B$5=2024,IF(#REF!="",N291,#REF!),IF('РЕЕСТР РИСКОВ_2023'!R332="",N291,'РЕЕСТР РИСКОВ_2023'!R332)))))</f>
        <v>Рецессия экономики европейских стран</v>
      </c>
      <c r="O292">
        <f>'РЕЕСТР РИСКОВ_2023'!T332</f>
        <v>0</v>
      </c>
      <c r="P292" t="e">
        <f>IF('РЕЕСТР РИСКОВ_2023'!U332="",P291,'РЕЕСТР РИСКОВ_2023'!U332)</f>
        <v>#REF!</v>
      </c>
      <c r="Q292" t="str">
        <f>IF('РЕЕСТР РИСКОВ_2023'!V332="",Q291,'РЕЕСТР РИСКОВ_2023'!V332)</f>
        <v>Угрозы</v>
      </c>
      <c r="R292" t="e">
        <f>IF('РЕЕСТР РИСКОВ_2023'!W332="",R291,'РЕЕСТР РИСКОВ_2023'!W332)</f>
        <v>#REF!</v>
      </c>
      <c r="S292">
        <f>'РЕЕСТР РИСКОВ_2023'!X332</f>
        <v>0</v>
      </c>
      <c r="T292" s="94">
        <f>IF('INHERENT MAP'!$B$5=2021,'РЕЕСТР РИСКОВ_2023'!Y332,IF('INHERENT MAP'!$B$5=2022,#REF!,IF('INHERENT MAP'!$B$5=2023,#REF!,IF('INHERENT MAP'!$B$5=2024,#REF!,#REF!))))</f>
        <v>0</v>
      </c>
      <c r="U292">
        <f>IF('INHERENT MAP'!$B$5=2021,'РЕЕСТР РИСКОВ_2023'!Z332,IF('INHERENT MAP'!$B$5=2022,#REF!,IF('INHERENT MAP'!$B$5=2023,#REF!,IF('INHERENT MAP'!$B$5=2024,#REF!,#REF!))))</f>
        <v>0</v>
      </c>
      <c r="V292">
        <f>IF('INHERENT MAP'!$B$5=2021,'РЕЕСТР РИСКОВ_2023'!AA332,IF('INHERENT MAP'!$B$5=2022,#REF!,IF('INHERENT MAP'!$B$5=2023,#REF!,IF('INHERENT MAP'!$B$5=2024,#REF!,#REF!))))</f>
        <v>0</v>
      </c>
      <c r="W292">
        <f>IF('INHERENT MAP'!$B$5=2021,'РЕЕСТР РИСКОВ_2023'!AB332,IF('INHERENT MAP'!$B$5=2022,#REF!,IF('INHERENT MAP'!$B$5=2023,#REF!,IF('INHERENT MAP'!$B$5=2024,#REF!,#REF!))))</f>
        <v>0</v>
      </c>
      <c r="X292" s="94">
        <f>IF('INHERENT MAP'!$B$5=2021,'РЕЕСТР РИСКОВ_2023'!AC332,IF('INHERENT MAP'!$B$5=2022,#REF!,IF('INHERENT MAP'!$B$5=2023,#REF!,IF('INHERENT MAP'!$B$5=2024,#REF!,#REF!))))</f>
        <v>0</v>
      </c>
      <c r="Y292">
        <f>IF('INHERENT MAP'!$B$5=2021,'РЕЕСТР РИСКОВ_2023'!AD332,IF('INHERENT MAP'!$B$5=2022,#REF!,IF('INHERENT MAP'!$B$5=2023,#REF!,IF('INHERENT MAP'!$B$5=2024,#REF!,#REF!))))</f>
        <v>0</v>
      </c>
      <c r="Z292">
        <f>IF('INHERENT MAP'!$B$5=2021,'РЕЕСТР РИСКОВ_2023'!AE332,IF('INHERENT MAP'!$B$5=2022,#REF!,IF('INHERENT MAP'!$B$5=2023,#REF!,IF('INHERENT MAP'!$B$5=2024,#REF!,#REF!))))</f>
        <v>0</v>
      </c>
      <c r="AA292">
        <f>IF('INHERENT MAP'!$B$5=2021,'РЕЕСТР РИСКОВ_2023'!AF332,IF('INHERENT MAP'!$B$5=2022,#REF!,IF('INHERENT MAP'!$B$5=2023,#REF!,IF('INHERENT MAP'!$B$5=2024,#REF!,#REF!))))</f>
        <v>0</v>
      </c>
      <c r="AB292">
        <f>IF('INHERENT MAP'!$B$5=2021,'РЕЕСТР РИСКОВ_2023'!AG332,IF('INHERENT MAP'!$B$5=2022,#REF!,IF('INHERENT MAP'!$B$5=2023,#REF!,IF('INHERENT MAP'!$B$5=2024,#REF!,#REF!))))</f>
        <v>0</v>
      </c>
      <c r="AC292">
        <f>IF('INHERENT MAP'!$B$5=2021,'РЕЕСТР РИСКОВ_2023'!AH332,IF('INHERENT MAP'!$B$5=2022,#REF!,IF('INHERENT MAP'!$B$5=2023,#REF!,IF('INHERENT MAP'!$B$5=2024,#REF!,#REF!))))</f>
        <v>0</v>
      </c>
      <c r="AD292">
        <f>IF('INHERENT MAP'!$B$5=2021,'РЕЕСТР РИСКОВ_2023'!AI332,IF('INHERENT MAP'!$B$5=2022,#REF!,IF('INHERENT MAP'!$B$5=2023,#REF!,IF('INHERENT MAP'!$B$5=2024,#REF!,#REF!))))</f>
        <v>0</v>
      </c>
      <c r="AE292">
        <f>IF('INHERENT MAP'!$B$5=2021,'РЕЕСТР РИСКОВ_2023'!AK332,IF('INHERENT MAP'!$B$5=2022,#REF!,IF('INHERENT MAP'!$B$5=2023,#REF!,IF('INHERENT MAP'!$B$5=2024,#REF!,#REF!))))</f>
        <v>0</v>
      </c>
      <c r="AF292">
        <f>IF('INHERENT MAP'!$B$5=2021,'РЕЕСТР РИСКОВ_2023'!AL332,IF('INHERENT MAP'!$B$5=2022,#REF!,IF('INHERENT MAP'!$B$5=2023,#REF!,IF('INHERENT MAP'!$B$5=2024,#REF!,#REF!))))</f>
        <v>0</v>
      </c>
      <c r="AG292">
        <f>IF('INHERENT MAP'!$B$5=2021,'РЕЕСТР РИСКОВ_2023'!AM332,IF('INHERENT MAP'!$B$5=2022,#REF!,IF('INHERENT MAP'!$B$5=2023,#REF!,IF('INHERENT MAP'!$B$5=2024,#REF!,#REF!))))</f>
        <v>0</v>
      </c>
      <c r="AH292">
        <f>IF('INHERENT MAP'!$B$5=2021,'РЕЕСТР РИСКОВ_2023'!AN332,IF('INHERENT MAP'!$B$5=2022,#REF!,IF('INHERENT MAP'!$B$5=2023,#REF!,IF('INHERENT MAP'!$B$5=2024,#REF!,#REF!))))</f>
        <v>0</v>
      </c>
      <c r="AI292">
        <f>IF('INHERENT MAP'!$B$5=2021,'РЕЕСТР РИСКОВ_2023'!AO332,IF('INHERENT MAP'!$B$5=2022,#REF!,IF('INHERENT MAP'!$B$5=2023,#REF!,IF('INHERENT MAP'!$B$5=2024,#REF!,#REF!))))</f>
        <v>0</v>
      </c>
      <c r="AJ292">
        <f>IF('INHERENT MAP'!$B$5=2021,'РЕЕСТР РИСКОВ_2023'!AP332,IF('INHERENT MAP'!$B$5=2022,#REF!,IF('INHERENT MAP'!$B$5=2023,#REF!,IF('INHERENT MAP'!$B$5=2024,#REF!,#REF!))))</f>
        <v>0</v>
      </c>
      <c r="AK292">
        <f>IF('РЕЕСТР РИСКОВ_2023'!AQ332="",AK291,'РЕЕСТР РИСКОВ_2023'!AQ332)</f>
        <v>-216</v>
      </c>
      <c r="AL292">
        <f>IF('РЕЕСТР РИСКОВ_2023'!AR332="",AL291,'РЕЕСТР РИСКОВ_2023'!AR332)</f>
        <v>0.12</v>
      </c>
      <c r="AM292" t="str">
        <f>IF('РЕЕСТР РИСКОВ_2023'!AS332="",AM291,'РЕЕСТР РИСКОВ_2023'!AS332)</f>
        <v>стоп</v>
      </c>
      <c r="AN292" t="str">
        <f>IF('РЕЕСТР РИСКОВ_2023'!AT332="",AN291,'РЕЕСТР РИСКОВ_2023'!AT332)</f>
        <v>стоп</v>
      </c>
      <c r="AO292" t="e">
        <f>IF('РЕЕСТР РИСКОВ_2023'!AU332="",AO291,'РЕЕСТР РИСКОВ_2023'!AU332)</f>
        <v>#REF!</v>
      </c>
    </row>
    <row r="293" spans="2:41">
      <c r="B293" t="str">
        <f>IF('INHERENT MAP'!$B$5=2021,IF('РЕЕСТР РИСКОВ_2023'!F333="",B292,'РЕЕСТР РИСКОВ_2023'!F333),IF('INHERENT MAP'!$B$5=2022,IF(#REF!="",B292,#REF!),IF('INHERENT MAP'!$B$5=2023,IF(#REF!="",B292,#REF!),IF('INHERENT MAP'!$B$5=2024,IF(#REF!="",B292,#REF!),IF('РЕЕСТР РИСКОВ_2023'!F333="",B292,'РЕЕСТР РИСКОВ_2023'!F333)))))</f>
        <v>ПРОЦЕНТНЫЙ РИСК</v>
      </c>
      <c r="C293" t="e">
        <f>IF('INHERENT MAP'!$B$5=2021,IF('РЕЕСТР РИСКОВ_2023'!G333="",C292,'РЕЕСТР РИСКОВ_2023'!G333),IF('INHERENT MAP'!$B$5=2022,IF(#REF!="",C292,#REF!),IF('INHERENT MAP'!$B$5=2023,IF(#REF!="",C292,#REF!),IF('INHERENT MAP'!$B$5=2024,IF(#REF!="",C292,#REF!),IF('РЕЕСТР РИСКОВ_2023'!G333="",C292,'РЕЕСТР РИСКОВ_2023'!G333)))))</f>
        <v>#REF!</v>
      </c>
      <c r="D293" t="str">
        <f>IF('INHERENT MAP'!$B$5=2021,IF('РЕЕСТР РИСКОВ_2023'!H333="",D292,'РЕЕСТР РИСКОВ_2023'!H333),IF('INHERENT MAP'!$B$5=2022,IF(#REF!="",D292,#REF!),IF('INHERENT MAP'!$B$5=2023,IF(#REF!="",D292,#REF!),IF('INHERENT MAP'!$B$5=2024,IF(#REF!="",D292,#REF!),IF('РЕЕСТР РИСКОВ_2023'!H333="",D292,'РЕЕСТР РИСКОВ_2023'!H333)))))</f>
        <v>IRR-1</v>
      </c>
      <c r="E293" t="str">
        <f>IF('INHERENT MAP'!$B$5=2021,IF('РЕЕСТР РИСКОВ_2023'!I333="",E292,'РЕЕСТР РИСКОВ_2023'!I333),IF('INHERENT MAP'!$B$5=2022,IF(#REF!="",E292,#REF!),IF('INHERENT MAP'!$B$5=2023,IF(#REF!="",E292,#REF!),IF('INHERENT MAP'!$B$5=2024,IF(#REF!="",E292,#REF!),IF('РЕЕСТР РИСКОВ_2023'!I333="",E292,'РЕЕСТР РИСКОВ_2023'!I333)))))</f>
        <v>ЦЗФ</v>
      </c>
      <c r="F293" t="str">
        <f>IF('INHERENT MAP'!$B$5=2021,IF('РЕЕСТР РИСКОВ_2023'!J333="",F292,'РЕЕСТР РИСКОВ_2023'!J333),IF('INHERENT MAP'!$B$5=2022,IF(#REF!="",F292,#REF!),IF('INHERENT MAP'!$B$5=2023,IF(#REF!="",F292,#REF!),IF('INHERENT MAP'!$B$5=2024,IF(#REF!="",F292,#REF!),IF('РЕЕСТР РИСКОВ_2023'!J333="",F292,'РЕЕСТР РИСКОВ_2023'!J333)))))</f>
        <v>Цзайм</v>
      </c>
      <c r="G293" t="str">
        <f>IF('INHERENT MAP'!$B$5=2021,IF('РЕЕСТР РИСКОВ_2023'!K333="",G292,'РЕЕСТР РИСКОВ_2023'!K333),IF('INHERENT MAP'!$B$5=2022,IF(#REF!="",G292,#REF!),IF('INHERENT MAP'!$B$5=2023,IF(#REF!="",G292,#REF!),IF('INHERENT MAP'!$B$5=2024,IF(#REF!="",G292,#REF!),IF('РЕЕСТР РИСКОВ_2023'!K333="",G292,'РЕЕСТР РИСКОВ_2023'!K333)))))</f>
        <v>Увеличение расходов по процентам на новые займы, а также текущие займы (с плавающей ставкой) в тенге.</v>
      </c>
      <c r="H293">
        <f>IF('INHERENT MAP'!$B$5=2021,'РЕЕСТР РИСКОВ_2023'!L333,IF('INHERENT MAP'!$B$5=2022,#REF!,IF('INHERENT MAP'!$B$5=2023,#REF!,IF('INHERENT MAP'!$B$5=2024,#REF!,#REF!))))</f>
        <v>0</v>
      </c>
      <c r="I293">
        <f>IF('INHERENT MAP'!$B$5=2021,'РЕЕСТР РИСКОВ_2023'!M333,IF('INHERENT MAP'!$B$5=2022,#REF!,IF('INHERENT MAP'!$B$5=2023,#REF!,IF('INHERENT MAP'!$B$5=2024,#REF!,#REF!))))</f>
        <v>0</v>
      </c>
      <c r="J293">
        <f>IF('INHERENT MAP'!$B$5=2021,'РЕЕСТР РИСКОВ_2023'!N333,IF('INHERENT MAP'!$B$5=2022,#REF!,IF('INHERENT MAP'!$B$5=2023,#REF!,IF('INHERENT MAP'!$B$5=2024,#REF!,#REF!))))</f>
        <v>0</v>
      </c>
      <c r="K293">
        <f>IF('INHERENT MAP'!$B$5=2021,'РЕЕСТР РИСКОВ_2023'!O333,IF('INHERENT MAP'!$B$5=2022,#REF!,IF('INHERENT MAP'!$B$5=2023,#REF!,IF('INHERENT MAP'!$B$5=2024,#REF!,#REF!))))</f>
        <v>0</v>
      </c>
      <c r="L293">
        <f>IF('INHERENT MAP'!$B$5=2021,'РЕЕСТР РИСКОВ_2023'!P333,IF('INHERENT MAP'!$B$5=2022,#REF!,IF('INHERENT MAP'!$B$5=2023,#REF!,IF('INHERENT MAP'!$B$5=2024,#REF!,#REF!))))</f>
        <v>0</v>
      </c>
      <c r="M293" t="str">
        <f>IF('INHERENT MAP'!$B$5=2021,IF('РЕЕСТР РИСКОВ_2023'!Q333="",M292,'РЕЕСТР РИСКОВ_2023'!Q333),IF('INHERENT MAP'!$B$5=2022,IF(#REF!="",M292,#REF!),IF('INHERENT MAP'!$B$5=2023,IF(#REF!="",M292,#REF!),IF('INHERENT MAP'!$B$5=2024,IF(#REF!="",M292,#REF!),IF('РЕЕСТР РИСКОВ_2023'!Q333="",M292,'РЕЕСТР РИСКОВ_2023'!Q333)))))</f>
        <v>Увеличение базовой ставки Национального банка Республики Казахстан до 16%</v>
      </c>
      <c r="N293" t="str">
        <f>IF('INHERENT MAP'!$B$5=2021,IF('РЕЕСТР РИСКОВ_2023'!R333="",N292,'РЕЕСТР РИСКОВ_2023'!R333),IF('INHERENT MAP'!$B$5=2022,IF(#REF!="",N292,#REF!),IF('INHERENT MAP'!$B$5=2023,IF(#REF!="",N292,#REF!),IF('INHERENT MAP'!$B$5=2024,IF(#REF!="",N292,#REF!),IF('РЕЕСТР РИСКОВ_2023'!R333="",N292,'РЕЕСТР РИСКОВ_2023'!R333)))))</f>
        <v>Рецессия экономики европейских стран</v>
      </c>
      <c r="O293">
        <f>'РЕЕСТР РИСКОВ_2023'!T333</f>
        <v>0</v>
      </c>
      <c r="P293" t="e">
        <f>IF('РЕЕСТР РИСКОВ_2023'!U333="",P292,'РЕЕСТР РИСКОВ_2023'!U333)</f>
        <v>#REF!</v>
      </c>
      <c r="Q293" t="str">
        <f>IF('РЕЕСТР РИСКОВ_2023'!V333="",Q292,'РЕЕСТР РИСКОВ_2023'!V333)</f>
        <v>Угрозы</v>
      </c>
      <c r="R293" t="e">
        <f>IF('РЕЕСТР РИСКОВ_2023'!W333="",R292,'РЕЕСТР РИСКОВ_2023'!W333)</f>
        <v>#REF!</v>
      </c>
      <c r="S293">
        <f>'РЕЕСТР РИСКОВ_2023'!X333</f>
        <v>0</v>
      </c>
      <c r="T293" s="94">
        <f>IF('INHERENT MAP'!$B$5=2021,'РЕЕСТР РИСКОВ_2023'!Y333,IF('INHERENT MAP'!$B$5=2022,#REF!,IF('INHERENT MAP'!$B$5=2023,#REF!,IF('INHERENT MAP'!$B$5=2024,#REF!,#REF!))))</f>
        <v>0</v>
      </c>
      <c r="U293">
        <f>IF('INHERENT MAP'!$B$5=2021,'РЕЕСТР РИСКОВ_2023'!Z333,IF('INHERENT MAP'!$B$5=2022,#REF!,IF('INHERENT MAP'!$B$5=2023,#REF!,IF('INHERENT MAP'!$B$5=2024,#REF!,#REF!))))</f>
        <v>0</v>
      </c>
      <c r="V293">
        <f>IF('INHERENT MAP'!$B$5=2021,'РЕЕСТР РИСКОВ_2023'!AA333,IF('INHERENT MAP'!$B$5=2022,#REF!,IF('INHERENT MAP'!$B$5=2023,#REF!,IF('INHERENT MAP'!$B$5=2024,#REF!,#REF!))))</f>
        <v>0</v>
      </c>
      <c r="W293">
        <f>IF('INHERENT MAP'!$B$5=2021,'РЕЕСТР РИСКОВ_2023'!AB333,IF('INHERENT MAP'!$B$5=2022,#REF!,IF('INHERENT MAP'!$B$5=2023,#REF!,IF('INHERENT MAP'!$B$5=2024,#REF!,#REF!))))</f>
        <v>0</v>
      </c>
      <c r="X293" s="94">
        <f>IF('INHERENT MAP'!$B$5=2021,'РЕЕСТР РИСКОВ_2023'!AC333,IF('INHERENT MAP'!$B$5=2022,#REF!,IF('INHERENT MAP'!$B$5=2023,#REF!,IF('INHERENT MAP'!$B$5=2024,#REF!,#REF!))))</f>
        <v>0</v>
      </c>
      <c r="Y293">
        <f>IF('INHERENT MAP'!$B$5=2021,'РЕЕСТР РИСКОВ_2023'!AD333,IF('INHERENT MAP'!$B$5=2022,#REF!,IF('INHERENT MAP'!$B$5=2023,#REF!,IF('INHERENT MAP'!$B$5=2024,#REF!,#REF!))))</f>
        <v>0</v>
      </c>
      <c r="Z293">
        <f>IF('INHERENT MAP'!$B$5=2021,'РЕЕСТР РИСКОВ_2023'!AE333,IF('INHERENT MAP'!$B$5=2022,#REF!,IF('INHERENT MAP'!$B$5=2023,#REF!,IF('INHERENT MAP'!$B$5=2024,#REF!,#REF!))))</f>
        <v>0</v>
      </c>
      <c r="AA293">
        <f>IF('INHERENT MAP'!$B$5=2021,'РЕЕСТР РИСКОВ_2023'!AF333,IF('INHERENT MAP'!$B$5=2022,#REF!,IF('INHERENT MAP'!$B$5=2023,#REF!,IF('INHERENT MAP'!$B$5=2024,#REF!,#REF!))))</f>
        <v>0</v>
      </c>
      <c r="AB293">
        <f>IF('INHERENT MAP'!$B$5=2021,'РЕЕСТР РИСКОВ_2023'!AG333,IF('INHERENT MAP'!$B$5=2022,#REF!,IF('INHERENT MAP'!$B$5=2023,#REF!,IF('INHERENT MAP'!$B$5=2024,#REF!,#REF!))))</f>
        <v>0</v>
      </c>
      <c r="AC293">
        <f>IF('INHERENT MAP'!$B$5=2021,'РЕЕСТР РИСКОВ_2023'!AH333,IF('INHERENT MAP'!$B$5=2022,#REF!,IF('INHERENT MAP'!$B$5=2023,#REF!,IF('INHERENT MAP'!$B$5=2024,#REF!,#REF!))))</f>
        <v>0</v>
      </c>
      <c r="AD293">
        <f>IF('INHERENT MAP'!$B$5=2021,'РЕЕСТР РИСКОВ_2023'!AI333,IF('INHERENT MAP'!$B$5=2022,#REF!,IF('INHERENT MAP'!$B$5=2023,#REF!,IF('INHERENT MAP'!$B$5=2024,#REF!,#REF!))))</f>
        <v>0</v>
      </c>
      <c r="AE293">
        <f>IF('INHERENT MAP'!$B$5=2021,'РЕЕСТР РИСКОВ_2023'!AK333,IF('INHERENT MAP'!$B$5=2022,#REF!,IF('INHERENT MAP'!$B$5=2023,#REF!,IF('INHERENT MAP'!$B$5=2024,#REF!,#REF!))))</f>
        <v>0</v>
      </c>
      <c r="AF293">
        <f>IF('INHERENT MAP'!$B$5=2021,'РЕЕСТР РИСКОВ_2023'!AL333,IF('INHERENT MAP'!$B$5=2022,#REF!,IF('INHERENT MAP'!$B$5=2023,#REF!,IF('INHERENT MAP'!$B$5=2024,#REF!,#REF!))))</f>
        <v>0</v>
      </c>
      <c r="AG293">
        <f>IF('INHERENT MAP'!$B$5=2021,'РЕЕСТР РИСКОВ_2023'!AM333,IF('INHERENT MAP'!$B$5=2022,#REF!,IF('INHERENT MAP'!$B$5=2023,#REF!,IF('INHERENT MAP'!$B$5=2024,#REF!,#REF!))))</f>
        <v>0</v>
      </c>
      <c r="AH293">
        <f>IF('INHERENT MAP'!$B$5=2021,'РЕЕСТР РИСКОВ_2023'!AN333,IF('INHERENT MAP'!$B$5=2022,#REF!,IF('INHERENT MAP'!$B$5=2023,#REF!,IF('INHERENT MAP'!$B$5=2024,#REF!,#REF!))))</f>
        <v>0</v>
      </c>
      <c r="AI293">
        <f>IF('INHERENT MAP'!$B$5=2021,'РЕЕСТР РИСКОВ_2023'!AO333,IF('INHERENT MAP'!$B$5=2022,#REF!,IF('INHERENT MAP'!$B$5=2023,#REF!,IF('INHERENT MAP'!$B$5=2024,#REF!,#REF!))))</f>
        <v>0</v>
      </c>
      <c r="AJ293">
        <f>IF('INHERENT MAP'!$B$5=2021,'РЕЕСТР РИСКОВ_2023'!AP333,IF('INHERENT MAP'!$B$5=2022,#REF!,IF('INHERENT MAP'!$B$5=2023,#REF!,IF('INHERENT MAP'!$B$5=2024,#REF!,#REF!))))</f>
        <v>0</v>
      </c>
      <c r="AK293">
        <f>IF('РЕЕСТР РИСКОВ_2023'!AQ333="",AK292,'РЕЕСТР РИСКОВ_2023'!AQ333)</f>
        <v>-216</v>
      </c>
      <c r="AL293">
        <f>IF('РЕЕСТР РИСКОВ_2023'!AR333="",AL292,'РЕЕСТР РИСКОВ_2023'!AR333)</f>
        <v>0.12</v>
      </c>
      <c r="AM293" t="str">
        <f>IF('РЕЕСТР РИСКОВ_2023'!AS333="",AM292,'РЕЕСТР РИСКОВ_2023'!AS333)</f>
        <v>стоп</v>
      </c>
      <c r="AN293" t="str">
        <f>IF('РЕЕСТР РИСКОВ_2023'!AT333="",AN292,'РЕЕСТР РИСКОВ_2023'!AT333)</f>
        <v>стоп</v>
      </c>
      <c r="AO293" t="e">
        <f>IF('РЕЕСТР РИСКОВ_2023'!AU333="",AO292,'РЕЕСТР РИСКОВ_2023'!AU333)</f>
        <v>#REF!</v>
      </c>
    </row>
    <row r="294" spans="2:41">
      <c r="B294" t="str">
        <f>IF('INHERENT MAP'!$B$5=2021,IF('РЕЕСТР РИСКОВ_2023'!F334="",B293,'РЕЕСТР РИСКОВ_2023'!F334),IF('INHERENT MAP'!$B$5=2022,IF(#REF!="",B293,#REF!),IF('INHERENT MAP'!$B$5=2023,IF(#REF!="",B293,#REF!),IF('INHERENT MAP'!$B$5=2024,IF(#REF!="",B293,#REF!),IF('РЕЕСТР РИСКОВ_2023'!F334="",B293,'РЕЕСТР РИСКОВ_2023'!F334)))))</f>
        <v>ПРОЦЕНТНЫЙ РИСК</v>
      </c>
      <c r="C294" t="e">
        <f>IF('INHERENT MAP'!$B$5=2021,IF('РЕЕСТР РИСКОВ_2023'!G334="",C293,'РЕЕСТР РИСКОВ_2023'!G334),IF('INHERENT MAP'!$B$5=2022,IF(#REF!="",C293,#REF!),IF('INHERENT MAP'!$B$5=2023,IF(#REF!="",C293,#REF!),IF('INHERENT MAP'!$B$5=2024,IF(#REF!="",C293,#REF!),IF('РЕЕСТР РИСКОВ_2023'!G334="",C293,'РЕЕСТР РИСКОВ_2023'!G334)))))</f>
        <v>#REF!</v>
      </c>
      <c r="D294" t="str">
        <f>IF('INHERENT MAP'!$B$5=2021,IF('РЕЕСТР РИСКОВ_2023'!H334="",D293,'РЕЕСТР РИСКОВ_2023'!H334),IF('INHERENT MAP'!$B$5=2022,IF(#REF!="",D293,#REF!),IF('INHERENT MAP'!$B$5=2023,IF(#REF!="",D293,#REF!),IF('INHERENT MAP'!$B$5=2024,IF(#REF!="",D293,#REF!),IF('РЕЕСТР РИСКОВ_2023'!H334="",D293,'РЕЕСТР РИСКОВ_2023'!H334)))))</f>
        <v>IRR-1</v>
      </c>
      <c r="E294" t="str">
        <f>IF('INHERENT MAP'!$B$5=2021,IF('РЕЕСТР РИСКОВ_2023'!I334="",E293,'РЕЕСТР РИСКОВ_2023'!I334),IF('INHERENT MAP'!$B$5=2022,IF(#REF!="",E293,#REF!),IF('INHERENT MAP'!$B$5=2023,IF(#REF!="",E293,#REF!),IF('INHERENT MAP'!$B$5=2024,IF(#REF!="",E293,#REF!),IF('РЕЕСТР РИСКОВ_2023'!I334="",E293,'РЕЕСТР РИСКОВ_2023'!I334)))))</f>
        <v>ЦЗФ</v>
      </c>
      <c r="F294" t="str">
        <f>IF('INHERENT MAP'!$B$5=2021,IF('РЕЕСТР РИСКОВ_2023'!J334="",F293,'РЕЕСТР РИСКОВ_2023'!J334),IF('INHERENT MAP'!$B$5=2022,IF(#REF!="",F293,#REF!),IF('INHERENT MAP'!$B$5=2023,IF(#REF!="",F293,#REF!),IF('INHERENT MAP'!$B$5=2024,IF(#REF!="",F293,#REF!),IF('РЕЕСТР РИСКОВ_2023'!J334="",F293,'РЕЕСТР РИСКОВ_2023'!J334)))))</f>
        <v>Цзайм</v>
      </c>
      <c r="G294" t="str">
        <f>IF('INHERENT MAP'!$B$5=2021,IF('РЕЕСТР РИСКОВ_2023'!K334="",G293,'РЕЕСТР РИСКОВ_2023'!K334),IF('INHERENT MAP'!$B$5=2022,IF(#REF!="",G293,#REF!),IF('INHERENT MAP'!$B$5=2023,IF(#REF!="",G293,#REF!),IF('INHERENT MAP'!$B$5=2024,IF(#REF!="",G293,#REF!),IF('РЕЕСТР РИСКОВ_2023'!K334="",G293,'РЕЕСТР РИСКОВ_2023'!K334)))))</f>
        <v>Увеличение расходов по процентам на новые займы, а также текущие займы (с плавающей ставкой) в тенге.</v>
      </c>
      <c r="H294">
        <f>IF('INHERENT MAP'!$B$5=2021,'РЕЕСТР РИСКОВ_2023'!L334,IF('INHERENT MAP'!$B$5=2022,#REF!,IF('INHERENT MAP'!$B$5=2023,#REF!,IF('INHERENT MAP'!$B$5=2024,#REF!,#REF!))))</f>
        <v>0</v>
      </c>
      <c r="I294">
        <f>IF('INHERENT MAP'!$B$5=2021,'РЕЕСТР РИСКОВ_2023'!M334,IF('INHERENT MAP'!$B$5=2022,#REF!,IF('INHERENT MAP'!$B$5=2023,#REF!,IF('INHERENT MAP'!$B$5=2024,#REF!,#REF!))))</f>
        <v>0</v>
      </c>
      <c r="J294">
        <f>IF('INHERENT MAP'!$B$5=2021,'РЕЕСТР РИСКОВ_2023'!N334,IF('INHERENT MAP'!$B$5=2022,#REF!,IF('INHERENT MAP'!$B$5=2023,#REF!,IF('INHERENT MAP'!$B$5=2024,#REF!,#REF!))))</f>
        <v>0</v>
      </c>
      <c r="K294">
        <f>IF('INHERENT MAP'!$B$5=2021,'РЕЕСТР РИСКОВ_2023'!O334,IF('INHERENT MAP'!$B$5=2022,#REF!,IF('INHERENT MAP'!$B$5=2023,#REF!,IF('INHERENT MAP'!$B$5=2024,#REF!,#REF!))))</f>
        <v>0</v>
      </c>
      <c r="L294">
        <f>IF('INHERENT MAP'!$B$5=2021,'РЕЕСТР РИСКОВ_2023'!P334,IF('INHERENT MAP'!$B$5=2022,#REF!,IF('INHERENT MAP'!$B$5=2023,#REF!,IF('INHERENT MAP'!$B$5=2024,#REF!,#REF!))))</f>
        <v>0</v>
      </c>
      <c r="M294" t="str">
        <f>IF('INHERENT MAP'!$B$5=2021,IF('РЕЕСТР РИСКОВ_2023'!Q334="",M293,'РЕЕСТР РИСКОВ_2023'!Q334),IF('INHERENT MAP'!$B$5=2022,IF(#REF!="",M293,#REF!),IF('INHERENT MAP'!$B$5=2023,IF(#REF!="",M293,#REF!),IF('INHERENT MAP'!$B$5=2024,IF(#REF!="",M293,#REF!),IF('РЕЕСТР РИСКОВ_2023'!Q334="",M293,'РЕЕСТР РИСКОВ_2023'!Q334)))))</f>
        <v>Увеличение базовой ставки Национального банка Республики Казахстан до 16%</v>
      </c>
      <c r="N294" t="str">
        <f>IF('INHERENT MAP'!$B$5=2021,IF('РЕЕСТР РИСКОВ_2023'!R334="",N293,'РЕЕСТР РИСКОВ_2023'!R334),IF('INHERENT MAP'!$B$5=2022,IF(#REF!="",N293,#REF!),IF('INHERENT MAP'!$B$5=2023,IF(#REF!="",N293,#REF!),IF('INHERENT MAP'!$B$5=2024,IF(#REF!="",N293,#REF!),IF('РЕЕСТР РИСКОВ_2023'!R334="",N293,'РЕЕСТР РИСКОВ_2023'!R334)))))</f>
        <v>Рецессия экономики европейских стран</v>
      </c>
      <c r="O294">
        <f>'РЕЕСТР РИСКОВ_2023'!T334</f>
        <v>0</v>
      </c>
      <c r="P294" t="e">
        <f>IF('РЕЕСТР РИСКОВ_2023'!U334="",P293,'РЕЕСТР РИСКОВ_2023'!U334)</f>
        <v>#REF!</v>
      </c>
      <c r="Q294" t="str">
        <f>IF('РЕЕСТР РИСКОВ_2023'!V334="",Q293,'РЕЕСТР РИСКОВ_2023'!V334)</f>
        <v>Угрозы</v>
      </c>
      <c r="R294" t="e">
        <f>IF('РЕЕСТР РИСКОВ_2023'!W334="",R293,'РЕЕСТР РИСКОВ_2023'!W334)</f>
        <v>#REF!</v>
      </c>
      <c r="S294">
        <f>'РЕЕСТР РИСКОВ_2023'!X334</f>
        <v>0</v>
      </c>
      <c r="T294" s="94">
        <f>IF('INHERENT MAP'!$B$5=2021,'РЕЕСТР РИСКОВ_2023'!Y334,IF('INHERENT MAP'!$B$5=2022,#REF!,IF('INHERENT MAP'!$B$5=2023,#REF!,IF('INHERENT MAP'!$B$5=2024,#REF!,#REF!))))</f>
        <v>0</v>
      </c>
      <c r="U294">
        <f>IF('INHERENT MAP'!$B$5=2021,'РЕЕСТР РИСКОВ_2023'!Z334,IF('INHERENT MAP'!$B$5=2022,#REF!,IF('INHERENT MAP'!$B$5=2023,#REF!,IF('INHERENT MAP'!$B$5=2024,#REF!,#REF!))))</f>
        <v>0</v>
      </c>
      <c r="V294">
        <f>IF('INHERENT MAP'!$B$5=2021,'РЕЕСТР РИСКОВ_2023'!AA334,IF('INHERENT MAP'!$B$5=2022,#REF!,IF('INHERENT MAP'!$B$5=2023,#REF!,IF('INHERENT MAP'!$B$5=2024,#REF!,#REF!))))</f>
        <v>0</v>
      </c>
      <c r="W294">
        <f>IF('INHERENT MAP'!$B$5=2021,'РЕЕСТР РИСКОВ_2023'!AB334,IF('INHERENT MAP'!$B$5=2022,#REF!,IF('INHERENT MAP'!$B$5=2023,#REF!,IF('INHERENT MAP'!$B$5=2024,#REF!,#REF!))))</f>
        <v>0</v>
      </c>
      <c r="X294" s="94">
        <f>IF('INHERENT MAP'!$B$5=2021,'РЕЕСТР РИСКОВ_2023'!AC334,IF('INHERENT MAP'!$B$5=2022,#REF!,IF('INHERENT MAP'!$B$5=2023,#REF!,IF('INHERENT MAP'!$B$5=2024,#REF!,#REF!))))</f>
        <v>0</v>
      </c>
      <c r="Y294">
        <f>IF('INHERENT MAP'!$B$5=2021,'РЕЕСТР РИСКОВ_2023'!AD334,IF('INHERENT MAP'!$B$5=2022,#REF!,IF('INHERENT MAP'!$B$5=2023,#REF!,IF('INHERENT MAP'!$B$5=2024,#REF!,#REF!))))</f>
        <v>0</v>
      </c>
      <c r="Z294">
        <f>IF('INHERENT MAP'!$B$5=2021,'РЕЕСТР РИСКОВ_2023'!AE334,IF('INHERENT MAP'!$B$5=2022,#REF!,IF('INHERENT MAP'!$B$5=2023,#REF!,IF('INHERENT MAP'!$B$5=2024,#REF!,#REF!))))</f>
        <v>0</v>
      </c>
      <c r="AA294">
        <f>IF('INHERENT MAP'!$B$5=2021,'РЕЕСТР РИСКОВ_2023'!AF334,IF('INHERENT MAP'!$B$5=2022,#REF!,IF('INHERENT MAP'!$B$5=2023,#REF!,IF('INHERENT MAP'!$B$5=2024,#REF!,#REF!))))</f>
        <v>0</v>
      </c>
      <c r="AB294">
        <f>IF('INHERENT MAP'!$B$5=2021,'РЕЕСТР РИСКОВ_2023'!AG334,IF('INHERENT MAP'!$B$5=2022,#REF!,IF('INHERENT MAP'!$B$5=2023,#REF!,IF('INHERENT MAP'!$B$5=2024,#REF!,#REF!))))</f>
        <v>0</v>
      </c>
      <c r="AC294">
        <f>IF('INHERENT MAP'!$B$5=2021,'РЕЕСТР РИСКОВ_2023'!AH334,IF('INHERENT MAP'!$B$5=2022,#REF!,IF('INHERENT MAP'!$B$5=2023,#REF!,IF('INHERENT MAP'!$B$5=2024,#REF!,#REF!))))</f>
        <v>0</v>
      </c>
      <c r="AD294">
        <f>IF('INHERENT MAP'!$B$5=2021,'РЕЕСТР РИСКОВ_2023'!AI334,IF('INHERENT MAP'!$B$5=2022,#REF!,IF('INHERENT MAP'!$B$5=2023,#REF!,IF('INHERENT MAP'!$B$5=2024,#REF!,#REF!))))</f>
        <v>0</v>
      </c>
      <c r="AE294">
        <f>IF('INHERENT MAP'!$B$5=2021,'РЕЕСТР РИСКОВ_2023'!AK334,IF('INHERENT MAP'!$B$5=2022,#REF!,IF('INHERENT MAP'!$B$5=2023,#REF!,IF('INHERENT MAP'!$B$5=2024,#REF!,#REF!))))</f>
        <v>0</v>
      </c>
      <c r="AF294">
        <f>IF('INHERENT MAP'!$B$5=2021,'РЕЕСТР РИСКОВ_2023'!AL334,IF('INHERENT MAP'!$B$5=2022,#REF!,IF('INHERENT MAP'!$B$5=2023,#REF!,IF('INHERENT MAP'!$B$5=2024,#REF!,#REF!))))</f>
        <v>0</v>
      </c>
      <c r="AG294">
        <f>IF('INHERENT MAP'!$B$5=2021,'РЕЕСТР РИСКОВ_2023'!AM334,IF('INHERENT MAP'!$B$5=2022,#REF!,IF('INHERENT MAP'!$B$5=2023,#REF!,IF('INHERENT MAP'!$B$5=2024,#REF!,#REF!))))</f>
        <v>0</v>
      </c>
      <c r="AH294">
        <f>IF('INHERENT MAP'!$B$5=2021,'РЕЕСТР РИСКОВ_2023'!AN334,IF('INHERENT MAP'!$B$5=2022,#REF!,IF('INHERENT MAP'!$B$5=2023,#REF!,IF('INHERENT MAP'!$B$5=2024,#REF!,#REF!))))</f>
        <v>0</v>
      </c>
      <c r="AI294">
        <f>IF('INHERENT MAP'!$B$5=2021,'РЕЕСТР РИСКОВ_2023'!AO334,IF('INHERENT MAP'!$B$5=2022,#REF!,IF('INHERENT MAP'!$B$5=2023,#REF!,IF('INHERENT MAP'!$B$5=2024,#REF!,#REF!))))</f>
        <v>0</v>
      </c>
      <c r="AJ294">
        <f>IF('INHERENT MAP'!$B$5=2021,'РЕЕСТР РИСКОВ_2023'!AP334,IF('INHERENT MAP'!$B$5=2022,#REF!,IF('INHERENT MAP'!$B$5=2023,#REF!,IF('INHERENT MAP'!$B$5=2024,#REF!,#REF!))))</f>
        <v>0</v>
      </c>
      <c r="AK294">
        <f>IF('РЕЕСТР РИСКОВ_2023'!AQ334="",AK293,'РЕЕСТР РИСКОВ_2023'!AQ334)</f>
        <v>-216</v>
      </c>
      <c r="AL294">
        <f>IF('РЕЕСТР РИСКОВ_2023'!AR334="",AL293,'РЕЕСТР РИСКОВ_2023'!AR334)</f>
        <v>0.12</v>
      </c>
      <c r="AM294" t="str">
        <f>IF('РЕЕСТР РИСКОВ_2023'!AS334="",AM293,'РЕЕСТР РИСКОВ_2023'!AS334)</f>
        <v>стоп</v>
      </c>
      <c r="AN294" t="str">
        <f>IF('РЕЕСТР РИСКОВ_2023'!AT334="",AN293,'РЕЕСТР РИСКОВ_2023'!AT334)</f>
        <v>стоп</v>
      </c>
      <c r="AO294" t="e">
        <f>IF('РЕЕСТР РИСКОВ_2023'!AU334="",AO293,'РЕЕСТР РИСКОВ_2023'!AU334)</f>
        <v>#REF!</v>
      </c>
    </row>
    <row r="295" spans="2:41">
      <c r="B295" t="str">
        <f>IF('INHERENT MAP'!$B$5=2021,IF('РЕЕСТР РИСКОВ_2023'!F335="",B294,'РЕЕСТР РИСКОВ_2023'!F335),IF('INHERENT MAP'!$B$5=2022,IF(#REF!="",B294,#REF!),IF('INHERENT MAP'!$B$5=2023,IF(#REF!="",B294,#REF!),IF('INHERENT MAP'!$B$5=2024,IF(#REF!="",B294,#REF!),IF('РЕЕСТР РИСКОВ_2023'!F335="",B294,'РЕЕСТР РИСКОВ_2023'!F335)))))</f>
        <v>ПРОЦЕНТНЫЙ РИСК</v>
      </c>
      <c r="C295" t="e">
        <f>IF('INHERENT MAP'!$B$5=2021,IF('РЕЕСТР РИСКОВ_2023'!G335="",C294,'РЕЕСТР РИСКОВ_2023'!G335),IF('INHERENT MAP'!$B$5=2022,IF(#REF!="",C294,#REF!),IF('INHERENT MAP'!$B$5=2023,IF(#REF!="",C294,#REF!),IF('INHERENT MAP'!$B$5=2024,IF(#REF!="",C294,#REF!),IF('РЕЕСТР РИСКОВ_2023'!G335="",C294,'РЕЕСТР РИСКОВ_2023'!G335)))))</f>
        <v>#REF!</v>
      </c>
      <c r="D295" t="str">
        <f>IF('INHERENT MAP'!$B$5=2021,IF('РЕЕСТР РИСКОВ_2023'!H335="",D294,'РЕЕСТР РИСКОВ_2023'!H335),IF('INHERENT MAP'!$B$5=2022,IF(#REF!="",D294,#REF!),IF('INHERENT MAP'!$B$5=2023,IF(#REF!="",D294,#REF!),IF('INHERENT MAP'!$B$5=2024,IF(#REF!="",D294,#REF!),IF('РЕЕСТР РИСКОВ_2023'!H335="",D294,'РЕЕСТР РИСКОВ_2023'!H335)))))</f>
        <v>IRR-1</v>
      </c>
      <c r="E295" t="str">
        <f>IF('INHERENT MAP'!$B$5=2021,IF('РЕЕСТР РИСКОВ_2023'!I335="",E294,'РЕЕСТР РИСКОВ_2023'!I335),IF('INHERENT MAP'!$B$5=2022,IF(#REF!="",E294,#REF!),IF('INHERENT MAP'!$B$5=2023,IF(#REF!="",E294,#REF!),IF('INHERENT MAP'!$B$5=2024,IF(#REF!="",E294,#REF!),IF('РЕЕСТР РИСКОВ_2023'!I335="",E294,'РЕЕСТР РИСКОВ_2023'!I335)))))</f>
        <v>ЦЗФ</v>
      </c>
      <c r="F295" t="str">
        <f>IF('INHERENT MAP'!$B$5=2021,IF('РЕЕСТР РИСКОВ_2023'!J335="",F294,'РЕЕСТР РИСКОВ_2023'!J335),IF('INHERENT MAP'!$B$5=2022,IF(#REF!="",F294,#REF!),IF('INHERENT MAP'!$B$5=2023,IF(#REF!="",F294,#REF!),IF('INHERENT MAP'!$B$5=2024,IF(#REF!="",F294,#REF!),IF('РЕЕСТР РИСКОВ_2023'!J335="",F294,'РЕЕСТР РИСКОВ_2023'!J335)))))</f>
        <v>Цзайм</v>
      </c>
      <c r="G295" t="str">
        <f>IF('INHERENT MAP'!$B$5=2021,IF('РЕЕСТР РИСКОВ_2023'!K335="",G294,'РЕЕСТР РИСКОВ_2023'!K335),IF('INHERENT MAP'!$B$5=2022,IF(#REF!="",G294,#REF!),IF('INHERENT MAP'!$B$5=2023,IF(#REF!="",G294,#REF!),IF('INHERENT MAP'!$B$5=2024,IF(#REF!="",G294,#REF!),IF('РЕЕСТР РИСКОВ_2023'!K335="",G294,'РЕЕСТР РИСКОВ_2023'!K335)))))</f>
        <v>Увеличение расходов по процентам на новые займы, а также текущие займы (с плавающей ставкой) в тенге.</v>
      </c>
      <c r="H295">
        <f>IF('INHERENT MAP'!$B$5=2021,'РЕЕСТР РИСКОВ_2023'!L335,IF('INHERENT MAP'!$B$5=2022,#REF!,IF('INHERENT MAP'!$B$5=2023,#REF!,IF('INHERENT MAP'!$B$5=2024,#REF!,#REF!))))</f>
        <v>0</v>
      </c>
      <c r="I295">
        <f>IF('INHERENT MAP'!$B$5=2021,'РЕЕСТР РИСКОВ_2023'!M335,IF('INHERENT MAP'!$B$5=2022,#REF!,IF('INHERENT MAP'!$B$5=2023,#REF!,IF('INHERENT MAP'!$B$5=2024,#REF!,#REF!))))</f>
        <v>0</v>
      </c>
      <c r="J295">
        <f>IF('INHERENT MAP'!$B$5=2021,'РЕЕСТР РИСКОВ_2023'!N335,IF('INHERENT MAP'!$B$5=2022,#REF!,IF('INHERENT MAP'!$B$5=2023,#REF!,IF('INHERENT MAP'!$B$5=2024,#REF!,#REF!))))</f>
        <v>0</v>
      </c>
      <c r="K295">
        <f>IF('INHERENT MAP'!$B$5=2021,'РЕЕСТР РИСКОВ_2023'!O335,IF('INHERENT MAP'!$B$5=2022,#REF!,IF('INHERENT MAP'!$B$5=2023,#REF!,IF('INHERENT MAP'!$B$5=2024,#REF!,#REF!))))</f>
        <v>0</v>
      </c>
      <c r="L295">
        <f>IF('INHERENT MAP'!$B$5=2021,'РЕЕСТР РИСКОВ_2023'!P335,IF('INHERENT MAP'!$B$5=2022,#REF!,IF('INHERENT MAP'!$B$5=2023,#REF!,IF('INHERENT MAP'!$B$5=2024,#REF!,#REF!))))</f>
        <v>0</v>
      </c>
      <c r="M295" t="str">
        <f>IF('INHERENT MAP'!$B$5=2021,IF('РЕЕСТР РИСКОВ_2023'!Q335="",M294,'РЕЕСТР РИСКОВ_2023'!Q335),IF('INHERENT MAP'!$B$5=2022,IF(#REF!="",M294,#REF!),IF('INHERENT MAP'!$B$5=2023,IF(#REF!="",M294,#REF!),IF('INHERENT MAP'!$B$5=2024,IF(#REF!="",M294,#REF!),IF('РЕЕСТР РИСКОВ_2023'!Q335="",M294,'РЕЕСТР РИСКОВ_2023'!Q335)))))</f>
        <v>Увеличение базовой ставки Национального банка Республики Казахстан до 16%</v>
      </c>
      <c r="N295" t="str">
        <f>IF('INHERENT MAP'!$B$5=2021,IF('РЕЕСТР РИСКОВ_2023'!R335="",N294,'РЕЕСТР РИСКОВ_2023'!R335),IF('INHERENT MAP'!$B$5=2022,IF(#REF!="",N294,#REF!),IF('INHERENT MAP'!$B$5=2023,IF(#REF!="",N294,#REF!),IF('INHERENT MAP'!$B$5=2024,IF(#REF!="",N294,#REF!),IF('РЕЕСТР РИСКОВ_2023'!R335="",N294,'РЕЕСТР РИСКОВ_2023'!R335)))))</f>
        <v>Рецессия экономики европейских стран</v>
      </c>
      <c r="O295">
        <f>'РЕЕСТР РИСКОВ_2023'!T335</f>
        <v>0</v>
      </c>
      <c r="P295" t="e">
        <f>IF('РЕЕСТР РИСКОВ_2023'!U335="",P294,'РЕЕСТР РИСКОВ_2023'!U335)</f>
        <v>#REF!</v>
      </c>
      <c r="Q295" t="str">
        <f>IF('РЕЕСТР РИСКОВ_2023'!V335="",Q294,'РЕЕСТР РИСКОВ_2023'!V335)</f>
        <v>Угрозы</v>
      </c>
      <c r="R295" t="e">
        <f>IF('РЕЕСТР РИСКОВ_2023'!W335="",R294,'РЕЕСТР РИСКОВ_2023'!W335)</f>
        <v>#REF!</v>
      </c>
      <c r="S295">
        <f>'РЕЕСТР РИСКОВ_2023'!X335</f>
        <v>0</v>
      </c>
      <c r="T295" s="94">
        <f>IF('INHERENT MAP'!$B$5=2021,'РЕЕСТР РИСКОВ_2023'!Y335,IF('INHERENT MAP'!$B$5=2022,#REF!,IF('INHERENT MAP'!$B$5=2023,#REF!,IF('INHERENT MAP'!$B$5=2024,#REF!,#REF!))))</f>
        <v>0</v>
      </c>
      <c r="U295">
        <f>IF('INHERENT MAP'!$B$5=2021,'РЕЕСТР РИСКОВ_2023'!Z335,IF('INHERENT MAP'!$B$5=2022,#REF!,IF('INHERENT MAP'!$B$5=2023,#REF!,IF('INHERENT MAP'!$B$5=2024,#REF!,#REF!))))</f>
        <v>0</v>
      </c>
      <c r="V295">
        <f>IF('INHERENT MAP'!$B$5=2021,'РЕЕСТР РИСКОВ_2023'!AA335,IF('INHERENT MAP'!$B$5=2022,#REF!,IF('INHERENT MAP'!$B$5=2023,#REF!,IF('INHERENT MAP'!$B$5=2024,#REF!,#REF!))))</f>
        <v>0</v>
      </c>
      <c r="W295">
        <f>IF('INHERENT MAP'!$B$5=2021,'РЕЕСТР РИСКОВ_2023'!AB335,IF('INHERENT MAP'!$B$5=2022,#REF!,IF('INHERENT MAP'!$B$5=2023,#REF!,IF('INHERENT MAP'!$B$5=2024,#REF!,#REF!))))</f>
        <v>0</v>
      </c>
      <c r="X295" s="94">
        <f>IF('INHERENT MAP'!$B$5=2021,'РЕЕСТР РИСКОВ_2023'!AC335,IF('INHERENT MAP'!$B$5=2022,#REF!,IF('INHERENT MAP'!$B$5=2023,#REF!,IF('INHERENT MAP'!$B$5=2024,#REF!,#REF!))))</f>
        <v>0</v>
      </c>
      <c r="Y295">
        <f>IF('INHERENT MAP'!$B$5=2021,'РЕЕСТР РИСКОВ_2023'!AD335,IF('INHERENT MAP'!$B$5=2022,#REF!,IF('INHERENT MAP'!$B$5=2023,#REF!,IF('INHERENT MAP'!$B$5=2024,#REF!,#REF!))))</f>
        <v>0</v>
      </c>
      <c r="Z295">
        <f>IF('INHERENT MAP'!$B$5=2021,'РЕЕСТР РИСКОВ_2023'!AE335,IF('INHERENT MAP'!$B$5=2022,#REF!,IF('INHERENT MAP'!$B$5=2023,#REF!,IF('INHERENT MAP'!$B$5=2024,#REF!,#REF!))))</f>
        <v>0</v>
      </c>
      <c r="AA295">
        <f>IF('INHERENT MAP'!$B$5=2021,'РЕЕСТР РИСКОВ_2023'!AF335,IF('INHERENT MAP'!$B$5=2022,#REF!,IF('INHERENT MAP'!$B$5=2023,#REF!,IF('INHERENT MAP'!$B$5=2024,#REF!,#REF!))))</f>
        <v>0</v>
      </c>
      <c r="AB295">
        <f>IF('INHERENT MAP'!$B$5=2021,'РЕЕСТР РИСКОВ_2023'!AG335,IF('INHERENT MAP'!$B$5=2022,#REF!,IF('INHERENT MAP'!$B$5=2023,#REF!,IF('INHERENT MAP'!$B$5=2024,#REF!,#REF!))))</f>
        <v>0</v>
      </c>
      <c r="AC295">
        <f>IF('INHERENT MAP'!$B$5=2021,'РЕЕСТР РИСКОВ_2023'!AH335,IF('INHERENT MAP'!$B$5=2022,#REF!,IF('INHERENT MAP'!$B$5=2023,#REF!,IF('INHERENT MAP'!$B$5=2024,#REF!,#REF!))))</f>
        <v>0</v>
      </c>
      <c r="AD295">
        <f>IF('INHERENT MAP'!$B$5=2021,'РЕЕСТР РИСКОВ_2023'!AI335,IF('INHERENT MAP'!$B$5=2022,#REF!,IF('INHERENT MAP'!$B$5=2023,#REF!,IF('INHERENT MAP'!$B$5=2024,#REF!,#REF!))))</f>
        <v>0</v>
      </c>
      <c r="AE295">
        <f>IF('INHERENT MAP'!$B$5=2021,'РЕЕСТР РИСКОВ_2023'!AK335,IF('INHERENT MAP'!$B$5=2022,#REF!,IF('INHERENT MAP'!$B$5=2023,#REF!,IF('INHERENT MAP'!$B$5=2024,#REF!,#REF!))))</f>
        <v>0</v>
      </c>
      <c r="AF295">
        <f>IF('INHERENT MAP'!$B$5=2021,'РЕЕСТР РИСКОВ_2023'!AL335,IF('INHERENT MAP'!$B$5=2022,#REF!,IF('INHERENT MAP'!$B$5=2023,#REF!,IF('INHERENT MAP'!$B$5=2024,#REF!,#REF!))))</f>
        <v>0</v>
      </c>
      <c r="AG295">
        <f>IF('INHERENT MAP'!$B$5=2021,'РЕЕСТР РИСКОВ_2023'!AM335,IF('INHERENT MAP'!$B$5=2022,#REF!,IF('INHERENT MAP'!$B$5=2023,#REF!,IF('INHERENT MAP'!$B$5=2024,#REF!,#REF!))))</f>
        <v>0</v>
      </c>
      <c r="AH295">
        <f>IF('INHERENT MAP'!$B$5=2021,'РЕЕСТР РИСКОВ_2023'!AN335,IF('INHERENT MAP'!$B$5=2022,#REF!,IF('INHERENT MAP'!$B$5=2023,#REF!,IF('INHERENT MAP'!$B$5=2024,#REF!,#REF!))))</f>
        <v>0</v>
      </c>
      <c r="AI295">
        <f>IF('INHERENT MAP'!$B$5=2021,'РЕЕСТР РИСКОВ_2023'!AO335,IF('INHERENT MAP'!$B$5=2022,#REF!,IF('INHERENT MAP'!$B$5=2023,#REF!,IF('INHERENT MAP'!$B$5=2024,#REF!,#REF!))))</f>
        <v>0</v>
      </c>
      <c r="AJ295">
        <f>IF('INHERENT MAP'!$B$5=2021,'РЕЕСТР РИСКОВ_2023'!AP335,IF('INHERENT MAP'!$B$5=2022,#REF!,IF('INHERENT MAP'!$B$5=2023,#REF!,IF('INHERENT MAP'!$B$5=2024,#REF!,#REF!))))</f>
        <v>0</v>
      </c>
      <c r="AK295">
        <f>IF('РЕЕСТР РИСКОВ_2023'!AQ335="",AK294,'РЕЕСТР РИСКОВ_2023'!AQ335)</f>
        <v>-216</v>
      </c>
      <c r="AL295">
        <f>IF('РЕЕСТР РИСКОВ_2023'!AR335="",AL294,'РЕЕСТР РИСКОВ_2023'!AR335)</f>
        <v>0.12</v>
      </c>
      <c r="AM295" t="str">
        <f>IF('РЕЕСТР РИСКОВ_2023'!AS335="",AM294,'РЕЕСТР РИСКОВ_2023'!AS335)</f>
        <v>стоп</v>
      </c>
      <c r="AN295" t="str">
        <f>IF('РЕЕСТР РИСКОВ_2023'!AT335="",AN294,'РЕЕСТР РИСКОВ_2023'!AT335)</f>
        <v>стоп</v>
      </c>
      <c r="AO295" t="e">
        <f>IF('РЕЕСТР РИСКОВ_2023'!AU335="",AO294,'РЕЕСТР РИСКОВ_2023'!AU335)</f>
        <v>#REF!</v>
      </c>
    </row>
    <row r="296" spans="2:41">
      <c r="B296" t="str">
        <f>IF('INHERENT MAP'!$B$5=2021,IF('РЕЕСТР РИСКОВ_2023'!F336="",B295,'РЕЕСТР РИСКОВ_2023'!F336),IF('INHERENT MAP'!$B$5=2022,IF(#REF!="",B295,#REF!),IF('INHERENT MAP'!$B$5=2023,IF(#REF!="",B295,#REF!),IF('INHERENT MAP'!$B$5=2024,IF(#REF!="",B295,#REF!),IF('РЕЕСТР РИСКОВ_2023'!F336="",B295,'РЕЕСТР РИСКОВ_2023'!F336)))))</f>
        <v>ПРОЦЕНТНЫЙ РИСК</v>
      </c>
      <c r="C296" t="e">
        <f>IF('INHERENT MAP'!$B$5=2021,IF('РЕЕСТР РИСКОВ_2023'!G336="",C295,'РЕЕСТР РИСКОВ_2023'!G336),IF('INHERENT MAP'!$B$5=2022,IF(#REF!="",C295,#REF!),IF('INHERENT MAP'!$B$5=2023,IF(#REF!="",C295,#REF!),IF('INHERENT MAP'!$B$5=2024,IF(#REF!="",C295,#REF!),IF('РЕЕСТР РИСКОВ_2023'!G336="",C295,'РЕЕСТР РИСКОВ_2023'!G336)))))</f>
        <v>#REF!</v>
      </c>
      <c r="D296" t="str">
        <f>IF('INHERENT MAP'!$B$5=2021,IF('РЕЕСТР РИСКОВ_2023'!H336="",D295,'РЕЕСТР РИСКОВ_2023'!H336),IF('INHERENT MAP'!$B$5=2022,IF(#REF!="",D295,#REF!),IF('INHERENT MAP'!$B$5=2023,IF(#REF!="",D295,#REF!),IF('INHERENT MAP'!$B$5=2024,IF(#REF!="",D295,#REF!),IF('РЕЕСТР РИСКОВ_2023'!H336="",D295,'РЕЕСТР РИСКОВ_2023'!H336)))))</f>
        <v>IRR-1</v>
      </c>
      <c r="E296" t="str">
        <f>IF('INHERENT MAP'!$B$5=2021,IF('РЕЕСТР РИСКОВ_2023'!I336="",E295,'РЕЕСТР РИСКОВ_2023'!I336),IF('INHERENT MAP'!$B$5=2022,IF(#REF!="",E295,#REF!),IF('INHERENT MAP'!$B$5=2023,IF(#REF!="",E295,#REF!),IF('INHERENT MAP'!$B$5=2024,IF(#REF!="",E295,#REF!),IF('РЕЕСТР РИСКОВ_2023'!I336="",E295,'РЕЕСТР РИСКОВ_2023'!I336)))))</f>
        <v>ЦЗФ</v>
      </c>
      <c r="F296" t="str">
        <f>IF('INHERENT MAP'!$B$5=2021,IF('РЕЕСТР РИСКОВ_2023'!J336="",F295,'РЕЕСТР РИСКОВ_2023'!J336),IF('INHERENT MAP'!$B$5=2022,IF(#REF!="",F295,#REF!),IF('INHERENT MAP'!$B$5=2023,IF(#REF!="",F295,#REF!),IF('INHERENT MAP'!$B$5=2024,IF(#REF!="",F295,#REF!),IF('РЕЕСТР РИСКОВ_2023'!J336="",F295,'РЕЕСТР РИСКОВ_2023'!J336)))))</f>
        <v>Цзайм</v>
      </c>
      <c r="G296" t="str">
        <f>IF('INHERENT MAP'!$B$5=2021,IF('РЕЕСТР РИСКОВ_2023'!K336="",G295,'РЕЕСТР РИСКОВ_2023'!K336),IF('INHERENT MAP'!$B$5=2022,IF(#REF!="",G295,#REF!),IF('INHERENT MAP'!$B$5=2023,IF(#REF!="",G295,#REF!),IF('INHERENT MAP'!$B$5=2024,IF(#REF!="",G295,#REF!),IF('РЕЕСТР РИСКОВ_2023'!K336="",G295,'РЕЕСТР РИСКОВ_2023'!K336)))))</f>
        <v>Увеличение расходов по процентам на новые займы, а также текущие займы (с плавающей ставкой) в тенге.</v>
      </c>
      <c r="H296">
        <f>IF('INHERENT MAP'!$B$5=2021,'РЕЕСТР РИСКОВ_2023'!L336,IF('INHERENT MAP'!$B$5=2022,#REF!,IF('INHERENT MAP'!$B$5=2023,#REF!,IF('INHERENT MAP'!$B$5=2024,#REF!,#REF!))))</f>
        <v>0</v>
      </c>
      <c r="I296">
        <f>IF('INHERENT MAP'!$B$5=2021,'РЕЕСТР РИСКОВ_2023'!M336,IF('INHERENT MAP'!$B$5=2022,#REF!,IF('INHERENT MAP'!$B$5=2023,#REF!,IF('INHERENT MAP'!$B$5=2024,#REF!,#REF!))))</f>
        <v>0</v>
      </c>
      <c r="J296">
        <f>IF('INHERENT MAP'!$B$5=2021,'РЕЕСТР РИСКОВ_2023'!N336,IF('INHERENT MAP'!$B$5=2022,#REF!,IF('INHERENT MAP'!$B$5=2023,#REF!,IF('INHERENT MAP'!$B$5=2024,#REF!,#REF!))))</f>
        <v>0</v>
      </c>
      <c r="K296">
        <f>IF('INHERENT MAP'!$B$5=2021,'РЕЕСТР РИСКОВ_2023'!O336,IF('INHERENT MAP'!$B$5=2022,#REF!,IF('INHERENT MAP'!$B$5=2023,#REF!,IF('INHERENT MAP'!$B$5=2024,#REF!,#REF!))))</f>
        <v>0</v>
      </c>
      <c r="L296">
        <f>IF('INHERENT MAP'!$B$5=2021,'РЕЕСТР РИСКОВ_2023'!P336,IF('INHERENT MAP'!$B$5=2022,#REF!,IF('INHERENT MAP'!$B$5=2023,#REF!,IF('INHERENT MAP'!$B$5=2024,#REF!,#REF!))))</f>
        <v>0</v>
      </c>
      <c r="M296" t="str">
        <f>IF('INHERENT MAP'!$B$5=2021,IF('РЕЕСТР РИСКОВ_2023'!Q336="",M295,'РЕЕСТР РИСКОВ_2023'!Q336),IF('INHERENT MAP'!$B$5=2022,IF(#REF!="",M295,#REF!),IF('INHERENT MAP'!$B$5=2023,IF(#REF!="",M295,#REF!),IF('INHERENT MAP'!$B$5=2024,IF(#REF!="",M295,#REF!),IF('РЕЕСТР РИСКОВ_2023'!Q336="",M295,'РЕЕСТР РИСКОВ_2023'!Q336)))))</f>
        <v>Увеличение базовой ставки Национального банка Республики Казахстан до 16%</v>
      </c>
      <c r="N296" t="str">
        <f>IF('INHERENT MAP'!$B$5=2021,IF('РЕЕСТР РИСКОВ_2023'!R336="",N295,'РЕЕСТР РИСКОВ_2023'!R336),IF('INHERENT MAP'!$B$5=2022,IF(#REF!="",N295,#REF!),IF('INHERENT MAP'!$B$5=2023,IF(#REF!="",N295,#REF!),IF('INHERENT MAP'!$B$5=2024,IF(#REF!="",N295,#REF!),IF('РЕЕСТР РИСКОВ_2023'!R336="",N295,'РЕЕСТР РИСКОВ_2023'!R336)))))</f>
        <v>Рецессия экономики европейских стран</v>
      </c>
      <c r="O296">
        <f>'РЕЕСТР РИСКОВ_2023'!T336</f>
        <v>0</v>
      </c>
      <c r="P296" t="e">
        <f>IF('РЕЕСТР РИСКОВ_2023'!U336="",P295,'РЕЕСТР РИСКОВ_2023'!U336)</f>
        <v>#REF!</v>
      </c>
      <c r="Q296" t="str">
        <f>IF('РЕЕСТР РИСКОВ_2023'!V336="",Q295,'РЕЕСТР РИСКОВ_2023'!V336)</f>
        <v>Угрозы</v>
      </c>
      <c r="R296" t="e">
        <f>IF('РЕЕСТР РИСКОВ_2023'!W336="",R295,'РЕЕСТР РИСКОВ_2023'!W336)</f>
        <v>#REF!</v>
      </c>
      <c r="S296">
        <f>'РЕЕСТР РИСКОВ_2023'!X336</f>
        <v>0</v>
      </c>
      <c r="T296" s="94">
        <f>IF('INHERENT MAP'!$B$5=2021,'РЕЕСТР РИСКОВ_2023'!Y336,IF('INHERENT MAP'!$B$5=2022,#REF!,IF('INHERENT MAP'!$B$5=2023,#REF!,IF('INHERENT MAP'!$B$5=2024,#REF!,#REF!))))</f>
        <v>0</v>
      </c>
      <c r="U296">
        <f>IF('INHERENT MAP'!$B$5=2021,'РЕЕСТР РИСКОВ_2023'!Z336,IF('INHERENT MAP'!$B$5=2022,#REF!,IF('INHERENT MAP'!$B$5=2023,#REF!,IF('INHERENT MAP'!$B$5=2024,#REF!,#REF!))))</f>
        <v>0</v>
      </c>
      <c r="V296">
        <f>IF('INHERENT MAP'!$B$5=2021,'РЕЕСТР РИСКОВ_2023'!AA336,IF('INHERENT MAP'!$B$5=2022,#REF!,IF('INHERENT MAP'!$B$5=2023,#REF!,IF('INHERENT MAP'!$B$5=2024,#REF!,#REF!))))</f>
        <v>0</v>
      </c>
      <c r="W296">
        <f>IF('INHERENT MAP'!$B$5=2021,'РЕЕСТР РИСКОВ_2023'!AB336,IF('INHERENT MAP'!$B$5=2022,#REF!,IF('INHERENT MAP'!$B$5=2023,#REF!,IF('INHERENT MAP'!$B$5=2024,#REF!,#REF!))))</f>
        <v>0</v>
      </c>
      <c r="X296" s="94">
        <f>IF('INHERENT MAP'!$B$5=2021,'РЕЕСТР РИСКОВ_2023'!AC336,IF('INHERENT MAP'!$B$5=2022,#REF!,IF('INHERENT MAP'!$B$5=2023,#REF!,IF('INHERENT MAP'!$B$5=2024,#REF!,#REF!))))</f>
        <v>0</v>
      </c>
      <c r="Y296">
        <f>IF('INHERENT MAP'!$B$5=2021,'РЕЕСТР РИСКОВ_2023'!AD336,IF('INHERENT MAP'!$B$5=2022,#REF!,IF('INHERENT MAP'!$B$5=2023,#REF!,IF('INHERENT MAP'!$B$5=2024,#REF!,#REF!))))</f>
        <v>0</v>
      </c>
      <c r="Z296">
        <f>IF('INHERENT MAP'!$B$5=2021,'РЕЕСТР РИСКОВ_2023'!AE336,IF('INHERENT MAP'!$B$5=2022,#REF!,IF('INHERENT MAP'!$B$5=2023,#REF!,IF('INHERENT MAP'!$B$5=2024,#REF!,#REF!))))</f>
        <v>0</v>
      </c>
      <c r="AA296">
        <f>IF('INHERENT MAP'!$B$5=2021,'РЕЕСТР РИСКОВ_2023'!AF336,IF('INHERENT MAP'!$B$5=2022,#REF!,IF('INHERENT MAP'!$B$5=2023,#REF!,IF('INHERENT MAP'!$B$5=2024,#REF!,#REF!))))</f>
        <v>0</v>
      </c>
      <c r="AB296">
        <f>IF('INHERENT MAP'!$B$5=2021,'РЕЕСТР РИСКОВ_2023'!AG336,IF('INHERENT MAP'!$B$5=2022,#REF!,IF('INHERENT MAP'!$B$5=2023,#REF!,IF('INHERENT MAP'!$B$5=2024,#REF!,#REF!))))</f>
        <v>0</v>
      </c>
      <c r="AC296">
        <f>IF('INHERENT MAP'!$B$5=2021,'РЕЕСТР РИСКОВ_2023'!AH336,IF('INHERENT MAP'!$B$5=2022,#REF!,IF('INHERENT MAP'!$B$5=2023,#REF!,IF('INHERENT MAP'!$B$5=2024,#REF!,#REF!))))</f>
        <v>0</v>
      </c>
      <c r="AD296">
        <f>IF('INHERENT MAP'!$B$5=2021,'РЕЕСТР РИСКОВ_2023'!AI336,IF('INHERENT MAP'!$B$5=2022,#REF!,IF('INHERENT MAP'!$B$5=2023,#REF!,IF('INHERENT MAP'!$B$5=2024,#REF!,#REF!))))</f>
        <v>0</v>
      </c>
      <c r="AE296">
        <f>IF('INHERENT MAP'!$B$5=2021,'РЕЕСТР РИСКОВ_2023'!AK336,IF('INHERENT MAP'!$B$5=2022,#REF!,IF('INHERENT MAP'!$B$5=2023,#REF!,IF('INHERENT MAP'!$B$5=2024,#REF!,#REF!))))</f>
        <v>0</v>
      </c>
      <c r="AF296">
        <f>IF('INHERENT MAP'!$B$5=2021,'РЕЕСТР РИСКОВ_2023'!AL336,IF('INHERENT MAP'!$B$5=2022,#REF!,IF('INHERENT MAP'!$B$5=2023,#REF!,IF('INHERENT MAP'!$B$5=2024,#REF!,#REF!))))</f>
        <v>0</v>
      </c>
      <c r="AG296">
        <f>IF('INHERENT MAP'!$B$5=2021,'РЕЕСТР РИСКОВ_2023'!AM336,IF('INHERENT MAP'!$B$5=2022,#REF!,IF('INHERENT MAP'!$B$5=2023,#REF!,IF('INHERENT MAP'!$B$5=2024,#REF!,#REF!))))</f>
        <v>0</v>
      </c>
      <c r="AH296">
        <f>IF('INHERENT MAP'!$B$5=2021,'РЕЕСТР РИСКОВ_2023'!AN336,IF('INHERENT MAP'!$B$5=2022,#REF!,IF('INHERENT MAP'!$B$5=2023,#REF!,IF('INHERENT MAP'!$B$5=2024,#REF!,#REF!))))</f>
        <v>0</v>
      </c>
      <c r="AI296">
        <f>IF('INHERENT MAP'!$B$5=2021,'РЕЕСТР РИСКОВ_2023'!AO336,IF('INHERENT MAP'!$B$5=2022,#REF!,IF('INHERENT MAP'!$B$5=2023,#REF!,IF('INHERENT MAP'!$B$5=2024,#REF!,#REF!))))</f>
        <v>0</v>
      </c>
      <c r="AJ296">
        <f>IF('INHERENT MAP'!$B$5=2021,'РЕЕСТР РИСКОВ_2023'!AP336,IF('INHERENT MAP'!$B$5=2022,#REF!,IF('INHERENT MAP'!$B$5=2023,#REF!,IF('INHERENT MAP'!$B$5=2024,#REF!,#REF!))))</f>
        <v>0</v>
      </c>
      <c r="AK296">
        <f>IF('РЕЕСТР РИСКОВ_2023'!AQ336="",AK295,'РЕЕСТР РИСКОВ_2023'!AQ336)</f>
        <v>-216</v>
      </c>
      <c r="AL296">
        <f>IF('РЕЕСТР РИСКОВ_2023'!AR336="",AL295,'РЕЕСТР РИСКОВ_2023'!AR336)</f>
        <v>0.12</v>
      </c>
      <c r="AM296" t="str">
        <f>IF('РЕЕСТР РИСКОВ_2023'!AS336="",AM295,'РЕЕСТР РИСКОВ_2023'!AS336)</f>
        <v>стоп</v>
      </c>
      <c r="AN296" t="str">
        <f>IF('РЕЕСТР РИСКОВ_2023'!AT336="",AN295,'РЕЕСТР РИСКОВ_2023'!AT336)</f>
        <v>стоп</v>
      </c>
      <c r="AO296" t="e">
        <f>IF('РЕЕСТР РИСКОВ_2023'!AU336="",AO295,'РЕЕСТР РИСКОВ_2023'!AU336)</f>
        <v>#REF!</v>
      </c>
    </row>
    <row r="297" spans="2:41">
      <c r="B297" t="str">
        <f>IF('INHERENT MAP'!$B$5=2021,IF('РЕЕСТР РИСКОВ_2023'!F337="",B296,'РЕЕСТР РИСКОВ_2023'!F337),IF('INHERENT MAP'!$B$5=2022,IF(#REF!="",B296,#REF!),IF('INHERENT MAP'!$B$5=2023,IF(#REF!="",B296,#REF!),IF('INHERENT MAP'!$B$5=2024,IF(#REF!="",B296,#REF!),IF('РЕЕСТР РИСКОВ_2023'!F337="",B296,'РЕЕСТР РИСКОВ_2023'!F337)))))</f>
        <v>ПРОЦЕНТНЫЙ РИСК</v>
      </c>
      <c r="C297" t="e">
        <f>IF('INHERENT MAP'!$B$5=2021,IF('РЕЕСТР РИСКОВ_2023'!G337="",C296,'РЕЕСТР РИСКОВ_2023'!G337),IF('INHERENT MAP'!$B$5=2022,IF(#REF!="",C296,#REF!),IF('INHERENT MAP'!$B$5=2023,IF(#REF!="",C296,#REF!),IF('INHERENT MAP'!$B$5=2024,IF(#REF!="",C296,#REF!),IF('РЕЕСТР РИСКОВ_2023'!G337="",C296,'РЕЕСТР РИСКОВ_2023'!G337)))))</f>
        <v>#REF!</v>
      </c>
      <c r="D297" t="str">
        <f>IF('INHERENT MAP'!$B$5=2021,IF('РЕЕСТР РИСКОВ_2023'!H337="",D296,'РЕЕСТР РИСКОВ_2023'!H337),IF('INHERENT MAP'!$B$5=2022,IF(#REF!="",D296,#REF!),IF('INHERENT MAP'!$B$5=2023,IF(#REF!="",D296,#REF!),IF('INHERENT MAP'!$B$5=2024,IF(#REF!="",D296,#REF!),IF('РЕЕСТР РИСКОВ_2023'!H337="",D296,'РЕЕСТР РИСКОВ_2023'!H337)))))</f>
        <v>IRR-1</v>
      </c>
      <c r="E297" t="str">
        <f>IF('INHERENT MAP'!$B$5=2021,IF('РЕЕСТР РИСКОВ_2023'!I337="",E296,'РЕЕСТР РИСКОВ_2023'!I337),IF('INHERENT MAP'!$B$5=2022,IF(#REF!="",E296,#REF!),IF('INHERENT MAP'!$B$5=2023,IF(#REF!="",E296,#REF!),IF('INHERENT MAP'!$B$5=2024,IF(#REF!="",E296,#REF!),IF('РЕЕСТР РИСКОВ_2023'!I337="",E296,'РЕЕСТР РИСКОВ_2023'!I337)))))</f>
        <v>ЦЗФ</v>
      </c>
      <c r="F297" t="str">
        <f>IF('INHERENT MAP'!$B$5=2021,IF('РЕЕСТР РИСКОВ_2023'!J337="",F296,'РЕЕСТР РИСКОВ_2023'!J337),IF('INHERENT MAP'!$B$5=2022,IF(#REF!="",F296,#REF!),IF('INHERENT MAP'!$B$5=2023,IF(#REF!="",F296,#REF!),IF('INHERENT MAP'!$B$5=2024,IF(#REF!="",F296,#REF!),IF('РЕЕСТР РИСКОВ_2023'!J337="",F296,'РЕЕСТР РИСКОВ_2023'!J337)))))</f>
        <v>Цзайм</v>
      </c>
      <c r="G297" t="str">
        <f>IF('INHERENT MAP'!$B$5=2021,IF('РЕЕСТР РИСКОВ_2023'!K337="",G296,'РЕЕСТР РИСКОВ_2023'!K337),IF('INHERENT MAP'!$B$5=2022,IF(#REF!="",G296,#REF!),IF('INHERENT MAP'!$B$5=2023,IF(#REF!="",G296,#REF!),IF('INHERENT MAP'!$B$5=2024,IF(#REF!="",G296,#REF!),IF('РЕЕСТР РИСКОВ_2023'!K337="",G296,'РЕЕСТР РИСКОВ_2023'!K337)))))</f>
        <v>Увеличение расходов по процентам на новые займы, а также текущие займы (с плавающей ставкой) в тенге.</v>
      </c>
      <c r="H297">
        <f>IF('INHERENT MAP'!$B$5=2021,'РЕЕСТР РИСКОВ_2023'!L337,IF('INHERENT MAP'!$B$5=2022,#REF!,IF('INHERENT MAP'!$B$5=2023,#REF!,IF('INHERENT MAP'!$B$5=2024,#REF!,#REF!))))</f>
        <v>0</v>
      </c>
      <c r="I297">
        <f>IF('INHERENT MAP'!$B$5=2021,'РЕЕСТР РИСКОВ_2023'!M337,IF('INHERENT MAP'!$B$5=2022,#REF!,IF('INHERENT MAP'!$B$5=2023,#REF!,IF('INHERENT MAP'!$B$5=2024,#REF!,#REF!))))</f>
        <v>0</v>
      </c>
      <c r="J297">
        <f>IF('INHERENT MAP'!$B$5=2021,'РЕЕСТР РИСКОВ_2023'!N337,IF('INHERENT MAP'!$B$5=2022,#REF!,IF('INHERENT MAP'!$B$5=2023,#REF!,IF('INHERENT MAP'!$B$5=2024,#REF!,#REF!))))</f>
        <v>0</v>
      </c>
      <c r="K297">
        <f>IF('INHERENT MAP'!$B$5=2021,'РЕЕСТР РИСКОВ_2023'!O337,IF('INHERENT MAP'!$B$5=2022,#REF!,IF('INHERENT MAP'!$B$5=2023,#REF!,IF('INHERENT MAP'!$B$5=2024,#REF!,#REF!))))</f>
        <v>0</v>
      </c>
      <c r="L297">
        <f>IF('INHERENT MAP'!$B$5=2021,'РЕЕСТР РИСКОВ_2023'!P337,IF('INHERENT MAP'!$B$5=2022,#REF!,IF('INHERENT MAP'!$B$5=2023,#REF!,IF('INHERENT MAP'!$B$5=2024,#REF!,#REF!))))</f>
        <v>0</v>
      </c>
      <c r="M297" t="str">
        <f>IF('INHERENT MAP'!$B$5=2021,IF('РЕЕСТР РИСКОВ_2023'!Q337="",M296,'РЕЕСТР РИСКОВ_2023'!Q337),IF('INHERENT MAP'!$B$5=2022,IF(#REF!="",M296,#REF!),IF('INHERENT MAP'!$B$5=2023,IF(#REF!="",M296,#REF!),IF('INHERENT MAP'!$B$5=2024,IF(#REF!="",M296,#REF!),IF('РЕЕСТР РИСКОВ_2023'!Q337="",M296,'РЕЕСТР РИСКОВ_2023'!Q337)))))</f>
        <v>Увеличение базовой ставки Национального банка Республики Казахстан до 16%</v>
      </c>
      <c r="N297" t="str">
        <f>IF('INHERENT MAP'!$B$5=2021,IF('РЕЕСТР РИСКОВ_2023'!R337="",N296,'РЕЕСТР РИСКОВ_2023'!R337),IF('INHERENT MAP'!$B$5=2022,IF(#REF!="",N296,#REF!),IF('INHERENT MAP'!$B$5=2023,IF(#REF!="",N296,#REF!),IF('INHERENT MAP'!$B$5=2024,IF(#REF!="",N296,#REF!),IF('РЕЕСТР РИСКОВ_2023'!R337="",N296,'РЕЕСТР РИСКОВ_2023'!R337)))))</f>
        <v>Рецессия экономики европейских стран</v>
      </c>
      <c r="O297">
        <f>'РЕЕСТР РИСКОВ_2023'!T337</f>
        <v>0</v>
      </c>
      <c r="P297" t="e">
        <f>IF('РЕЕСТР РИСКОВ_2023'!U337="",P296,'РЕЕСТР РИСКОВ_2023'!U337)</f>
        <v>#REF!</v>
      </c>
      <c r="Q297" t="str">
        <f>IF('РЕЕСТР РИСКОВ_2023'!V337="",Q296,'РЕЕСТР РИСКОВ_2023'!V337)</f>
        <v>Угрозы</v>
      </c>
      <c r="R297" t="e">
        <f>IF('РЕЕСТР РИСКОВ_2023'!W337="",R296,'РЕЕСТР РИСКОВ_2023'!W337)</f>
        <v>#REF!</v>
      </c>
      <c r="S297">
        <f>'РЕЕСТР РИСКОВ_2023'!X337</f>
        <v>0</v>
      </c>
      <c r="T297" s="94">
        <f>IF('INHERENT MAP'!$B$5=2021,'РЕЕСТР РИСКОВ_2023'!Y337,IF('INHERENT MAP'!$B$5=2022,#REF!,IF('INHERENT MAP'!$B$5=2023,#REF!,IF('INHERENT MAP'!$B$5=2024,#REF!,#REF!))))</f>
        <v>0</v>
      </c>
      <c r="U297">
        <f>IF('INHERENT MAP'!$B$5=2021,'РЕЕСТР РИСКОВ_2023'!Z337,IF('INHERENT MAP'!$B$5=2022,#REF!,IF('INHERENT MAP'!$B$5=2023,#REF!,IF('INHERENT MAP'!$B$5=2024,#REF!,#REF!))))</f>
        <v>0</v>
      </c>
      <c r="V297">
        <f>IF('INHERENT MAP'!$B$5=2021,'РЕЕСТР РИСКОВ_2023'!AA337,IF('INHERENT MAP'!$B$5=2022,#REF!,IF('INHERENT MAP'!$B$5=2023,#REF!,IF('INHERENT MAP'!$B$5=2024,#REF!,#REF!))))</f>
        <v>0</v>
      </c>
      <c r="W297">
        <f>IF('INHERENT MAP'!$B$5=2021,'РЕЕСТР РИСКОВ_2023'!AB337,IF('INHERENT MAP'!$B$5=2022,#REF!,IF('INHERENT MAP'!$B$5=2023,#REF!,IF('INHERENT MAP'!$B$5=2024,#REF!,#REF!))))</f>
        <v>0</v>
      </c>
      <c r="X297" s="94">
        <f>IF('INHERENT MAP'!$B$5=2021,'РЕЕСТР РИСКОВ_2023'!AC337,IF('INHERENT MAP'!$B$5=2022,#REF!,IF('INHERENT MAP'!$B$5=2023,#REF!,IF('INHERENT MAP'!$B$5=2024,#REF!,#REF!))))</f>
        <v>0</v>
      </c>
      <c r="Y297">
        <f>IF('INHERENT MAP'!$B$5=2021,'РЕЕСТР РИСКОВ_2023'!AD337,IF('INHERENT MAP'!$B$5=2022,#REF!,IF('INHERENT MAP'!$B$5=2023,#REF!,IF('INHERENT MAP'!$B$5=2024,#REF!,#REF!))))</f>
        <v>0</v>
      </c>
      <c r="Z297">
        <f>IF('INHERENT MAP'!$B$5=2021,'РЕЕСТР РИСКОВ_2023'!AE337,IF('INHERENT MAP'!$B$5=2022,#REF!,IF('INHERENT MAP'!$B$5=2023,#REF!,IF('INHERENT MAP'!$B$5=2024,#REF!,#REF!))))</f>
        <v>0</v>
      </c>
      <c r="AA297">
        <f>IF('INHERENT MAP'!$B$5=2021,'РЕЕСТР РИСКОВ_2023'!AF337,IF('INHERENT MAP'!$B$5=2022,#REF!,IF('INHERENT MAP'!$B$5=2023,#REF!,IF('INHERENT MAP'!$B$5=2024,#REF!,#REF!))))</f>
        <v>0</v>
      </c>
      <c r="AB297">
        <f>IF('INHERENT MAP'!$B$5=2021,'РЕЕСТР РИСКОВ_2023'!AG337,IF('INHERENT MAP'!$B$5=2022,#REF!,IF('INHERENT MAP'!$B$5=2023,#REF!,IF('INHERENT MAP'!$B$5=2024,#REF!,#REF!))))</f>
        <v>0</v>
      </c>
      <c r="AC297">
        <f>IF('INHERENT MAP'!$B$5=2021,'РЕЕСТР РИСКОВ_2023'!AH337,IF('INHERENT MAP'!$B$5=2022,#REF!,IF('INHERENT MAP'!$B$5=2023,#REF!,IF('INHERENT MAP'!$B$5=2024,#REF!,#REF!))))</f>
        <v>0</v>
      </c>
      <c r="AD297">
        <f>IF('INHERENT MAP'!$B$5=2021,'РЕЕСТР РИСКОВ_2023'!AI337,IF('INHERENT MAP'!$B$5=2022,#REF!,IF('INHERENT MAP'!$B$5=2023,#REF!,IF('INHERENT MAP'!$B$5=2024,#REF!,#REF!))))</f>
        <v>0</v>
      </c>
      <c r="AE297">
        <f>IF('INHERENT MAP'!$B$5=2021,'РЕЕСТР РИСКОВ_2023'!AK337,IF('INHERENT MAP'!$B$5=2022,#REF!,IF('INHERENT MAP'!$B$5=2023,#REF!,IF('INHERENT MAP'!$B$5=2024,#REF!,#REF!))))</f>
        <v>0</v>
      </c>
      <c r="AF297">
        <f>IF('INHERENT MAP'!$B$5=2021,'РЕЕСТР РИСКОВ_2023'!AL337,IF('INHERENT MAP'!$B$5=2022,#REF!,IF('INHERENT MAP'!$B$5=2023,#REF!,IF('INHERENT MAP'!$B$5=2024,#REF!,#REF!))))</f>
        <v>0</v>
      </c>
      <c r="AG297">
        <f>IF('INHERENT MAP'!$B$5=2021,'РЕЕСТР РИСКОВ_2023'!AM337,IF('INHERENT MAP'!$B$5=2022,#REF!,IF('INHERENT MAP'!$B$5=2023,#REF!,IF('INHERENT MAP'!$B$5=2024,#REF!,#REF!))))</f>
        <v>0</v>
      </c>
      <c r="AH297">
        <f>IF('INHERENT MAP'!$B$5=2021,'РЕЕСТР РИСКОВ_2023'!AN337,IF('INHERENT MAP'!$B$5=2022,#REF!,IF('INHERENT MAP'!$B$5=2023,#REF!,IF('INHERENT MAP'!$B$5=2024,#REF!,#REF!))))</f>
        <v>0</v>
      </c>
      <c r="AI297">
        <f>IF('INHERENT MAP'!$B$5=2021,'РЕЕСТР РИСКОВ_2023'!AO337,IF('INHERENT MAP'!$B$5=2022,#REF!,IF('INHERENT MAP'!$B$5=2023,#REF!,IF('INHERENT MAP'!$B$5=2024,#REF!,#REF!))))</f>
        <v>0</v>
      </c>
      <c r="AJ297">
        <f>IF('INHERENT MAP'!$B$5=2021,'РЕЕСТР РИСКОВ_2023'!AP337,IF('INHERENT MAP'!$B$5=2022,#REF!,IF('INHERENT MAP'!$B$5=2023,#REF!,IF('INHERENT MAP'!$B$5=2024,#REF!,#REF!))))</f>
        <v>0</v>
      </c>
      <c r="AK297">
        <f>IF('РЕЕСТР РИСКОВ_2023'!AQ337="",AK296,'РЕЕСТР РИСКОВ_2023'!AQ337)</f>
        <v>-216</v>
      </c>
      <c r="AL297">
        <f>IF('РЕЕСТР РИСКОВ_2023'!AR337="",AL296,'РЕЕСТР РИСКОВ_2023'!AR337)</f>
        <v>0.12</v>
      </c>
      <c r="AM297" t="str">
        <f>IF('РЕЕСТР РИСКОВ_2023'!AS337="",AM296,'РЕЕСТР РИСКОВ_2023'!AS337)</f>
        <v>стоп</v>
      </c>
      <c r="AN297" t="str">
        <f>IF('РЕЕСТР РИСКОВ_2023'!AT337="",AN296,'РЕЕСТР РИСКОВ_2023'!AT337)</f>
        <v>стоп</v>
      </c>
      <c r="AO297" t="e">
        <f>IF('РЕЕСТР РИСКОВ_2023'!AU337="",AO296,'РЕЕСТР РИСКОВ_2023'!AU337)</f>
        <v>#REF!</v>
      </c>
    </row>
    <row r="298" spans="2:41">
      <c r="B298" t="str">
        <f>IF('INHERENT MAP'!$B$5=2021,IF('РЕЕСТР РИСКОВ_2023'!F338="",B297,'РЕЕСТР РИСКОВ_2023'!F338),IF('INHERENT MAP'!$B$5=2022,IF(#REF!="",B297,#REF!),IF('INHERENT MAP'!$B$5=2023,IF(#REF!="",B297,#REF!),IF('INHERENT MAP'!$B$5=2024,IF(#REF!="",B297,#REF!),IF('РЕЕСТР РИСКОВ_2023'!F338="",B297,'РЕЕСТР РИСКОВ_2023'!F338)))))</f>
        <v>ПРОЦЕНТНЫЙ РИСК</v>
      </c>
      <c r="C298" t="e">
        <f>IF('INHERENT MAP'!$B$5=2021,IF('РЕЕСТР РИСКОВ_2023'!G338="",C297,'РЕЕСТР РИСКОВ_2023'!G338),IF('INHERENT MAP'!$B$5=2022,IF(#REF!="",C297,#REF!),IF('INHERENT MAP'!$B$5=2023,IF(#REF!="",C297,#REF!),IF('INHERENT MAP'!$B$5=2024,IF(#REF!="",C297,#REF!),IF('РЕЕСТР РИСКОВ_2023'!G338="",C297,'РЕЕСТР РИСКОВ_2023'!G338)))))</f>
        <v>#REF!</v>
      </c>
      <c r="D298" t="str">
        <f>IF('INHERENT MAP'!$B$5=2021,IF('РЕЕСТР РИСКОВ_2023'!H338="",D297,'РЕЕСТР РИСКОВ_2023'!H338),IF('INHERENT MAP'!$B$5=2022,IF(#REF!="",D297,#REF!),IF('INHERENT MAP'!$B$5=2023,IF(#REF!="",D297,#REF!),IF('INHERENT MAP'!$B$5=2024,IF(#REF!="",D297,#REF!),IF('РЕЕСТР РИСКОВ_2023'!H338="",D297,'РЕЕСТР РИСКОВ_2023'!H338)))))</f>
        <v>IRR-1</v>
      </c>
      <c r="E298" t="str">
        <f>IF('INHERENT MAP'!$B$5=2021,IF('РЕЕСТР РИСКОВ_2023'!I338="",E297,'РЕЕСТР РИСКОВ_2023'!I338),IF('INHERENT MAP'!$B$5=2022,IF(#REF!="",E297,#REF!),IF('INHERENT MAP'!$B$5=2023,IF(#REF!="",E297,#REF!),IF('INHERENT MAP'!$B$5=2024,IF(#REF!="",E297,#REF!),IF('РЕЕСТР РИСКОВ_2023'!I338="",E297,'РЕЕСТР РИСКОВ_2023'!I338)))))</f>
        <v>ЦЗФ</v>
      </c>
      <c r="F298" t="str">
        <f>IF('INHERENT MAP'!$B$5=2021,IF('РЕЕСТР РИСКОВ_2023'!J338="",F297,'РЕЕСТР РИСКОВ_2023'!J338),IF('INHERENT MAP'!$B$5=2022,IF(#REF!="",F297,#REF!),IF('INHERENT MAP'!$B$5=2023,IF(#REF!="",F297,#REF!),IF('INHERENT MAP'!$B$5=2024,IF(#REF!="",F297,#REF!),IF('РЕЕСТР РИСКОВ_2023'!J338="",F297,'РЕЕСТР РИСКОВ_2023'!J338)))))</f>
        <v>Цзайм</v>
      </c>
      <c r="G298" t="str">
        <f>IF('INHERENT MAP'!$B$5=2021,IF('РЕЕСТР РИСКОВ_2023'!K338="",G297,'РЕЕСТР РИСКОВ_2023'!K338),IF('INHERENT MAP'!$B$5=2022,IF(#REF!="",G297,#REF!),IF('INHERENT MAP'!$B$5=2023,IF(#REF!="",G297,#REF!),IF('INHERENT MAP'!$B$5=2024,IF(#REF!="",G297,#REF!),IF('РЕЕСТР РИСКОВ_2023'!K338="",G297,'РЕЕСТР РИСКОВ_2023'!K338)))))</f>
        <v>Увеличение расходов по процентам на новые займы, а также текущие займы (с плавающей ставкой) в тенге.</v>
      </c>
      <c r="H298">
        <f>IF('INHERENT MAP'!$B$5=2021,'РЕЕСТР РИСКОВ_2023'!L338,IF('INHERENT MAP'!$B$5=2022,#REF!,IF('INHERENT MAP'!$B$5=2023,#REF!,IF('INHERENT MAP'!$B$5=2024,#REF!,#REF!))))</f>
        <v>0</v>
      </c>
      <c r="I298">
        <f>IF('INHERENT MAP'!$B$5=2021,'РЕЕСТР РИСКОВ_2023'!M338,IF('INHERENT MAP'!$B$5=2022,#REF!,IF('INHERENT MAP'!$B$5=2023,#REF!,IF('INHERENT MAP'!$B$5=2024,#REF!,#REF!))))</f>
        <v>0</v>
      </c>
      <c r="J298">
        <f>IF('INHERENT MAP'!$B$5=2021,'РЕЕСТР РИСКОВ_2023'!N338,IF('INHERENT MAP'!$B$5=2022,#REF!,IF('INHERENT MAP'!$B$5=2023,#REF!,IF('INHERENT MAP'!$B$5=2024,#REF!,#REF!))))</f>
        <v>0</v>
      </c>
      <c r="K298">
        <f>IF('INHERENT MAP'!$B$5=2021,'РЕЕСТР РИСКОВ_2023'!O338,IF('INHERENT MAP'!$B$5=2022,#REF!,IF('INHERENT MAP'!$B$5=2023,#REF!,IF('INHERENT MAP'!$B$5=2024,#REF!,#REF!))))</f>
        <v>0</v>
      </c>
      <c r="L298">
        <f>IF('INHERENT MAP'!$B$5=2021,'РЕЕСТР РИСКОВ_2023'!P338,IF('INHERENT MAP'!$B$5=2022,#REF!,IF('INHERENT MAP'!$B$5=2023,#REF!,IF('INHERENT MAP'!$B$5=2024,#REF!,#REF!))))</f>
        <v>0</v>
      </c>
      <c r="M298" t="str">
        <f>IF('INHERENT MAP'!$B$5=2021,IF('РЕЕСТР РИСКОВ_2023'!Q338="",M297,'РЕЕСТР РИСКОВ_2023'!Q338),IF('INHERENT MAP'!$B$5=2022,IF(#REF!="",M297,#REF!),IF('INHERENT MAP'!$B$5=2023,IF(#REF!="",M297,#REF!),IF('INHERENT MAP'!$B$5=2024,IF(#REF!="",M297,#REF!),IF('РЕЕСТР РИСКОВ_2023'!Q338="",M297,'РЕЕСТР РИСКОВ_2023'!Q338)))))</f>
        <v>Увеличение базовой ставки Национального банка Республики Казахстан до 16%</v>
      </c>
      <c r="N298" t="str">
        <f>IF('INHERENT MAP'!$B$5=2021,IF('РЕЕСТР РИСКОВ_2023'!R338="",N297,'РЕЕСТР РИСКОВ_2023'!R338),IF('INHERENT MAP'!$B$5=2022,IF(#REF!="",N297,#REF!),IF('INHERENT MAP'!$B$5=2023,IF(#REF!="",N297,#REF!),IF('INHERENT MAP'!$B$5=2024,IF(#REF!="",N297,#REF!),IF('РЕЕСТР РИСКОВ_2023'!R338="",N297,'РЕЕСТР РИСКОВ_2023'!R338)))))</f>
        <v>Рецессия экономики европейских стран</v>
      </c>
      <c r="O298">
        <f>'РЕЕСТР РИСКОВ_2023'!T338</f>
        <v>0</v>
      </c>
      <c r="P298" t="e">
        <f>IF('РЕЕСТР РИСКОВ_2023'!U338="",P297,'РЕЕСТР РИСКОВ_2023'!U338)</f>
        <v>#REF!</v>
      </c>
      <c r="Q298" t="str">
        <f>IF('РЕЕСТР РИСКОВ_2023'!V338="",Q297,'РЕЕСТР РИСКОВ_2023'!V338)</f>
        <v>Угрозы</v>
      </c>
      <c r="R298" t="e">
        <f>IF('РЕЕСТР РИСКОВ_2023'!W338="",R297,'РЕЕСТР РИСКОВ_2023'!W338)</f>
        <v>#REF!</v>
      </c>
      <c r="S298">
        <f>'РЕЕСТР РИСКОВ_2023'!X338</f>
        <v>0</v>
      </c>
      <c r="T298" s="94">
        <f>IF('INHERENT MAP'!$B$5=2021,'РЕЕСТР РИСКОВ_2023'!Y338,IF('INHERENT MAP'!$B$5=2022,#REF!,IF('INHERENT MAP'!$B$5=2023,#REF!,IF('INHERENT MAP'!$B$5=2024,#REF!,#REF!))))</f>
        <v>0</v>
      </c>
      <c r="U298">
        <f>IF('INHERENT MAP'!$B$5=2021,'РЕЕСТР РИСКОВ_2023'!Z338,IF('INHERENT MAP'!$B$5=2022,#REF!,IF('INHERENT MAP'!$B$5=2023,#REF!,IF('INHERENT MAP'!$B$5=2024,#REF!,#REF!))))</f>
        <v>0</v>
      </c>
      <c r="V298">
        <f>IF('INHERENT MAP'!$B$5=2021,'РЕЕСТР РИСКОВ_2023'!AA338,IF('INHERENT MAP'!$B$5=2022,#REF!,IF('INHERENT MAP'!$B$5=2023,#REF!,IF('INHERENT MAP'!$B$5=2024,#REF!,#REF!))))</f>
        <v>0</v>
      </c>
      <c r="W298">
        <f>IF('INHERENT MAP'!$B$5=2021,'РЕЕСТР РИСКОВ_2023'!AB338,IF('INHERENT MAP'!$B$5=2022,#REF!,IF('INHERENT MAP'!$B$5=2023,#REF!,IF('INHERENT MAP'!$B$5=2024,#REF!,#REF!))))</f>
        <v>0</v>
      </c>
      <c r="X298" s="94">
        <f>IF('INHERENT MAP'!$B$5=2021,'РЕЕСТР РИСКОВ_2023'!AC338,IF('INHERENT MAP'!$B$5=2022,#REF!,IF('INHERENT MAP'!$B$5=2023,#REF!,IF('INHERENT MAP'!$B$5=2024,#REF!,#REF!))))</f>
        <v>0</v>
      </c>
      <c r="Y298">
        <f>IF('INHERENT MAP'!$B$5=2021,'РЕЕСТР РИСКОВ_2023'!AD338,IF('INHERENT MAP'!$B$5=2022,#REF!,IF('INHERENT MAP'!$B$5=2023,#REF!,IF('INHERENT MAP'!$B$5=2024,#REF!,#REF!))))</f>
        <v>0</v>
      </c>
      <c r="Z298">
        <f>IF('INHERENT MAP'!$B$5=2021,'РЕЕСТР РИСКОВ_2023'!AE338,IF('INHERENT MAP'!$B$5=2022,#REF!,IF('INHERENT MAP'!$B$5=2023,#REF!,IF('INHERENT MAP'!$B$5=2024,#REF!,#REF!))))</f>
        <v>0</v>
      </c>
      <c r="AA298">
        <f>IF('INHERENT MAP'!$B$5=2021,'РЕЕСТР РИСКОВ_2023'!AF338,IF('INHERENT MAP'!$B$5=2022,#REF!,IF('INHERENT MAP'!$B$5=2023,#REF!,IF('INHERENT MAP'!$B$5=2024,#REF!,#REF!))))</f>
        <v>0</v>
      </c>
      <c r="AB298">
        <f>IF('INHERENT MAP'!$B$5=2021,'РЕЕСТР РИСКОВ_2023'!AG338,IF('INHERENT MAP'!$B$5=2022,#REF!,IF('INHERENT MAP'!$B$5=2023,#REF!,IF('INHERENT MAP'!$B$5=2024,#REF!,#REF!))))</f>
        <v>0</v>
      </c>
      <c r="AC298">
        <f>IF('INHERENT MAP'!$B$5=2021,'РЕЕСТР РИСКОВ_2023'!AH338,IF('INHERENT MAP'!$B$5=2022,#REF!,IF('INHERENT MAP'!$B$5=2023,#REF!,IF('INHERENT MAP'!$B$5=2024,#REF!,#REF!))))</f>
        <v>0</v>
      </c>
      <c r="AD298">
        <f>IF('INHERENT MAP'!$B$5=2021,'РЕЕСТР РИСКОВ_2023'!AI338,IF('INHERENT MAP'!$B$5=2022,#REF!,IF('INHERENT MAP'!$B$5=2023,#REF!,IF('INHERENT MAP'!$B$5=2024,#REF!,#REF!))))</f>
        <v>0</v>
      </c>
      <c r="AE298">
        <f>IF('INHERENT MAP'!$B$5=2021,'РЕЕСТР РИСКОВ_2023'!AK338,IF('INHERENT MAP'!$B$5=2022,#REF!,IF('INHERENT MAP'!$B$5=2023,#REF!,IF('INHERENT MAP'!$B$5=2024,#REF!,#REF!))))</f>
        <v>0</v>
      </c>
      <c r="AF298">
        <f>IF('INHERENT MAP'!$B$5=2021,'РЕЕСТР РИСКОВ_2023'!AL338,IF('INHERENT MAP'!$B$5=2022,#REF!,IF('INHERENT MAP'!$B$5=2023,#REF!,IF('INHERENT MAP'!$B$5=2024,#REF!,#REF!))))</f>
        <v>0</v>
      </c>
      <c r="AG298">
        <f>IF('INHERENT MAP'!$B$5=2021,'РЕЕСТР РИСКОВ_2023'!AM338,IF('INHERENT MAP'!$B$5=2022,#REF!,IF('INHERENT MAP'!$B$5=2023,#REF!,IF('INHERENT MAP'!$B$5=2024,#REF!,#REF!))))</f>
        <v>0</v>
      </c>
      <c r="AH298">
        <f>IF('INHERENT MAP'!$B$5=2021,'РЕЕСТР РИСКОВ_2023'!AN338,IF('INHERENT MAP'!$B$5=2022,#REF!,IF('INHERENT MAP'!$B$5=2023,#REF!,IF('INHERENT MAP'!$B$5=2024,#REF!,#REF!))))</f>
        <v>0</v>
      </c>
      <c r="AI298">
        <f>IF('INHERENT MAP'!$B$5=2021,'РЕЕСТР РИСКОВ_2023'!AO338,IF('INHERENT MAP'!$B$5=2022,#REF!,IF('INHERENT MAP'!$B$5=2023,#REF!,IF('INHERENT MAP'!$B$5=2024,#REF!,#REF!))))</f>
        <v>0</v>
      </c>
      <c r="AJ298">
        <f>IF('INHERENT MAP'!$B$5=2021,'РЕЕСТР РИСКОВ_2023'!AP338,IF('INHERENT MAP'!$B$5=2022,#REF!,IF('INHERENT MAP'!$B$5=2023,#REF!,IF('INHERENT MAP'!$B$5=2024,#REF!,#REF!))))</f>
        <v>0</v>
      </c>
      <c r="AK298">
        <f>IF('РЕЕСТР РИСКОВ_2023'!AQ338="",AK297,'РЕЕСТР РИСКОВ_2023'!AQ338)</f>
        <v>-216</v>
      </c>
      <c r="AL298">
        <f>IF('РЕЕСТР РИСКОВ_2023'!AR338="",AL297,'РЕЕСТР РИСКОВ_2023'!AR338)</f>
        <v>0.12</v>
      </c>
      <c r="AM298" t="str">
        <f>IF('РЕЕСТР РИСКОВ_2023'!AS338="",AM297,'РЕЕСТР РИСКОВ_2023'!AS338)</f>
        <v>стоп</v>
      </c>
      <c r="AN298" t="str">
        <f>IF('РЕЕСТР РИСКОВ_2023'!AT338="",AN297,'РЕЕСТР РИСКОВ_2023'!AT338)</f>
        <v>стоп</v>
      </c>
      <c r="AO298" t="e">
        <f>IF('РЕЕСТР РИСКОВ_2023'!AU338="",AO297,'РЕЕСТР РИСКОВ_2023'!AU338)</f>
        <v>#REF!</v>
      </c>
    </row>
    <row r="299" spans="2:41">
      <c r="B299" t="str">
        <f>IF('INHERENT MAP'!$B$5=2021,IF('РЕЕСТР РИСКОВ_2023'!F339="",B298,'РЕЕСТР РИСКОВ_2023'!F339),IF('INHERENT MAP'!$B$5=2022,IF(#REF!="",B298,#REF!),IF('INHERENT MAP'!$B$5=2023,IF(#REF!="",B298,#REF!),IF('INHERENT MAP'!$B$5=2024,IF(#REF!="",B298,#REF!),IF('РЕЕСТР РИСКОВ_2023'!F339="",B298,'РЕЕСТР РИСКОВ_2023'!F339)))))</f>
        <v>ПРОЦЕНТНЫЙ РИСК</v>
      </c>
      <c r="C299" t="e">
        <f>IF('INHERENT MAP'!$B$5=2021,IF('РЕЕСТР РИСКОВ_2023'!G339="",C298,'РЕЕСТР РИСКОВ_2023'!G339),IF('INHERENT MAP'!$B$5=2022,IF(#REF!="",C298,#REF!),IF('INHERENT MAP'!$B$5=2023,IF(#REF!="",C298,#REF!),IF('INHERENT MAP'!$B$5=2024,IF(#REF!="",C298,#REF!),IF('РЕЕСТР РИСКОВ_2023'!G339="",C298,'РЕЕСТР РИСКОВ_2023'!G339)))))</f>
        <v>#REF!</v>
      </c>
      <c r="D299" t="str">
        <f>IF('INHERENT MAP'!$B$5=2021,IF('РЕЕСТР РИСКОВ_2023'!H339="",D298,'РЕЕСТР РИСКОВ_2023'!H339),IF('INHERENT MAP'!$B$5=2022,IF(#REF!="",D298,#REF!),IF('INHERENT MAP'!$B$5=2023,IF(#REF!="",D298,#REF!),IF('INHERENT MAP'!$B$5=2024,IF(#REF!="",D298,#REF!),IF('РЕЕСТР РИСКОВ_2023'!H339="",D298,'РЕЕСТР РИСКОВ_2023'!H339)))))</f>
        <v>IRR-1</v>
      </c>
      <c r="E299" t="str">
        <f>IF('INHERENT MAP'!$B$5=2021,IF('РЕЕСТР РИСКОВ_2023'!I339="",E298,'РЕЕСТР РИСКОВ_2023'!I339),IF('INHERENT MAP'!$B$5=2022,IF(#REF!="",E298,#REF!),IF('INHERENT MAP'!$B$5=2023,IF(#REF!="",E298,#REF!),IF('INHERENT MAP'!$B$5=2024,IF(#REF!="",E298,#REF!),IF('РЕЕСТР РИСКОВ_2023'!I339="",E298,'РЕЕСТР РИСКОВ_2023'!I339)))))</f>
        <v>ЦЗФ</v>
      </c>
      <c r="F299" t="str">
        <f>IF('INHERENT MAP'!$B$5=2021,IF('РЕЕСТР РИСКОВ_2023'!J339="",F298,'РЕЕСТР РИСКОВ_2023'!J339),IF('INHERENT MAP'!$B$5=2022,IF(#REF!="",F298,#REF!),IF('INHERENT MAP'!$B$5=2023,IF(#REF!="",F298,#REF!),IF('INHERENT MAP'!$B$5=2024,IF(#REF!="",F298,#REF!),IF('РЕЕСТР РИСКОВ_2023'!J339="",F298,'РЕЕСТР РИСКОВ_2023'!J339)))))</f>
        <v>Цзайм</v>
      </c>
      <c r="G299" t="str">
        <f>IF('INHERENT MAP'!$B$5=2021,IF('РЕЕСТР РИСКОВ_2023'!K339="",G298,'РЕЕСТР РИСКОВ_2023'!K339),IF('INHERENT MAP'!$B$5=2022,IF(#REF!="",G298,#REF!),IF('INHERENT MAP'!$B$5=2023,IF(#REF!="",G298,#REF!),IF('INHERENT MAP'!$B$5=2024,IF(#REF!="",G298,#REF!),IF('РЕЕСТР РИСКОВ_2023'!K339="",G298,'РЕЕСТР РИСКОВ_2023'!K339)))))</f>
        <v>Увеличение расходов по процентам на новые займы, а также текущие займы (с плавающей ставкой) в тенге.</v>
      </c>
      <c r="H299">
        <f>IF('INHERENT MAP'!$B$5=2021,'РЕЕСТР РИСКОВ_2023'!L339,IF('INHERENT MAP'!$B$5=2022,#REF!,IF('INHERENT MAP'!$B$5=2023,#REF!,IF('INHERENT MAP'!$B$5=2024,#REF!,#REF!))))</f>
        <v>0</v>
      </c>
      <c r="I299">
        <f>IF('INHERENT MAP'!$B$5=2021,'РЕЕСТР РИСКОВ_2023'!M339,IF('INHERENT MAP'!$B$5=2022,#REF!,IF('INHERENT MAP'!$B$5=2023,#REF!,IF('INHERENT MAP'!$B$5=2024,#REF!,#REF!))))</f>
        <v>0</v>
      </c>
      <c r="J299">
        <f>IF('INHERENT MAP'!$B$5=2021,'РЕЕСТР РИСКОВ_2023'!N339,IF('INHERENT MAP'!$B$5=2022,#REF!,IF('INHERENT MAP'!$B$5=2023,#REF!,IF('INHERENT MAP'!$B$5=2024,#REF!,#REF!))))</f>
        <v>0</v>
      </c>
      <c r="K299">
        <f>IF('INHERENT MAP'!$B$5=2021,'РЕЕСТР РИСКОВ_2023'!O339,IF('INHERENT MAP'!$B$5=2022,#REF!,IF('INHERENT MAP'!$B$5=2023,#REF!,IF('INHERENT MAP'!$B$5=2024,#REF!,#REF!))))</f>
        <v>0</v>
      </c>
      <c r="L299">
        <f>IF('INHERENT MAP'!$B$5=2021,'РЕЕСТР РИСКОВ_2023'!P339,IF('INHERENT MAP'!$B$5=2022,#REF!,IF('INHERENT MAP'!$B$5=2023,#REF!,IF('INHERENT MAP'!$B$5=2024,#REF!,#REF!))))</f>
        <v>0</v>
      </c>
      <c r="M299" t="str">
        <f>IF('INHERENT MAP'!$B$5=2021,IF('РЕЕСТР РИСКОВ_2023'!Q339="",M298,'РЕЕСТР РИСКОВ_2023'!Q339),IF('INHERENT MAP'!$B$5=2022,IF(#REF!="",M298,#REF!),IF('INHERENT MAP'!$B$5=2023,IF(#REF!="",M298,#REF!),IF('INHERENT MAP'!$B$5=2024,IF(#REF!="",M298,#REF!),IF('РЕЕСТР РИСКОВ_2023'!Q339="",M298,'РЕЕСТР РИСКОВ_2023'!Q339)))))</f>
        <v>Увеличение базовой ставки Национального банка Республики Казахстан до 16%</v>
      </c>
      <c r="N299" t="str">
        <f>IF('INHERENT MAP'!$B$5=2021,IF('РЕЕСТР РИСКОВ_2023'!R339="",N298,'РЕЕСТР РИСКОВ_2023'!R339),IF('INHERENT MAP'!$B$5=2022,IF(#REF!="",N298,#REF!),IF('INHERENT MAP'!$B$5=2023,IF(#REF!="",N298,#REF!),IF('INHERENT MAP'!$B$5=2024,IF(#REF!="",N298,#REF!),IF('РЕЕСТР РИСКОВ_2023'!R339="",N298,'РЕЕСТР РИСКОВ_2023'!R339)))))</f>
        <v>Рецессия экономики европейских стран</v>
      </c>
      <c r="O299">
        <f>'РЕЕСТР РИСКОВ_2023'!T339</f>
        <v>0</v>
      </c>
      <c r="P299" t="e">
        <f>IF('РЕЕСТР РИСКОВ_2023'!U339="",P298,'РЕЕСТР РИСКОВ_2023'!U339)</f>
        <v>#REF!</v>
      </c>
      <c r="Q299" t="str">
        <f>IF('РЕЕСТР РИСКОВ_2023'!V339="",Q298,'РЕЕСТР РИСКОВ_2023'!V339)</f>
        <v>Угрозы</v>
      </c>
      <c r="R299" t="e">
        <f>IF('РЕЕСТР РИСКОВ_2023'!W339="",R298,'РЕЕСТР РИСКОВ_2023'!W339)</f>
        <v>#REF!</v>
      </c>
      <c r="S299">
        <f>'РЕЕСТР РИСКОВ_2023'!X339</f>
        <v>0</v>
      </c>
      <c r="T299" s="94">
        <f>IF('INHERENT MAP'!$B$5=2021,'РЕЕСТР РИСКОВ_2023'!Y339,IF('INHERENT MAP'!$B$5=2022,#REF!,IF('INHERENT MAP'!$B$5=2023,#REF!,IF('INHERENT MAP'!$B$5=2024,#REF!,#REF!))))</f>
        <v>0</v>
      </c>
      <c r="U299">
        <f>IF('INHERENT MAP'!$B$5=2021,'РЕЕСТР РИСКОВ_2023'!Z339,IF('INHERENT MAP'!$B$5=2022,#REF!,IF('INHERENT MAP'!$B$5=2023,#REF!,IF('INHERENT MAP'!$B$5=2024,#REF!,#REF!))))</f>
        <v>0</v>
      </c>
      <c r="V299">
        <f>IF('INHERENT MAP'!$B$5=2021,'РЕЕСТР РИСКОВ_2023'!AA339,IF('INHERENT MAP'!$B$5=2022,#REF!,IF('INHERENT MAP'!$B$5=2023,#REF!,IF('INHERENT MAP'!$B$5=2024,#REF!,#REF!))))</f>
        <v>0</v>
      </c>
      <c r="W299">
        <f>IF('INHERENT MAP'!$B$5=2021,'РЕЕСТР РИСКОВ_2023'!AB339,IF('INHERENT MAP'!$B$5=2022,#REF!,IF('INHERENT MAP'!$B$5=2023,#REF!,IF('INHERENT MAP'!$B$5=2024,#REF!,#REF!))))</f>
        <v>0</v>
      </c>
      <c r="X299" s="94">
        <f>IF('INHERENT MAP'!$B$5=2021,'РЕЕСТР РИСКОВ_2023'!AC339,IF('INHERENT MAP'!$B$5=2022,#REF!,IF('INHERENT MAP'!$B$5=2023,#REF!,IF('INHERENT MAP'!$B$5=2024,#REF!,#REF!))))</f>
        <v>0</v>
      </c>
      <c r="Y299">
        <f>IF('INHERENT MAP'!$B$5=2021,'РЕЕСТР РИСКОВ_2023'!AD339,IF('INHERENT MAP'!$B$5=2022,#REF!,IF('INHERENT MAP'!$B$5=2023,#REF!,IF('INHERENT MAP'!$B$5=2024,#REF!,#REF!))))</f>
        <v>0</v>
      </c>
      <c r="Z299">
        <f>IF('INHERENT MAP'!$B$5=2021,'РЕЕСТР РИСКОВ_2023'!AE339,IF('INHERENT MAP'!$B$5=2022,#REF!,IF('INHERENT MAP'!$B$5=2023,#REF!,IF('INHERENT MAP'!$B$5=2024,#REF!,#REF!))))</f>
        <v>0</v>
      </c>
      <c r="AA299">
        <f>IF('INHERENT MAP'!$B$5=2021,'РЕЕСТР РИСКОВ_2023'!AF339,IF('INHERENT MAP'!$B$5=2022,#REF!,IF('INHERENT MAP'!$B$5=2023,#REF!,IF('INHERENT MAP'!$B$5=2024,#REF!,#REF!))))</f>
        <v>0</v>
      </c>
      <c r="AB299">
        <f>IF('INHERENT MAP'!$B$5=2021,'РЕЕСТР РИСКОВ_2023'!AG339,IF('INHERENT MAP'!$B$5=2022,#REF!,IF('INHERENT MAP'!$B$5=2023,#REF!,IF('INHERENT MAP'!$B$5=2024,#REF!,#REF!))))</f>
        <v>0</v>
      </c>
      <c r="AC299">
        <f>IF('INHERENT MAP'!$B$5=2021,'РЕЕСТР РИСКОВ_2023'!AH339,IF('INHERENT MAP'!$B$5=2022,#REF!,IF('INHERENT MAP'!$B$5=2023,#REF!,IF('INHERENT MAP'!$B$5=2024,#REF!,#REF!))))</f>
        <v>0</v>
      </c>
      <c r="AD299">
        <f>IF('INHERENT MAP'!$B$5=2021,'РЕЕСТР РИСКОВ_2023'!AI339,IF('INHERENT MAP'!$B$5=2022,#REF!,IF('INHERENT MAP'!$B$5=2023,#REF!,IF('INHERENT MAP'!$B$5=2024,#REF!,#REF!))))</f>
        <v>0</v>
      </c>
      <c r="AE299">
        <f>IF('INHERENT MAP'!$B$5=2021,'РЕЕСТР РИСКОВ_2023'!AK339,IF('INHERENT MAP'!$B$5=2022,#REF!,IF('INHERENT MAP'!$B$5=2023,#REF!,IF('INHERENT MAP'!$B$5=2024,#REF!,#REF!))))</f>
        <v>0</v>
      </c>
      <c r="AF299">
        <f>IF('INHERENT MAP'!$B$5=2021,'РЕЕСТР РИСКОВ_2023'!AL339,IF('INHERENT MAP'!$B$5=2022,#REF!,IF('INHERENT MAP'!$B$5=2023,#REF!,IF('INHERENT MAP'!$B$5=2024,#REF!,#REF!))))</f>
        <v>0</v>
      </c>
      <c r="AG299">
        <f>IF('INHERENT MAP'!$B$5=2021,'РЕЕСТР РИСКОВ_2023'!AM339,IF('INHERENT MAP'!$B$5=2022,#REF!,IF('INHERENT MAP'!$B$5=2023,#REF!,IF('INHERENT MAP'!$B$5=2024,#REF!,#REF!))))</f>
        <v>0</v>
      </c>
      <c r="AH299">
        <f>IF('INHERENT MAP'!$B$5=2021,'РЕЕСТР РИСКОВ_2023'!AN339,IF('INHERENT MAP'!$B$5=2022,#REF!,IF('INHERENT MAP'!$B$5=2023,#REF!,IF('INHERENT MAP'!$B$5=2024,#REF!,#REF!))))</f>
        <v>0</v>
      </c>
      <c r="AI299">
        <f>IF('INHERENT MAP'!$B$5=2021,'РЕЕСТР РИСКОВ_2023'!AO339,IF('INHERENT MAP'!$B$5=2022,#REF!,IF('INHERENT MAP'!$B$5=2023,#REF!,IF('INHERENT MAP'!$B$5=2024,#REF!,#REF!))))</f>
        <v>0</v>
      </c>
      <c r="AJ299">
        <f>IF('INHERENT MAP'!$B$5=2021,'РЕЕСТР РИСКОВ_2023'!AP339,IF('INHERENT MAP'!$B$5=2022,#REF!,IF('INHERENT MAP'!$B$5=2023,#REF!,IF('INHERENT MAP'!$B$5=2024,#REF!,#REF!))))</f>
        <v>0</v>
      </c>
      <c r="AK299">
        <f>IF('РЕЕСТР РИСКОВ_2023'!AQ339="",AK298,'РЕЕСТР РИСКОВ_2023'!AQ339)</f>
        <v>-216</v>
      </c>
      <c r="AL299">
        <f>IF('РЕЕСТР РИСКОВ_2023'!AR339="",AL298,'РЕЕСТР РИСКОВ_2023'!AR339)</f>
        <v>0.12</v>
      </c>
      <c r="AM299" t="str">
        <f>IF('РЕЕСТР РИСКОВ_2023'!AS339="",AM298,'РЕЕСТР РИСКОВ_2023'!AS339)</f>
        <v>стоп</v>
      </c>
      <c r="AN299" t="str">
        <f>IF('РЕЕСТР РИСКОВ_2023'!AT339="",AN298,'РЕЕСТР РИСКОВ_2023'!AT339)</f>
        <v>стоп</v>
      </c>
      <c r="AO299" t="e">
        <f>IF('РЕЕСТР РИСКОВ_2023'!AU339="",AO298,'РЕЕСТР РИСКОВ_2023'!AU339)</f>
        <v>#REF!</v>
      </c>
    </row>
    <row r="300" spans="2:41">
      <c r="B300" t="str">
        <f>IF('INHERENT MAP'!$B$5=2021,IF('РЕЕСТР РИСКОВ_2023'!F340="",B299,'РЕЕСТР РИСКОВ_2023'!F340),IF('INHERENT MAP'!$B$5=2022,IF(#REF!="",B299,#REF!),IF('INHERENT MAP'!$B$5=2023,IF(#REF!="",B299,#REF!),IF('INHERENT MAP'!$B$5=2024,IF(#REF!="",B299,#REF!),IF('РЕЕСТР РИСКОВ_2023'!F340="",B299,'РЕЕСТР РИСКОВ_2023'!F340)))))</f>
        <v>ПРОЦЕНТНЫЙ РИСК</v>
      </c>
      <c r="C300" t="e">
        <f>IF('INHERENT MAP'!$B$5=2021,IF('РЕЕСТР РИСКОВ_2023'!G340="",C299,'РЕЕСТР РИСКОВ_2023'!G340),IF('INHERENT MAP'!$B$5=2022,IF(#REF!="",C299,#REF!),IF('INHERENT MAP'!$B$5=2023,IF(#REF!="",C299,#REF!),IF('INHERENT MAP'!$B$5=2024,IF(#REF!="",C299,#REF!),IF('РЕЕСТР РИСКОВ_2023'!G340="",C299,'РЕЕСТР РИСКОВ_2023'!G340)))))</f>
        <v>#REF!</v>
      </c>
      <c r="D300" t="str">
        <f>IF('INHERENT MAP'!$B$5=2021,IF('РЕЕСТР РИСКОВ_2023'!H340="",D299,'РЕЕСТР РИСКОВ_2023'!H340),IF('INHERENT MAP'!$B$5=2022,IF(#REF!="",D299,#REF!),IF('INHERENT MAP'!$B$5=2023,IF(#REF!="",D299,#REF!),IF('INHERENT MAP'!$B$5=2024,IF(#REF!="",D299,#REF!),IF('РЕЕСТР РИСКОВ_2023'!H340="",D299,'РЕЕСТР РИСКОВ_2023'!H340)))))</f>
        <v>IRR-1</v>
      </c>
      <c r="E300" t="str">
        <f>IF('INHERENT MAP'!$B$5=2021,IF('РЕЕСТР РИСКОВ_2023'!I340="",E299,'РЕЕСТР РИСКОВ_2023'!I340),IF('INHERENT MAP'!$B$5=2022,IF(#REF!="",E299,#REF!),IF('INHERENT MAP'!$B$5=2023,IF(#REF!="",E299,#REF!),IF('INHERENT MAP'!$B$5=2024,IF(#REF!="",E299,#REF!),IF('РЕЕСТР РИСКОВ_2023'!I340="",E299,'РЕЕСТР РИСКОВ_2023'!I340)))))</f>
        <v>ЦЗФ</v>
      </c>
      <c r="F300" t="str">
        <f>IF('INHERENT MAP'!$B$5=2021,IF('РЕЕСТР РИСКОВ_2023'!J340="",F299,'РЕЕСТР РИСКОВ_2023'!J340),IF('INHERENT MAP'!$B$5=2022,IF(#REF!="",F299,#REF!),IF('INHERENT MAP'!$B$5=2023,IF(#REF!="",F299,#REF!),IF('INHERENT MAP'!$B$5=2024,IF(#REF!="",F299,#REF!),IF('РЕЕСТР РИСКОВ_2023'!J340="",F299,'РЕЕСТР РИСКОВ_2023'!J340)))))</f>
        <v>Цзайм</v>
      </c>
      <c r="G300" t="str">
        <f>IF('INHERENT MAP'!$B$5=2021,IF('РЕЕСТР РИСКОВ_2023'!K340="",G299,'РЕЕСТР РИСКОВ_2023'!K340),IF('INHERENT MAP'!$B$5=2022,IF(#REF!="",G299,#REF!),IF('INHERENT MAP'!$B$5=2023,IF(#REF!="",G299,#REF!),IF('INHERENT MAP'!$B$5=2024,IF(#REF!="",G299,#REF!),IF('РЕЕСТР РИСКОВ_2023'!K340="",G299,'РЕЕСТР РИСКОВ_2023'!K340)))))</f>
        <v>Увеличение расходов по процентам на новые займы, а также текущие займы (с плавающей ставкой) в тенге.</v>
      </c>
      <c r="H300">
        <f>IF('INHERENT MAP'!$B$5=2021,'РЕЕСТР РИСКОВ_2023'!L340,IF('INHERENT MAP'!$B$5=2022,#REF!,IF('INHERENT MAP'!$B$5=2023,#REF!,IF('INHERENT MAP'!$B$5=2024,#REF!,#REF!))))</f>
        <v>0</v>
      </c>
      <c r="I300">
        <f>IF('INHERENT MAP'!$B$5=2021,'РЕЕСТР РИСКОВ_2023'!M340,IF('INHERENT MAP'!$B$5=2022,#REF!,IF('INHERENT MAP'!$B$5=2023,#REF!,IF('INHERENT MAP'!$B$5=2024,#REF!,#REF!))))</f>
        <v>0</v>
      </c>
      <c r="J300">
        <f>IF('INHERENT MAP'!$B$5=2021,'РЕЕСТР РИСКОВ_2023'!N340,IF('INHERENT MAP'!$B$5=2022,#REF!,IF('INHERENT MAP'!$B$5=2023,#REF!,IF('INHERENT MAP'!$B$5=2024,#REF!,#REF!))))</f>
        <v>0</v>
      </c>
      <c r="K300">
        <f>IF('INHERENT MAP'!$B$5=2021,'РЕЕСТР РИСКОВ_2023'!O340,IF('INHERENT MAP'!$B$5=2022,#REF!,IF('INHERENT MAP'!$B$5=2023,#REF!,IF('INHERENT MAP'!$B$5=2024,#REF!,#REF!))))</f>
        <v>0</v>
      </c>
      <c r="L300">
        <f>IF('INHERENT MAP'!$B$5=2021,'РЕЕСТР РИСКОВ_2023'!P340,IF('INHERENT MAP'!$B$5=2022,#REF!,IF('INHERENT MAP'!$B$5=2023,#REF!,IF('INHERENT MAP'!$B$5=2024,#REF!,#REF!))))</f>
        <v>0</v>
      </c>
      <c r="M300" t="str">
        <f>IF('INHERENT MAP'!$B$5=2021,IF('РЕЕСТР РИСКОВ_2023'!Q340="",M299,'РЕЕСТР РИСКОВ_2023'!Q340),IF('INHERENT MAP'!$B$5=2022,IF(#REF!="",M299,#REF!),IF('INHERENT MAP'!$B$5=2023,IF(#REF!="",M299,#REF!),IF('INHERENT MAP'!$B$5=2024,IF(#REF!="",M299,#REF!),IF('РЕЕСТР РИСКОВ_2023'!Q340="",M299,'РЕЕСТР РИСКОВ_2023'!Q340)))))</f>
        <v>Увеличение базовой ставки Национального банка Республики Казахстан до 16%</v>
      </c>
      <c r="N300" t="str">
        <f>IF('INHERENT MAP'!$B$5=2021,IF('РЕЕСТР РИСКОВ_2023'!R340="",N299,'РЕЕСТР РИСКОВ_2023'!R340),IF('INHERENT MAP'!$B$5=2022,IF(#REF!="",N299,#REF!),IF('INHERENT MAP'!$B$5=2023,IF(#REF!="",N299,#REF!),IF('INHERENT MAP'!$B$5=2024,IF(#REF!="",N299,#REF!),IF('РЕЕСТР РИСКОВ_2023'!R340="",N299,'РЕЕСТР РИСКОВ_2023'!R340)))))</f>
        <v>Рецессия экономики европейских стран</v>
      </c>
      <c r="O300">
        <f>'РЕЕСТР РИСКОВ_2023'!T340</f>
        <v>0</v>
      </c>
      <c r="P300" t="e">
        <f>IF('РЕЕСТР РИСКОВ_2023'!U340="",P299,'РЕЕСТР РИСКОВ_2023'!U340)</f>
        <v>#REF!</v>
      </c>
      <c r="Q300" t="str">
        <f>IF('РЕЕСТР РИСКОВ_2023'!V340="",Q299,'РЕЕСТР РИСКОВ_2023'!V340)</f>
        <v>Угрозы</v>
      </c>
      <c r="R300" t="e">
        <f>IF('РЕЕСТР РИСКОВ_2023'!W340="",R299,'РЕЕСТР РИСКОВ_2023'!W340)</f>
        <v>#REF!</v>
      </c>
      <c r="S300">
        <f>'РЕЕСТР РИСКОВ_2023'!X340</f>
        <v>0</v>
      </c>
      <c r="T300" s="94">
        <f>IF('INHERENT MAP'!$B$5=2021,'РЕЕСТР РИСКОВ_2023'!Y340,IF('INHERENT MAP'!$B$5=2022,#REF!,IF('INHERENT MAP'!$B$5=2023,#REF!,IF('INHERENT MAP'!$B$5=2024,#REF!,#REF!))))</f>
        <v>0</v>
      </c>
      <c r="U300">
        <f>IF('INHERENT MAP'!$B$5=2021,'РЕЕСТР РИСКОВ_2023'!Z340,IF('INHERENT MAP'!$B$5=2022,#REF!,IF('INHERENT MAP'!$B$5=2023,#REF!,IF('INHERENT MAP'!$B$5=2024,#REF!,#REF!))))</f>
        <v>0</v>
      </c>
      <c r="V300">
        <f>IF('INHERENT MAP'!$B$5=2021,'РЕЕСТР РИСКОВ_2023'!AA340,IF('INHERENT MAP'!$B$5=2022,#REF!,IF('INHERENT MAP'!$B$5=2023,#REF!,IF('INHERENT MAP'!$B$5=2024,#REF!,#REF!))))</f>
        <v>0</v>
      </c>
      <c r="W300">
        <f>IF('INHERENT MAP'!$B$5=2021,'РЕЕСТР РИСКОВ_2023'!AB340,IF('INHERENT MAP'!$B$5=2022,#REF!,IF('INHERENT MAP'!$B$5=2023,#REF!,IF('INHERENT MAP'!$B$5=2024,#REF!,#REF!))))</f>
        <v>0</v>
      </c>
      <c r="X300" s="94">
        <f>IF('INHERENT MAP'!$B$5=2021,'РЕЕСТР РИСКОВ_2023'!AC340,IF('INHERENT MAP'!$B$5=2022,#REF!,IF('INHERENT MAP'!$B$5=2023,#REF!,IF('INHERENT MAP'!$B$5=2024,#REF!,#REF!))))</f>
        <v>0</v>
      </c>
      <c r="Y300">
        <f>IF('INHERENT MAP'!$B$5=2021,'РЕЕСТР РИСКОВ_2023'!AD340,IF('INHERENT MAP'!$B$5=2022,#REF!,IF('INHERENT MAP'!$B$5=2023,#REF!,IF('INHERENT MAP'!$B$5=2024,#REF!,#REF!))))</f>
        <v>0</v>
      </c>
      <c r="Z300">
        <f>IF('INHERENT MAP'!$B$5=2021,'РЕЕСТР РИСКОВ_2023'!AE340,IF('INHERENT MAP'!$B$5=2022,#REF!,IF('INHERENT MAP'!$B$5=2023,#REF!,IF('INHERENT MAP'!$B$5=2024,#REF!,#REF!))))</f>
        <v>0</v>
      </c>
      <c r="AA300">
        <f>IF('INHERENT MAP'!$B$5=2021,'РЕЕСТР РИСКОВ_2023'!AF340,IF('INHERENT MAP'!$B$5=2022,#REF!,IF('INHERENT MAP'!$B$5=2023,#REF!,IF('INHERENT MAP'!$B$5=2024,#REF!,#REF!))))</f>
        <v>0</v>
      </c>
      <c r="AB300">
        <f>IF('INHERENT MAP'!$B$5=2021,'РЕЕСТР РИСКОВ_2023'!AG340,IF('INHERENT MAP'!$B$5=2022,#REF!,IF('INHERENT MAP'!$B$5=2023,#REF!,IF('INHERENT MAP'!$B$5=2024,#REF!,#REF!))))</f>
        <v>0</v>
      </c>
      <c r="AC300">
        <f>IF('INHERENT MAP'!$B$5=2021,'РЕЕСТР РИСКОВ_2023'!AH340,IF('INHERENT MAP'!$B$5=2022,#REF!,IF('INHERENT MAP'!$B$5=2023,#REF!,IF('INHERENT MAP'!$B$5=2024,#REF!,#REF!))))</f>
        <v>0</v>
      </c>
      <c r="AD300">
        <f>IF('INHERENT MAP'!$B$5=2021,'РЕЕСТР РИСКОВ_2023'!AI340,IF('INHERENT MAP'!$B$5=2022,#REF!,IF('INHERENT MAP'!$B$5=2023,#REF!,IF('INHERENT MAP'!$B$5=2024,#REF!,#REF!))))</f>
        <v>0</v>
      </c>
      <c r="AE300">
        <f>IF('INHERENT MAP'!$B$5=2021,'РЕЕСТР РИСКОВ_2023'!AK340,IF('INHERENT MAP'!$B$5=2022,#REF!,IF('INHERENT MAP'!$B$5=2023,#REF!,IF('INHERENT MAP'!$B$5=2024,#REF!,#REF!))))</f>
        <v>0</v>
      </c>
      <c r="AF300">
        <f>IF('INHERENT MAP'!$B$5=2021,'РЕЕСТР РИСКОВ_2023'!AL340,IF('INHERENT MAP'!$B$5=2022,#REF!,IF('INHERENT MAP'!$B$5=2023,#REF!,IF('INHERENT MAP'!$B$5=2024,#REF!,#REF!))))</f>
        <v>0</v>
      </c>
      <c r="AG300">
        <f>IF('INHERENT MAP'!$B$5=2021,'РЕЕСТР РИСКОВ_2023'!AM340,IF('INHERENT MAP'!$B$5=2022,#REF!,IF('INHERENT MAP'!$B$5=2023,#REF!,IF('INHERENT MAP'!$B$5=2024,#REF!,#REF!))))</f>
        <v>0</v>
      </c>
      <c r="AH300">
        <f>IF('INHERENT MAP'!$B$5=2021,'РЕЕСТР РИСКОВ_2023'!AN340,IF('INHERENT MAP'!$B$5=2022,#REF!,IF('INHERENT MAP'!$B$5=2023,#REF!,IF('INHERENT MAP'!$B$5=2024,#REF!,#REF!))))</f>
        <v>0</v>
      </c>
      <c r="AI300">
        <f>IF('INHERENT MAP'!$B$5=2021,'РЕЕСТР РИСКОВ_2023'!AO340,IF('INHERENT MAP'!$B$5=2022,#REF!,IF('INHERENT MAP'!$B$5=2023,#REF!,IF('INHERENT MAP'!$B$5=2024,#REF!,#REF!))))</f>
        <v>0</v>
      </c>
      <c r="AJ300">
        <f>IF('INHERENT MAP'!$B$5=2021,'РЕЕСТР РИСКОВ_2023'!AP340,IF('INHERENT MAP'!$B$5=2022,#REF!,IF('INHERENT MAP'!$B$5=2023,#REF!,IF('INHERENT MAP'!$B$5=2024,#REF!,#REF!))))</f>
        <v>0</v>
      </c>
      <c r="AK300">
        <f>IF('РЕЕСТР РИСКОВ_2023'!AQ340="",AK299,'РЕЕСТР РИСКОВ_2023'!AQ340)</f>
        <v>-216</v>
      </c>
      <c r="AL300">
        <f>IF('РЕЕСТР РИСКОВ_2023'!AR340="",AL299,'РЕЕСТР РИСКОВ_2023'!AR340)</f>
        <v>0.12</v>
      </c>
      <c r="AM300" t="str">
        <f>IF('РЕЕСТР РИСКОВ_2023'!AS340="",AM299,'РЕЕСТР РИСКОВ_2023'!AS340)</f>
        <v>стоп</v>
      </c>
      <c r="AN300" t="str">
        <f>IF('РЕЕСТР РИСКОВ_2023'!AT340="",AN299,'РЕЕСТР РИСКОВ_2023'!AT340)</f>
        <v>стоп</v>
      </c>
      <c r="AO300" t="e">
        <f>IF('РЕЕСТР РИСКОВ_2023'!AU340="",AO299,'РЕЕСТР РИСКОВ_2023'!AU340)</f>
        <v>#REF!</v>
      </c>
    </row>
    <row r="301" spans="2:41">
      <c r="B301" t="str">
        <f>IF('INHERENT MAP'!$B$5=2021,IF('РЕЕСТР РИСКОВ_2023'!F341="",B300,'РЕЕСТР РИСКОВ_2023'!F341),IF('INHERENT MAP'!$B$5=2022,IF(#REF!="",B300,#REF!),IF('INHERENT MAP'!$B$5=2023,IF(#REF!="",B300,#REF!),IF('INHERENT MAP'!$B$5=2024,IF(#REF!="",B300,#REF!),IF('РЕЕСТР РИСКОВ_2023'!F341="",B300,'РЕЕСТР РИСКОВ_2023'!F341)))))</f>
        <v>ПРОЦЕНТНЫЙ РИСК</v>
      </c>
      <c r="C301" t="e">
        <f>IF('INHERENT MAP'!$B$5=2021,IF('РЕЕСТР РИСКОВ_2023'!G341="",C300,'РЕЕСТР РИСКОВ_2023'!G341),IF('INHERENT MAP'!$B$5=2022,IF(#REF!="",C300,#REF!),IF('INHERENT MAP'!$B$5=2023,IF(#REF!="",C300,#REF!),IF('INHERENT MAP'!$B$5=2024,IF(#REF!="",C300,#REF!),IF('РЕЕСТР РИСКОВ_2023'!G341="",C300,'РЕЕСТР РИСКОВ_2023'!G341)))))</f>
        <v>#REF!</v>
      </c>
      <c r="D301" t="str">
        <f>IF('INHERENT MAP'!$B$5=2021,IF('РЕЕСТР РИСКОВ_2023'!H341="",D300,'РЕЕСТР РИСКОВ_2023'!H341),IF('INHERENT MAP'!$B$5=2022,IF(#REF!="",D300,#REF!),IF('INHERENT MAP'!$B$5=2023,IF(#REF!="",D300,#REF!),IF('INHERENT MAP'!$B$5=2024,IF(#REF!="",D300,#REF!),IF('РЕЕСТР РИСКОВ_2023'!H341="",D300,'РЕЕСТР РИСКОВ_2023'!H341)))))</f>
        <v>IRR-1</v>
      </c>
      <c r="E301" t="str">
        <f>IF('INHERENT MAP'!$B$5=2021,IF('РЕЕСТР РИСКОВ_2023'!I341="",E300,'РЕЕСТР РИСКОВ_2023'!I341),IF('INHERENT MAP'!$B$5=2022,IF(#REF!="",E300,#REF!),IF('INHERENT MAP'!$B$5=2023,IF(#REF!="",E300,#REF!),IF('INHERENT MAP'!$B$5=2024,IF(#REF!="",E300,#REF!),IF('РЕЕСТР РИСКОВ_2023'!I341="",E300,'РЕЕСТР РИСКОВ_2023'!I341)))))</f>
        <v>ЦЗФ</v>
      </c>
      <c r="F301" t="str">
        <f>IF('INHERENT MAP'!$B$5=2021,IF('РЕЕСТР РИСКОВ_2023'!J341="",F300,'РЕЕСТР РИСКОВ_2023'!J341),IF('INHERENT MAP'!$B$5=2022,IF(#REF!="",F300,#REF!),IF('INHERENT MAP'!$B$5=2023,IF(#REF!="",F300,#REF!),IF('INHERENT MAP'!$B$5=2024,IF(#REF!="",F300,#REF!),IF('РЕЕСТР РИСКОВ_2023'!J341="",F300,'РЕЕСТР РИСКОВ_2023'!J341)))))</f>
        <v>Цзайм</v>
      </c>
      <c r="G301" t="str">
        <f>IF('INHERENT MAP'!$B$5=2021,IF('РЕЕСТР РИСКОВ_2023'!K341="",G300,'РЕЕСТР РИСКОВ_2023'!K341),IF('INHERENT MAP'!$B$5=2022,IF(#REF!="",G300,#REF!),IF('INHERENT MAP'!$B$5=2023,IF(#REF!="",G300,#REF!),IF('INHERENT MAP'!$B$5=2024,IF(#REF!="",G300,#REF!),IF('РЕЕСТР РИСКОВ_2023'!K341="",G300,'РЕЕСТР РИСКОВ_2023'!K341)))))</f>
        <v>Увеличение расходов по процентам на новые займы, а также текущие займы (с плавающей ставкой) в тенге.</v>
      </c>
      <c r="H301">
        <f>IF('INHERENT MAP'!$B$5=2021,'РЕЕСТР РИСКОВ_2023'!L341,IF('INHERENT MAP'!$B$5=2022,#REF!,IF('INHERENT MAP'!$B$5=2023,#REF!,IF('INHERENT MAP'!$B$5=2024,#REF!,#REF!))))</f>
        <v>0</v>
      </c>
      <c r="I301">
        <f>IF('INHERENT MAP'!$B$5=2021,'РЕЕСТР РИСКОВ_2023'!M341,IF('INHERENT MAP'!$B$5=2022,#REF!,IF('INHERENT MAP'!$B$5=2023,#REF!,IF('INHERENT MAP'!$B$5=2024,#REF!,#REF!))))</f>
        <v>0</v>
      </c>
      <c r="J301">
        <f>IF('INHERENT MAP'!$B$5=2021,'РЕЕСТР РИСКОВ_2023'!N341,IF('INHERENT MAP'!$B$5=2022,#REF!,IF('INHERENT MAP'!$B$5=2023,#REF!,IF('INHERENT MAP'!$B$5=2024,#REF!,#REF!))))</f>
        <v>0</v>
      </c>
      <c r="K301">
        <f>IF('INHERENT MAP'!$B$5=2021,'РЕЕСТР РИСКОВ_2023'!O341,IF('INHERENT MAP'!$B$5=2022,#REF!,IF('INHERENT MAP'!$B$5=2023,#REF!,IF('INHERENT MAP'!$B$5=2024,#REF!,#REF!))))</f>
        <v>0</v>
      </c>
      <c r="L301">
        <f>IF('INHERENT MAP'!$B$5=2021,'РЕЕСТР РИСКОВ_2023'!P341,IF('INHERENT MAP'!$B$5=2022,#REF!,IF('INHERENT MAP'!$B$5=2023,#REF!,IF('INHERENT MAP'!$B$5=2024,#REF!,#REF!))))</f>
        <v>0</v>
      </c>
      <c r="M301" t="str">
        <f>IF('INHERENT MAP'!$B$5=2021,IF('РЕЕСТР РИСКОВ_2023'!Q341="",M300,'РЕЕСТР РИСКОВ_2023'!Q341),IF('INHERENT MAP'!$B$5=2022,IF(#REF!="",M300,#REF!),IF('INHERENT MAP'!$B$5=2023,IF(#REF!="",M300,#REF!),IF('INHERENT MAP'!$B$5=2024,IF(#REF!="",M300,#REF!),IF('РЕЕСТР РИСКОВ_2023'!Q341="",M300,'РЕЕСТР РИСКОВ_2023'!Q341)))))</f>
        <v>Увеличение базовой ставки Национального банка Республики Казахстан до 16%</v>
      </c>
      <c r="N301" t="str">
        <f>IF('INHERENT MAP'!$B$5=2021,IF('РЕЕСТР РИСКОВ_2023'!R341="",N300,'РЕЕСТР РИСКОВ_2023'!R341),IF('INHERENT MAP'!$B$5=2022,IF(#REF!="",N300,#REF!),IF('INHERENT MAP'!$B$5=2023,IF(#REF!="",N300,#REF!),IF('INHERENT MAP'!$B$5=2024,IF(#REF!="",N300,#REF!),IF('РЕЕСТР РИСКОВ_2023'!R341="",N300,'РЕЕСТР РИСКОВ_2023'!R341)))))</f>
        <v>Рецессия экономики европейских стран</v>
      </c>
      <c r="O301">
        <f>'РЕЕСТР РИСКОВ_2023'!T341</f>
        <v>0</v>
      </c>
      <c r="P301" t="e">
        <f>IF('РЕЕСТР РИСКОВ_2023'!U341="",P300,'РЕЕСТР РИСКОВ_2023'!U341)</f>
        <v>#REF!</v>
      </c>
      <c r="Q301" t="str">
        <f>IF('РЕЕСТР РИСКОВ_2023'!V341="",Q300,'РЕЕСТР РИСКОВ_2023'!V341)</f>
        <v>Угрозы</v>
      </c>
      <c r="R301" t="e">
        <f>IF('РЕЕСТР РИСКОВ_2023'!W341="",R300,'РЕЕСТР РИСКОВ_2023'!W341)</f>
        <v>#REF!</v>
      </c>
      <c r="S301">
        <f>'РЕЕСТР РИСКОВ_2023'!X341</f>
        <v>0</v>
      </c>
      <c r="T301" s="94">
        <f>IF('INHERENT MAP'!$B$5=2021,'РЕЕСТР РИСКОВ_2023'!Y341,IF('INHERENT MAP'!$B$5=2022,#REF!,IF('INHERENT MAP'!$B$5=2023,#REF!,IF('INHERENT MAP'!$B$5=2024,#REF!,#REF!))))</f>
        <v>0</v>
      </c>
      <c r="U301">
        <f>IF('INHERENT MAP'!$B$5=2021,'РЕЕСТР РИСКОВ_2023'!Z341,IF('INHERENT MAP'!$B$5=2022,#REF!,IF('INHERENT MAP'!$B$5=2023,#REF!,IF('INHERENT MAP'!$B$5=2024,#REF!,#REF!))))</f>
        <v>0</v>
      </c>
      <c r="V301">
        <f>IF('INHERENT MAP'!$B$5=2021,'РЕЕСТР РИСКОВ_2023'!AA341,IF('INHERENT MAP'!$B$5=2022,#REF!,IF('INHERENT MAP'!$B$5=2023,#REF!,IF('INHERENT MAP'!$B$5=2024,#REF!,#REF!))))</f>
        <v>0</v>
      </c>
      <c r="W301">
        <f>IF('INHERENT MAP'!$B$5=2021,'РЕЕСТР РИСКОВ_2023'!AB341,IF('INHERENT MAP'!$B$5=2022,#REF!,IF('INHERENT MAP'!$B$5=2023,#REF!,IF('INHERENT MAP'!$B$5=2024,#REF!,#REF!))))</f>
        <v>0</v>
      </c>
      <c r="X301" s="94">
        <f>IF('INHERENT MAP'!$B$5=2021,'РЕЕСТР РИСКОВ_2023'!AC341,IF('INHERENT MAP'!$B$5=2022,#REF!,IF('INHERENT MAP'!$B$5=2023,#REF!,IF('INHERENT MAP'!$B$5=2024,#REF!,#REF!))))</f>
        <v>0</v>
      </c>
      <c r="Y301">
        <f>IF('INHERENT MAP'!$B$5=2021,'РЕЕСТР РИСКОВ_2023'!AD341,IF('INHERENT MAP'!$B$5=2022,#REF!,IF('INHERENT MAP'!$B$5=2023,#REF!,IF('INHERENT MAP'!$B$5=2024,#REF!,#REF!))))</f>
        <v>0</v>
      </c>
      <c r="Z301">
        <f>IF('INHERENT MAP'!$B$5=2021,'РЕЕСТР РИСКОВ_2023'!AE341,IF('INHERENT MAP'!$B$5=2022,#REF!,IF('INHERENT MAP'!$B$5=2023,#REF!,IF('INHERENT MAP'!$B$5=2024,#REF!,#REF!))))</f>
        <v>0</v>
      </c>
      <c r="AA301">
        <f>IF('INHERENT MAP'!$B$5=2021,'РЕЕСТР РИСКОВ_2023'!AF341,IF('INHERENT MAP'!$B$5=2022,#REF!,IF('INHERENT MAP'!$B$5=2023,#REF!,IF('INHERENT MAP'!$B$5=2024,#REF!,#REF!))))</f>
        <v>0</v>
      </c>
      <c r="AB301">
        <f>IF('INHERENT MAP'!$B$5=2021,'РЕЕСТР РИСКОВ_2023'!AG341,IF('INHERENT MAP'!$B$5=2022,#REF!,IF('INHERENT MAP'!$B$5=2023,#REF!,IF('INHERENT MAP'!$B$5=2024,#REF!,#REF!))))</f>
        <v>0</v>
      </c>
      <c r="AC301">
        <f>IF('INHERENT MAP'!$B$5=2021,'РЕЕСТР РИСКОВ_2023'!AH341,IF('INHERENT MAP'!$B$5=2022,#REF!,IF('INHERENT MAP'!$B$5=2023,#REF!,IF('INHERENT MAP'!$B$5=2024,#REF!,#REF!))))</f>
        <v>0</v>
      </c>
      <c r="AD301">
        <f>IF('INHERENT MAP'!$B$5=2021,'РЕЕСТР РИСКОВ_2023'!AI341,IF('INHERENT MAP'!$B$5=2022,#REF!,IF('INHERENT MAP'!$B$5=2023,#REF!,IF('INHERENT MAP'!$B$5=2024,#REF!,#REF!))))</f>
        <v>0</v>
      </c>
      <c r="AE301">
        <f>IF('INHERENT MAP'!$B$5=2021,'РЕЕСТР РИСКОВ_2023'!AK341,IF('INHERENT MAP'!$B$5=2022,#REF!,IF('INHERENT MAP'!$B$5=2023,#REF!,IF('INHERENT MAP'!$B$5=2024,#REF!,#REF!))))</f>
        <v>0</v>
      </c>
      <c r="AF301">
        <f>IF('INHERENT MAP'!$B$5=2021,'РЕЕСТР РИСКОВ_2023'!AL341,IF('INHERENT MAP'!$B$5=2022,#REF!,IF('INHERENT MAP'!$B$5=2023,#REF!,IF('INHERENT MAP'!$B$5=2024,#REF!,#REF!))))</f>
        <v>0</v>
      </c>
      <c r="AG301">
        <f>IF('INHERENT MAP'!$B$5=2021,'РЕЕСТР РИСКОВ_2023'!AM341,IF('INHERENT MAP'!$B$5=2022,#REF!,IF('INHERENT MAP'!$B$5=2023,#REF!,IF('INHERENT MAP'!$B$5=2024,#REF!,#REF!))))</f>
        <v>0</v>
      </c>
      <c r="AH301">
        <f>IF('INHERENT MAP'!$B$5=2021,'РЕЕСТР РИСКОВ_2023'!AN341,IF('INHERENT MAP'!$B$5=2022,#REF!,IF('INHERENT MAP'!$B$5=2023,#REF!,IF('INHERENT MAP'!$B$5=2024,#REF!,#REF!))))</f>
        <v>0</v>
      </c>
      <c r="AI301">
        <f>IF('INHERENT MAP'!$B$5=2021,'РЕЕСТР РИСКОВ_2023'!AO341,IF('INHERENT MAP'!$B$5=2022,#REF!,IF('INHERENT MAP'!$B$5=2023,#REF!,IF('INHERENT MAP'!$B$5=2024,#REF!,#REF!))))</f>
        <v>0</v>
      </c>
      <c r="AJ301">
        <f>IF('INHERENT MAP'!$B$5=2021,'РЕЕСТР РИСКОВ_2023'!AP341,IF('INHERENT MAP'!$B$5=2022,#REF!,IF('INHERENT MAP'!$B$5=2023,#REF!,IF('INHERENT MAP'!$B$5=2024,#REF!,#REF!))))</f>
        <v>0</v>
      </c>
      <c r="AK301">
        <f>IF('РЕЕСТР РИСКОВ_2023'!AQ341="",AK300,'РЕЕСТР РИСКОВ_2023'!AQ341)</f>
        <v>-216</v>
      </c>
      <c r="AL301">
        <f>IF('РЕЕСТР РИСКОВ_2023'!AR341="",AL300,'РЕЕСТР РИСКОВ_2023'!AR341)</f>
        <v>0.12</v>
      </c>
      <c r="AM301" t="str">
        <f>IF('РЕЕСТР РИСКОВ_2023'!AS341="",AM300,'РЕЕСТР РИСКОВ_2023'!AS341)</f>
        <v>стоп</v>
      </c>
      <c r="AN301" t="str">
        <f>IF('РЕЕСТР РИСКОВ_2023'!AT341="",AN300,'РЕЕСТР РИСКОВ_2023'!AT341)</f>
        <v>стоп</v>
      </c>
      <c r="AO301" t="e">
        <f>IF('РЕЕСТР РИСКОВ_2023'!AU341="",AO300,'РЕЕСТР РИСКОВ_2023'!AU341)</f>
        <v>#REF!</v>
      </c>
    </row>
    <row r="302" spans="2:41">
      <c r="B302" t="str">
        <f>IF('INHERENT MAP'!$B$5=2021,IF('РЕЕСТР РИСКОВ_2023'!F342="",B301,'РЕЕСТР РИСКОВ_2023'!F342),IF('INHERENT MAP'!$B$5=2022,IF(#REF!="",B301,#REF!),IF('INHERENT MAP'!$B$5=2023,IF(#REF!="",B301,#REF!),IF('INHERENT MAP'!$B$5=2024,IF(#REF!="",B301,#REF!),IF('РЕЕСТР РИСКОВ_2023'!F342="",B301,'РЕЕСТР РИСКОВ_2023'!F342)))))</f>
        <v>ПРОЦЕНТНЫЙ РИСК</v>
      </c>
      <c r="C302" t="e">
        <f>IF('INHERENT MAP'!$B$5=2021,IF('РЕЕСТР РИСКОВ_2023'!G342="",C301,'РЕЕСТР РИСКОВ_2023'!G342),IF('INHERENT MAP'!$B$5=2022,IF(#REF!="",C301,#REF!),IF('INHERENT MAP'!$B$5=2023,IF(#REF!="",C301,#REF!),IF('INHERENT MAP'!$B$5=2024,IF(#REF!="",C301,#REF!),IF('РЕЕСТР РИСКОВ_2023'!G342="",C301,'РЕЕСТР РИСКОВ_2023'!G342)))))</f>
        <v>#REF!</v>
      </c>
      <c r="D302" t="str">
        <f>IF('INHERENT MAP'!$B$5=2021,IF('РЕЕСТР РИСКОВ_2023'!H342="",D301,'РЕЕСТР РИСКОВ_2023'!H342),IF('INHERENT MAP'!$B$5=2022,IF(#REF!="",D301,#REF!),IF('INHERENT MAP'!$B$5=2023,IF(#REF!="",D301,#REF!),IF('INHERENT MAP'!$B$5=2024,IF(#REF!="",D301,#REF!),IF('РЕЕСТР РИСКОВ_2023'!H342="",D301,'РЕЕСТР РИСКОВ_2023'!H342)))))</f>
        <v>IRR-1</v>
      </c>
      <c r="E302" t="str">
        <f>IF('INHERENT MAP'!$B$5=2021,IF('РЕЕСТР РИСКОВ_2023'!I342="",E301,'РЕЕСТР РИСКОВ_2023'!I342),IF('INHERENT MAP'!$B$5=2022,IF(#REF!="",E301,#REF!),IF('INHERENT MAP'!$B$5=2023,IF(#REF!="",E301,#REF!),IF('INHERENT MAP'!$B$5=2024,IF(#REF!="",E301,#REF!),IF('РЕЕСТР РИСКОВ_2023'!I342="",E301,'РЕЕСТР РИСКОВ_2023'!I342)))))</f>
        <v>ЦЗФ</v>
      </c>
      <c r="F302" t="str">
        <f>IF('INHERENT MAP'!$B$5=2021,IF('РЕЕСТР РИСКОВ_2023'!J342="",F301,'РЕЕСТР РИСКОВ_2023'!J342),IF('INHERENT MAP'!$B$5=2022,IF(#REF!="",F301,#REF!),IF('INHERENT MAP'!$B$5=2023,IF(#REF!="",F301,#REF!),IF('INHERENT MAP'!$B$5=2024,IF(#REF!="",F301,#REF!),IF('РЕЕСТР РИСКОВ_2023'!J342="",F301,'РЕЕСТР РИСКОВ_2023'!J342)))))</f>
        <v>Цзайм</v>
      </c>
      <c r="G302" t="str">
        <f>IF('INHERENT MAP'!$B$5=2021,IF('РЕЕСТР РИСКОВ_2023'!K342="",G301,'РЕЕСТР РИСКОВ_2023'!K342),IF('INHERENT MAP'!$B$5=2022,IF(#REF!="",G301,#REF!),IF('INHERENT MAP'!$B$5=2023,IF(#REF!="",G301,#REF!),IF('INHERENT MAP'!$B$5=2024,IF(#REF!="",G301,#REF!),IF('РЕЕСТР РИСКОВ_2023'!K342="",G301,'РЕЕСТР РИСКОВ_2023'!K342)))))</f>
        <v>Увеличение расходов по процентам на новые займы, а также текущие займы (с плавающей ставкой) в тенге.</v>
      </c>
      <c r="H302">
        <f>IF('INHERENT MAP'!$B$5=2021,'РЕЕСТР РИСКОВ_2023'!L342,IF('INHERENT MAP'!$B$5=2022,#REF!,IF('INHERENT MAP'!$B$5=2023,#REF!,IF('INHERENT MAP'!$B$5=2024,#REF!,#REF!))))</f>
        <v>0</v>
      </c>
      <c r="I302">
        <f>IF('INHERENT MAP'!$B$5=2021,'РЕЕСТР РИСКОВ_2023'!M342,IF('INHERENT MAP'!$B$5=2022,#REF!,IF('INHERENT MAP'!$B$5=2023,#REF!,IF('INHERENT MAP'!$B$5=2024,#REF!,#REF!))))</f>
        <v>0</v>
      </c>
      <c r="J302">
        <f>IF('INHERENT MAP'!$B$5=2021,'РЕЕСТР РИСКОВ_2023'!N342,IF('INHERENT MAP'!$B$5=2022,#REF!,IF('INHERENT MAP'!$B$5=2023,#REF!,IF('INHERENT MAP'!$B$5=2024,#REF!,#REF!))))</f>
        <v>0</v>
      </c>
      <c r="K302">
        <f>IF('INHERENT MAP'!$B$5=2021,'РЕЕСТР РИСКОВ_2023'!O342,IF('INHERENT MAP'!$B$5=2022,#REF!,IF('INHERENT MAP'!$B$5=2023,#REF!,IF('INHERENT MAP'!$B$5=2024,#REF!,#REF!))))</f>
        <v>0</v>
      </c>
      <c r="L302">
        <f>IF('INHERENT MAP'!$B$5=2021,'РЕЕСТР РИСКОВ_2023'!P342,IF('INHERENT MAP'!$B$5=2022,#REF!,IF('INHERENT MAP'!$B$5=2023,#REF!,IF('INHERENT MAP'!$B$5=2024,#REF!,#REF!))))</f>
        <v>0</v>
      </c>
      <c r="M302" t="str">
        <f>IF('INHERENT MAP'!$B$5=2021,IF('РЕЕСТР РИСКОВ_2023'!Q342="",M301,'РЕЕСТР РИСКОВ_2023'!Q342),IF('INHERENT MAP'!$B$5=2022,IF(#REF!="",M301,#REF!),IF('INHERENT MAP'!$B$5=2023,IF(#REF!="",M301,#REF!),IF('INHERENT MAP'!$B$5=2024,IF(#REF!="",M301,#REF!),IF('РЕЕСТР РИСКОВ_2023'!Q342="",M301,'РЕЕСТР РИСКОВ_2023'!Q342)))))</f>
        <v>Увеличение базовой ставки Национального банка Республики Казахстан до 16%</v>
      </c>
      <c r="N302" t="str">
        <f>IF('INHERENT MAP'!$B$5=2021,IF('РЕЕСТР РИСКОВ_2023'!R342="",N301,'РЕЕСТР РИСКОВ_2023'!R342),IF('INHERENT MAP'!$B$5=2022,IF(#REF!="",N301,#REF!),IF('INHERENT MAP'!$B$5=2023,IF(#REF!="",N301,#REF!),IF('INHERENT MAP'!$B$5=2024,IF(#REF!="",N301,#REF!),IF('РЕЕСТР РИСКОВ_2023'!R342="",N301,'РЕЕСТР РИСКОВ_2023'!R342)))))</f>
        <v>Рецессия экономики европейских стран</v>
      </c>
      <c r="O302">
        <f>'РЕЕСТР РИСКОВ_2023'!T342</f>
        <v>0</v>
      </c>
      <c r="P302" t="e">
        <f>IF('РЕЕСТР РИСКОВ_2023'!U342="",P301,'РЕЕСТР РИСКОВ_2023'!U342)</f>
        <v>#REF!</v>
      </c>
      <c r="Q302" t="str">
        <f>IF('РЕЕСТР РИСКОВ_2023'!V342="",Q301,'РЕЕСТР РИСКОВ_2023'!V342)</f>
        <v>Угрозы</v>
      </c>
      <c r="R302" t="e">
        <f>IF('РЕЕСТР РИСКОВ_2023'!W342="",R301,'РЕЕСТР РИСКОВ_2023'!W342)</f>
        <v>#REF!</v>
      </c>
      <c r="S302">
        <f>'РЕЕСТР РИСКОВ_2023'!X342</f>
        <v>0</v>
      </c>
      <c r="T302" s="94">
        <f>IF('INHERENT MAP'!$B$5=2021,'РЕЕСТР РИСКОВ_2023'!Y342,IF('INHERENT MAP'!$B$5=2022,#REF!,IF('INHERENT MAP'!$B$5=2023,#REF!,IF('INHERENT MAP'!$B$5=2024,#REF!,#REF!))))</f>
        <v>0</v>
      </c>
      <c r="U302">
        <f>IF('INHERENT MAP'!$B$5=2021,'РЕЕСТР РИСКОВ_2023'!Z342,IF('INHERENT MAP'!$B$5=2022,#REF!,IF('INHERENT MAP'!$B$5=2023,#REF!,IF('INHERENT MAP'!$B$5=2024,#REF!,#REF!))))</f>
        <v>0</v>
      </c>
      <c r="V302">
        <f>IF('INHERENT MAP'!$B$5=2021,'РЕЕСТР РИСКОВ_2023'!AA342,IF('INHERENT MAP'!$B$5=2022,#REF!,IF('INHERENT MAP'!$B$5=2023,#REF!,IF('INHERENT MAP'!$B$5=2024,#REF!,#REF!))))</f>
        <v>0</v>
      </c>
      <c r="W302">
        <f>IF('INHERENT MAP'!$B$5=2021,'РЕЕСТР РИСКОВ_2023'!AB342,IF('INHERENT MAP'!$B$5=2022,#REF!,IF('INHERENT MAP'!$B$5=2023,#REF!,IF('INHERENT MAP'!$B$5=2024,#REF!,#REF!))))</f>
        <v>0</v>
      </c>
      <c r="X302" s="94">
        <f>IF('INHERENT MAP'!$B$5=2021,'РЕЕСТР РИСКОВ_2023'!AC342,IF('INHERENT MAP'!$B$5=2022,#REF!,IF('INHERENT MAP'!$B$5=2023,#REF!,IF('INHERENT MAP'!$B$5=2024,#REF!,#REF!))))</f>
        <v>0</v>
      </c>
      <c r="Y302">
        <f>IF('INHERENT MAP'!$B$5=2021,'РЕЕСТР РИСКОВ_2023'!AD342,IF('INHERENT MAP'!$B$5=2022,#REF!,IF('INHERENT MAP'!$B$5=2023,#REF!,IF('INHERENT MAP'!$B$5=2024,#REF!,#REF!))))</f>
        <v>0</v>
      </c>
      <c r="Z302">
        <f>IF('INHERENT MAP'!$B$5=2021,'РЕЕСТР РИСКОВ_2023'!AE342,IF('INHERENT MAP'!$B$5=2022,#REF!,IF('INHERENT MAP'!$B$5=2023,#REF!,IF('INHERENT MAP'!$B$5=2024,#REF!,#REF!))))</f>
        <v>0</v>
      </c>
      <c r="AA302">
        <f>IF('INHERENT MAP'!$B$5=2021,'РЕЕСТР РИСКОВ_2023'!AF342,IF('INHERENT MAP'!$B$5=2022,#REF!,IF('INHERENT MAP'!$B$5=2023,#REF!,IF('INHERENT MAP'!$B$5=2024,#REF!,#REF!))))</f>
        <v>0</v>
      </c>
      <c r="AB302">
        <f>IF('INHERENT MAP'!$B$5=2021,'РЕЕСТР РИСКОВ_2023'!AG342,IF('INHERENT MAP'!$B$5=2022,#REF!,IF('INHERENT MAP'!$B$5=2023,#REF!,IF('INHERENT MAP'!$B$5=2024,#REF!,#REF!))))</f>
        <v>0</v>
      </c>
      <c r="AC302">
        <f>IF('INHERENT MAP'!$B$5=2021,'РЕЕСТР РИСКОВ_2023'!AH342,IF('INHERENT MAP'!$B$5=2022,#REF!,IF('INHERENT MAP'!$B$5=2023,#REF!,IF('INHERENT MAP'!$B$5=2024,#REF!,#REF!))))</f>
        <v>0</v>
      </c>
      <c r="AD302">
        <f>IF('INHERENT MAP'!$B$5=2021,'РЕЕСТР РИСКОВ_2023'!AI342,IF('INHERENT MAP'!$B$5=2022,#REF!,IF('INHERENT MAP'!$B$5=2023,#REF!,IF('INHERENT MAP'!$B$5=2024,#REF!,#REF!))))</f>
        <v>0</v>
      </c>
      <c r="AE302">
        <f>IF('INHERENT MAP'!$B$5=2021,'РЕЕСТР РИСКОВ_2023'!AK342,IF('INHERENT MAP'!$B$5=2022,#REF!,IF('INHERENT MAP'!$B$5=2023,#REF!,IF('INHERENT MAP'!$B$5=2024,#REF!,#REF!))))</f>
        <v>0</v>
      </c>
      <c r="AF302">
        <f>IF('INHERENT MAP'!$B$5=2021,'РЕЕСТР РИСКОВ_2023'!AL342,IF('INHERENT MAP'!$B$5=2022,#REF!,IF('INHERENT MAP'!$B$5=2023,#REF!,IF('INHERENT MAP'!$B$5=2024,#REF!,#REF!))))</f>
        <v>0</v>
      </c>
      <c r="AG302">
        <f>IF('INHERENT MAP'!$B$5=2021,'РЕЕСТР РИСКОВ_2023'!AM342,IF('INHERENT MAP'!$B$5=2022,#REF!,IF('INHERENT MAP'!$B$5=2023,#REF!,IF('INHERENT MAP'!$B$5=2024,#REF!,#REF!))))</f>
        <v>0</v>
      </c>
      <c r="AH302">
        <f>IF('INHERENT MAP'!$B$5=2021,'РЕЕСТР РИСКОВ_2023'!AN342,IF('INHERENT MAP'!$B$5=2022,#REF!,IF('INHERENT MAP'!$B$5=2023,#REF!,IF('INHERENT MAP'!$B$5=2024,#REF!,#REF!))))</f>
        <v>0</v>
      </c>
      <c r="AI302">
        <f>IF('INHERENT MAP'!$B$5=2021,'РЕЕСТР РИСКОВ_2023'!AO342,IF('INHERENT MAP'!$B$5=2022,#REF!,IF('INHERENT MAP'!$B$5=2023,#REF!,IF('INHERENT MAP'!$B$5=2024,#REF!,#REF!))))</f>
        <v>0</v>
      </c>
      <c r="AJ302">
        <f>IF('INHERENT MAP'!$B$5=2021,'РЕЕСТР РИСКОВ_2023'!AP342,IF('INHERENT MAP'!$B$5=2022,#REF!,IF('INHERENT MAP'!$B$5=2023,#REF!,IF('INHERENT MAP'!$B$5=2024,#REF!,#REF!))))</f>
        <v>0</v>
      </c>
      <c r="AK302">
        <f>IF('РЕЕСТР РИСКОВ_2023'!AQ342="",AK301,'РЕЕСТР РИСКОВ_2023'!AQ342)</f>
        <v>-216</v>
      </c>
      <c r="AL302">
        <f>IF('РЕЕСТР РИСКОВ_2023'!AR342="",AL301,'РЕЕСТР РИСКОВ_2023'!AR342)</f>
        <v>0.12</v>
      </c>
      <c r="AM302" t="str">
        <f>IF('РЕЕСТР РИСКОВ_2023'!AS342="",AM301,'РЕЕСТР РИСКОВ_2023'!AS342)</f>
        <v>стоп</v>
      </c>
      <c r="AN302" t="str">
        <f>IF('РЕЕСТР РИСКОВ_2023'!AT342="",AN301,'РЕЕСТР РИСКОВ_2023'!AT342)</f>
        <v>стоп</v>
      </c>
      <c r="AO302" t="e">
        <f>IF('РЕЕСТР РИСКОВ_2023'!AU342="",AO301,'РЕЕСТР РИСКОВ_2023'!AU342)</f>
        <v>#REF!</v>
      </c>
    </row>
    <row r="303" spans="2:41">
      <c r="B303" t="str">
        <f>IF('INHERENT MAP'!$B$5=2021,IF('РЕЕСТР РИСКОВ_2023'!F343="",B302,'РЕЕСТР РИСКОВ_2023'!F343),IF('INHERENT MAP'!$B$5=2022,IF(#REF!="",B302,#REF!),IF('INHERENT MAP'!$B$5=2023,IF(#REF!="",B302,#REF!),IF('INHERENT MAP'!$B$5=2024,IF(#REF!="",B302,#REF!),IF('РЕЕСТР РИСКОВ_2023'!F343="",B302,'РЕЕСТР РИСКОВ_2023'!F343)))))</f>
        <v>ПРОЦЕНТНЫЙ РИСК</v>
      </c>
      <c r="C303" t="e">
        <f>IF('INHERENT MAP'!$B$5=2021,IF('РЕЕСТР РИСКОВ_2023'!G343="",C302,'РЕЕСТР РИСКОВ_2023'!G343),IF('INHERENT MAP'!$B$5=2022,IF(#REF!="",C302,#REF!),IF('INHERENT MAP'!$B$5=2023,IF(#REF!="",C302,#REF!),IF('INHERENT MAP'!$B$5=2024,IF(#REF!="",C302,#REF!),IF('РЕЕСТР РИСКОВ_2023'!G343="",C302,'РЕЕСТР РИСКОВ_2023'!G343)))))</f>
        <v>#REF!</v>
      </c>
      <c r="D303" t="str">
        <f>IF('INHERENT MAP'!$B$5=2021,IF('РЕЕСТР РИСКОВ_2023'!H343="",D302,'РЕЕСТР РИСКОВ_2023'!H343),IF('INHERENT MAP'!$B$5=2022,IF(#REF!="",D302,#REF!),IF('INHERENT MAP'!$B$5=2023,IF(#REF!="",D302,#REF!),IF('INHERENT MAP'!$B$5=2024,IF(#REF!="",D302,#REF!),IF('РЕЕСТР РИСКОВ_2023'!H343="",D302,'РЕЕСТР РИСКОВ_2023'!H343)))))</f>
        <v>IRR-1</v>
      </c>
      <c r="E303" t="str">
        <f>IF('INHERENT MAP'!$B$5=2021,IF('РЕЕСТР РИСКОВ_2023'!I343="",E302,'РЕЕСТР РИСКОВ_2023'!I343),IF('INHERENT MAP'!$B$5=2022,IF(#REF!="",E302,#REF!),IF('INHERENT MAP'!$B$5=2023,IF(#REF!="",E302,#REF!),IF('INHERENT MAP'!$B$5=2024,IF(#REF!="",E302,#REF!),IF('РЕЕСТР РИСКОВ_2023'!I343="",E302,'РЕЕСТР РИСКОВ_2023'!I343)))))</f>
        <v>ЦЗФ</v>
      </c>
      <c r="F303" t="str">
        <f>IF('INHERENT MAP'!$B$5=2021,IF('РЕЕСТР РИСКОВ_2023'!J343="",F302,'РЕЕСТР РИСКОВ_2023'!J343),IF('INHERENT MAP'!$B$5=2022,IF(#REF!="",F302,#REF!),IF('INHERENT MAP'!$B$5=2023,IF(#REF!="",F302,#REF!),IF('INHERENT MAP'!$B$5=2024,IF(#REF!="",F302,#REF!),IF('РЕЕСТР РИСКОВ_2023'!J343="",F302,'РЕЕСТР РИСКОВ_2023'!J343)))))</f>
        <v>Цзайм</v>
      </c>
      <c r="G303" t="str">
        <f>IF('INHERENT MAP'!$B$5=2021,IF('РЕЕСТР РИСКОВ_2023'!K343="",G302,'РЕЕСТР РИСКОВ_2023'!K343),IF('INHERENT MAP'!$B$5=2022,IF(#REF!="",G302,#REF!),IF('INHERENT MAP'!$B$5=2023,IF(#REF!="",G302,#REF!),IF('INHERENT MAP'!$B$5=2024,IF(#REF!="",G302,#REF!),IF('РЕЕСТР РИСКОВ_2023'!K343="",G302,'РЕЕСТР РИСКОВ_2023'!K343)))))</f>
        <v>Увеличение расходов по процентам на новые займы, а также текущие займы (с плавающей ставкой) в тенге.</v>
      </c>
      <c r="H303">
        <f>IF('INHERENT MAP'!$B$5=2021,'РЕЕСТР РИСКОВ_2023'!L343,IF('INHERENT MAP'!$B$5=2022,#REF!,IF('INHERENT MAP'!$B$5=2023,#REF!,IF('INHERENT MAP'!$B$5=2024,#REF!,#REF!))))</f>
        <v>0</v>
      </c>
      <c r="I303">
        <f>IF('INHERENT MAP'!$B$5=2021,'РЕЕСТР РИСКОВ_2023'!M343,IF('INHERENT MAP'!$B$5=2022,#REF!,IF('INHERENT MAP'!$B$5=2023,#REF!,IF('INHERENT MAP'!$B$5=2024,#REF!,#REF!))))</f>
        <v>0</v>
      </c>
      <c r="J303">
        <f>IF('INHERENT MAP'!$B$5=2021,'РЕЕСТР РИСКОВ_2023'!N343,IF('INHERENT MAP'!$B$5=2022,#REF!,IF('INHERENT MAP'!$B$5=2023,#REF!,IF('INHERENT MAP'!$B$5=2024,#REF!,#REF!))))</f>
        <v>0</v>
      </c>
      <c r="K303">
        <f>IF('INHERENT MAP'!$B$5=2021,'РЕЕСТР РИСКОВ_2023'!O343,IF('INHERENT MAP'!$B$5=2022,#REF!,IF('INHERENT MAP'!$B$5=2023,#REF!,IF('INHERENT MAP'!$B$5=2024,#REF!,#REF!))))</f>
        <v>0</v>
      </c>
      <c r="L303">
        <f>IF('INHERENT MAP'!$B$5=2021,'РЕЕСТР РИСКОВ_2023'!P343,IF('INHERENT MAP'!$B$5=2022,#REF!,IF('INHERENT MAP'!$B$5=2023,#REF!,IF('INHERENT MAP'!$B$5=2024,#REF!,#REF!))))</f>
        <v>0</v>
      </c>
      <c r="M303" t="str">
        <f>IF('INHERENT MAP'!$B$5=2021,IF('РЕЕСТР РИСКОВ_2023'!Q343="",M302,'РЕЕСТР РИСКОВ_2023'!Q343),IF('INHERENT MAP'!$B$5=2022,IF(#REF!="",M302,#REF!),IF('INHERENT MAP'!$B$5=2023,IF(#REF!="",M302,#REF!),IF('INHERENT MAP'!$B$5=2024,IF(#REF!="",M302,#REF!),IF('РЕЕСТР РИСКОВ_2023'!Q343="",M302,'РЕЕСТР РИСКОВ_2023'!Q343)))))</f>
        <v>Увеличение базовой ставки Национального банка Республики Казахстан до 16%</v>
      </c>
      <c r="N303" t="str">
        <f>IF('INHERENT MAP'!$B$5=2021,IF('РЕЕСТР РИСКОВ_2023'!R343="",N302,'РЕЕСТР РИСКОВ_2023'!R343),IF('INHERENT MAP'!$B$5=2022,IF(#REF!="",N302,#REF!),IF('INHERENT MAP'!$B$5=2023,IF(#REF!="",N302,#REF!),IF('INHERENT MAP'!$B$5=2024,IF(#REF!="",N302,#REF!),IF('РЕЕСТР РИСКОВ_2023'!R343="",N302,'РЕЕСТР РИСКОВ_2023'!R343)))))</f>
        <v>Рецессия экономики европейских стран</v>
      </c>
      <c r="O303">
        <f>'РЕЕСТР РИСКОВ_2023'!T343</f>
        <v>0</v>
      </c>
      <c r="P303" t="e">
        <f>IF('РЕЕСТР РИСКОВ_2023'!U343="",P302,'РЕЕСТР РИСКОВ_2023'!U343)</f>
        <v>#REF!</v>
      </c>
      <c r="Q303" t="str">
        <f>IF('РЕЕСТР РИСКОВ_2023'!V343="",Q302,'РЕЕСТР РИСКОВ_2023'!V343)</f>
        <v>Угрозы</v>
      </c>
      <c r="R303" t="e">
        <f>IF('РЕЕСТР РИСКОВ_2023'!W343="",R302,'РЕЕСТР РИСКОВ_2023'!W343)</f>
        <v>#REF!</v>
      </c>
      <c r="S303">
        <f>'РЕЕСТР РИСКОВ_2023'!X343</f>
        <v>0</v>
      </c>
      <c r="T303" s="94">
        <f>IF('INHERENT MAP'!$B$5=2021,'РЕЕСТР РИСКОВ_2023'!Y343,IF('INHERENT MAP'!$B$5=2022,#REF!,IF('INHERENT MAP'!$B$5=2023,#REF!,IF('INHERENT MAP'!$B$5=2024,#REF!,#REF!))))</f>
        <v>0</v>
      </c>
      <c r="U303">
        <f>IF('INHERENT MAP'!$B$5=2021,'РЕЕСТР РИСКОВ_2023'!Z343,IF('INHERENT MAP'!$B$5=2022,#REF!,IF('INHERENT MAP'!$B$5=2023,#REF!,IF('INHERENT MAP'!$B$5=2024,#REF!,#REF!))))</f>
        <v>0</v>
      </c>
      <c r="V303">
        <f>IF('INHERENT MAP'!$B$5=2021,'РЕЕСТР РИСКОВ_2023'!AA343,IF('INHERENT MAP'!$B$5=2022,#REF!,IF('INHERENT MAP'!$B$5=2023,#REF!,IF('INHERENT MAP'!$B$5=2024,#REF!,#REF!))))</f>
        <v>0</v>
      </c>
      <c r="W303">
        <f>IF('INHERENT MAP'!$B$5=2021,'РЕЕСТР РИСКОВ_2023'!AB343,IF('INHERENT MAP'!$B$5=2022,#REF!,IF('INHERENT MAP'!$B$5=2023,#REF!,IF('INHERENT MAP'!$B$5=2024,#REF!,#REF!))))</f>
        <v>0</v>
      </c>
      <c r="X303" s="94">
        <f>IF('INHERENT MAP'!$B$5=2021,'РЕЕСТР РИСКОВ_2023'!AC343,IF('INHERENT MAP'!$B$5=2022,#REF!,IF('INHERENT MAP'!$B$5=2023,#REF!,IF('INHERENT MAP'!$B$5=2024,#REF!,#REF!))))</f>
        <v>0</v>
      </c>
      <c r="Y303">
        <f>IF('INHERENT MAP'!$B$5=2021,'РЕЕСТР РИСКОВ_2023'!AD343,IF('INHERENT MAP'!$B$5=2022,#REF!,IF('INHERENT MAP'!$B$5=2023,#REF!,IF('INHERENT MAP'!$B$5=2024,#REF!,#REF!))))</f>
        <v>0</v>
      </c>
      <c r="Z303">
        <f>IF('INHERENT MAP'!$B$5=2021,'РЕЕСТР РИСКОВ_2023'!AE343,IF('INHERENT MAP'!$B$5=2022,#REF!,IF('INHERENT MAP'!$B$5=2023,#REF!,IF('INHERENT MAP'!$B$5=2024,#REF!,#REF!))))</f>
        <v>0</v>
      </c>
      <c r="AA303">
        <f>IF('INHERENT MAP'!$B$5=2021,'РЕЕСТР РИСКОВ_2023'!AF343,IF('INHERENT MAP'!$B$5=2022,#REF!,IF('INHERENT MAP'!$B$5=2023,#REF!,IF('INHERENT MAP'!$B$5=2024,#REF!,#REF!))))</f>
        <v>0</v>
      </c>
      <c r="AB303">
        <f>IF('INHERENT MAP'!$B$5=2021,'РЕЕСТР РИСКОВ_2023'!AG343,IF('INHERENT MAP'!$B$5=2022,#REF!,IF('INHERENT MAP'!$B$5=2023,#REF!,IF('INHERENT MAP'!$B$5=2024,#REF!,#REF!))))</f>
        <v>0</v>
      </c>
      <c r="AC303">
        <f>IF('INHERENT MAP'!$B$5=2021,'РЕЕСТР РИСКОВ_2023'!AH343,IF('INHERENT MAP'!$B$5=2022,#REF!,IF('INHERENT MAP'!$B$5=2023,#REF!,IF('INHERENT MAP'!$B$5=2024,#REF!,#REF!))))</f>
        <v>0</v>
      </c>
      <c r="AD303">
        <f>IF('INHERENT MAP'!$B$5=2021,'РЕЕСТР РИСКОВ_2023'!AI343,IF('INHERENT MAP'!$B$5=2022,#REF!,IF('INHERENT MAP'!$B$5=2023,#REF!,IF('INHERENT MAP'!$B$5=2024,#REF!,#REF!))))</f>
        <v>0</v>
      </c>
      <c r="AE303">
        <f>IF('INHERENT MAP'!$B$5=2021,'РЕЕСТР РИСКОВ_2023'!AK343,IF('INHERENT MAP'!$B$5=2022,#REF!,IF('INHERENT MAP'!$B$5=2023,#REF!,IF('INHERENT MAP'!$B$5=2024,#REF!,#REF!))))</f>
        <v>0</v>
      </c>
      <c r="AF303">
        <f>IF('INHERENT MAP'!$B$5=2021,'РЕЕСТР РИСКОВ_2023'!AL343,IF('INHERENT MAP'!$B$5=2022,#REF!,IF('INHERENT MAP'!$B$5=2023,#REF!,IF('INHERENT MAP'!$B$5=2024,#REF!,#REF!))))</f>
        <v>0</v>
      </c>
      <c r="AG303">
        <f>IF('INHERENT MAP'!$B$5=2021,'РЕЕСТР РИСКОВ_2023'!AM343,IF('INHERENT MAP'!$B$5=2022,#REF!,IF('INHERENT MAP'!$B$5=2023,#REF!,IF('INHERENT MAP'!$B$5=2024,#REF!,#REF!))))</f>
        <v>0</v>
      </c>
      <c r="AH303">
        <f>IF('INHERENT MAP'!$B$5=2021,'РЕЕСТР РИСКОВ_2023'!AN343,IF('INHERENT MAP'!$B$5=2022,#REF!,IF('INHERENT MAP'!$B$5=2023,#REF!,IF('INHERENT MAP'!$B$5=2024,#REF!,#REF!))))</f>
        <v>0</v>
      </c>
      <c r="AI303">
        <f>IF('INHERENT MAP'!$B$5=2021,'РЕЕСТР РИСКОВ_2023'!AO343,IF('INHERENT MAP'!$B$5=2022,#REF!,IF('INHERENT MAP'!$B$5=2023,#REF!,IF('INHERENT MAP'!$B$5=2024,#REF!,#REF!))))</f>
        <v>0</v>
      </c>
      <c r="AJ303">
        <f>IF('INHERENT MAP'!$B$5=2021,'РЕЕСТР РИСКОВ_2023'!AP343,IF('INHERENT MAP'!$B$5=2022,#REF!,IF('INHERENT MAP'!$B$5=2023,#REF!,IF('INHERENT MAP'!$B$5=2024,#REF!,#REF!))))</f>
        <v>0</v>
      </c>
      <c r="AK303">
        <f>IF('РЕЕСТР РИСКОВ_2023'!AQ343="",AK302,'РЕЕСТР РИСКОВ_2023'!AQ343)</f>
        <v>-216</v>
      </c>
      <c r="AL303">
        <f>IF('РЕЕСТР РИСКОВ_2023'!AR343="",AL302,'РЕЕСТР РИСКОВ_2023'!AR343)</f>
        <v>0.12</v>
      </c>
      <c r="AM303" t="str">
        <f>IF('РЕЕСТР РИСКОВ_2023'!AS343="",AM302,'РЕЕСТР РИСКОВ_2023'!AS343)</f>
        <v>стоп</v>
      </c>
      <c r="AN303" t="str">
        <f>IF('РЕЕСТР РИСКОВ_2023'!AT343="",AN302,'РЕЕСТР РИСКОВ_2023'!AT343)</f>
        <v>стоп</v>
      </c>
      <c r="AO303" t="e">
        <f>IF('РЕЕСТР РИСКОВ_2023'!AU343="",AO302,'РЕЕСТР РИСКОВ_2023'!AU343)</f>
        <v>#REF!</v>
      </c>
    </row>
    <row r="304" spans="2:41">
      <c r="B304" t="str">
        <f>IF('INHERENT MAP'!$B$5=2021,IF('РЕЕСТР РИСКОВ_2023'!F344="",B303,'РЕЕСТР РИСКОВ_2023'!F344),IF('INHERENT MAP'!$B$5=2022,IF(#REF!="",B303,#REF!),IF('INHERENT MAP'!$B$5=2023,IF(#REF!="",B303,#REF!),IF('INHERENT MAP'!$B$5=2024,IF(#REF!="",B303,#REF!),IF('РЕЕСТР РИСКОВ_2023'!F344="",B303,'РЕЕСТР РИСКОВ_2023'!F344)))))</f>
        <v>ПРОЦЕНТНЫЙ РИСК</v>
      </c>
      <c r="C304" t="e">
        <f>IF('INHERENT MAP'!$B$5=2021,IF('РЕЕСТР РИСКОВ_2023'!G344="",C303,'РЕЕСТР РИСКОВ_2023'!G344),IF('INHERENT MAP'!$B$5=2022,IF(#REF!="",C303,#REF!),IF('INHERENT MAP'!$B$5=2023,IF(#REF!="",C303,#REF!),IF('INHERENT MAP'!$B$5=2024,IF(#REF!="",C303,#REF!),IF('РЕЕСТР РИСКОВ_2023'!G344="",C303,'РЕЕСТР РИСКОВ_2023'!G344)))))</f>
        <v>#REF!</v>
      </c>
      <c r="D304" t="str">
        <f>IF('INHERENT MAP'!$B$5=2021,IF('РЕЕСТР РИСКОВ_2023'!H344="",D303,'РЕЕСТР РИСКОВ_2023'!H344),IF('INHERENT MAP'!$B$5=2022,IF(#REF!="",D303,#REF!),IF('INHERENT MAP'!$B$5=2023,IF(#REF!="",D303,#REF!),IF('INHERENT MAP'!$B$5=2024,IF(#REF!="",D303,#REF!),IF('РЕЕСТР РИСКОВ_2023'!H344="",D303,'РЕЕСТР РИСКОВ_2023'!H344)))))</f>
        <v>IRR-1</v>
      </c>
      <c r="E304" t="str">
        <f>IF('INHERENT MAP'!$B$5=2021,IF('РЕЕСТР РИСКОВ_2023'!I344="",E303,'РЕЕСТР РИСКОВ_2023'!I344),IF('INHERENT MAP'!$B$5=2022,IF(#REF!="",E303,#REF!),IF('INHERENT MAP'!$B$5=2023,IF(#REF!="",E303,#REF!),IF('INHERENT MAP'!$B$5=2024,IF(#REF!="",E303,#REF!),IF('РЕЕСТР РИСКОВ_2023'!I344="",E303,'РЕЕСТР РИСКОВ_2023'!I344)))))</f>
        <v>ЦЗФ</v>
      </c>
      <c r="F304" t="str">
        <f>IF('INHERENT MAP'!$B$5=2021,IF('РЕЕСТР РИСКОВ_2023'!J344="",F303,'РЕЕСТР РИСКОВ_2023'!J344),IF('INHERENT MAP'!$B$5=2022,IF(#REF!="",F303,#REF!),IF('INHERENT MAP'!$B$5=2023,IF(#REF!="",F303,#REF!),IF('INHERENT MAP'!$B$5=2024,IF(#REF!="",F303,#REF!),IF('РЕЕСТР РИСКОВ_2023'!J344="",F303,'РЕЕСТР РИСКОВ_2023'!J344)))))</f>
        <v>Цзайм</v>
      </c>
      <c r="G304" t="str">
        <f>IF('INHERENT MAP'!$B$5=2021,IF('РЕЕСТР РИСКОВ_2023'!K344="",G303,'РЕЕСТР РИСКОВ_2023'!K344),IF('INHERENT MAP'!$B$5=2022,IF(#REF!="",G303,#REF!),IF('INHERENT MAP'!$B$5=2023,IF(#REF!="",G303,#REF!),IF('INHERENT MAP'!$B$5=2024,IF(#REF!="",G303,#REF!),IF('РЕЕСТР РИСКОВ_2023'!K344="",G303,'РЕЕСТР РИСКОВ_2023'!K344)))))</f>
        <v>Увеличение расходов по процентам на новые займы, а также текущие займы (с плавающей ставкой) в тенге.</v>
      </c>
      <c r="H304">
        <f>IF('INHERENT MAP'!$B$5=2021,'РЕЕСТР РИСКОВ_2023'!L344,IF('INHERENT MAP'!$B$5=2022,#REF!,IF('INHERENT MAP'!$B$5=2023,#REF!,IF('INHERENT MAP'!$B$5=2024,#REF!,#REF!))))</f>
        <v>0</v>
      </c>
      <c r="I304">
        <f>IF('INHERENT MAP'!$B$5=2021,'РЕЕСТР РИСКОВ_2023'!M344,IF('INHERENT MAP'!$B$5=2022,#REF!,IF('INHERENT MAP'!$B$5=2023,#REF!,IF('INHERENT MAP'!$B$5=2024,#REF!,#REF!))))</f>
        <v>0</v>
      </c>
      <c r="J304">
        <f>IF('INHERENT MAP'!$B$5=2021,'РЕЕСТР РИСКОВ_2023'!N344,IF('INHERENT MAP'!$B$5=2022,#REF!,IF('INHERENT MAP'!$B$5=2023,#REF!,IF('INHERENT MAP'!$B$5=2024,#REF!,#REF!))))</f>
        <v>0</v>
      </c>
      <c r="K304">
        <f>IF('INHERENT MAP'!$B$5=2021,'РЕЕСТР РИСКОВ_2023'!O344,IF('INHERENT MAP'!$B$5=2022,#REF!,IF('INHERENT MAP'!$B$5=2023,#REF!,IF('INHERENT MAP'!$B$5=2024,#REF!,#REF!))))</f>
        <v>0</v>
      </c>
      <c r="L304">
        <f>IF('INHERENT MAP'!$B$5=2021,'РЕЕСТР РИСКОВ_2023'!P344,IF('INHERENT MAP'!$B$5=2022,#REF!,IF('INHERENT MAP'!$B$5=2023,#REF!,IF('INHERENT MAP'!$B$5=2024,#REF!,#REF!))))</f>
        <v>0</v>
      </c>
      <c r="M304" t="str">
        <f>IF('INHERENT MAP'!$B$5=2021,IF('РЕЕСТР РИСКОВ_2023'!Q344="",M303,'РЕЕСТР РИСКОВ_2023'!Q344),IF('INHERENT MAP'!$B$5=2022,IF(#REF!="",M303,#REF!),IF('INHERENT MAP'!$B$5=2023,IF(#REF!="",M303,#REF!),IF('INHERENT MAP'!$B$5=2024,IF(#REF!="",M303,#REF!),IF('РЕЕСТР РИСКОВ_2023'!Q344="",M303,'РЕЕСТР РИСКОВ_2023'!Q344)))))</f>
        <v>Увеличение базовой ставки Национального банка Республики Казахстан до 16%</v>
      </c>
      <c r="N304" t="str">
        <f>IF('INHERENT MAP'!$B$5=2021,IF('РЕЕСТР РИСКОВ_2023'!R344="",N303,'РЕЕСТР РИСКОВ_2023'!R344),IF('INHERENT MAP'!$B$5=2022,IF(#REF!="",N303,#REF!),IF('INHERENT MAP'!$B$5=2023,IF(#REF!="",N303,#REF!),IF('INHERENT MAP'!$B$5=2024,IF(#REF!="",N303,#REF!),IF('РЕЕСТР РИСКОВ_2023'!R344="",N303,'РЕЕСТР РИСКОВ_2023'!R344)))))</f>
        <v>Рецессия экономики европейских стран</v>
      </c>
      <c r="O304">
        <f>'РЕЕСТР РИСКОВ_2023'!T344</f>
        <v>0</v>
      </c>
      <c r="P304" t="e">
        <f>IF('РЕЕСТР РИСКОВ_2023'!U344="",P303,'РЕЕСТР РИСКОВ_2023'!U344)</f>
        <v>#REF!</v>
      </c>
      <c r="Q304" t="str">
        <f>IF('РЕЕСТР РИСКОВ_2023'!V344="",Q303,'РЕЕСТР РИСКОВ_2023'!V344)</f>
        <v>Угрозы</v>
      </c>
      <c r="R304" t="e">
        <f>IF('РЕЕСТР РИСКОВ_2023'!W344="",R303,'РЕЕСТР РИСКОВ_2023'!W344)</f>
        <v>#REF!</v>
      </c>
      <c r="S304">
        <f>'РЕЕСТР РИСКОВ_2023'!X344</f>
        <v>0</v>
      </c>
      <c r="T304" s="94">
        <f>IF('INHERENT MAP'!$B$5=2021,'РЕЕСТР РИСКОВ_2023'!Y344,IF('INHERENT MAP'!$B$5=2022,#REF!,IF('INHERENT MAP'!$B$5=2023,#REF!,IF('INHERENT MAP'!$B$5=2024,#REF!,#REF!))))</f>
        <v>0</v>
      </c>
      <c r="U304">
        <f>IF('INHERENT MAP'!$B$5=2021,'РЕЕСТР РИСКОВ_2023'!Z344,IF('INHERENT MAP'!$B$5=2022,#REF!,IF('INHERENT MAP'!$B$5=2023,#REF!,IF('INHERENT MAP'!$B$5=2024,#REF!,#REF!))))</f>
        <v>0</v>
      </c>
      <c r="V304">
        <f>IF('INHERENT MAP'!$B$5=2021,'РЕЕСТР РИСКОВ_2023'!AA344,IF('INHERENT MAP'!$B$5=2022,#REF!,IF('INHERENT MAP'!$B$5=2023,#REF!,IF('INHERENT MAP'!$B$5=2024,#REF!,#REF!))))</f>
        <v>0</v>
      </c>
      <c r="W304">
        <f>IF('INHERENT MAP'!$B$5=2021,'РЕЕСТР РИСКОВ_2023'!AB344,IF('INHERENT MAP'!$B$5=2022,#REF!,IF('INHERENT MAP'!$B$5=2023,#REF!,IF('INHERENT MAP'!$B$5=2024,#REF!,#REF!))))</f>
        <v>0</v>
      </c>
      <c r="X304" s="94">
        <f>IF('INHERENT MAP'!$B$5=2021,'РЕЕСТР РИСКОВ_2023'!AC344,IF('INHERENT MAP'!$B$5=2022,#REF!,IF('INHERENT MAP'!$B$5=2023,#REF!,IF('INHERENT MAP'!$B$5=2024,#REF!,#REF!))))</f>
        <v>0</v>
      </c>
      <c r="Y304">
        <f>IF('INHERENT MAP'!$B$5=2021,'РЕЕСТР РИСКОВ_2023'!AD344,IF('INHERENT MAP'!$B$5=2022,#REF!,IF('INHERENT MAP'!$B$5=2023,#REF!,IF('INHERENT MAP'!$B$5=2024,#REF!,#REF!))))</f>
        <v>0</v>
      </c>
      <c r="Z304">
        <f>IF('INHERENT MAP'!$B$5=2021,'РЕЕСТР РИСКОВ_2023'!AE344,IF('INHERENT MAP'!$B$5=2022,#REF!,IF('INHERENT MAP'!$B$5=2023,#REF!,IF('INHERENT MAP'!$B$5=2024,#REF!,#REF!))))</f>
        <v>0</v>
      </c>
      <c r="AA304">
        <f>IF('INHERENT MAP'!$B$5=2021,'РЕЕСТР РИСКОВ_2023'!AF344,IF('INHERENT MAP'!$B$5=2022,#REF!,IF('INHERENT MAP'!$B$5=2023,#REF!,IF('INHERENT MAP'!$B$5=2024,#REF!,#REF!))))</f>
        <v>0</v>
      </c>
      <c r="AB304">
        <f>IF('INHERENT MAP'!$B$5=2021,'РЕЕСТР РИСКОВ_2023'!AG344,IF('INHERENT MAP'!$B$5=2022,#REF!,IF('INHERENT MAP'!$B$5=2023,#REF!,IF('INHERENT MAP'!$B$5=2024,#REF!,#REF!))))</f>
        <v>0</v>
      </c>
      <c r="AC304">
        <f>IF('INHERENT MAP'!$B$5=2021,'РЕЕСТР РИСКОВ_2023'!AH344,IF('INHERENT MAP'!$B$5=2022,#REF!,IF('INHERENT MAP'!$B$5=2023,#REF!,IF('INHERENT MAP'!$B$5=2024,#REF!,#REF!))))</f>
        <v>0</v>
      </c>
      <c r="AD304">
        <f>IF('INHERENT MAP'!$B$5=2021,'РЕЕСТР РИСКОВ_2023'!AI344,IF('INHERENT MAP'!$B$5=2022,#REF!,IF('INHERENT MAP'!$B$5=2023,#REF!,IF('INHERENT MAP'!$B$5=2024,#REF!,#REF!))))</f>
        <v>0</v>
      </c>
      <c r="AE304">
        <f>IF('INHERENT MAP'!$B$5=2021,'РЕЕСТР РИСКОВ_2023'!AK344,IF('INHERENT MAP'!$B$5=2022,#REF!,IF('INHERENT MAP'!$B$5=2023,#REF!,IF('INHERENT MAP'!$B$5=2024,#REF!,#REF!))))</f>
        <v>0</v>
      </c>
      <c r="AF304">
        <f>IF('INHERENT MAP'!$B$5=2021,'РЕЕСТР РИСКОВ_2023'!AL344,IF('INHERENT MAP'!$B$5=2022,#REF!,IF('INHERENT MAP'!$B$5=2023,#REF!,IF('INHERENT MAP'!$B$5=2024,#REF!,#REF!))))</f>
        <v>0</v>
      </c>
      <c r="AG304">
        <f>IF('INHERENT MAP'!$B$5=2021,'РЕЕСТР РИСКОВ_2023'!AM344,IF('INHERENT MAP'!$B$5=2022,#REF!,IF('INHERENT MAP'!$B$5=2023,#REF!,IF('INHERENT MAP'!$B$5=2024,#REF!,#REF!))))</f>
        <v>0</v>
      </c>
      <c r="AH304">
        <f>IF('INHERENT MAP'!$B$5=2021,'РЕЕСТР РИСКОВ_2023'!AN344,IF('INHERENT MAP'!$B$5=2022,#REF!,IF('INHERENT MAP'!$B$5=2023,#REF!,IF('INHERENT MAP'!$B$5=2024,#REF!,#REF!))))</f>
        <v>0</v>
      </c>
      <c r="AI304">
        <f>IF('INHERENT MAP'!$B$5=2021,'РЕЕСТР РИСКОВ_2023'!AO344,IF('INHERENT MAP'!$B$5=2022,#REF!,IF('INHERENT MAP'!$B$5=2023,#REF!,IF('INHERENT MAP'!$B$5=2024,#REF!,#REF!))))</f>
        <v>0</v>
      </c>
      <c r="AJ304">
        <f>IF('INHERENT MAP'!$B$5=2021,'РЕЕСТР РИСКОВ_2023'!AP344,IF('INHERENT MAP'!$B$5=2022,#REF!,IF('INHERENT MAP'!$B$5=2023,#REF!,IF('INHERENT MAP'!$B$5=2024,#REF!,#REF!))))</f>
        <v>0</v>
      </c>
      <c r="AK304">
        <f>IF('РЕЕСТР РИСКОВ_2023'!AQ344="",AK303,'РЕЕСТР РИСКОВ_2023'!AQ344)</f>
        <v>-216</v>
      </c>
      <c r="AL304">
        <f>IF('РЕЕСТР РИСКОВ_2023'!AR344="",AL303,'РЕЕСТР РИСКОВ_2023'!AR344)</f>
        <v>0.12</v>
      </c>
      <c r="AM304" t="str">
        <f>IF('РЕЕСТР РИСКОВ_2023'!AS344="",AM303,'РЕЕСТР РИСКОВ_2023'!AS344)</f>
        <v>стоп</v>
      </c>
      <c r="AN304" t="str">
        <f>IF('РЕЕСТР РИСКОВ_2023'!AT344="",AN303,'РЕЕСТР РИСКОВ_2023'!AT344)</f>
        <v>стоп</v>
      </c>
      <c r="AO304" t="e">
        <f>IF('РЕЕСТР РИСКОВ_2023'!AU344="",AO303,'РЕЕСТР РИСКОВ_2023'!AU344)</f>
        <v>#REF!</v>
      </c>
    </row>
    <row r="305" spans="2:41">
      <c r="B305" t="str">
        <f>IF('INHERENT MAP'!$B$5=2021,IF('РЕЕСТР РИСКОВ_2023'!F345="",B304,'РЕЕСТР РИСКОВ_2023'!F345),IF('INHERENT MAP'!$B$5=2022,IF(#REF!="",B304,#REF!),IF('INHERENT MAP'!$B$5=2023,IF(#REF!="",B304,#REF!),IF('INHERENT MAP'!$B$5=2024,IF(#REF!="",B304,#REF!),IF('РЕЕСТР РИСКОВ_2023'!F345="",B304,'РЕЕСТР РИСКОВ_2023'!F345)))))</f>
        <v>ПРОЦЕНТНЫЙ РИСК</v>
      </c>
      <c r="C305" t="e">
        <f>IF('INHERENT MAP'!$B$5=2021,IF('РЕЕСТР РИСКОВ_2023'!G345="",C304,'РЕЕСТР РИСКОВ_2023'!G345),IF('INHERENT MAP'!$B$5=2022,IF(#REF!="",C304,#REF!),IF('INHERENT MAP'!$B$5=2023,IF(#REF!="",C304,#REF!),IF('INHERENT MAP'!$B$5=2024,IF(#REF!="",C304,#REF!),IF('РЕЕСТР РИСКОВ_2023'!G345="",C304,'РЕЕСТР РИСКОВ_2023'!G345)))))</f>
        <v>#REF!</v>
      </c>
      <c r="D305" t="str">
        <f>IF('INHERENT MAP'!$B$5=2021,IF('РЕЕСТР РИСКОВ_2023'!H345="",D304,'РЕЕСТР РИСКОВ_2023'!H345),IF('INHERENT MAP'!$B$5=2022,IF(#REF!="",D304,#REF!),IF('INHERENT MAP'!$B$5=2023,IF(#REF!="",D304,#REF!),IF('INHERENT MAP'!$B$5=2024,IF(#REF!="",D304,#REF!),IF('РЕЕСТР РИСКОВ_2023'!H345="",D304,'РЕЕСТР РИСКОВ_2023'!H345)))))</f>
        <v>IRR-1</v>
      </c>
      <c r="E305" t="str">
        <f>IF('INHERENT MAP'!$B$5=2021,IF('РЕЕСТР РИСКОВ_2023'!I345="",E304,'РЕЕСТР РИСКОВ_2023'!I345),IF('INHERENT MAP'!$B$5=2022,IF(#REF!="",E304,#REF!),IF('INHERENT MAP'!$B$5=2023,IF(#REF!="",E304,#REF!),IF('INHERENT MAP'!$B$5=2024,IF(#REF!="",E304,#REF!),IF('РЕЕСТР РИСКОВ_2023'!I345="",E304,'РЕЕСТР РИСКОВ_2023'!I345)))))</f>
        <v>ЦЗФ</v>
      </c>
      <c r="F305" t="str">
        <f>IF('INHERENT MAP'!$B$5=2021,IF('РЕЕСТР РИСКОВ_2023'!J345="",F304,'РЕЕСТР РИСКОВ_2023'!J345),IF('INHERENT MAP'!$B$5=2022,IF(#REF!="",F304,#REF!),IF('INHERENT MAP'!$B$5=2023,IF(#REF!="",F304,#REF!),IF('INHERENT MAP'!$B$5=2024,IF(#REF!="",F304,#REF!),IF('РЕЕСТР РИСКОВ_2023'!J345="",F304,'РЕЕСТР РИСКОВ_2023'!J345)))))</f>
        <v>Цзайм</v>
      </c>
      <c r="G305" t="str">
        <f>IF('INHERENT MAP'!$B$5=2021,IF('РЕЕСТР РИСКОВ_2023'!K345="",G304,'РЕЕСТР РИСКОВ_2023'!K345),IF('INHERENT MAP'!$B$5=2022,IF(#REF!="",G304,#REF!),IF('INHERENT MAP'!$B$5=2023,IF(#REF!="",G304,#REF!),IF('INHERENT MAP'!$B$5=2024,IF(#REF!="",G304,#REF!),IF('РЕЕСТР РИСКОВ_2023'!K345="",G304,'РЕЕСТР РИСКОВ_2023'!K345)))))</f>
        <v>Увеличение расходов по процентам на новые займы, а также текущие займы (с плавающей ставкой) в тенге.</v>
      </c>
      <c r="H305">
        <f>IF('INHERENT MAP'!$B$5=2021,'РЕЕСТР РИСКОВ_2023'!L345,IF('INHERENT MAP'!$B$5=2022,#REF!,IF('INHERENT MAP'!$B$5=2023,#REF!,IF('INHERENT MAP'!$B$5=2024,#REF!,#REF!))))</f>
        <v>0</v>
      </c>
      <c r="I305">
        <f>IF('INHERENT MAP'!$B$5=2021,'РЕЕСТР РИСКОВ_2023'!M345,IF('INHERENT MAP'!$B$5=2022,#REF!,IF('INHERENT MAP'!$B$5=2023,#REF!,IF('INHERENT MAP'!$B$5=2024,#REF!,#REF!))))</f>
        <v>0</v>
      </c>
      <c r="J305">
        <f>IF('INHERENT MAP'!$B$5=2021,'РЕЕСТР РИСКОВ_2023'!N345,IF('INHERENT MAP'!$B$5=2022,#REF!,IF('INHERENT MAP'!$B$5=2023,#REF!,IF('INHERENT MAP'!$B$5=2024,#REF!,#REF!))))</f>
        <v>0</v>
      </c>
      <c r="K305">
        <f>IF('INHERENT MAP'!$B$5=2021,'РЕЕСТР РИСКОВ_2023'!O345,IF('INHERENT MAP'!$B$5=2022,#REF!,IF('INHERENT MAP'!$B$5=2023,#REF!,IF('INHERENT MAP'!$B$5=2024,#REF!,#REF!))))</f>
        <v>0</v>
      </c>
      <c r="L305">
        <f>IF('INHERENT MAP'!$B$5=2021,'РЕЕСТР РИСКОВ_2023'!P345,IF('INHERENT MAP'!$B$5=2022,#REF!,IF('INHERENT MAP'!$B$5=2023,#REF!,IF('INHERENT MAP'!$B$5=2024,#REF!,#REF!))))</f>
        <v>0</v>
      </c>
      <c r="M305" t="str">
        <f>IF('INHERENT MAP'!$B$5=2021,IF('РЕЕСТР РИСКОВ_2023'!Q345="",M304,'РЕЕСТР РИСКОВ_2023'!Q345),IF('INHERENT MAP'!$B$5=2022,IF(#REF!="",M304,#REF!),IF('INHERENT MAP'!$B$5=2023,IF(#REF!="",M304,#REF!),IF('INHERENT MAP'!$B$5=2024,IF(#REF!="",M304,#REF!),IF('РЕЕСТР РИСКОВ_2023'!Q345="",M304,'РЕЕСТР РИСКОВ_2023'!Q345)))))</f>
        <v>Увеличение базовой ставки Национального банка Республики Казахстан до 16%</v>
      </c>
      <c r="N305" t="str">
        <f>IF('INHERENT MAP'!$B$5=2021,IF('РЕЕСТР РИСКОВ_2023'!R345="",N304,'РЕЕСТР РИСКОВ_2023'!R345),IF('INHERENT MAP'!$B$5=2022,IF(#REF!="",N304,#REF!),IF('INHERENT MAP'!$B$5=2023,IF(#REF!="",N304,#REF!),IF('INHERENT MAP'!$B$5=2024,IF(#REF!="",N304,#REF!),IF('РЕЕСТР РИСКОВ_2023'!R345="",N304,'РЕЕСТР РИСКОВ_2023'!R345)))))</f>
        <v>Рецессия экономики европейских стран</v>
      </c>
      <c r="O305">
        <f>'РЕЕСТР РИСКОВ_2023'!T345</f>
        <v>0</v>
      </c>
      <c r="P305" t="e">
        <f>IF('РЕЕСТР РИСКОВ_2023'!U345="",P304,'РЕЕСТР РИСКОВ_2023'!U345)</f>
        <v>#REF!</v>
      </c>
      <c r="Q305" t="str">
        <f>IF('РЕЕСТР РИСКОВ_2023'!V345="",Q304,'РЕЕСТР РИСКОВ_2023'!V345)</f>
        <v>Угрозы</v>
      </c>
      <c r="R305" t="e">
        <f>IF('РЕЕСТР РИСКОВ_2023'!W345="",R304,'РЕЕСТР РИСКОВ_2023'!W345)</f>
        <v>#REF!</v>
      </c>
      <c r="S305">
        <f>'РЕЕСТР РИСКОВ_2023'!X345</f>
        <v>0</v>
      </c>
      <c r="T305" s="94">
        <f>IF('INHERENT MAP'!$B$5=2021,'РЕЕСТР РИСКОВ_2023'!Y345,IF('INHERENT MAP'!$B$5=2022,#REF!,IF('INHERENT MAP'!$B$5=2023,#REF!,IF('INHERENT MAP'!$B$5=2024,#REF!,#REF!))))</f>
        <v>0</v>
      </c>
      <c r="U305">
        <f>IF('INHERENT MAP'!$B$5=2021,'РЕЕСТР РИСКОВ_2023'!Z345,IF('INHERENT MAP'!$B$5=2022,#REF!,IF('INHERENT MAP'!$B$5=2023,#REF!,IF('INHERENT MAP'!$B$5=2024,#REF!,#REF!))))</f>
        <v>0</v>
      </c>
      <c r="V305">
        <f>IF('INHERENT MAP'!$B$5=2021,'РЕЕСТР РИСКОВ_2023'!AA345,IF('INHERENT MAP'!$B$5=2022,#REF!,IF('INHERENT MAP'!$B$5=2023,#REF!,IF('INHERENT MAP'!$B$5=2024,#REF!,#REF!))))</f>
        <v>0</v>
      </c>
      <c r="W305">
        <f>IF('INHERENT MAP'!$B$5=2021,'РЕЕСТР РИСКОВ_2023'!AB345,IF('INHERENT MAP'!$B$5=2022,#REF!,IF('INHERENT MAP'!$B$5=2023,#REF!,IF('INHERENT MAP'!$B$5=2024,#REF!,#REF!))))</f>
        <v>0</v>
      </c>
      <c r="X305" s="94">
        <f>IF('INHERENT MAP'!$B$5=2021,'РЕЕСТР РИСКОВ_2023'!AC345,IF('INHERENT MAP'!$B$5=2022,#REF!,IF('INHERENT MAP'!$B$5=2023,#REF!,IF('INHERENT MAP'!$B$5=2024,#REF!,#REF!))))</f>
        <v>0</v>
      </c>
      <c r="Y305">
        <f>IF('INHERENT MAP'!$B$5=2021,'РЕЕСТР РИСКОВ_2023'!AD345,IF('INHERENT MAP'!$B$5=2022,#REF!,IF('INHERENT MAP'!$B$5=2023,#REF!,IF('INHERENT MAP'!$B$5=2024,#REF!,#REF!))))</f>
        <v>0</v>
      </c>
      <c r="Z305">
        <f>IF('INHERENT MAP'!$B$5=2021,'РЕЕСТР РИСКОВ_2023'!AE345,IF('INHERENT MAP'!$B$5=2022,#REF!,IF('INHERENT MAP'!$B$5=2023,#REF!,IF('INHERENT MAP'!$B$5=2024,#REF!,#REF!))))</f>
        <v>0</v>
      </c>
      <c r="AA305">
        <f>IF('INHERENT MAP'!$B$5=2021,'РЕЕСТР РИСКОВ_2023'!AF345,IF('INHERENT MAP'!$B$5=2022,#REF!,IF('INHERENT MAP'!$B$5=2023,#REF!,IF('INHERENT MAP'!$B$5=2024,#REF!,#REF!))))</f>
        <v>0</v>
      </c>
      <c r="AB305">
        <f>IF('INHERENT MAP'!$B$5=2021,'РЕЕСТР РИСКОВ_2023'!AG345,IF('INHERENT MAP'!$B$5=2022,#REF!,IF('INHERENT MAP'!$B$5=2023,#REF!,IF('INHERENT MAP'!$B$5=2024,#REF!,#REF!))))</f>
        <v>0</v>
      </c>
      <c r="AC305">
        <f>IF('INHERENT MAP'!$B$5=2021,'РЕЕСТР РИСКОВ_2023'!AH345,IF('INHERENT MAP'!$B$5=2022,#REF!,IF('INHERENT MAP'!$B$5=2023,#REF!,IF('INHERENT MAP'!$B$5=2024,#REF!,#REF!))))</f>
        <v>0</v>
      </c>
      <c r="AD305">
        <f>IF('INHERENT MAP'!$B$5=2021,'РЕЕСТР РИСКОВ_2023'!AI345,IF('INHERENT MAP'!$B$5=2022,#REF!,IF('INHERENT MAP'!$B$5=2023,#REF!,IF('INHERENT MAP'!$B$5=2024,#REF!,#REF!))))</f>
        <v>0</v>
      </c>
      <c r="AE305">
        <f>IF('INHERENT MAP'!$B$5=2021,'РЕЕСТР РИСКОВ_2023'!AK345,IF('INHERENT MAP'!$B$5=2022,#REF!,IF('INHERENT MAP'!$B$5=2023,#REF!,IF('INHERENT MAP'!$B$5=2024,#REF!,#REF!))))</f>
        <v>0</v>
      </c>
      <c r="AF305">
        <f>IF('INHERENT MAP'!$B$5=2021,'РЕЕСТР РИСКОВ_2023'!AL345,IF('INHERENT MAP'!$B$5=2022,#REF!,IF('INHERENT MAP'!$B$5=2023,#REF!,IF('INHERENT MAP'!$B$5=2024,#REF!,#REF!))))</f>
        <v>0</v>
      </c>
      <c r="AG305">
        <f>IF('INHERENT MAP'!$B$5=2021,'РЕЕСТР РИСКОВ_2023'!AM345,IF('INHERENT MAP'!$B$5=2022,#REF!,IF('INHERENT MAP'!$B$5=2023,#REF!,IF('INHERENT MAP'!$B$5=2024,#REF!,#REF!))))</f>
        <v>0</v>
      </c>
      <c r="AH305">
        <f>IF('INHERENT MAP'!$B$5=2021,'РЕЕСТР РИСКОВ_2023'!AN345,IF('INHERENT MAP'!$B$5=2022,#REF!,IF('INHERENT MAP'!$B$5=2023,#REF!,IF('INHERENT MAP'!$B$5=2024,#REF!,#REF!))))</f>
        <v>0</v>
      </c>
      <c r="AI305">
        <f>IF('INHERENT MAP'!$B$5=2021,'РЕЕСТР РИСКОВ_2023'!AO345,IF('INHERENT MAP'!$B$5=2022,#REF!,IF('INHERENT MAP'!$B$5=2023,#REF!,IF('INHERENT MAP'!$B$5=2024,#REF!,#REF!))))</f>
        <v>0</v>
      </c>
      <c r="AJ305">
        <f>IF('INHERENT MAP'!$B$5=2021,'РЕЕСТР РИСКОВ_2023'!AP345,IF('INHERENT MAP'!$B$5=2022,#REF!,IF('INHERENT MAP'!$B$5=2023,#REF!,IF('INHERENT MAP'!$B$5=2024,#REF!,#REF!))))</f>
        <v>0</v>
      </c>
      <c r="AK305">
        <f>IF('РЕЕСТР РИСКОВ_2023'!AQ345="",AK304,'РЕЕСТР РИСКОВ_2023'!AQ345)</f>
        <v>-216</v>
      </c>
      <c r="AL305">
        <f>IF('РЕЕСТР РИСКОВ_2023'!AR345="",AL304,'РЕЕСТР РИСКОВ_2023'!AR345)</f>
        <v>0.12</v>
      </c>
      <c r="AM305" t="str">
        <f>IF('РЕЕСТР РИСКОВ_2023'!AS345="",AM304,'РЕЕСТР РИСКОВ_2023'!AS345)</f>
        <v>стоп</v>
      </c>
      <c r="AN305" t="str">
        <f>IF('РЕЕСТР РИСКОВ_2023'!AT345="",AN304,'РЕЕСТР РИСКОВ_2023'!AT345)</f>
        <v>стоп</v>
      </c>
      <c r="AO305" t="e">
        <f>IF('РЕЕСТР РИСКОВ_2023'!AU345="",AO304,'РЕЕСТР РИСКОВ_2023'!AU345)</f>
        <v>#REF!</v>
      </c>
    </row>
    <row r="306" spans="2:41">
      <c r="B306" t="str">
        <f>IF('INHERENT MAP'!$B$5=2021,IF('РЕЕСТР РИСКОВ_2023'!F346="",B305,'РЕЕСТР РИСКОВ_2023'!F346),IF('INHERENT MAP'!$B$5=2022,IF(#REF!="",B305,#REF!),IF('INHERENT MAP'!$B$5=2023,IF(#REF!="",B305,#REF!),IF('INHERENT MAP'!$B$5=2024,IF(#REF!="",B305,#REF!),IF('РЕЕСТР РИСКОВ_2023'!F346="",B305,'РЕЕСТР РИСКОВ_2023'!F346)))))</f>
        <v>ПРОЦЕНТНЫЙ РИСК</v>
      </c>
      <c r="C306" t="e">
        <f>IF('INHERENT MAP'!$B$5=2021,IF('РЕЕСТР РИСКОВ_2023'!G346="",C305,'РЕЕСТР РИСКОВ_2023'!G346),IF('INHERENT MAP'!$B$5=2022,IF(#REF!="",C305,#REF!),IF('INHERENT MAP'!$B$5=2023,IF(#REF!="",C305,#REF!),IF('INHERENT MAP'!$B$5=2024,IF(#REF!="",C305,#REF!),IF('РЕЕСТР РИСКОВ_2023'!G346="",C305,'РЕЕСТР РИСКОВ_2023'!G346)))))</f>
        <v>#REF!</v>
      </c>
      <c r="D306" t="str">
        <f>IF('INHERENT MAP'!$B$5=2021,IF('РЕЕСТР РИСКОВ_2023'!H346="",D305,'РЕЕСТР РИСКОВ_2023'!H346),IF('INHERENT MAP'!$B$5=2022,IF(#REF!="",D305,#REF!),IF('INHERENT MAP'!$B$5=2023,IF(#REF!="",D305,#REF!),IF('INHERENT MAP'!$B$5=2024,IF(#REF!="",D305,#REF!),IF('РЕЕСТР РИСКОВ_2023'!H346="",D305,'РЕЕСТР РИСКОВ_2023'!H346)))))</f>
        <v>IRR-1</v>
      </c>
      <c r="E306" t="str">
        <f>IF('INHERENT MAP'!$B$5=2021,IF('РЕЕСТР РИСКОВ_2023'!I346="",E305,'РЕЕСТР РИСКОВ_2023'!I346),IF('INHERENT MAP'!$B$5=2022,IF(#REF!="",E305,#REF!),IF('INHERENT MAP'!$B$5=2023,IF(#REF!="",E305,#REF!),IF('INHERENT MAP'!$B$5=2024,IF(#REF!="",E305,#REF!),IF('РЕЕСТР РИСКОВ_2023'!I346="",E305,'РЕЕСТР РИСКОВ_2023'!I346)))))</f>
        <v>ЦЗФ</v>
      </c>
      <c r="F306" t="str">
        <f>IF('INHERENT MAP'!$B$5=2021,IF('РЕЕСТР РИСКОВ_2023'!J346="",F305,'РЕЕСТР РИСКОВ_2023'!J346),IF('INHERENT MAP'!$B$5=2022,IF(#REF!="",F305,#REF!),IF('INHERENT MAP'!$B$5=2023,IF(#REF!="",F305,#REF!),IF('INHERENT MAP'!$B$5=2024,IF(#REF!="",F305,#REF!),IF('РЕЕСТР РИСКОВ_2023'!J346="",F305,'РЕЕСТР РИСКОВ_2023'!J346)))))</f>
        <v>Цзайм</v>
      </c>
      <c r="G306" t="str">
        <f>IF('INHERENT MAP'!$B$5=2021,IF('РЕЕСТР РИСКОВ_2023'!K346="",G305,'РЕЕСТР РИСКОВ_2023'!K346),IF('INHERENT MAP'!$B$5=2022,IF(#REF!="",G305,#REF!),IF('INHERENT MAP'!$B$5=2023,IF(#REF!="",G305,#REF!),IF('INHERENT MAP'!$B$5=2024,IF(#REF!="",G305,#REF!),IF('РЕЕСТР РИСКОВ_2023'!K346="",G305,'РЕЕСТР РИСКОВ_2023'!K346)))))</f>
        <v>Увеличение расходов по процентам на новые займы, а также текущие займы (с плавающей ставкой) в тенге.</v>
      </c>
      <c r="H306">
        <f>IF('INHERENT MAP'!$B$5=2021,'РЕЕСТР РИСКОВ_2023'!L346,IF('INHERENT MAP'!$B$5=2022,#REF!,IF('INHERENT MAP'!$B$5=2023,#REF!,IF('INHERENT MAP'!$B$5=2024,#REF!,#REF!))))</f>
        <v>0</v>
      </c>
      <c r="I306">
        <f>IF('INHERENT MAP'!$B$5=2021,'РЕЕСТР РИСКОВ_2023'!M346,IF('INHERENT MAP'!$B$5=2022,#REF!,IF('INHERENT MAP'!$B$5=2023,#REF!,IF('INHERENT MAP'!$B$5=2024,#REF!,#REF!))))</f>
        <v>0</v>
      </c>
      <c r="J306">
        <f>IF('INHERENT MAP'!$B$5=2021,'РЕЕСТР РИСКОВ_2023'!N346,IF('INHERENT MAP'!$B$5=2022,#REF!,IF('INHERENT MAP'!$B$5=2023,#REF!,IF('INHERENT MAP'!$B$5=2024,#REF!,#REF!))))</f>
        <v>0</v>
      </c>
      <c r="K306">
        <f>IF('INHERENT MAP'!$B$5=2021,'РЕЕСТР РИСКОВ_2023'!O346,IF('INHERENT MAP'!$B$5=2022,#REF!,IF('INHERENT MAP'!$B$5=2023,#REF!,IF('INHERENT MAP'!$B$5=2024,#REF!,#REF!))))</f>
        <v>0</v>
      </c>
      <c r="L306">
        <f>IF('INHERENT MAP'!$B$5=2021,'РЕЕСТР РИСКОВ_2023'!P346,IF('INHERENT MAP'!$B$5=2022,#REF!,IF('INHERENT MAP'!$B$5=2023,#REF!,IF('INHERENT MAP'!$B$5=2024,#REF!,#REF!))))</f>
        <v>0</v>
      </c>
      <c r="M306" t="str">
        <f>IF('INHERENT MAP'!$B$5=2021,IF('РЕЕСТР РИСКОВ_2023'!Q346="",M305,'РЕЕСТР РИСКОВ_2023'!Q346),IF('INHERENT MAP'!$B$5=2022,IF(#REF!="",M305,#REF!),IF('INHERENT MAP'!$B$5=2023,IF(#REF!="",M305,#REF!),IF('INHERENT MAP'!$B$5=2024,IF(#REF!="",M305,#REF!),IF('РЕЕСТР РИСКОВ_2023'!Q346="",M305,'РЕЕСТР РИСКОВ_2023'!Q346)))))</f>
        <v>Увеличение базовой ставки Национального банка Республики Казахстан до 16%</v>
      </c>
      <c r="N306" t="str">
        <f>IF('INHERENT MAP'!$B$5=2021,IF('РЕЕСТР РИСКОВ_2023'!R346="",N305,'РЕЕСТР РИСКОВ_2023'!R346),IF('INHERENT MAP'!$B$5=2022,IF(#REF!="",N305,#REF!),IF('INHERENT MAP'!$B$5=2023,IF(#REF!="",N305,#REF!),IF('INHERENT MAP'!$B$5=2024,IF(#REF!="",N305,#REF!),IF('РЕЕСТР РИСКОВ_2023'!R346="",N305,'РЕЕСТР РИСКОВ_2023'!R346)))))</f>
        <v>Рецессия экономики европейских стран</v>
      </c>
      <c r="O306">
        <f>'РЕЕСТР РИСКОВ_2023'!T346</f>
        <v>0</v>
      </c>
      <c r="P306" t="e">
        <f>IF('РЕЕСТР РИСКОВ_2023'!U346="",P305,'РЕЕСТР РИСКОВ_2023'!U346)</f>
        <v>#REF!</v>
      </c>
      <c r="Q306" t="str">
        <f>IF('РЕЕСТР РИСКОВ_2023'!V346="",Q305,'РЕЕСТР РИСКОВ_2023'!V346)</f>
        <v>Угрозы</v>
      </c>
      <c r="R306" t="e">
        <f>IF('РЕЕСТР РИСКОВ_2023'!W346="",R305,'РЕЕСТР РИСКОВ_2023'!W346)</f>
        <v>#REF!</v>
      </c>
      <c r="S306">
        <f>'РЕЕСТР РИСКОВ_2023'!X346</f>
        <v>0</v>
      </c>
      <c r="T306" s="94">
        <f>IF('INHERENT MAP'!$B$5=2021,'РЕЕСТР РИСКОВ_2023'!Y346,IF('INHERENT MAP'!$B$5=2022,#REF!,IF('INHERENT MAP'!$B$5=2023,#REF!,IF('INHERENT MAP'!$B$5=2024,#REF!,#REF!))))</f>
        <v>0</v>
      </c>
      <c r="U306">
        <f>IF('INHERENT MAP'!$B$5=2021,'РЕЕСТР РИСКОВ_2023'!Z346,IF('INHERENT MAP'!$B$5=2022,#REF!,IF('INHERENT MAP'!$B$5=2023,#REF!,IF('INHERENT MAP'!$B$5=2024,#REF!,#REF!))))</f>
        <v>0</v>
      </c>
      <c r="V306">
        <f>IF('INHERENT MAP'!$B$5=2021,'РЕЕСТР РИСКОВ_2023'!AA346,IF('INHERENT MAP'!$B$5=2022,#REF!,IF('INHERENT MAP'!$B$5=2023,#REF!,IF('INHERENT MAP'!$B$5=2024,#REF!,#REF!))))</f>
        <v>0</v>
      </c>
      <c r="W306">
        <f>IF('INHERENT MAP'!$B$5=2021,'РЕЕСТР РИСКОВ_2023'!AB346,IF('INHERENT MAP'!$B$5=2022,#REF!,IF('INHERENT MAP'!$B$5=2023,#REF!,IF('INHERENT MAP'!$B$5=2024,#REF!,#REF!))))</f>
        <v>0</v>
      </c>
      <c r="X306" s="94">
        <f>IF('INHERENT MAP'!$B$5=2021,'РЕЕСТР РИСКОВ_2023'!AC346,IF('INHERENT MAP'!$B$5=2022,#REF!,IF('INHERENT MAP'!$B$5=2023,#REF!,IF('INHERENT MAP'!$B$5=2024,#REF!,#REF!))))</f>
        <v>0</v>
      </c>
      <c r="Y306">
        <f>IF('INHERENT MAP'!$B$5=2021,'РЕЕСТР РИСКОВ_2023'!AD346,IF('INHERENT MAP'!$B$5=2022,#REF!,IF('INHERENT MAP'!$B$5=2023,#REF!,IF('INHERENT MAP'!$B$5=2024,#REF!,#REF!))))</f>
        <v>0</v>
      </c>
      <c r="Z306">
        <f>IF('INHERENT MAP'!$B$5=2021,'РЕЕСТР РИСКОВ_2023'!AE346,IF('INHERENT MAP'!$B$5=2022,#REF!,IF('INHERENT MAP'!$B$5=2023,#REF!,IF('INHERENT MAP'!$B$5=2024,#REF!,#REF!))))</f>
        <v>0</v>
      </c>
      <c r="AA306">
        <f>IF('INHERENT MAP'!$B$5=2021,'РЕЕСТР РИСКОВ_2023'!AF346,IF('INHERENT MAP'!$B$5=2022,#REF!,IF('INHERENT MAP'!$B$5=2023,#REF!,IF('INHERENT MAP'!$B$5=2024,#REF!,#REF!))))</f>
        <v>0</v>
      </c>
      <c r="AB306">
        <f>IF('INHERENT MAP'!$B$5=2021,'РЕЕСТР РИСКОВ_2023'!AG346,IF('INHERENT MAP'!$B$5=2022,#REF!,IF('INHERENT MAP'!$B$5=2023,#REF!,IF('INHERENT MAP'!$B$5=2024,#REF!,#REF!))))</f>
        <v>0</v>
      </c>
      <c r="AC306">
        <f>IF('INHERENT MAP'!$B$5=2021,'РЕЕСТР РИСКОВ_2023'!AH346,IF('INHERENT MAP'!$B$5=2022,#REF!,IF('INHERENT MAP'!$B$5=2023,#REF!,IF('INHERENT MAP'!$B$5=2024,#REF!,#REF!))))</f>
        <v>0</v>
      </c>
      <c r="AD306">
        <f>IF('INHERENT MAP'!$B$5=2021,'РЕЕСТР РИСКОВ_2023'!AI346,IF('INHERENT MAP'!$B$5=2022,#REF!,IF('INHERENT MAP'!$B$5=2023,#REF!,IF('INHERENT MAP'!$B$5=2024,#REF!,#REF!))))</f>
        <v>0</v>
      </c>
      <c r="AE306">
        <f>IF('INHERENT MAP'!$B$5=2021,'РЕЕСТР РИСКОВ_2023'!AK346,IF('INHERENT MAP'!$B$5=2022,#REF!,IF('INHERENT MAP'!$B$5=2023,#REF!,IF('INHERENT MAP'!$B$5=2024,#REF!,#REF!))))</f>
        <v>0</v>
      </c>
      <c r="AF306">
        <f>IF('INHERENT MAP'!$B$5=2021,'РЕЕСТР РИСКОВ_2023'!AL346,IF('INHERENT MAP'!$B$5=2022,#REF!,IF('INHERENT MAP'!$B$5=2023,#REF!,IF('INHERENT MAP'!$B$5=2024,#REF!,#REF!))))</f>
        <v>0</v>
      </c>
      <c r="AG306">
        <f>IF('INHERENT MAP'!$B$5=2021,'РЕЕСТР РИСКОВ_2023'!AM346,IF('INHERENT MAP'!$B$5=2022,#REF!,IF('INHERENT MAP'!$B$5=2023,#REF!,IF('INHERENT MAP'!$B$5=2024,#REF!,#REF!))))</f>
        <v>0</v>
      </c>
      <c r="AH306">
        <f>IF('INHERENT MAP'!$B$5=2021,'РЕЕСТР РИСКОВ_2023'!AN346,IF('INHERENT MAP'!$B$5=2022,#REF!,IF('INHERENT MAP'!$B$5=2023,#REF!,IF('INHERENT MAP'!$B$5=2024,#REF!,#REF!))))</f>
        <v>0</v>
      </c>
      <c r="AI306">
        <f>IF('INHERENT MAP'!$B$5=2021,'РЕЕСТР РИСКОВ_2023'!AO346,IF('INHERENT MAP'!$B$5=2022,#REF!,IF('INHERENT MAP'!$B$5=2023,#REF!,IF('INHERENT MAP'!$B$5=2024,#REF!,#REF!))))</f>
        <v>0</v>
      </c>
      <c r="AJ306">
        <f>IF('INHERENT MAP'!$B$5=2021,'РЕЕСТР РИСКОВ_2023'!AP346,IF('INHERENT MAP'!$B$5=2022,#REF!,IF('INHERENT MAP'!$B$5=2023,#REF!,IF('INHERENT MAP'!$B$5=2024,#REF!,#REF!))))</f>
        <v>0</v>
      </c>
      <c r="AK306">
        <f>IF('РЕЕСТР РИСКОВ_2023'!AQ346="",AK305,'РЕЕСТР РИСКОВ_2023'!AQ346)</f>
        <v>-216</v>
      </c>
      <c r="AL306">
        <f>IF('РЕЕСТР РИСКОВ_2023'!AR346="",AL305,'РЕЕСТР РИСКОВ_2023'!AR346)</f>
        <v>0.12</v>
      </c>
      <c r="AM306" t="str">
        <f>IF('РЕЕСТР РИСКОВ_2023'!AS346="",AM305,'РЕЕСТР РИСКОВ_2023'!AS346)</f>
        <v>стоп</v>
      </c>
      <c r="AN306" t="str">
        <f>IF('РЕЕСТР РИСКОВ_2023'!AT346="",AN305,'РЕЕСТР РИСКОВ_2023'!AT346)</f>
        <v>стоп</v>
      </c>
      <c r="AO306" t="e">
        <f>IF('РЕЕСТР РИСКОВ_2023'!AU346="",AO305,'РЕЕСТР РИСКОВ_2023'!AU346)</f>
        <v>#REF!</v>
      </c>
    </row>
    <row r="307" spans="2:41">
      <c r="B307" t="str">
        <f>IF('INHERENT MAP'!$B$5=2021,IF('РЕЕСТР РИСКОВ_2023'!F347="",B306,'РЕЕСТР РИСКОВ_2023'!F347),IF('INHERENT MAP'!$B$5=2022,IF(#REF!="",B306,#REF!),IF('INHERENT MAP'!$B$5=2023,IF(#REF!="",B306,#REF!),IF('INHERENT MAP'!$B$5=2024,IF(#REF!="",B306,#REF!),IF('РЕЕСТР РИСКОВ_2023'!F347="",B306,'РЕЕСТР РИСКОВ_2023'!F347)))))</f>
        <v>ПРОЦЕНТНЫЙ РИСК</v>
      </c>
      <c r="C307" t="e">
        <f>IF('INHERENT MAP'!$B$5=2021,IF('РЕЕСТР РИСКОВ_2023'!G347="",C306,'РЕЕСТР РИСКОВ_2023'!G347),IF('INHERENT MAP'!$B$5=2022,IF(#REF!="",C306,#REF!),IF('INHERENT MAP'!$B$5=2023,IF(#REF!="",C306,#REF!),IF('INHERENT MAP'!$B$5=2024,IF(#REF!="",C306,#REF!),IF('РЕЕСТР РИСКОВ_2023'!G347="",C306,'РЕЕСТР РИСКОВ_2023'!G347)))))</f>
        <v>#REF!</v>
      </c>
      <c r="D307" t="str">
        <f>IF('INHERENT MAP'!$B$5=2021,IF('РЕЕСТР РИСКОВ_2023'!H347="",D306,'РЕЕСТР РИСКОВ_2023'!H347),IF('INHERENT MAP'!$B$5=2022,IF(#REF!="",D306,#REF!),IF('INHERENT MAP'!$B$5=2023,IF(#REF!="",D306,#REF!),IF('INHERENT MAP'!$B$5=2024,IF(#REF!="",D306,#REF!),IF('РЕЕСТР РИСКОВ_2023'!H347="",D306,'РЕЕСТР РИСКОВ_2023'!H347)))))</f>
        <v>IRR-1</v>
      </c>
      <c r="E307" t="str">
        <f>IF('INHERENT MAP'!$B$5=2021,IF('РЕЕСТР РИСКОВ_2023'!I347="",E306,'РЕЕСТР РИСКОВ_2023'!I347),IF('INHERENT MAP'!$B$5=2022,IF(#REF!="",E306,#REF!),IF('INHERENT MAP'!$B$5=2023,IF(#REF!="",E306,#REF!),IF('INHERENT MAP'!$B$5=2024,IF(#REF!="",E306,#REF!),IF('РЕЕСТР РИСКОВ_2023'!I347="",E306,'РЕЕСТР РИСКОВ_2023'!I347)))))</f>
        <v>ЦЗФ</v>
      </c>
      <c r="F307" t="str">
        <f>IF('INHERENT MAP'!$B$5=2021,IF('РЕЕСТР РИСКОВ_2023'!J347="",F306,'РЕЕСТР РИСКОВ_2023'!J347),IF('INHERENT MAP'!$B$5=2022,IF(#REF!="",F306,#REF!),IF('INHERENT MAP'!$B$5=2023,IF(#REF!="",F306,#REF!),IF('INHERENT MAP'!$B$5=2024,IF(#REF!="",F306,#REF!),IF('РЕЕСТР РИСКОВ_2023'!J347="",F306,'РЕЕСТР РИСКОВ_2023'!J347)))))</f>
        <v>Цзайм</v>
      </c>
      <c r="G307" t="str">
        <f>IF('INHERENT MAP'!$B$5=2021,IF('РЕЕСТР РИСКОВ_2023'!K347="",G306,'РЕЕСТР РИСКОВ_2023'!K347),IF('INHERENT MAP'!$B$5=2022,IF(#REF!="",G306,#REF!),IF('INHERENT MAP'!$B$5=2023,IF(#REF!="",G306,#REF!),IF('INHERENT MAP'!$B$5=2024,IF(#REF!="",G306,#REF!),IF('РЕЕСТР РИСКОВ_2023'!K347="",G306,'РЕЕСТР РИСКОВ_2023'!K347)))))</f>
        <v>Увеличение расходов по процентам на новые займы, а также текущие займы (с плавающей ставкой) в тенге.</v>
      </c>
      <c r="H307">
        <f>IF('INHERENT MAP'!$B$5=2021,'РЕЕСТР РИСКОВ_2023'!L347,IF('INHERENT MAP'!$B$5=2022,#REF!,IF('INHERENT MAP'!$B$5=2023,#REF!,IF('INHERENT MAP'!$B$5=2024,#REF!,#REF!))))</f>
        <v>0</v>
      </c>
      <c r="I307">
        <f>IF('INHERENT MAP'!$B$5=2021,'РЕЕСТР РИСКОВ_2023'!M347,IF('INHERENT MAP'!$B$5=2022,#REF!,IF('INHERENT MAP'!$B$5=2023,#REF!,IF('INHERENT MAP'!$B$5=2024,#REF!,#REF!))))</f>
        <v>0</v>
      </c>
      <c r="J307">
        <f>IF('INHERENT MAP'!$B$5=2021,'РЕЕСТР РИСКОВ_2023'!N347,IF('INHERENT MAP'!$B$5=2022,#REF!,IF('INHERENT MAP'!$B$5=2023,#REF!,IF('INHERENT MAP'!$B$5=2024,#REF!,#REF!))))</f>
        <v>0</v>
      </c>
      <c r="K307">
        <f>IF('INHERENT MAP'!$B$5=2021,'РЕЕСТР РИСКОВ_2023'!O347,IF('INHERENT MAP'!$B$5=2022,#REF!,IF('INHERENT MAP'!$B$5=2023,#REF!,IF('INHERENT MAP'!$B$5=2024,#REF!,#REF!))))</f>
        <v>0</v>
      </c>
      <c r="L307">
        <f>IF('INHERENT MAP'!$B$5=2021,'РЕЕСТР РИСКОВ_2023'!P347,IF('INHERENT MAP'!$B$5=2022,#REF!,IF('INHERENT MAP'!$B$5=2023,#REF!,IF('INHERENT MAP'!$B$5=2024,#REF!,#REF!))))</f>
        <v>0</v>
      </c>
      <c r="M307" t="str">
        <f>IF('INHERENT MAP'!$B$5=2021,IF('РЕЕСТР РИСКОВ_2023'!Q347="",M306,'РЕЕСТР РИСКОВ_2023'!Q347),IF('INHERENT MAP'!$B$5=2022,IF(#REF!="",M306,#REF!),IF('INHERENT MAP'!$B$5=2023,IF(#REF!="",M306,#REF!),IF('INHERENT MAP'!$B$5=2024,IF(#REF!="",M306,#REF!),IF('РЕЕСТР РИСКОВ_2023'!Q347="",M306,'РЕЕСТР РИСКОВ_2023'!Q347)))))</f>
        <v>Увеличение базовой ставки Национального банка Республики Казахстан до 16%</v>
      </c>
      <c r="N307" t="str">
        <f>IF('INHERENT MAP'!$B$5=2021,IF('РЕЕСТР РИСКОВ_2023'!R347="",N306,'РЕЕСТР РИСКОВ_2023'!R347),IF('INHERENT MAP'!$B$5=2022,IF(#REF!="",N306,#REF!),IF('INHERENT MAP'!$B$5=2023,IF(#REF!="",N306,#REF!),IF('INHERENT MAP'!$B$5=2024,IF(#REF!="",N306,#REF!),IF('РЕЕСТР РИСКОВ_2023'!R347="",N306,'РЕЕСТР РИСКОВ_2023'!R347)))))</f>
        <v>Рецессия экономики европейских стран</v>
      </c>
      <c r="O307">
        <f>'РЕЕСТР РИСКОВ_2023'!T347</f>
        <v>0</v>
      </c>
      <c r="P307" t="e">
        <f>IF('РЕЕСТР РИСКОВ_2023'!U347="",P306,'РЕЕСТР РИСКОВ_2023'!U347)</f>
        <v>#REF!</v>
      </c>
      <c r="Q307" t="str">
        <f>IF('РЕЕСТР РИСКОВ_2023'!V347="",Q306,'РЕЕСТР РИСКОВ_2023'!V347)</f>
        <v>Угрозы</v>
      </c>
      <c r="R307" t="e">
        <f>IF('РЕЕСТР РИСКОВ_2023'!W347="",R306,'РЕЕСТР РИСКОВ_2023'!W347)</f>
        <v>#REF!</v>
      </c>
      <c r="S307">
        <f>'РЕЕСТР РИСКОВ_2023'!X347</f>
        <v>0</v>
      </c>
      <c r="T307" s="94">
        <f>IF('INHERENT MAP'!$B$5=2021,'РЕЕСТР РИСКОВ_2023'!Y347,IF('INHERENT MAP'!$B$5=2022,#REF!,IF('INHERENT MAP'!$B$5=2023,#REF!,IF('INHERENT MAP'!$B$5=2024,#REF!,#REF!))))</f>
        <v>0</v>
      </c>
      <c r="U307">
        <f>IF('INHERENT MAP'!$B$5=2021,'РЕЕСТР РИСКОВ_2023'!Z347,IF('INHERENT MAP'!$B$5=2022,#REF!,IF('INHERENT MAP'!$B$5=2023,#REF!,IF('INHERENT MAP'!$B$5=2024,#REF!,#REF!))))</f>
        <v>0</v>
      </c>
      <c r="V307">
        <f>IF('INHERENT MAP'!$B$5=2021,'РЕЕСТР РИСКОВ_2023'!AA347,IF('INHERENT MAP'!$B$5=2022,#REF!,IF('INHERENT MAP'!$B$5=2023,#REF!,IF('INHERENT MAP'!$B$5=2024,#REF!,#REF!))))</f>
        <v>0</v>
      </c>
      <c r="W307">
        <f>IF('INHERENT MAP'!$B$5=2021,'РЕЕСТР РИСКОВ_2023'!AB347,IF('INHERENT MAP'!$B$5=2022,#REF!,IF('INHERENT MAP'!$B$5=2023,#REF!,IF('INHERENT MAP'!$B$5=2024,#REF!,#REF!))))</f>
        <v>0</v>
      </c>
      <c r="X307" s="94">
        <f>IF('INHERENT MAP'!$B$5=2021,'РЕЕСТР РИСКОВ_2023'!AC347,IF('INHERENT MAP'!$B$5=2022,#REF!,IF('INHERENT MAP'!$B$5=2023,#REF!,IF('INHERENT MAP'!$B$5=2024,#REF!,#REF!))))</f>
        <v>0</v>
      </c>
      <c r="Y307">
        <f>IF('INHERENT MAP'!$B$5=2021,'РЕЕСТР РИСКОВ_2023'!AD347,IF('INHERENT MAP'!$B$5=2022,#REF!,IF('INHERENT MAP'!$B$5=2023,#REF!,IF('INHERENT MAP'!$B$5=2024,#REF!,#REF!))))</f>
        <v>0</v>
      </c>
      <c r="Z307">
        <f>IF('INHERENT MAP'!$B$5=2021,'РЕЕСТР РИСКОВ_2023'!AE347,IF('INHERENT MAP'!$B$5=2022,#REF!,IF('INHERENT MAP'!$B$5=2023,#REF!,IF('INHERENT MAP'!$B$5=2024,#REF!,#REF!))))</f>
        <v>0</v>
      </c>
      <c r="AA307">
        <f>IF('INHERENT MAP'!$B$5=2021,'РЕЕСТР РИСКОВ_2023'!AF347,IF('INHERENT MAP'!$B$5=2022,#REF!,IF('INHERENT MAP'!$B$5=2023,#REF!,IF('INHERENT MAP'!$B$5=2024,#REF!,#REF!))))</f>
        <v>0</v>
      </c>
      <c r="AB307">
        <f>IF('INHERENT MAP'!$B$5=2021,'РЕЕСТР РИСКОВ_2023'!AG347,IF('INHERENT MAP'!$B$5=2022,#REF!,IF('INHERENT MAP'!$B$5=2023,#REF!,IF('INHERENT MAP'!$B$5=2024,#REF!,#REF!))))</f>
        <v>0</v>
      </c>
      <c r="AC307">
        <f>IF('INHERENT MAP'!$B$5=2021,'РЕЕСТР РИСКОВ_2023'!AH347,IF('INHERENT MAP'!$B$5=2022,#REF!,IF('INHERENT MAP'!$B$5=2023,#REF!,IF('INHERENT MAP'!$B$5=2024,#REF!,#REF!))))</f>
        <v>0</v>
      </c>
      <c r="AD307">
        <f>IF('INHERENT MAP'!$B$5=2021,'РЕЕСТР РИСКОВ_2023'!AI347,IF('INHERENT MAP'!$B$5=2022,#REF!,IF('INHERENT MAP'!$B$5=2023,#REF!,IF('INHERENT MAP'!$B$5=2024,#REF!,#REF!))))</f>
        <v>0</v>
      </c>
      <c r="AE307">
        <f>IF('INHERENT MAP'!$B$5=2021,'РЕЕСТР РИСКОВ_2023'!AK347,IF('INHERENT MAP'!$B$5=2022,#REF!,IF('INHERENT MAP'!$B$5=2023,#REF!,IF('INHERENT MAP'!$B$5=2024,#REF!,#REF!))))</f>
        <v>0</v>
      </c>
      <c r="AF307">
        <f>IF('INHERENT MAP'!$B$5=2021,'РЕЕСТР РИСКОВ_2023'!AL347,IF('INHERENT MAP'!$B$5=2022,#REF!,IF('INHERENT MAP'!$B$5=2023,#REF!,IF('INHERENT MAP'!$B$5=2024,#REF!,#REF!))))</f>
        <v>0</v>
      </c>
      <c r="AG307">
        <f>IF('INHERENT MAP'!$B$5=2021,'РЕЕСТР РИСКОВ_2023'!AM347,IF('INHERENT MAP'!$B$5=2022,#REF!,IF('INHERENT MAP'!$B$5=2023,#REF!,IF('INHERENT MAP'!$B$5=2024,#REF!,#REF!))))</f>
        <v>0</v>
      </c>
      <c r="AH307">
        <f>IF('INHERENT MAP'!$B$5=2021,'РЕЕСТР РИСКОВ_2023'!AN347,IF('INHERENT MAP'!$B$5=2022,#REF!,IF('INHERENT MAP'!$B$5=2023,#REF!,IF('INHERENT MAP'!$B$5=2024,#REF!,#REF!))))</f>
        <v>0</v>
      </c>
      <c r="AI307">
        <f>IF('INHERENT MAP'!$B$5=2021,'РЕЕСТР РИСКОВ_2023'!AO347,IF('INHERENT MAP'!$B$5=2022,#REF!,IF('INHERENT MAP'!$B$5=2023,#REF!,IF('INHERENT MAP'!$B$5=2024,#REF!,#REF!))))</f>
        <v>0</v>
      </c>
      <c r="AJ307">
        <f>IF('INHERENT MAP'!$B$5=2021,'РЕЕСТР РИСКОВ_2023'!AP347,IF('INHERENT MAP'!$B$5=2022,#REF!,IF('INHERENT MAP'!$B$5=2023,#REF!,IF('INHERENT MAP'!$B$5=2024,#REF!,#REF!))))</f>
        <v>0</v>
      </c>
      <c r="AK307">
        <f>IF('РЕЕСТР РИСКОВ_2023'!AQ347="",AK306,'РЕЕСТР РИСКОВ_2023'!AQ347)</f>
        <v>-216</v>
      </c>
      <c r="AL307">
        <f>IF('РЕЕСТР РИСКОВ_2023'!AR347="",AL306,'РЕЕСТР РИСКОВ_2023'!AR347)</f>
        <v>0.12</v>
      </c>
      <c r="AM307" t="str">
        <f>IF('РЕЕСТР РИСКОВ_2023'!AS347="",AM306,'РЕЕСТР РИСКОВ_2023'!AS347)</f>
        <v>стоп</v>
      </c>
      <c r="AN307" t="str">
        <f>IF('РЕЕСТР РИСКОВ_2023'!AT347="",AN306,'РЕЕСТР РИСКОВ_2023'!AT347)</f>
        <v>стоп</v>
      </c>
      <c r="AO307" t="e">
        <f>IF('РЕЕСТР РИСКОВ_2023'!AU347="",AO306,'РЕЕСТР РИСКОВ_2023'!AU347)</f>
        <v>#REF!</v>
      </c>
    </row>
    <row r="308" spans="2:41">
      <c r="B308" t="str">
        <f>IF('INHERENT MAP'!$B$5=2021,IF('РЕЕСТР РИСКОВ_2023'!F348="",B307,'РЕЕСТР РИСКОВ_2023'!F348),IF('INHERENT MAP'!$B$5=2022,IF(#REF!="",B307,#REF!),IF('INHERENT MAP'!$B$5=2023,IF(#REF!="",B307,#REF!),IF('INHERENT MAP'!$B$5=2024,IF(#REF!="",B307,#REF!),IF('РЕЕСТР РИСКОВ_2023'!F348="",B307,'РЕЕСТР РИСКОВ_2023'!F348)))))</f>
        <v>ПРОЦЕНТНЫЙ РИСК</v>
      </c>
      <c r="C308" t="e">
        <f>IF('INHERENT MAP'!$B$5=2021,IF('РЕЕСТР РИСКОВ_2023'!G348="",C307,'РЕЕСТР РИСКОВ_2023'!G348),IF('INHERENT MAP'!$B$5=2022,IF(#REF!="",C307,#REF!),IF('INHERENT MAP'!$B$5=2023,IF(#REF!="",C307,#REF!),IF('INHERENT MAP'!$B$5=2024,IF(#REF!="",C307,#REF!),IF('РЕЕСТР РИСКОВ_2023'!G348="",C307,'РЕЕСТР РИСКОВ_2023'!G348)))))</f>
        <v>#REF!</v>
      </c>
      <c r="D308" t="str">
        <f>IF('INHERENT MAP'!$B$5=2021,IF('РЕЕСТР РИСКОВ_2023'!H348="",D307,'РЕЕСТР РИСКОВ_2023'!H348),IF('INHERENT MAP'!$B$5=2022,IF(#REF!="",D307,#REF!),IF('INHERENT MAP'!$B$5=2023,IF(#REF!="",D307,#REF!),IF('INHERENT MAP'!$B$5=2024,IF(#REF!="",D307,#REF!),IF('РЕЕСТР РИСКОВ_2023'!H348="",D307,'РЕЕСТР РИСКОВ_2023'!H348)))))</f>
        <v>IRR-1</v>
      </c>
      <c r="E308" t="str">
        <f>IF('INHERENT MAP'!$B$5=2021,IF('РЕЕСТР РИСКОВ_2023'!I348="",E307,'РЕЕСТР РИСКОВ_2023'!I348),IF('INHERENT MAP'!$B$5=2022,IF(#REF!="",E307,#REF!),IF('INHERENT MAP'!$B$5=2023,IF(#REF!="",E307,#REF!),IF('INHERENT MAP'!$B$5=2024,IF(#REF!="",E307,#REF!),IF('РЕЕСТР РИСКОВ_2023'!I348="",E307,'РЕЕСТР РИСКОВ_2023'!I348)))))</f>
        <v>ЦЗФ</v>
      </c>
      <c r="F308" t="str">
        <f>IF('INHERENT MAP'!$B$5=2021,IF('РЕЕСТР РИСКОВ_2023'!J348="",F307,'РЕЕСТР РИСКОВ_2023'!J348),IF('INHERENT MAP'!$B$5=2022,IF(#REF!="",F307,#REF!),IF('INHERENT MAP'!$B$5=2023,IF(#REF!="",F307,#REF!),IF('INHERENT MAP'!$B$5=2024,IF(#REF!="",F307,#REF!),IF('РЕЕСТР РИСКОВ_2023'!J348="",F307,'РЕЕСТР РИСКОВ_2023'!J348)))))</f>
        <v>Цзайм</v>
      </c>
      <c r="G308" t="str">
        <f>IF('INHERENT MAP'!$B$5=2021,IF('РЕЕСТР РИСКОВ_2023'!K348="",G307,'РЕЕСТР РИСКОВ_2023'!K348),IF('INHERENT MAP'!$B$5=2022,IF(#REF!="",G307,#REF!),IF('INHERENT MAP'!$B$5=2023,IF(#REF!="",G307,#REF!),IF('INHERENT MAP'!$B$5=2024,IF(#REF!="",G307,#REF!),IF('РЕЕСТР РИСКОВ_2023'!K348="",G307,'РЕЕСТР РИСКОВ_2023'!K348)))))</f>
        <v>Увеличение расходов по процентам на новые займы, а также текущие займы (с плавающей ставкой) в тенге.</v>
      </c>
      <c r="H308">
        <f>IF('INHERENT MAP'!$B$5=2021,'РЕЕСТР РИСКОВ_2023'!L348,IF('INHERENT MAP'!$B$5=2022,#REF!,IF('INHERENT MAP'!$B$5=2023,#REF!,IF('INHERENT MAP'!$B$5=2024,#REF!,#REF!))))</f>
        <v>0</v>
      </c>
      <c r="I308">
        <f>IF('INHERENT MAP'!$B$5=2021,'РЕЕСТР РИСКОВ_2023'!M348,IF('INHERENT MAP'!$B$5=2022,#REF!,IF('INHERENT MAP'!$B$5=2023,#REF!,IF('INHERENT MAP'!$B$5=2024,#REF!,#REF!))))</f>
        <v>0</v>
      </c>
      <c r="J308">
        <f>IF('INHERENT MAP'!$B$5=2021,'РЕЕСТР РИСКОВ_2023'!N348,IF('INHERENT MAP'!$B$5=2022,#REF!,IF('INHERENT MAP'!$B$5=2023,#REF!,IF('INHERENT MAP'!$B$5=2024,#REF!,#REF!))))</f>
        <v>0</v>
      </c>
      <c r="K308">
        <f>IF('INHERENT MAP'!$B$5=2021,'РЕЕСТР РИСКОВ_2023'!O348,IF('INHERENT MAP'!$B$5=2022,#REF!,IF('INHERENT MAP'!$B$5=2023,#REF!,IF('INHERENT MAP'!$B$5=2024,#REF!,#REF!))))</f>
        <v>0</v>
      </c>
      <c r="L308">
        <f>IF('INHERENT MAP'!$B$5=2021,'РЕЕСТР РИСКОВ_2023'!P348,IF('INHERENT MAP'!$B$5=2022,#REF!,IF('INHERENT MAP'!$B$5=2023,#REF!,IF('INHERENT MAP'!$B$5=2024,#REF!,#REF!))))</f>
        <v>0</v>
      </c>
      <c r="M308" t="str">
        <f>IF('INHERENT MAP'!$B$5=2021,IF('РЕЕСТР РИСКОВ_2023'!Q348="",M307,'РЕЕСТР РИСКОВ_2023'!Q348),IF('INHERENT MAP'!$B$5=2022,IF(#REF!="",M307,#REF!),IF('INHERENT MAP'!$B$5=2023,IF(#REF!="",M307,#REF!),IF('INHERENT MAP'!$B$5=2024,IF(#REF!="",M307,#REF!),IF('РЕЕСТР РИСКОВ_2023'!Q348="",M307,'РЕЕСТР РИСКОВ_2023'!Q348)))))</f>
        <v>Увеличение базовой ставки Национального банка Республики Казахстан до 16%</v>
      </c>
      <c r="N308" t="str">
        <f>IF('INHERENT MAP'!$B$5=2021,IF('РЕЕСТР РИСКОВ_2023'!R348="",N307,'РЕЕСТР РИСКОВ_2023'!R348),IF('INHERENT MAP'!$B$5=2022,IF(#REF!="",N307,#REF!),IF('INHERENT MAP'!$B$5=2023,IF(#REF!="",N307,#REF!),IF('INHERENT MAP'!$B$5=2024,IF(#REF!="",N307,#REF!),IF('РЕЕСТР РИСКОВ_2023'!R348="",N307,'РЕЕСТР РИСКОВ_2023'!R348)))))</f>
        <v>Рецессия экономики европейских стран</v>
      </c>
      <c r="O308">
        <f>'РЕЕСТР РИСКОВ_2023'!T348</f>
        <v>0</v>
      </c>
      <c r="P308" t="e">
        <f>IF('РЕЕСТР РИСКОВ_2023'!U348="",P307,'РЕЕСТР РИСКОВ_2023'!U348)</f>
        <v>#REF!</v>
      </c>
      <c r="Q308" t="str">
        <f>IF('РЕЕСТР РИСКОВ_2023'!V348="",Q307,'РЕЕСТР РИСКОВ_2023'!V348)</f>
        <v>Угрозы</v>
      </c>
      <c r="R308" t="e">
        <f>IF('РЕЕСТР РИСКОВ_2023'!W348="",R307,'РЕЕСТР РИСКОВ_2023'!W348)</f>
        <v>#REF!</v>
      </c>
      <c r="S308">
        <f>'РЕЕСТР РИСКОВ_2023'!X348</f>
        <v>0</v>
      </c>
      <c r="T308" s="94">
        <f>IF('INHERENT MAP'!$B$5=2021,'РЕЕСТР РИСКОВ_2023'!Y348,IF('INHERENT MAP'!$B$5=2022,#REF!,IF('INHERENT MAP'!$B$5=2023,#REF!,IF('INHERENT MAP'!$B$5=2024,#REF!,#REF!))))</f>
        <v>0</v>
      </c>
      <c r="U308">
        <f>IF('INHERENT MAP'!$B$5=2021,'РЕЕСТР РИСКОВ_2023'!Z348,IF('INHERENT MAP'!$B$5=2022,#REF!,IF('INHERENT MAP'!$B$5=2023,#REF!,IF('INHERENT MAP'!$B$5=2024,#REF!,#REF!))))</f>
        <v>0</v>
      </c>
      <c r="V308">
        <f>IF('INHERENT MAP'!$B$5=2021,'РЕЕСТР РИСКОВ_2023'!AA348,IF('INHERENT MAP'!$B$5=2022,#REF!,IF('INHERENT MAP'!$B$5=2023,#REF!,IF('INHERENT MAP'!$B$5=2024,#REF!,#REF!))))</f>
        <v>0</v>
      </c>
      <c r="W308">
        <f>IF('INHERENT MAP'!$B$5=2021,'РЕЕСТР РИСКОВ_2023'!AB348,IF('INHERENT MAP'!$B$5=2022,#REF!,IF('INHERENT MAP'!$B$5=2023,#REF!,IF('INHERENT MAP'!$B$5=2024,#REF!,#REF!))))</f>
        <v>0</v>
      </c>
      <c r="X308" s="94">
        <f>IF('INHERENT MAP'!$B$5=2021,'РЕЕСТР РИСКОВ_2023'!AC348,IF('INHERENT MAP'!$B$5=2022,#REF!,IF('INHERENT MAP'!$B$5=2023,#REF!,IF('INHERENT MAP'!$B$5=2024,#REF!,#REF!))))</f>
        <v>0</v>
      </c>
      <c r="Y308">
        <f>IF('INHERENT MAP'!$B$5=2021,'РЕЕСТР РИСКОВ_2023'!AD348,IF('INHERENT MAP'!$B$5=2022,#REF!,IF('INHERENT MAP'!$B$5=2023,#REF!,IF('INHERENT MAP'!$B$5=2024,#REF!,#REF!))))</f>
        <v>0</v>
      </c>
      <c r="Z308">
        <f>IF('INHERENT MAP'!$B$5=2021,'РЕЕСТР РИСКОВ_2023'!AE348,IF('INHERENT MAP'!$B$5=2022,#REF!,IF('INHERENT MAP'!$B$5=2023,#REF!,IF('INHERENT MAP'!$B$5=2024,#REF!,#REF!))))</f>
        <v>0</v>
      </c>
      <c r="AA308">
        <f>IF('INHERENT MAP'!$B$5=2021,'РЕЕСТР РИСКОВ_2023'!AF348,IF('INHERENT MAP'!$B$5=2022,#REF!,IF('INHERENT MAP'!$B$5=2023,#REF!,IF('INHERENT MAP'!$B$5=2024,#REF!,#REF!))))</f>
        <v>0</v>
      </c>
      <c r="AB308">
        <f>IF('INHERENT MAP'!$B$5=2021,'РЕЕСТР РИСКОВ_2023'!AG348,IF('INHERENT MAP'!$B$5=2022,#REF!,IF('INHERENT MAP'!$B$5=2023,#REF!,IF('INHERENT MAP'!$B$5=2024,#REF!,#REF!))))</f>
        <v>0</v>
      </c>
      <c r="AC308">
        <f>IF('INHERENT MAP'!$B$5=2021,'РЕЕСТР РИСКОВ_2023'!AH348,IF('INHERENT MAP'!$B$5=2022,#REF!,IF('INHERENT MAP'!$B$5=2023,#REF!,IF('INHERENT MAP'!$B$5=2024,#REF!,#REF!))))</f>
        <v>0</v>
      </c>
      <c r="AD308">
        <f>IF('INHERENT MAP'!$B$5=2021,'РЕЕСТР РИСКОВ_2023'!AI348,IF('INHERENT MAP'!$B$5=2022,#REF!,IF('INHERENT MAP'!$B$5=2023,#REF!,IF('INHERENT MAP'!$B$5=2024,#REF!,#REF!))))</f>
        <v>0</v>
      </c>
      <c r="AE308">
        <f>IF('INHERENT MAP'!$B$5=2021,'РЕЕСТР РИСКОВ_2023'!AK348,IF('INHERENT MAP'!$B$5=2022,#REF!,IF('INHERENT MAP'!$B$5=2023,#REF!,IF('INHERENT MAP'!$B$5=2024,#REF!,#REF!))))</f>
        <v>0</v>
      </c>
      <c r="AF308">
        <f>IF('INHERENT MAP'!$B$5=2021,'РЕЕСТР РИСКОВ_2023'!AL348,IF('INHERENT MAP'!$B$5=2022,#REF!,IF('INHERENT MAP'!$B$5=2023,#REF!,IF('INHERENT MAP'!$B$5=2024,#REF!,#REF!))))</f>
        <v>0</v>
      </c>
      <c r="AG308">
        <f>IF('INHERENT MAP'!$B$5=2021,'РЕЕСТР РИСКОВ_2023'!AM348,IF('INHERENT MAP'!$B$5=2022,#REF!,IF('INHERENT MAP'!$B$5=2023,#REF!,IF('INHERENT MAP'!$B$5=2024,#REF!,#REF!))))</f>
        <v>0</v>
      </c>
      <c r="AH308">
        <f>IF('INHERENT MAP'!$B$5=2021,'РЕЕСТР РИСКОВ_2023'!AN348,IF('INHERENT MAP'!$B$5=2022,#REF!,IF('INHERENT MAP'!$B$5=2023,#REF!,IF('INHERENT MAP'!$B$5=2024,#REF!,#REF!))))</f>
        <v>0</v>
      </c>
      <c r="AI308">
        <f>IF('INHERENT MAP'!$B$5=2021,'РЕЕСТР РИСКОВ_2023'!AO348,IF('INHERENT MAP'!$B$5=2022,#REF!,IF('INHERENT MAP'!$B$5=2023,#REF!,IF('INHERENT MAP'!$B$5=2024,#REF!,#REF!))))</f>
        <v>0</v>
      </c>
      <c r="AJ308">
        <f>IF('INHERENT MAP'!$B$5=2021,'РЕЕСТР РИСКОВ_2023'!AP348,IF('INHERENT MAP'!$B$5=2022,#REF!,IF('INHERENT MAP'!$B$5=2023,#REF!,IF('INHERENT MAP'!$B$5=2024,#REF!,#REF!))))</f>
        <v>0</v>
      </c>
      <c r="AK308">
        <f>IF('РЕЕСТР РИСКОВ_2023'!AQ348="",AK307,'РЕЕСТР РИСКОВ_2023'!AQ348)</f>
        <v>-216</v>
      </c>
      <c r="AL308">
        <f>IF('РЕЕСТР РИСКОВ_2023'!AR348="",AL307,'РЕЕСТР РИСКОВ_2023'!AR348)</f>
        <v>0.12</v>
      </c>
      <c r="AM308" t="str">
        <f>IF('РЕЕСТР РИСКОВ_2023'!AS348="",AM307,'РЕЕСТР РИСКОВ_2023'!AS348)</f>
        <v>стоп</v>
      </c>
      <c r="AN308" t="str">
        <f>IF('РЕЕСТР РИСКОВ_2023'!AT348="",AN307,'РЕЕСТР РИСКОВ_2023'!AT348)</f>
        <v>стоп</v>
      </c>
      <c r="AO308" t="e">
        <f>IF('РЕЕСТР РИСКОВ_2023'!AU348="",AO307,'РЕЕСТР РИСКОВ_2023'!AU348)</f>
        <v>#REF!</v>
      </c>
    </row>
    <row r="309" spans="2:41">
      <c r="B309" t="str">
        <f>IF('INHERENT MAP'!$B$5=2021,IF('РЕЕСТР РИСКОВ_2023'!F349="",B308,'РЕЕСТР РИСКОВ_2023'!F349),IF('INHERENT MAP'!$B$5=2022,IF(#REF!="",B308,#REF!),IF('INHERENT MAP'!$B$5=2023,IF(#REF!="",B308,#REF!),IF('INHERENT MAP'!$B$5=2024,IF(#REF!="",B308,#REF!),IF('РЕЕСТР РИСКОВ_2023'!F349="",B308,'РЕЕСТР РИСКОВ_2023'!F349)))))</f>
        <v>ПРОЦЕНТНЫЙ РИСК</v>
      </c>
      <c r="C309" t="e">
        <f>IF('INHERENT MAP'!$B$5=2021,IF('РЕЕСТР РИСКОВ_2023'!G349="",C308,'РЕЕСТР РИСКОВ_2023'!G349),IF('INHERENT MAP'!$B$5=2022,IF(#REF!="",C308,#REF!),IF('INHERENT MAP'!$B$5=2023,IF(#REF!="",C308,#REF!),IF('INHERENT MAP'!$B$5=2024,IF(#REF!="",C308,#REF!),IF('РЕЕСТР РИСКОВ_2023'!G349="",C308,'РЕЕСТР РИСКОВ_2023'!G349)))))</f>
        <v>#REF!</v>
      </c>
      <c r="D309" t="str">
        <f>IF('INHERENT MAP'!$B$5=2021,IF('РЕЕСТР РИСКОВ_2023'!H349="",D308,'РЕЕСТР РИСКОВ_2023'!H349),IF('INHERENT MAP'!$B$5=2022,IF(#REF!="",D308,#REF!),IF('INHERENT MAP'!$B$5=2023,IF(#REF!="",D308,#REF!),IF('INHERENT MAP'!$B$5=2024,IF(#REF!="",D308,#REF!),IF('РЕЕСТР РИСКОВ_2023'!H349="",D308,'РЕЕСТР РИСКОВ_2023'!H349)))))</f>
        <v>IRR-1</v>
      </c>
      <c r="E309" t="str">
        <f>IF('INHERENT MAP'!$B$5=2021,IF('РЕЕСТР РИСКОВ_2023'!I349="",E308,'РЕЕСТР РИСКОВ_2023'!I349),IF('INHERENT MAP'!$B$5=2022,IF(#REF!="",E308,#REF!),IF('INHERENT MAP'!$B$5=2023,IF(#REF!="",E308,#REF!),IF('INHERENT MAP'!$B$5=2024,IF(#REF!="",E308,#REF!),IF('РЕЕСТР РИСКОВ_2023'!I349="",E308,'РЕЕСТР РИСКОВ_2023'!I349)))))</f>
        <v>ЦЗФ</v>
      </c>
      <c r="F309" t="str">
        <f>IF('INHERENT MAP'!$B$5=2021,IF('РЕЕСТР РИСКОВ_2023'!J349="",F308,'РЕЕСТР РИСКОВ_2023'!J349),IF('INHERENT MAP'!$B$5=2022,IF(#REF!="",F308,#REF!),IF('INHERENT MAP'!$B$5=2023,IF(#REF!="",F308,#REF!),IF('INHERENT MAP'!$B$5=2024,IF(#REF!="",F308,#REF!),IF('РЕЕСТР РИСКОВ_2023'!J349="",F308,'РЕЕСТР РИСКОВ_2023'!J349)))))</f>
        <v>Цзайм</v>
      </c>
      <c r="G309" t="str">
        <f>IF('INHERENT MAP'!$B$5=2021,IF('РЕЕСТР РИСКОВ_2023'!K349="",G308,'РЕЕСТР РИСКОВ_2023'!K349),IF('INHERENT MAP'!$B$5=2022,IF(#REF!="",G308,#REF!),IF('INHERENT MAP'!$B$5=2023,IF(#REF!="",G308,#REF!),IF('INHERENT MAP'!$B$5=2024,IF(#REF!="",G308,#REF!),IF('РЕЕСТР РИСКОВ_2023'!K349="",G308,'РЕЕСТР РИСКОВ_2023'!K349)))))</f>
        <v>Увеличение расходов по процентам на новые займы, а также текущие займы (с плавающей ставкой) в тенге.</v>
      </c>
      <c r="H309">
        <f>IF('INHERENT MAP'!$B$5=2021,'РЕЕСТР РИСКОВ_2023'!L349,IF('INHERENT MAP'!$B$5=2022,#REF!,IF('INHERENT MAP'!$B$5=2023,#REF!,IF('INHERENT MAP'!$B$5=2024,#REF!,#REF!))))</f>
        <v>0</v>
      </c>
      <c r="I309">
        <f>IF('INHERENT MAP'!$B$5=2021,'РЕЕСТР РИСКОВ_2023'!M349,IF('INHERENT MAP'!$B$5=2022,#REF!,IF('INHERENT MAP'!$B$5=2023,#REF!,IF('INHERENT MAP'!$B$5=2024,#REF!,#REF!))))</f>
        <v>0</v>
      </c>
      <c r="J309">
        <f>IF('INHERENT MAP'!$B$5=2021,'РЕЕСТР РИСКОВ_2023'!N349,IF('INHERENT MAP'!$B$5=2022,#REF!,IF('INHERENT MAP'!$B$5=2023,#REF!,IF('INHERENT MAP'!$B$5=2024,#REF!,#REF!))))</f>
        <v>0</v>
      </c>
      <c r="K309">
        <f>IF('INHERENT MAP'!$B$5=2021,'РЕЕСТР РИСКОВ_2023'!O349,IF('INHERENT MAP'!$B$5=2022,#REF!,IF('INHERENT MAP'!$B$5=2023,#REF!,IF('INHERENT MAP'!$B$5=2024,#REF!,#REF!))))</f>
        <v>0</v>
      </c>
      <c r="L309">
        <f>IF('INHERENT MAP'!$B$5=2021,'РЕЕСТР РИСКОВ_2023'!P349,IF('INHERENT MAP'!$B$5=2022,#REF!,IF('INHERENT MAP'!$B$5=2023,#REF!,IF('INHERENT MAP'!$B$5=2024,#REF!,#REF!))))</f>
        <v>0</v>
      </c>
      <c r="M309" t="str">
        <f>IF('INHERENT MAP'!$B$5=2021,IF('РЕЕСТР РИСКОВ_2023'!Q349="",M308,'РЕЕСТР РИСКОВ_2023'!Q349),IF('INHERENT MAP'!$B$5=2022,IF(#REF!="",M308,#REF!),IF('INHERENT MAP'!$B$5=2023,IF(#REF!="",M308,#REF!),IF('INHERENT MAP'!$B$5=2024,IF(#REF!="",M308,#REF!),IF('РЕЕСТР РИСКОВ_2023'!Q349="",M308,'РЕЕСТР РИСКОВ_2023'!Q349)))))</f>
        <v>Увеличение базовой ставки Национального банка Республики Казахстан до 16%</v>
      </c>
      <c r="N309" t="str">
        <f>IF('INHERENT MAP'!$B$5=2021,IF('РЕЕСТР РИСКОВ_2023'!R349="",N308,'РЕЕСТР РИСКОВ_2023'!R349),IF('INHERENT MAP'!$B$5=2022,IF(#REF!="",N308,#REF!),IF('INHERENT MAP'!$B$5=2023,IF(#REF!="",N308,#REF!),IF('INHERENT MAP'!$B$5=2024,IF(#REF!="",N308,#REF!),IF('РЕЕСТР РИСКОВ_2023'!R349="",N308,'РЕЕСТР РИСКОВ_2023'!R349)))))</f>
        <v>Рецессия экономики европейских стран</v>
      </c>
      <c r="O309">
        <f>'РЕЕСТР РИСКОВ_2023'!T349</f>
        <v>0</v>
      </c>
      <c r="P309" t="e">
        <f>IF('РЕЕСТР РИСКОВ_2023'!U349="",P308,'РЕЕСТР РИСКОВ_2023'!U349)</f>
        <v>#REF!</v>
      </c>
      <c r="Q309" t="str">
        <f>IF('РЕЕСТР РИСКОВ_2023'!V349="",Q308,'РЕЕСТР РИСКОВ_2023'!V349)</f>
        <v>Угрозы</v>
      </c>
      <c r="R309" t="e">
        <f>IF('РЕЕСТР РИСКОВ_2023'!W349="",R308,'РЕЕСТР РИСКОВ_2023'!W349)</f>
        <v>#REF!</v>
      </c>
      <c r="S309">
        <f>'РЕЕСТР РИСКОВ_2023'!X349</f>
        <v>0</v>
      </c>
      <c r="T309" s="94">
        <f>IF('INHERENT MAP'!$B$5=2021,'РЕЕСТР РИСКОВ_2023'!Y349,IF('INHERENT MAP'!$B$5=2022,#REF!,IF('INHERENT MAP'!$B$5=2023,#REF!,IF('INHERENT MAP'!$B$5=2024,#REF!,#REF!))))</f>
        <v>0</v>
      </c>
      <c r="U309">
        <f>IF('INHERENT MAP'!$B$5=2021,'РЕЕСТР РИСКОВ_2023'!Z349,IF('INHERENT MAP'!$B$5=2022,#REF!,IF('INHERENT MAP'!$B$5=2023,#REF!,IF('INHERENT MAP'!$B$5=2024,#REF!,#REF!))))</f>
        <v>0</v>
      </c>
      <c r="V309">
        <f>IF('INHERENT MAP'!$B$5=2021,'РЕЕСТР РИСКОВ_2023'!AA349,IF('INHERENT MAP'!$B$5=2022,#REF!,IF('INHERENT MAP'!$B$5=2023,#REF!,IF('INHERENT MAP'!$B$5=2024,#REF!,#REF!))))</f>
        <v>0</v>
      </c>
      <c r="W309">
        <f>IF('INHERENT MAP'!$B$5=2021,'РЕЕСТР РИСКОВ_2023'!AB349,IF('INHERENT MAP'!$B$5=2022,#REF!,IF('INHERENT MAP'!$B$5=2023,#REF!,IF('INHERENT MAP'!$B$5=2024,#REF!,#REF!))))</f>
        <v>0</v>
      </c>
      <c r="X309" s="94">
        <f>IF('INHERENT MAP'!$B$5=2021,'РЕЕСТР РИСКОВ_2023'!AC349,IF('INHERENT MAP'!$B$5=2022,#REF!,IF('INHERENT MAP'!$B$5=2023,#REF!,IF('INHERENT MAP'!$B$5=2024,#REF!,#REF!))))</f>
        <v>0</v>
      </c>
      <c r="Y309">
        <f>IF('INHERENT MAP'!$B$5=2021,'РЕЕСТР РИСКОВ_2023'!AD349,IF('INHERENT MAP'!$B$5=2022,#REF!,IF('INHERENT MAP'!$B$5=2023,#REF!,IF('INHERENT MAP'!$B$5=2024,#REF!,#REF!))))</f>
        <v>0</v>
      </c>
      <c r="Z309">
        <f>IF('INHERENT MAP'!$B$5=2021,'РЕЕСТР РИСКОВ_2023'!AE349,IF('INHERENT MAP'!$B$5=2022,#REF!,IF('INHERENT MAP'!$B$5=2023,#REF!,IF('INHERENT MAP'!$B$5=2024,#REF!,#REF!))))</f>
        <v>0</v>
      </c>
      <c r="AA309">
        <f>IF('INHERENT MAP'!$B$5=2021,'РЕЕСТР РИСКОВ_2023'!AF349,IF('INHERENT MAP'!$B$5=2022,#REF!,IF('INHERENT MAP'!$B$5=2023,#REF!,IF('INHERENT MAP'!$B$5=2024,#REF!,#REF!))))</f>
        <v>0</v>
      </c>
      <c r="AB309">
        <f>IF('INHERENT MAP'!$B$5=2021,'РЕЕСТР РИСКОВ_2023'!AG349,IF('INHERENT MAP'!$B$5=2022,#REF!,IF('INHERENT MAP'!$B$5=2023,#REF!,IF('INHERENT MAP'!$B$5=2024,#REF!,#REF!))))</f>
        <v>0</v>
      </c>
      <c r="AC309">
        <f>IF('INHERENT MAP'!$B$5=2021,'РЕЕСТР РИСКОВ_2023'!AH349,IF('INHERENT MAP'!$B$5=2022,#REF!,IF('INHERENT MAP'!$B$5=2023,#REF!,IF('INHERENT MAP'!$B$5=2024,#REF!,#REF!))))</f>
        <v>0</v>
      </c>
      <c r="AD309">
        <f>IF('INHERENT MAP'!$B$5=2021,'РЕЕСТР РИСКОВ_2023'!AI349,IF('INHERENT MAP'!$B$5=2022,#REF!,IF('INHERENT MAP'!$B$5=2023,#REF!,IF('INHERENT MAP'!$B$5=2024,#REF!,#REF!))))</f>
        <v>0</v>
      </c>
      <c r="AE309">
        <f>IF('INHERENT MAP'!$B$5=2021,'РЕЕСТР РИСКОВ_2023'!AK349,IF('INHERENT MAP'!$B$5=2022,#REF!,IF('INHERENT MAP'!$B$5=2023,#REF!,IF('INHERENT MAP'!$B$5=2024,#REF!,#REF!))))</f>
        <v>0</v>
      </c>
      <c r="AF309">
        <f>IF('INHERENT MAP'!$B$5=2021,'РЕЕСТР РИСКОВ_2023'!AL349,IF('INHERENT MAP'!$B$5=2022,#REF!,IF('INHERENT MAP'!$B$5=2023,#REF!,IF('INHERENT MAP'!$B$5=2024,#REF!,#REF!))))</f>
        <v>0</v>
      </c>
      <c r="AG309">
        <f>IF('INHERENT MAP'!$B$5=2021,'РЕЕСТР РИСКОВ_2023'!AM349,IF('INHERENT MAP'!$B$5=2022,#REF!,IF('INHERENT MAP'!$B$5=2023,#REF!,IF('INHERENT MAP'!$B$5=2024,#REF!,#REF!))))</f>
        <v>0</v>
      </c>
      <c r="AH309">
        <f>IF('INHERENT MAP'!$B$5=2021,'РЕЕСТР РИСКОВ_2023'!AN349,IF('INHERENT MAP'!$B$5=2022,#REF!,IF('INHERENT MAP'!$B$5=2023,#REF!,IF('INHERENT MAP'!$B$5=2024,#REF!,#REF!))))</f>
        <v>0</v>
      </c>
      <c r="AI309">
        <f>IF('INHERENT MAP'!$B$5=2021,'РЕЕСТР РИСКОВ_2023'!AO349,IF('INHERENT MAP'!$B$5=2022,#REF!,IF('INHERENT MAP'!$B$5=2023,#REF!,IF('INHERENT MAP'!$B$5=2024,#REF!,#REF!))))</f>
        <v>0</v>
      </c>
      <c r="AJ309">
        <f>IF('INHERENT MAP'!$B$5=2021,'РЕЕСТР РИСКОВ_2023'!AP349,IF('INHERENT MAP'!$B$5=2022,#REF!,IF('INHERENT MAP'!$B$5=2023,#REF!,IF('INHERENT MAP'!$B$5=2024,#REF!,#REF!))))</f>
        <v>0</v>
      </c>
      <c r="AK309">
        <f>IF('РЕЕСТР РИСКОВ_2023'!AQ349="",AK308,'РЕЕСТР РИСКОВ_2023'!AQ349)</f>
        <v>-216</v>
      </c>
      <c r="AL309">
        <f>IF('РЕЕСТР РИСКОВ_2023'!AR349="",AL308,'РЕЕСТР РИСКОВ_2023'!AR349)</f>
        <v>0.12</v>
      </c>
      <c r="AM309" t="str">
        <f>IF('РЕЕСТР РИСКОВ_2023'!AS349="",AM308,'РЕЕСТР РИСКОВ_2023'!AS349)</f>
        <v>стоп</v>
      </c>
      <c r="AN309" t="str">
        <f>IF('РЕЕСТР РИСКОВ_2023'!AT349="",AN308,'РЕЕСТР РИСКОВ_2023'!AT349)</f>
        <v>стоп</v>
      </c>
      <c r="AO309" t="e">
        <f>IF('РЕЕСТР РИСКОВ_2023'!AU349="",AO308,'РЕЕСТР РИСКОВ_2023'!AU349)</f>
        <v>#REF!</v>
      </c>
    </row>
    <row r="310" spans="2:41">
      <c r="B310" t="str">
        <f>IF('INHERENT MAP'!$B$5=2021,IF('РЕЕСТР РИСКОВ_2023'!F350="",B309,'РЕЕСТР РИСКОВ_2023'!F350),IF('INHERENT MAP'!$B$5=2022,IF(#REF!="",B309,#REF!),IF('INHERENT MAP'!$B$5=2023,IF(#REF!="",B309,#REF!),IF('INHERENT MAP'!$B$5=2024,IF(#REF!="",B309,#REF!),IF('РЕЕСТР РИСКОВ_2023'!F350="",B309,'РЕЕСТР РИСКОВ_2023'!F350)))))</f>
        <v>ПРОЦЕНТНЫЙ РИСК</v>
      </c>
      <c r="C310" t="e">
        <f>IF('INHERENT MAP'!$B$5=2021,IF('РЕЕСТР РИСКОВ_2023'!G350="",C309,'РЕЕСТР РИСКОВ_2023'!G350),IF('INHERENT MAP'!$B$5=2022,IF(#REF!="",C309,#REF!),IF('INHERENT MAP'!$B$5=2023,IF(#REF!="",C309,#REF!),IF('INHERENT MAP'!$B$5=2024,IF(#REF!="",C309,#REF!),IF('РЕЕСТР РИСКОВ_2023'!G350="",C309,'РЕЕСТР РИСКОВ_2023'!G350)))))</f>
        <v>#REF!</v>
      </c>
      <c r="D310" t="str">
        <f>IF('INHERENT MAP'!$B$5=2021,IF('РЕЕСТР РИСКОВ_2023'!H350="",D309,'РЕЕСТР РИСКОВ_2023'!H350),IF('INHERENT MAP'!$B$5=2022,IF(#REF!="",D309,#REF!),IF('INHERENT MAP'!$B$5=2023,IF(#REF!="",D309,#REF!),IF('INHERENT MAP'!$B$5=2024,IF(#REF!="",D309,#REF!),IF('РЕЕСТР РИСКОВ_2023'!H350="",D309,'РЕЕСТР РИСКОВ_2023'!H350)))))</f>
        <v>IRR-1</v>
      </c>
      <c r="E310" t="str">
        <f>IF('INHERENT MAP'!$B$5=2021,IF('РЕЕСТР РИСКОВ_2023'!I350="",E309,'РЕЕСТР РИСКОВ_2023'!I350),IF('INHERENT MAP'!$B$5=2022,IF(#REF!="",E309,#REF!),IF('INHERENT MAP'!$B$5=2023,IF(#REF!="",E309,#REF!),IF('INHERENT MAP'!$B$5=2024,IF(#REF!="",E309,#REF!),IF('РЕЕСТР РИСКОВ_2023'!I350="",E309,'РЕЕСТР РИСКОВ_2023'!I350)))))</f>
        <v>ЦЗФ</v>
      </c>
      <c r="F310" t="str">
        <f>IF('INHERENT MAP'!$B$5=2021,IF('РЕЕСТР РИСКОВ_2023'!J350="",F309,'РЕЕСТР РИСКОВ_2023'!J350),IF('INHERENT MAP'!$B$5=2022,IF(#REF!="",F309,#REF!),IF('INHERENT MAP'!$B$5=2023,IF(#REF!="",F309,#REF!),IF('INHERENT MAP'!$B$5=2024,IF(#REF!="",F309,#REF!),IF('РЕЕСТР РИСКОВ_2023'!J350="",F309,'РЕЕСТР РИСКОВ_2023'!J350)))))</f>
        <v>Цзайм</v>
      </c>
      <c r="G310" t="str">
        <f>IF('INHERENT MAP'!$B$5=2021,IF('РЕЕСТР РИСКОВ_2023'!K350="",G309,'РЕЕСТР РИСКОВ_2023'!K350),IF('INHERENT MAP'!$B$5=2022,IF(#REF!="",G309,#REF!),IF('INHERENT MAP'!$B$5=2023,IF(#REF!="",G309,#REF!),IF('INHERENT MAP'!$B$5=2024,IF(#REF!="",G309,#REF!),IF('РЕЕСТР РИСКОВ_2023'!K350="",G309,'РЕЕСТР РИСКОВ_2023'!K350)))))</f>
        <v>Увеличение расходов по процентам на новые займы, а также текущие займы (с плавающей ставкой) в тенге.</v>
      </c>
      <c r="H310">
        <f>IF('INHERENT MAP'!$B$5=2021,'РЕЕСТР РИСКОВ_2023'!L350,IF('INHERENT MAP'!$B$5=2022,#REF!,IF('INHERENT MAP'!$B$5=2023,#REF!,IF('INHERENT MAP'!$B$5=2024,#REF!,#REF!))))</f>
        <v>0</v>
      </c>
      <c r="I310">
        <f>IF('INHERENT MAP'!$B$5=2021,'РЕЕСТР РИСКОВ_2023'!M350,IF('INHERENT MAP'!$B$5=2022,#REF!,IF('INHERENT MAP'!$B$5=2023,#REF!,IF('INHERENT MAP'!$B$5=2024,#REF!,#REF!))))</f>
        <v>0</v>
      </c>
      <c r="J310">
        <f>IF('INHERENT MAP'!$B$5=2021,'РЕЕСТР РИСКОВ_2023'!N350,IF('INHERENT MAP'!$B$5=2022,#REF!,IF('INHERENT MAP'!$B$5=2023,#REF!,IF('INHERENT MAP'!$B$5=2024,#REF!,#REF!))))</f>
        <v>0</v>
      </c>
      <c r="K310">
        <f>IF('INHERENT MAP'!$B$5=2021,'РЕЕСТР РИСКОВ_2023'!O350,IF('INHERENT MAP'!$B$5=2022,#REF!,IF('INHERENT MAP'!$B$5=2023,#REF!,IF('INHERENT MAP'!$B$5=2024,#REF!,#REF!))))</f>
        <v>0</v>
      </c>
      <c r="L310">
        <f>IF('INHERENT MAP'!$B$5=2021,'РЕЕСТР РИСКОВ_2023'!P350,IF('INHERENT MAP'!$B$5=2022,#REF!,IF('INHERENT MAP'!$B$5=2023,#REF!,IF('INHERENT MAP'!$B$5=2024,#REF!,#REF!))))</f>
        <v>0</v>
      </c>
      <c r="M310" t="str">
        <f>IF('INHERENT MAP'!$B$5=2021,IF('РЕЕСТР РИСКОВ_2023'!Q350="",M309,'РЕЕСТР РИСКОВ_2023'!Q350),IF('INHERENT MAP'!$B$5=2022,IF(#REF!="",M309,#REF!),IF('INHERENT MAP'!$B$5=2023,IF(#REF!="",M309,#REF!),IF('INHERENT MAP'!$B$5=2024,IF(#REF!="",M309,#REF!),IF('РЕЕСТР РИСКОВ_2023'!Q350="",M309,'РЕЕСТР РИСКОВ_2023'!Q350)))))</f>
        <v>Увеличение базовой ставки Национального банка Республики Казахстан до 16%</v>
      </c>
      <c r="N310" t="str">
        <f>IF('INHERENT MAP'!$B$5=2021,IF('РЕЕСТР РИСКОВ_2023'!R350="",N309,'РЕЕСТР РИСКОВ_2023'!R350),IF('INHERENT MAP'!$B$5=2022,IF(#REF!="",N309,#REF!),IF('INHERENT MAP'!$B$5=2023,IF(#REF!="",N309,#REF!),IF('INHERENT MAP'!$B$5=2024,IF(#REF!="",N309,#REF!),IF('РЕЕСТР РИСКОВ_2023'!R350="",N309,'РЕЕСТР РИСКОВ_2023'!R350)))))</f>
        <v>Рецессия экономики европейских стран</v>
      </c>
      <c r="O310">
        <f>'РЕЕСТР РИСКОВ_2023'!T350</f>
        <v>0</v>
      </c>
      <c r="P310" t="e">
        <f>IF('РЕЕСТР РИСКОВ_2023'!U350="",P309,'РЕЕСТР РИСКОВ_2023'!U350)</f>
        <v>#REF!</v>
      </c>
      <c r="Q310" t="str">
        <f>IF('РЕЕСТР РИСКОВ_2023'!V350="",Q309,'РЕЕСТР РИСКОВ_2023'!V350)</f>
        <v>Угрозы</v>
      </c>
      <c r="R310" t="e">
        <f>IF('РЕЕСТР РИСКОВ_2023'!W350="",R309,'РЕЕСТР РИСКОВ_2023'!W350)</f>
        <v>#REF!</v>
      </c>
      <c r="S310">
        <f>'РЕЕСТР РИСКОВ_2023'!X350</f>
        <v>0</v>
      </c>
      <c r="T310" s="94">
        <f>IF('INHERENT MAP'!$B$5=2021,'РЕЕСТР РИСКОВ_2023'!Y350,IF('INHERENT MAP'!$B$5=2022,#REF!,IF('INHERENT MAP'!$B$5=2023,#REF!,IF('INHERENT MAP'!$B$5=2024,#REF!,#REF!))))</f>
        <v>0</v>
      </c>
      <c r="U310">
        <f>IF('INHERENT MAP'!$B$5=2021,'РЕЕСТР РИСКОВ_2023'!Z350,IF('INHERENT MAP'!$B$5=2022,#REF!,IF('INHERENT MAP'!$B$5=2023,#REF!,IF('INHERENT MAP'!$B$5=2024,#REF!,#REF!))))</f>
        <v>0</v>
      </c>
      <c r="V310">
        <f>IF('INHERENT MAP'!$B$5=2021,'РЕЕСТР РИСКОВ_2023'!AA350,IF('INHERENT MAP'!$B$5=2022,#REF!,IF('INHERENT MAP'!$B$5=2023,#REF!,IF('INHERENT MAP'!$B$5=2024,#REF!,#REF!))))</f>
        <v>0</v>
      </c>
      <c r="W310">
        <f>IF('INHERENT MAP'!$B$5=2021,'РЕЕСТР РИСКОВ_2023'!AB350,IF('INHERENT MAP'!$B$5=2022,#REF!,IF('INHERENT MAP'!$B$5=2023,#REF!,IF('INHERENT MAP'!$B$5=2024,#REF!,#REF!))))</f>
        <v>0</v>
      </c>
      <c r="X310" s="94">
        <f>IF('INHERENT MAP'!$B$5=2021,'РЕЕСТР РИСКОВ_2023'!AC350,IF('INHERENT MAP'!$B$5=2022,#REF!,IF('INHERENT MAP'!$B$5=2023,#REF!,IF('INHERENT MAP'!$B$5=2024,#REF!,#REF!))))</f>
        <v>0</v>
      </c>
      <c r="Y310">
        <f>IF('INHERENT MAP'!$B$5=2021,'РЕЕСТР РИСКОВ_2023'!AD350,IF('INHERENT MAP'!$B$5=2022,#REF!,IF('INHERENT MAP'!$B$5=2023,#REF!,IF('INHERENT MAP'!$B$5=2024,#REF!,#REF!))))</f>
        <v>0</v>
      </c>
      <c r="Z310">
        <f>IF('INHERENT MAP'!$B$5=2021,'РЕЕСТР РИСКОВ_2023'!AE350,IF('INHERENT MAP'!$B$5=2022,#REF!,IF('INHERENT MAP'!$B$5=2023,#REF!,IF('INHERENT MAP'!$B$5=2024,#REF!,#REF!))))</f>
        <v>0</v>
      </c>
      <c r="AA310">
        <f>IF('INHERENT MAP'!$B$5=2021,'РЕЕСТР РИСКОВ_2023'!AF350,IF('INHERENT MAP'!$B$5=2022,#REF!,IF('INHERENT MAP'!$B$5=2023,#REF!,IF('INHERENT MAP'!$B$5=2024,#REF!,#REF!))))</f>
        <v>0</v>
      </c>
      <c r="AB310">
        <f>IF('INHERENT MAP'!$B$5=2021,'РЕЕСТР РИСКОВ_2023'!AG350,IF('INHERENT MAP'!$B$5=2022,#REF!,IF('INHERENT MAP'!$B$5=2023,#REF!,IF('INHERENT MAP'!$B$5=2024,#REF!,#REF!))))</f>
        <v>0</v>
      </c>
      <c r="AC310">
        <f>IF('INHERENT MAP'!$B$5=2021,'РЕЕСТР РИСКОВ_2023'!AH350,IF('INHERENT MAP'!$B$5=2022,#REF!,IF('INHERENT MAP'!$B$5=2023,#REF!,IF('INHERENT MAP'!$B$5=2024,#REF!,#REF!))))</f>
        <v>0</v>
      </c>
      <c r="AD310">
        <f>IF('INHERENT MAP'!$B$5=2021,'РЕЕСТР РИСКОВ_2023'!AI350,IF('INHERENT MAP'!$B$5=2022,#REF!,IF('INHERENT MAP'!$B$5=2023,#REF!,IF('INHERENT MAP'!$B$5=2024,#REF!,#REF!))))</f>
        <v>0</v>
      </c>
      <c r="AE310">
        <f>IF('INHERENT MAP'!$B$5=2021,'РЕЕСТР РИСКОВ_2023'!AK350,IF('INHERENT MAP'!$B$5=2022,#REF!,IF('INHERENT MAP'!$B$5=2023,#REF!,IF('INHERENT MAP'!$B$5=2024,#REF!,#REF!))))</f>
        <v>0</v>
      </c>
      <c r="AF310">
        <f>IF('INHERENT MAP'!$B$5=2021,'РЕЕСТР РИСКОВ_2023'!AL350,IF('INHERENT MAP'!$B$5=2022,#REF!,IF('INHERENT MAP'!$B$5=2023,#REF!,IF('INHERENT MAP'!$B$5=2024,#REF!,#REF!))))</f>
        <v>0</v>
      </c>
      <c r="AG310">
        <f>IF('INHERENT MAP'!$B$5=2021,'РЕЕСТР РИСКОВ_2023'!AM350,IF('INHERENT MAP'!$B$5=2022,#REF!,IF('INHERENT MAP'!$B$5=2023,#REF!,IF('INHERENT MAP'!$B$5=2024,#REF!,#REF!))))</f>
        <v>0</v>
      </c>
      <c r="AH310">
        <f>IF('INHERENT MAP'!$B$5=2021,'РЕЕСТР РИСКОВ_2023'!AN350,IF('INHERENT MAP'!$B$5=2022,#REF!,IF('INHERENT MAP'!$B$5=2023,#REF!,IF('INHERENT MAP'!$B$5=2024,#REF!,#REF!))))</f>
        <v>0</v>
      </c>
      <c r="AI310">
        <f>IF('INHERENT MAP'!$B$5=2021,'РЕЕСТР РИСКОВ_2023'!AO350,IF('INHERENT MAP'!$B$5=2022,#REF!,IF('INHERENT MAP'!$B$5=2023,#REF!,IF('INHERENT MAP'!$B$5=2024,#REF!,#REF!))))</f>
        <v>0</v>
      </c>
      <c r="AJ310">
        <f>IF('INHERENT MAP'!$B$5=2021,'РЕЕСТР РИСКОВ_2023'!AP350,IF('INHERENT MAP'!$B$5=2022,#REF!,IF('INHERENT MAP'!$B$5=2023,#REF!,IF('INHERENT MAP'!$B$5=2024,#REF!,#REF!))))</f>
        <v>0</v>
      </c>
      <c r="AK310">
        <f>IF('РЕЕСТР РИСКОВ_2023'!AQ350="",AK309,'РЕЕСТР РИСКОВ_2023'!AQ350)</f>
        <v>-216</v>
      </c>
      <c r="AL310">
        <f>IF('РЕЕСТР РИСКОВ_2023'!AR350="",AL309,'РЕЕСТР РИСКОВ_2023'!AR350)</f>
        <v>0.12</v>
      </c>
      <c r="AM310" t="str">
        <f>IF('РЕЕСТР РИСКОВ_2023'!AS350="",AM309,'РЕЕСТР РИСКОВ_2023'!AS350)</f>
        <v>стоп</v>
      </c>
      <c r="AN310" t="str">
        <f>IF('РЕЕСТР РИСКОВ_2023'!AT350="",AN309,'РЕЕСТР РИСКОВ_2023'!AT350)</f>
        <v>стоп</v>
      </c>
      <c r="AO310" t="e">
        <f>IF('РЕЕСТР РИСКОВ_2023'!AU350="",AO309,'РЕЕСТР РИСКОВ_2023'!AU350)</f>
        <v>#REF!</v>
      </c>
    </row>
    <row r="311" spans="2:41">
      <c r="B311" t="str">
        <f>IF('INHERENT MAP'!$B$5=2021,IF('РЕЕСТР РИСКОВ_2023'!F351="",B310,'РЕЕСТР РИСКОВ_2023'!F351),IF('INHERENT MAP'!$B$5=2022,IF(#REF!="",B310,#REF!),IF('INHERENT MAP'!$B$5=2023,IF(#REF!="",B310,#REF!),IF('INHERENT MAP'!$B$5=2024,IF(#REF!="",B310,#REF!),IF('РЕЕСТР РИСКОВ_2023'!F351="",B310,'РЕЕСТР РИСКОВ_2023'!F351)))))</f>
        <v>ПРОЦЕНТНЫЙ РИСК</v>
      </c>
      <c r="C311" t="e">
        <f>IF('INHERENT MAP'!$B$5=2021,IF('РЕЕСТР РИСКОВ_2023'!G351="",C310,'РЕЕСТР РИСКОВ_2023'!G351),IF('INHERENT MAP'!$B$5=2022,IF(#REF!="",C310,#REF!),IF('INHERENT MAP'!$B$5=2023,IF(#REF!="",C310,#REF!),IF('INHERENT MAP'!$B$5=2024,IF(#REF!="",C310,#REF!),IF('РЕЕСТР РИСКОВ_2023'!G351="",C310,'РЕЕСТР РИСКОВ_2023'!G351)))))</f>
        <v>#REF!</v>
      </c>
      <c r="D311" t="str">
        <f>IF('INHERENT MAP'!$B$5=2021,IF('РЕЕСТР РИСКОВ_2023'!H351="",D310,'РЕЕСТР РИСКОВ_2023'!H351),IF('INHERENT MAP'!$B$5=2022,IF(#REF!="",D310,#REF!),IF('INHERENT MAP'!$B$5=2023,IF(#REF!="",D310,#REF!),IF('INHERENT MAP'!$B$5=2024,IF(#REF!="",D310,#REF!),IF('РЕЕСТР РИСКОВ_2023'!H351="",D310,'РЕЕСТР РИСКОВ_2023'!H351)))))</f>
        <v>IRR-1</v>
      </c>
      <c r="E311" t="str">
        <f>IF('INHERENT MAP'!$B$5=2021,IF('РЕЕСТР РИСКОВ_2023'!I351="",E310,'РЕЕСТР РИСКОВ_2023'!I351),IF('INHERENT MAP'!$B$5=2022,IF(#REF!="",E310,#REF!),IF('INHERENT MAP'!$B$5=2023,IF(#REF!="",E310,#REF!),IF('INHERENT MAP'!$B$5=2024,IF(#REF!="",E310,#REF!),IF('РЕЕСТР РИСКОВ_2023'!I351="",E310,'РЕЕСТР РИСКОВ_2023'!I351)))))</f>
        <v>ЦЗФ</v>
      </c>
      <c r="F311" t="str">
        <f>IF('INHERENT MAP'!$B$5=2021,IF('РЕЕСТР РИСКОВ_2023'!J351="",F310,'РЕЕСТР РИСКОВ_2023'!J351),IF('INHERENT MAP'!$B$5=2022,IF(#REF!="",F310,#REF!),IF('INHERENT MAP'!$B$5=2023,IF(#REF!="",F310,#REF!),IF('INHERENT MAP'!$B$5=2024,IF(#REF!="",F310,#REF!),IF('РЕЕСТР РИСКОВ_2023'!J351="",F310,'РЕЕСТР РИСКОВ_2023'!J351)))))</f>
        <v>Цзайм</v>
      </c>
      <c r="G311" t="str">
        <f>IF('INHERENT MAP'!$B$5=2021,IF('РЕЕСТР РИСКОВ_2023'!K351="",G310,'РЕЕСТР РИСКОВ_2023'!K351),IF('INHERENT MAP'!$B$5=2022,IF(#REF!="",G310,#REF!),IF('INHERENT MAP'!$B$5=2023,IF(#REF!="",G310,#REF!),IF('INHERENT MAP'!$B$5=2024,IF(#REF!="",G310,#REF!),IF('РЕЕСТР РИСКОВ_2023'!K351="",G310,'РЕЕСТР РИСКОВ_2023'!K351)))))</f>
        <v>Увеличение расходов по процентам на новые займы, а также текущие займы (с плавающей ставкой) в тенге.</v>
      </c>
      <c r="H311">
        <f>IF('INHERENT MAP'!$B$5=2021,'РЕЕСТР РИСКОВ_2023'!L351,IF('INHERENT MAP'!$B$5=2022,#REF!,IF('INHERENT MAP'!$B$5=2023,#REF!,IF('INHERENT MAP'!$B$5=2024,#REF!,#REF!))))</f>
        <v>0</v>
      </c>
      <c r="I311">
        <f>IF('INHERENT MAP'!$B$5=2021,'РЕЕСТР РИСКОВ_2023'!M351,IF('INHERENT MAP'!$B$5=2022,#REF!,IF('INHERENT MAP'!$B$5=2023,#REF!,IF('INHERENT MAP'!$B$5=2024,#REF!,#REF!))))</f>
        <v>0</v>
      </c>
      <c r="J311">
        <f>IF('INHERENT MAP'!$B$5=2021,'РЕЕСТР РИСКОВ_2023'!N351,IF('INHERENT MAP'!$B$5=2022,#REF!,IF('INHERENT MAP'!$B$5=2023,#REF!,IF('INHERENT MAP'!$B$5=2024,#REF!,#REF!))))</f>
        <v>0</v>
      </c>
      <c r="K311">
        <f>IF('INHERENT MAP'!$B$5=2021,'РЕЕСТР РИСКОВ_2023'!O351,IF('INHERENT MAP'!$B$5=2022,#REF!,IF('INHERENT MAP'!$B$5=2023,#REF!,IF('INHERENT MAP'!$B$5=2024,#REF!,#REF!))))</f>
        <v>0</v>
      </c>
      <c r="L311">
        <f>IF('INHERENT MAP'!$B$5=2021,'РЕЕСТР РИСКОВ_2023'!P351,IF('INHERENT MAP'!$B$5=2022,#REF!,IF('INHERENT MAP'!$B$5=2023,#REF!,IF('INHERENT MAP'!$B$5=2024,#REF!,#REF!))))</f>
        <v>0</v>
      </c>
      <c r="M311" t="str">
        <f>IF('INHERENT MAP'!$B$5=2021,IF('РЕЕСТР РИСКОВ_2023'!Q351="",M310,'РЕЕСТР РИСКОВ_2023'!Q351),IF('INHERENT MAP'!$B$5=2022,IF(#REF!="",M310,#REF!),IF('INHERENT MAP'!$B$5=2023,IF(#REF!="",M310,#REF!),IF('INHERENT MAP'!$B$5=2024,IF(#REF!="",M310,#REF!),IF('РЕЕСТР РИСКОВ_2023'!Q351="",M310,'РЕЕСТР РИСКОВ_2023'!Q351)))))</f>
        <v>Увеличение базовой ставки Национального банка Республики Казахстан до 16%</v>
      </c>
      <c r="N311" t="str">
        <f>IF('INHERENT MAP'!$B$5=2021,IF('РЕЕСТР РИСКОВ_2023'!R351="",N310,'РЕЕСТР РИСКОВ_2023'!R351),IF('INHERENT MAP'!$B$5=2022,IF(#REF!="",N310,#REF!),IF('INHERENT MAP'!$B$5=2023,IF(#REF!="",N310,#REF!),IF('INHERENT MAP'!$B$5=2024,IF(#REF!="",N310,#REF!),IF('РЕЕСТР РИСКОВ_2023'!R351="",N310,'РЕЕСТР РИСКОВ_2023'!R351)))))</f>
        <v>Рецессия экономики европейских стран</v>
      </c>
      <c r="O311">
        <f>'РЕЕСТР РИСКОВ_2023'!T351</f>
        <v>0</v>
      </c>
      <c r="P311" t="e">
        <f>IF('РЕЕСТР РИСКОВ_2023'!U351="",P310,'РЕЕСТР РИСКОВ_2023'!U351)</f>
        <v>#REF!</v>
      </c>
      <c r="Q311" t="str">
        <f>IF('РЕЕСТР РИСКОВ_2023'!V351="",Q310,'РЕЕСТР РИСКОВ_2023'!V351)</f>
        <v>Угрозы</v>
      </c>
      <c r="R311" t="e">
        <f>IF('РЕЕСТР РИСКОВ_2023'!W351="",R310,'РЕЕСТР РИСКОВ_2023'!W351)</f>
        <v>#REF!</v>
      </c>
      <c r="S311">
        <f>'РЕЕСТР РИСКОВ_2023'!X351</f>
        <v>0</v>
      </c>
      <c r="T311" s="94">
        <f>IF('INHERENT MAP'!$B$5=2021,'РЕЕСТР РИСКОВ_2023'!Y351,IF('INHERENT MAP'!$B$5=2022,#REF!,IF('INHERENT MAP'!$B$5=2023,#REF!,IF('INHERENT MAP'!$B$5=2024,#REF!,#REF!))))</f>
        <v>0</v>
      </c>
      <c r="U311">
        <f>IF('INHERENT MAP'!$B$5=2021,'РЕЕСТР РИСКОВ_2023'!Z351,IF('INHERENT MAP'!$B$5=2022,#REF!,IF('INHERENT MAP'!$B$5=2023,#REF!,IF('INHERENT MAP'!$B$5=2024,#REF!,#REF!))))</f>
        <v>0</v>
      </c>
      <c r="V311">
        <f>IF('INHERENT MAP'!$B$5=2021,'РЕЕСТР РИСКОВ_2023'!AA351,IF('INHERENT MAP'!$B$5=2022,#REF!,IF('INHERENT MAP'!$B$5=2023,#REF!,IF('INHERENT MAP'!$B$5=2024,#REF!,#REF!))))</f>
        <v>0</v>
      </c>
      <c r="W311">
        <f>IF('INHERENT MAP'!$B$5=2021,'РЕЕСТР РИСКОВ_2023'!AB351,IF('INHERENT MAP'!$B$5=2022,#REF!,IF('INHERENT MAP'!$B$5=2023,#REF!,IF('INHERENT MAP'!$B$5=2024,#REF!,#REF!))))</f>
        <v>0</v>
      </c>
      <c r="X311" s="94">
        <f>IF('INHERENT MAP'!$B$5=2021,'РЕЕСТР РИСКОВ_2023'!AC351,IF('INHERENT MAP'!$B$5=2022,#REF!,IF('INHERENT MAP'!$B$5=2023,#REF!,IF('INHERENT MAP'!$B$5=2024,#REF!,#REF!))))</f>
        <v>0</v>
      </c>
      <c r="Y311">
        <f>IF('INHERENT MAP'!$B$5=2021,'РЕЕСТР РИСКОВ_2023'!AD351,IF('INHERENT MAP'!$B$5=2022,#REF!,IF('INHERENT MAP'!$B$5=2023,#REF!,IF('INHERENT MAP'!$B$5=2024,#REF!,#REF!))))</f>
        <v>0</v>
      </c>
      <c r="Z311">
        <f>IF('INHERENT MAP'!$B$5=2021,'РЕЕСТР РИСКОВ_2023'!AE351,IF('INHERENT MAP'!$B$5=2022,#REF!,IF('INHERENT MAP'!$B$5=2023,#REF!,IF('INHERENT MAP'!$B$5=2024,#REF!,#REF!))))</f>
        <v>0</v>
      </c>
      <c r="AA311">
        <f>IF('INHERENT MAP'!$B$5=2021,'РЕЕСТР РИСКОВ_2023'!AF351,IF('INHERENT MAP'!$B$5=2022,#REF!,IF('INHERENT MAP'!$B$5=2023,#REF!,IF('INHERENT MAP'!$B$5=2024,#REF!,#REF!))))</f>
        <v>0</v>
      </c>
      <c r="AB311">
        <f>IF('INHERENT MAP'!$B$5=2021,'РЕЕСТР РИСКОВ_2023'!AG351,IF('INHERENT MAP'!$B$5=2022,#REF!,IF('INHERENT MAP'!$B$5=2023,#REF!,IF('INHERENT MAP'!$B$5=2024,#REF!,#REF!))))</f>
        <v>0</v>
      </c>
      <c r="AC311">
        <f>IF('INHERENT MAP'!$B$5=2021,'РЕЕСТР РИСКОВ_2023'!AH351,IF('INHERENT MAP'!$B$5=2022,#REF!,IF('INHERENT MAP'!$B$5=2023,#REF!,IF('INHERENT MAP'!$B$5=2024,#REF!,#REF!))))</f>
        <v>0</v>
      </c>
      <c r="AD311">
        <f>IF('INHERENT MAP'!$B$5=2021,'РЕЕСТР РИСКОВ_2023'!AI351,IF('INHERENT MAP'!$B$5=2022,#REF!,IF('INHERENT MAP'!$B$5=2023,#REF!,IF('INHERENT MAP'!$B$5=2024,#REF!,#REF!))))</f>
        <v>0</v>
      </c>
      <c r="AE311">
        <f>IF('INHERENT MAP'!$B$5=2021,'РЕЕСТР РИСКОВ_2023'!AK351,IF('INHERENT MAP'!$B$5=2022,#REF!,IF('INHERENT MAP'!$B$5=2023,#REF!,IF('INHERENT MAP'!$B$5=2024,#REF!,#REF!))))</f>
        <v>0</v>
      </c>
      <c r="AF311">
        <f>IF('INHERENT MAP'!$B$5=2021,'РЕЕСТР РИСКОВ_2023'!AL351,IF('INHERENT MAP'!$B$5=2022,#REF!,IF('INHERENT MAP'!$B$5=2023,#REF!,IF('INHERENT MAP'!$B$5=2024,#REF!,#REF!))))</f>
        <v>0</v>
      </c>
      <c r="AG311">
        <f>IF('INHERENT MAP'!$B$5=2021,'РЕЕСТР РИСКОВ_2023'!AM351,IF('INHERENT MAP'!$B$5=2022,#REF!,IF('INHERENT MAP'!$B$5=2023,#REF!,IF('INHERENT MAP'!$B$5=2024,#REF!,#REF!))))</f>
        <v>0</v>
      </c>
      <c r="AH311">
        <f>IF('INHERENT MAP'!$B$5=2021,'РЕЕСТР РИСКОВ_2023'!AN351,IF('INHERENT MAP'!$B$5=2022,#REF!,IF('INHERENT MAP'!$B$5=2023,#REF!,IF('INHERENT MAP'!$B$5=2024,#REF!,#REF!))))</f>
        <v>0</v>
      </c>
      <c r="AI311">
        <f>IF('INHERENT MAP'!$B$5=2021,'РЕЕСТР РИСКОВ_2023'!AO351,IF('INHERENT MAP'!$B$5=2022,#REF!,IF('INHERENT MAP'!$B$5=2023,#REF!,IF('INHERENT MAP'!$B$5=2024,#REF!,#REF!))))</f>
        <v>0</v>
      </c>
      <c r="AJ311">
        <f>IF('INHERENT MAP'!$B$5=2021,'РЕЕСТР РИСКОВ_2023'!AP351,IF('INHERENT MAP'!$B$5=2022,#REF!,IF('INHERENT MAP'!$B$5=2023,#REF!,IF('INHERENT MAP'!$B$5=2024,#REF!,#REF!))))</f>
        <v>0</v>
      </c>
      <c r="AK311">
        <f>IF('РЕЕСТР РИСКОВ_2023'!AQ351="",AK310,'РЕЕСТР РИСКОВ_2023'!AQ351)</f>
        <v>-216</v>
      </c>
      <c r="AL311">
        <f>IF('РЕЕСТР РИСКОВ_2023'!AR351="",AL310,'РЕЕСТР РИСКОВ_2023'!AR351)</f>
        <v>0.12</v>
      </c>
      <c r="AM311" t="str">
        <f>IF('РЕЕСТР РИСКОВ_2023'!AS351="",AM310,'РЕЕСТР РИСКОВ_2023'!AS351)</f>
        <v>стоп</v>
      </c>
      <c r="AN311" t="str">
        <f>IF('РЕЕСТР РИСКОВ_2023'!AT351="",AN310,'РЕЕСТР РИСКОВ_2023'!AT351)</f>
        <v>стоп</v>
      </c>
      <c r="AO311" t="e">
        <f>IF('РЕЕСТР РИСКОВ_2023'!AU351="",AO310,'РЕЕСТР РИСКОВ_2023'!AU351)</f>
        <v>#REF!</v>
      </c>
    </row>
    <row r="312" spans="2:41">
      <c r="B312" t="str">
        <f>IF('INHERENT MAP'!$B$5=2021,IF('РЕЕСТР РИСКОВ_2023'!F352="",B311,'РЕЕСТР РИСКОВ_2023'!F352),IF('INHERENT MAP'!$B$5=2022,IF(#REF!="",B311,#REF!),IF('INHERENT MAP'!$B$5=2023,IF(#REF!="",B311,#REF!),IF('INHERENT MAP'!$B$5=2024,IF(#REF!="",B311,#REF!),IF('РЕЕСТР РИСКОВ_2023'!F352="",B311,'РЕЕСТР РИСКОВ_2023'!F352)))))</f>
        <v>ПРОЦЕНТНЫЙ РИСК</v>
      </c>
      <c r="C312" t="e">
        <f>IF('INHERENT MAP'!$B$5=2021,IF('РЕЕСТР РИСКОВ_2023'!G352="",C311,'РЕЕСТР РИСКОВ_2023'!G352),IF('INHERENT MAP'!$B$5=2022,IF(#REF!="",C311,#REF!),IF('INHERENT MAP'!$B$5=2023,IF(#REF!="",C311,#REF!),IF('INHERENT MAP'!$B$5=2024,IF(#REF!="",C311,#REF!),IF('РЕЕСТР РИСКОВ_2023'!G352="",C311,'РЕЕСТР РИСКОВ_2023'!G352)))))</f>
        <v>#REF!</v>
      </c>
      <c r="D312" t="str">
        <f>IF('INHERENT MAP'!$B$5=2021,IF('РЕЕСТР РИСКОВ_2023'!H352="",D311,'РЕЕСТР РИСКОВ_2023'!H352),IF('INHERENT MAP'!$B$5=2022,IF(#REF!="",D311,#REF!),IF('INHERENT MAP'!$B$5=2023,IF(#REF!="",D311,#REF!),IF('INHERENT MAP'!$B$5=2024,IF(#REF!="",D311,#REF!),IF('РЕЕСТР РИСКОВ_2023'!H352="",D311,'РЕЕСТР РИСКОВ_2023'!H352)))))</f>
        <v>IRR-1</v>
      </c>
      <c r="E312" t="str">
        <f>IF('INHERENT MAP'!$B$5=2021,IF('РЕЕСТР РИСКОВ_2023'!I352="",E311,'РЕЕСТР РИСКОВ_2023'!I352),IF('INHERENT MAP'!$B$5=2022,IF(#REF!="",E311,#REF!),IF('INHERENT MAP'!$B$5=2023,IF(#REF!="",E311,#REF!),IF('INHERENT MAP'!$B$5=2024,IF(#REF!="",E311,#REF!),IF('РЕЕСТР РИСКОВ_2023'!I352="",E311,'РЕЕСТР РИСКОВ_2023'!I352)))))</f>
        <v>ЦЗФ</v>
      </c>
      <c r="F312" t="str">
        <f>IF('INHERENT MAP'!$B$5=2021,IF('РЕЕСТР РИСКОВ_2023'!J352="",F311,'РЕЕСТР РИСКОВ_2023'!J352),IF('INHERENT MAP'!$B$5=2022,IF(#REF!="",F311,#REF!),IF('INHERENT MAP'!$B$5=2023,IF(#REF!="",F311,#REF!),IF('INHERENT MAP'!$B$5=2024,IF(#REF!="",F311,#REF!),IF('РЕЕСТР РИСКОВ_2023'!J352="",F311,'РЕЕСТР РИСКОВ_2023'!J352)))))</f>
        <v>Цзайм</v>
      </c>
      <c r="G312" t="str">
        <f>IF('INHERENT MAP'!$B$5=2021,IF('РЕЕСТР РИСКОВ_2023'!K352="",G311,'РЕЕСТР РИСКОВ_2023'!K352),IF('INHERENT MAP'!$B$5=2022,IF(#REF!="",G311,#REF!),IF('INHERENT MAP'!$B$5=2023,IF(#REF!="",G311,#REF!),IF('INHERENT MAP'!$B$5=2024,IF(#REF!="",G311,#REF!),IF('РЕЕСТР РИСКОВ_2023'!K352="",G311,'РЕЕСТР РИСКОВ_2023'!K352)))))</f>
        <v>Увеличение расходов по процентам на новые займы, а также текущие займы (с плавающей ставкой) в тенге.</v>
      </c>
      <c r="H312">
        <f>IF('INHERENT MAP'!$B$5=2021,'РЕЕСТР РИСКОВ_2023'!L352,IF('INHERENT MAP'!$B$5=2022,#REF!,IF('INHERENT MAP'!$B$5=2023,#REF!,IF('INHERENT MAP'!$B$5=2024,#REF!,#REF!))))</f>
        <v>0</v>
      </c>
      <c r="I312">
        <f>IF('INHERENT MAP'!$B$5=2021,'РЕЕСТР РИСКОВ_2023'!M352,IF('INHERENT MAP'!$B$5=2022,#REF!,IF('INHERENT MAP'!$B$5=2023,#REF!,IF('INHERENT MAP'!$B$5=2024,#REF!,#REF!))))</f>
        <v>0</v>
      </c>
      <c r="J312">
        <f>IF('INHERENT MAP'!$B$5=2021,'РЕЕСТР РИСКОВ_2023'!N352,IF('INHERENT MAP'!$B$5=2022,#REF!,IF('INHERENT MAP'!$B$5=2023,#REF!,IF('INHERENT MAP'!$B$5=2024,#REF!,#REF!))))</f>
        <v>0</v>
      </c>
      <c r="K312">
        <f>IF('INHERENT MAP'!$B$5=2021,'РЕЕСТР РИСКОВ_2023'!O352,IF('INHERENT MAP'!$B$5=2022,#REF!,IF('INHERENT MAP'!$B$5=2023,#REF!,IF('INHERENT MAP'!$B$5=2024,#REF!,#REF!))))</f>
        <v>0</v>
      </c>
      <c r="L312">
        <f>IF('INHERENT MAP'!$B$5=2021,'РЕЕСТР РИСКОВ_2023'!P352,IF('INHERENT MAP'!$B$5=2022,#REF!,IF('INHERENT MAP'!$B$5=2023,#REF!,IF('INHERENT MAP'!$B$5=2024,#REF!,#REF!))))</f>
        <v>0</v>
      </c>
      <c r="M312" t="str">
        <f>IF('INHERENT MAP'!$B$5=2021,IF('РЕЕСТР РИСКОВ_2023'!Q352="",M311,'РЕЕСТР РИСКОВ_2023'!Q352),IF('INHERENT MAP'!$B$5=2022,IF(#REF!="",M311,#REF!),IF('INHERENT MAP'!$B$5=2023,IF(#REF!="",M311,#REF!),IF('INHERENT MAP'!$B$5=2024,IF(#REF!="",M311,#REF!),IF('РЕЕСТР РИСКОВ_2023'!Q352="",M311,'РЕЕСТР РИСКОВ_2023'!Q352)))))</f>
        <v>Увеличение базовой ставки Национального банка Республики Казахстан до 16%</v>
      </c>
      <c r="N312" t="str">
        <f>IF('INHERENT MAP'!$B$5=2021,IF('РЕЕСТР РИСКОВ_2023'!R352="",N311,'РЕЕСТР РИСКОВ_2023'!R352),IF('INHERENT MAP'!$B$5=2022,IF(#REF!="",N311,#REF!),IF('INHERENT MAP'!$B$5=2023,IF(#REF!="",N311,#REF!),IF('INHERENT MAP'!$B$5=2024,IF(#REF!="",N311,#REF!),IF('РЕЕСТР РИСКОВ_2023'!R352="",N311,'РЕЕСТР РИСКОВ_2023'!R352)))))</f>
        <v>Рецессия экономики европейских стран</v>
      </c>
      <c r="O312">
        <f>'РЕЕСТР РИСКОВ_2023'!T352</f>
        <v>0</v>
      </c>
      <c r="P312" t="e">
        <f>IF('РЕЕСТР РИСКОВ_2023'!U352="",P311,'РЕЕСТР РИСКОВ_2023'!U352)</f>
        <v>#REF!</v>
      </c>
      <c r="Q312" t="str">
        <f>IF('РЕЕСТР РИСКОВ_2023'!V352="",Q311,'РЕЕСТР РИСКОВ_2023'!V352)</f>
        <v>Угрозы</v>
      </c>
      <c r="R312" t="e">
        <f>IF('РЕЕСТР РИСКОВ_2023'!W352="",R311,'РЕЕСТР РИСКОВ_2023'!W352)</f>
        <v>#REF!</v>
      </c>
      <c r="S312">
        <f>'РЕЕСТР РИСКОВ_2023'!X352</f>
        <v>0</v>
      </c>
      <c r="T312" s="94">
        <f>IF('INHERENT MAP'!$B$5=2021,'РЕЕСТР РИСКОВ_2023'!Y352,IF('INHERENT MAP'!$B$5=2022,#REF!,IF('INHERENT MAP'!$B$5=2023,#REF!,IF('INHERENT MAP'!$B$5=2024,#REF!,#REF!))))</f>
        <v>0</v>
      </c>
      <c r="U312">
        <f>IF('INHERENT MAP'!$B$5=2021,'РЕЕСТР РИСКОВ_2023'!Z352,IF('INHERENT MAP'!$B$5=2022,#REF!,IF('INHERENT MAP'!$B$5=2023,#REF!,IF('INHERENT MAP'!$B$5=2024,#REF!,#REF!))))</f>
        <v>0</v>
      </c>
      <c r="V312">
        <f>IF('INHERENT MAP'!$B$5=2021,'РЕЕСТР РИСКОВ_2023'!AA352,IF('INHERENT MAP'!$B$5=2022,#REF!,IF('INHERENT MAP'!$B$5=2023,#REF!,IF('INHERENT MAP'!$B$5=2024,#REF!,#REF!))))</f>
        <v>0</v>
      </c>
      <c r="W312">
        <f>IF('INHERENT MAP'!$B$5=2021,'РЕЕСТР РИСКОВ_2023'!AB352,IF('INHERENT MAP'!$B$5=2022,#REF!,IF('INHERENT MAP'!$B$5=2023,#REF!,IF('INHERENT MAP'!$B$5=2024,#REF!,#REF!))))</f>
        <v>0</v>
      </c>
      <c r="X312" s="94">
        <f>IF('INHERENT MAP'!$B$5=2021,'РЕЕСТР РИСКОВ_2023'!AC352,IF('INHERENT MAP'!$B$5=2022,#REF!,IF('INHERENT MAP'!$B$5=2023,#REF!,IF('INHERENT MAP'!$B$5=2024,#REF!,#REF!))))</f>
        <v>0</v>
      </c>
      <c r="Y312">
        <f>IF('INHERENT MAP'!$B$5=2021,'РЕЕСТР РИСКОВ_2023'!AD352,IF('INHERENT MAP'!$B$5=2022,#REF!,IF('INHERENT MAP'!$B$5=2023,#REF!,IF('INHERENT MAP'!$B$5=2024,#REF!,#REF!))))</f>
        <v>0</v>
      </c>
      <c r="Z312">
        <f>IF('INHERENT MAP'!$B$5=2021,'РЕЕСТР РИСКОВ_2023'!AE352,IF('INHERENT MAP'!$B$5=2022,#REF!,IF('INHERENT MAP'!$B$5=2023,#REF!,IF('INHERENT MAP'!$B$5=2024,#REF!,#REF!))))</f>
        <v>0</v>
      </c>
      <c r="AA312">
        <f>IF('INHERENT MAP'!$B$5=2021,'РЕЕСТР РИСКОВ_2023'!AF352,IF('INHERENT MAP'!$B$5=2022,#REF!,IF('INHERENT MAP'!$B$5=2023,#REF!,IF('INHERENT MAP'!$B$5=2024,#REF!,#REF!))))</f>
        <v>0</v>
      </c>
      <c r="AB312">
        <f>IF('INHERENT MAP'!$B$5=2021,'РЕЕСТР РИСКОВ_2023'!AG352,IF('INHERENT MAP'!$B$5=2022,#REF!,IF('INHERENT MAP'!$B$5=2023,#REF!,IF('INHERENT MAP'!$B$5=2024,#REF!,#REF!))))</f>
        <v>0</v>
      </c>
      <c r="AC312">
        <f>IF('INHERENT MAP'!$B$5=2021,'РЕЕСТР РИСКОВ_2023'!AH352,IF('INHERENT MAP'!$B$5=2022,#REF!,IF('INHERENT MAP'!$B$5=2023,#REF!,IF('INHERENT MAP'!$B$5=2024,#REF!,#REF!))))</f>
        <v>0</v>
      </c>
      <c r="AD312">
        <f>IF('INHERENT MAP'!$B$5=2021,'РЕЕСТР РИСКОВ_2023'!AI352,IF('INHERENT MAP'!$B$5=2022,#REF!,IF('INHERENT MAP'!$B$5=2023,#REF!,IF('INHERENT MAP'!$B$5=2024,#REF!,#REF!))))</f>
        <v>0</v>
      </c>
      <c r="AE312">
        <f>IF('INHERENT MAP'!$B$5=2021,'РЕЕСТР РИСКОВ_2023'!AK352,IF('INHERENT MAP'!$B$5=2022,#REF!,IF('INHERENT MAP'!$B$5=2023,#REF!,IF('INHERENT MAP'!$B$5=2024,#REF!,#REF!))))</f>
        <v>0</v>
      </c>
      <c r="AF312">
        <f>IF('INHERENT MAP'!$B$5=2021,'РЕЕСТР РИСКОВ_2023'!AL352,IF('INHERENT MAP'!$B$5=2022,#REF!,IF('INHERENT MAP'!$B$5=2023,#REF!,IF('INHERENT MAP'!$B$5=2024,#REF!,#REF!))))</f>
        <v>0</v>
      </c>
      <c r="AG312">
        <f>IF('INHERENT MAP'!$B$5=2021,'РЕЕСТР РИСКОВ_2023'!AM352,IF('INHERENT MAP'!$B$5=2022,#REF!,IF('INHERENT MAP'!$B$5=2023,#REF!,IF('INHERENT MAP'!$B$5=2024,#REF!,#REF!))))</f>
        <v>0</v>
      </c>
      <c r="AH312">
        <f>IF('INHERENT MAP'!$B$5=2021,'РЕЕСТР РИСКОВ_2023'!AN352,IF('INHERENT MAP'!$B$5=2022,#REF!,IF('INHERENT MAP'!$B$5=2023,#REF!,IF('INHERENT MAP'!$B$5=2024,#REF!,#REF!))))</f>
        <v>0</v>
      </c>
      <c r="AI312">
        <f>IF('INHERENT MAP'!$B$5=2021,'РЕЕСТР РИСКОВ_2023'!AO352,IF('INHERENT MAP'!$B$5=2022,#REF!,IF('INHERENT MAP'!$B$5=2023,#REF!,IF('INHERENT MAP'!$B$5=2024,#REF!,#REF!))))</f>
        <v>0</v>
      </c>
      <c r="AJ312">
        <f>IF('INHERENT MAP'!$B$5=2021,'РЕЕСТР РИСКОВ_2023'!AP352,IF('INHERENT MAP'!$B$5=2022,#REF!,IF('INHERENT MAP'!$B$5=2023,#REF!,IF('INHERENT MAP'!$B$5=2024,#REF!,#REF!))))</f>
        <v>0</v>
      </c>
      <c r="AK312">
        <f>IF('РЕЕСТР РИСКОВ_2023'!AQ352="",AK311,'РЕЕСТР РИСКОВ_2023'!AQ352)</f>
        <v>-216</v>
      </c>
      <c r="AL312">
        <f>IF('РЕЕСТР РИСКОВ_2023'!AR352="",AL311,'РЕЕСТР РИСКОВ_2023'!AR352)</f>
        <v>0.12</v>
      </c>
      <c r="AM312" t="str">
        <f>IF('РЕЕСТР РИСКОВ_2023'!AS352="",AM311,'РЕЕСТР РИСКОВ_2023'!AS352)</f>
        <v>стоп</v>
      </c>
      <c r="AN312" t="str">
        <f>IF('РЕЕСТР РИСКОВ_2023'!AT352="",AN311,'РЕЕСТР РИСКОВ_2023'!AT352)</f>
        <v>стоп</v>
      </c>
      <c r="AO312" t="e">
        <f>IF('РЕЕСТР РИСКОВ_2023'!AU352="",AO311,'РЕЕСТР РИСКОВ_2023'!AU352)</f>
        <v>#REF!</v>
      </c>
    </row>
    <row r="313" spans="2:41">
      <c r="B313" t="str">
        <f>IF('INHERENT MAP'!$B$5=2021,IF('РЕЕСТР РИСКОВ_2023'!F353="",B312,'РЕЕСТР РИСКОВ_2023'!F353),IF('INHERENT MAP'!$B$5=2022,IF(#REF!="",B312,#REF!),IF('INHERENT MAP'!$B$5=2023,IF(#REF!="",B312,#REF!),IF('INHERENT MAP'!$B$5=2024,IF(#REF!="",B312,#REF!),IF('РЕЕСТР РИСКОВ_2023'!F353="",B312,'РЕЕСТР РИСКОВ_2023'!F353)))))</f>
        <v>ПРОЦЕНТНЫЙ РИСК</v>
      </c>
      <c r="C313" t="e">
        <f>IF('INHERENT MAP'!$B$5=2021,IF('РЕЕСТР РИСКОВ_2023'!G353="",C312,'РЕЕСТР РИСКОВ_2023'!G353),IF('INHERENT MAP'!$B$5=2022,IF(#REF!="",C312,#REF!),IF('INHERENT MAP'!$B$5=2023,IF(#REF!="",C312,#REF!),IF('INHERENT MAP'!$B$5=2024,IF(#REF!="",C312,#REF!),IF('РЕЕСТР РИСКОВ_2023'!G353="",C312,'РЕЕСТР РИСКОВ_2023'!G353)))))</f>
        <v>#REF!</v>
      </c>
      <c r="D313" t="str">
        <f>IF('INHERENT MAP'!$B$5=2021,IF('РЕЕСТР РИСКОВ_2023'!H353="",D312,'РЕЕСТР РИСКОВ_2023'!H353),IF('INHERENT MAP'!$B$5=2022,IF(#REF!="",D312,#REF!),IF('INHERENT MAP'!$B$5=2023,IF(#REF!="",D312,#REF!),IF('INHERENT MAP'!$B$5=2024,IF(#REF!="",D312,#REF!),IF('РЕЕСТР РИСКОВ_2023'!H353="",D312,'РЕЕСТР РИСКОВ_2023'!H353)))))</f>
        <v>IRR-1</v>
      </c>
      <c r="E313" t="str">
        <f>IF('INHERENT MAP'!$B$5=2021,IF('РЕЕСТР РИСКОВ_2023'!I353="",E312,'РЕЕСТР РИСКОВ_2023'!I353),IF('INHERENT MAP'!$B$5=2022,IF(#REF!="",E312,#REF!),IF('INHERENT MAP'!$B$5=2023,IF(#REF!="",E312,#REF!),IF('INHERENT MAP'!$B$5=2024,IF(#REF!="",E312,#REF!),IF('РЕЕСТР РИСКОВ_2023'!I353="",E312,'РЕЕСТР РИСКОВ_2023'!I353)))))</f>
        <v>ЦЗФ</v>
      </c>
      <c r="F313" t="str">
        <f>IF('INHERENT MAP'!$B$5=2021,IF('РЕЕСТР РИСКОВ_2023'!J353="",F312,'РЕЕСТР РИСКОВ_2023'!J353),IF('INHERENT MAP'!$B$5=2022,IF(#REF!="",F312,#REF!),IF('INHERENT MAP'!$B$5=2023,IF(#REF!="",F312,#REF!),IF('INHERENT MAP'!$B$5=2024,IF(#REF!="",F312,#REF!),IF('РЕЕСТР РИСКОВ_2023'!J353="",F312,'РЕЕСТР РИСКОВ_2023'!J353)))))</f>
        <v>Цзайм</v>
      </c>
      <c r="G313" t="str">
        <f>IF('INHERENT MAP'!$B$5=2021,IF('РЕЕСТР РИСКОВ_2023'!K353="",G312,'РЕЕСТР РИСКОВ_2023'!K353),IF('INHERENT MAP'!$B$5=2022,IF(#REF!="",G312,#REF!),IF('INHERENT MAP'!$B$5=2023,IF(#REF!="",G312,#REF!),IF('INHERENT MAP'!$B$5=2024,IF(#REF!="",G312,#REF!),IF('РЕЕСТР РИСКОВ_2023'!K353="",G312,'РЕЕСТР РИСКОВ_2023'!K353)))))</f>
        <v>Увеличение расходов по процентам на новые займы, а также текущие займы (с плавающей ставкой) в тенге.</v>
      </c>
      <c r="H313">
        <f>IF('INHERENT MAP'!$B$5=2021,'РЕЕСТР РИСКОВ_2023'!L353,IF('INHERENT MAP'!$B$5=2022,#REF!,IF('INHERENT MAP'!$B$5=2023,#REF!,IF('INHERENT MAP'!$B$5=2024,#REF!,#REF!))))</f>
        <v>0</v>
      </c>
      <c r="I313">
        <f>IF('INHERENT MAP'!$B$5=2021,'РЕЕСТР РИСКОВ_2023'!M353,IF('INHERENT MAP'!$B$5=2022,#REF!,IF('INHERENT MAP'!$B$5=2023,#REF!,IF('INHERENT MAP'!$B$5=2024,#REF!,#REF!))))</f>
        <v>0</v>
      </c>
      <c r="J313">
        <f>IF('INHERENT MAP'!$B$5=2021,'РЕЕСТР РИСКОВ_2023'!N353,IF('INHERENT MAP'!$B$5=2022,#REF!,IF('INHERENT MAP'!$B$5=2023,#REF!,IF('INHERENT MAP'!$B$5=2024,#REF!,#REF!))))</f>
        <v>0</v>
      </c>
      <c r="K313">
        <f>IF('INHERENT MAP'!$B$5=2021,'РЕЕСТР РИСКОВ_2023'!O353,IF('INHERENT MAP'!$B$5=2022,#REF!,IF('INHERENT MAP'!$B$5=2023,#REF!,IF('INHERENT MAP'!$B$5=2024,#REF!,#REF!))))</f>
        <v>0</v>
      </c>
      <c r="L313">
        <f>IF('INHERENT MAP'!$B$5=2021,'РЕЕСТР РИСКОВ_2023'!P353,IF('INHERENT MAP'!$B$5=2022,#REF!,IF('INHERENT MAP'!$B$5=2023,#REF!,IF('INHERENT MAP'!$B$5=2024,#REF!,#REF!))))</f>
        <v>0</v>
      </c>
      <c r="M313" t="str">
        <f>IF('INHERENT MAP'!$B$5=2021,IF('РЕЕСТР РИСКОВ_2023'!Q353="",M312,'РЕЕСТР РИСКОВ_2023'!Q353),IF('INHERENT MAP'!$B$5=2022,IF(#REF!="",M312,#REF!),IF('INHERENT MAP'!$B$5=2023,IF(#REF!="",M312,#REF!),IF('INHERENT MAP'!$B$5=2024,IF(#REF!="",M312,#REF!),IF('РЕЕСТР РИСКОВ_2023'!Q353="",M312,'РЕЕСТР РИСКОВ_2023'!Q353)))))</f>
        <v>Увеличение базовой ставки Национального банка Республики Казахстан до 16%</v>
      </c>
      <c r="N313" t="str">
        <f>IF('INHERENT MAP'!$B$5=2021,IF('РЕЕСТР РИСКОВ_2023'!R353="",N312,'РЕЕСТР РИСКОВ_2023'!R353),IF('INHERENT MAP'!$B$5=2022,IF(#REF!="",N312,#REF!),IF('INHERENT MAP'!$B$5=2023,IF(#REF!="",N312,#REF!),IF('INHERENT MAP'!$B$5=2024,IF(#REF!="",N312,#REF!),IF('РЕЕСТР РИСКОВ_2023'!R353="",N312,'РЕЕСТР РИСКОВ_2023'!R353)))))</f>
        <v>Рецессия экономики европейских стран</v>
      </c>
      <c r="O313">
        <f>'РЕЕСТР РИСКОВ_2023'!T353</f>
        <v>0</v>
      </c>
      <c r="P313" t="e">
        <f>IF('РЕЕСТР РИСКОВ_2023'!U353="",P312,'РЕЕСТР РИСКОВ_2023'!U353)</f>
        <v>#REF!</v>
      </c>
      <c r="Q313" t="str">
        <f>IF('РЕЕСТР РИСКОВ_2023'!V353="",Q312,'РЕЕСТР РИСКОВ_2023'!V353)</f>
        <v>Угрозы</v>
      </c>
      <c r="R313" t="e">
        <f>IF('РЕЕСТР РИСКОВ_2023'!W353="",R312,'РЕЕСТР РИСКОВ_2023'!W353)</f>
        <v>#REF!</v>
      </c>
      <c r="S313">
        <f>'РЕЕСТР РИСКОВ_2023'!X353</f>
        <v>0</v>
      </c>
      <c r="T313" s="94">
        <f>IF('INHERENT MAP'!$B$5=2021,'РЕЕСТР РИСКОВ_2023'!Y353,IF('INHERENT MAP'!$B$5=2022,#REF!,IF('INHERENT MAP'!$B$5=2023,#REF!,IF('INHERENT MAP'!$B$5=2024,#REF!,#REF!))))</f>
        <v>0</v>
      </c>
      <c r="U313">
        <f>IF('INHERENT MAP'!$B$5=2021,'РЕЕСТР РИСКОВ_2023'!Z353,IF('INHERENT MAP'!$B$5=2022,#REF!,IF('INHERENT MAP'!$B$5=2023,#REF!,IF('INHERENT MAP'!$B$5=2024,#REF!,#REF!))))</f>
        <v>0</v>
      </c>
      <c r="V313">
        <f>IF('INHERENT MAP'!$B$5=2021,'РЕЕСТР РИСКОВ_2023'!AA353,IF('INHERENT MAP'!$B$5=2022,#REF!,IF('INHERENT MAP'!$B$5=2023,#REF!,IF('INHERENT MAP'!$B$5=2024,#REF!,#REF!))))</f>
        <v>0</v>
      </c>
      <c r="W313">
        <f>IF('INHERENT MAP'!$B$5=2021,'РЕЕСТР РИСКОВ_2023'!AB353,IF('INHERENT MAP'!$B$5=2022,#REF!,IF('INHERENT MAP'!$B$5=2023,#REF!,IF('INHERENT MAP'!$B$5=2024,#REF!,#REF!))))</f>
        <v>0</v>
      </c>
      <c r="X313" s="94">
        <f>IF('INHERENT MAP'!$B$5=2021,'РЕЕСТР РИСКОВ_2023'!AC353,IF('INHERENT MAP'!$B$5=2022,#REF!,IF('INHERENT MAP'!$B$5=2023,#REF!,IF('INHERENT MAP'!$B$5=2024,#REF!,#REF!))))</f>
        <v>0</v>
      </c>
      <c r="Y313">
        <f>IF('INHERENT MAP'!$B$5=2021,'РЕЕСТР РИСКОВ_2023'!AD353,IF('INHERENT MAP'!$B$5=2022,#REF!,IF('INHERENT MAP'!$B$5=2023,#REF!,IF('INHERENT MAP'!$B$5=2024,#REF!,#REF!))))</f>
        <v>0</v>
      </c>
      <c r="Z313">
        <f>IF('INHERENT MAP'!$B$5=2021,'РЕЕСТР РИСКОВ_2023'!AE353,IF('INHERENT MAP'!$B$5=2022,#REF!,IF('INHERENT MAP'!$B$5=2023,#REF!,IF('INHERENT MAP'!$B$5=2024,#REF!,#REF!))))</f>
        <v>0</v>
      </c>
      <c r="AA313">
        <f>IF('INHERENT MAP'!$B$5=2021,'РЕЕСТР РИСКОВ_2023'!AF353,IF('INHERENT MAP'!$B$5=2022,#REF!,IF('INHERENT MAP'!$B$5=2023,#REF!,IF('INHERENT MAP'!$B$5=2024,#REF!,#REF!))))</f>
        <v>0</v>
      </c>
      <c r="AB313">
        <f>IF('INHERENT MAP'!$B$5=2021,'РЕЕСТР РИСКОВ_2023'!AG353,IF('INHERENT MAP'!$B$5=2022,#REF!,IF('INHERENT MAP'!$B$5=2023,#REF!,IF('INHERENT MAP'!$B$5=2024,#REF!,#REF!))))</f>
        <v>0</v>
      </c>
      <c r="AC313">
        <f>IF('INHERENT MAP'!$B$5=2021,'РЕЕСТР РИСКОВ_2023'!AH353,IF('INHERENT MAP'!$B$5=2022,#REF!,IF('INHERENT MAP'!$B$5=2023,#REF!,IF('INHERENT MAP'!$B$5=2024,#REF!,#REF!))))</f>
        <v>0</v>
      </c>
      <c r="AD313">
        <f>IF('INHERENT MAP'!$B$5=2021,'РЕЕСТР РИСКОВ_2023'!AI353,IF('INHERENT MAP'!$B$5=2022,#REF!,IF('INHERENT MAP'!$B$5=2023,#REF!,IF('INHERENT MAP'!$B$5=2024,#REF!,#REF!))))</f>
        <v>0</v>
      </c>
      <c r="AE313">
        <f>IF('INHERENT MAP'!$B$5=2021,'РЕЕСТР РИСКОВ_2023'!AK353,IF('INHERENT MAP'!$B$5=2022,#REF!,IF('INHERENT MAP'!$B$5=2023,#REF!,IF('INHERENT MAP'!$B$5=2024,#REF!,#REF!))))</f>
        <v>0</v>
      </c>
      <c r="AF313">
        <f>IF('INHERENT MAP'!$B$5=2021,'РЕЕСТР РИСКОВ_2023'!AL353,IF('INHERENT MAP'!$B$5=2022,#REF!,IF('INHERENT MAP'!$B$5=2023,#REF!,IF('INHERENT MAP'!$B$5=2024,#REF!,#REF!))))</f>
        <v>0</v>
      </c>
      <c r="AG313">
        <f>IF('INHERENT MAP'!$B$5=2021,'РЕЕСТР РИСКОВ_2023'!AM353,IF('INHERENT MAP'!$B$5=2022,#REF!,IF('INHERENT MAP'!$B$5=2023,#REF!,IF('INHERENT MAP'!$B$5=2024,#REF!,#REF!))))</f>
        <v>0</v>
      </c>
      <c r="AH313">
        <f>IF('INHERENT MAP'!$B$5=2021,'РЕЕСТР РИСКОВ_2023'!AN353,IF('INHERENT MAP'!$B$5=2022,#REF!,IF('INHERENT MAP'!$B$5=2023,#REF!,IF('INHERENT MAP'!$B$5=2024,#REF!,#REF!))))</f>
        <v>0</v>
      </c>
      <c r="AI313">
        <f>IF('INHERENT MAP'!$B$5=2021,'РЕЕСТР РИСКОВ_2023'!AO353,IF('INHERENT MAP'!$B$5=2022,#REF!,IF('INHERENT MAP'!$B$5=2023,#REF!,IF('INHERENT MAP'!$B$5=2024,#REF!,#REF!))))</f>
        <v>0</v>
      </c>
      <c r="AJ313">
        <f>IF('INHERENT MAP'!$B$5=2021,'РЕЕСТР РИСКОВ_2023'!AP353,IF('INHERENT MAP'!$B$5=2022,#REF!,IF('INHERENT MAP'!$B$5=2023,#REF!,IF('INHERENT MAP'!$B$5=2024,#REF!,#REF!))))</f>
        <v>0</v>
      </c>
      <c r="AK313">
        <f>IF('РЕЕСТР РИСКОВ_2023'!AQ353="",AK312,'РЕЕСТР РИСКОВ_2023'!AQ353)</f>
        <v>-216</v>
      </c>
      <c r="AL313">
        <f>IF('РЕЕСТР РИСКОВ_2023'!AR353="",AL312,'РЕЕСТР РИСКОВ_2023'!AR353)</f>
        <v>0.12</v>
      </c>
      <c r="AM313" t="str">
        <f>IF('РЕЕСТР РИСКОВ_2023'!AS353="",AM312,'РЕЕСТР РИСКОВ_2023'!AS353)</f>
        <v>стоп</v>
      </c>
      <c r="AN313" t="str">
        <f>IF('РЕЕСТР РИСКОВ_2023'!AT353="",AN312,'РЕЕСТР РИСКОВ_2023'!AT353)</f>
        <v>стоп</v>
      </c>
      <c r="AO313" t="e">
        <f>IF('РЕЕСТР РИСКОВ_2023'!AU353="",AO312,'РЕЕСТР РИСКОВ_2023'!AU353)</f>
        <v>#REF!</v>
      </c>
    </row>
    <row r="314" spans="2:41">
      <c r="B314" t="str">
        <f>IF('INHERENT MAP'!$B$5=2021,IF('РЕЕСТР РИСКОВ_2023'!F354="",B313,'РЕЕСТР РИСКОВ_2023'!F354),IF('INHERENT MAP'!$B$5=2022,IF(#REF!="",B313,#REF!),IF('INHERENT MAP'!$B$5=2023,IF(#REF!="",B313,#REF!),IF('INHERENT MAP'!$B$5=2024,IF(#REF!="",B313,#REF!),IF('РЕЕСТР РИСКОВ_2023'!F354="",B313,'РЕЕСТР РИСКОВ_2023'!F354)))))</f>
        <v>ПРОЦЕНТНЫЙ РИСК</v>
      </c>
      <c r="C314" t="e">
        <f>IF('INHERENT MAP'!$B$5=2021,IF('РЕЕСТР РИСКОВ_2023'!G354="",C313,'РЕЕСТР РИСКОВ_2023'!G354),IF('INHERENT MAP'!$B$5=2022,IF(#REF!="",C313,#REF!),IF('INHERENT MAP'!$B$5=2023,IF(#REF!="",C313,#REF!),IF('INHERENT MAP'!$B$5=2024,IF(#REF!="",C313,#REF!),IF('РЕЕСТР РИСКОВ_2023'!G354="",C313,'РЕЕСТР РИСКОВ_2023'!G354)))))</f>
        <v>#REF!</v>
      </c>
      <c r="D314" t="str">
        <f>IF('INHERENT MAP'!$B$5=2021,IF('РЕЕСТР РИСКОВ_2023'!H354="",D313,'РЕЕСТР РИСКОВ_2023'!H354),IF('INHERENT MAP'!$B$5=2022,IF(#REF!="",D313,#REF!),IF('INHERENT MAP'!$B$5=2023,IF(#REF!="",D313,#REF!),IF('INHERENT MAP'!$B$5=2024,IF(#REF!="",D313,#REF!),IF('РЕЕСТР РИСКОВ_2023'!H354="",D313,'РЕЕСТР РИСКОВ_2023'!H354)))))</f>
        <v>IRR-1</v>
      </c>
      <c r="E314" t="str">
        <f>IF('INHERENT MAP'!$B$5=2021,IF('РЕЕСТР РИСКОВ_2023'!I354="",E313,'РЕЕСТР РИСКОВ_2023'!I354),IF('INHERENT MAP'!$B$5=2022,IF(#REF!="",E313,#REF!),IF('INHERENT MAP'!$B$5=2023,IF(#REF!="",E313,#REF!),IF('INHERENT MAP'!$B$5=2024,IF(#REF!="",E313,#REF!),IF('РЕЕСТР РИСКОВ_2023'!I354="",E313,'РЕЕСТР РИСКОВ_2023'!I354)))))</f>
        <v>ЦЗФ</v>
      </c>
      <c r="F314" t="str">
        <f>IF('INHERENT MAP'!$B$5=2021,IF('РЕЕСТР РИСКОВ_2023'!J354="",F313,'РЕЕСТР РИСКОВ_2023'!J354),IF('INHERENT MAP'!$B$5=2022,IF(#REF!="",F313,#REF!),IF('INHERENT MAP'!$B$5=2023,IF(#REF!="",F313,#REF!),IF('INHERENT MAP'!$B$5=2024,IF(#REF!="",F313,#REF!),IF('РЕЕСТР РИСКОВ_2023'!J354="",F313,'РЕЕСТР РИСКОВ_2023'!J354)))))</f>
        <v>Цзайм</v>
      </c>
      <c r="G314" t="str">
        <f>IF('INHERENT MAP'!$B$5=2021,IF('РЕЕСТР РИСКОВ_2023'!K354="",G313,'РЕЕСТР РИСКОВ_2023'!K354),IF('INHERENT MAP'!$B$5=2022,IF(#REF!="",G313,#REF!),IF('INHERENT MAP'!$B$5=2023,IF(#REF!="",G313,#REF!),IF('INHERENT MAP'!$B$5=2024,IF(#REF!="",G313,#REF!),IF('РЕЕСТР РИСКОВ_2023'!K354="",G313,'РЕЕСТР РИСКОВ_2023'!K354)))))</f>
        <v>Увеличение расходов по процентам на новые займы, а также текущие займы (с плавающей ставкой) в тенге.</v>
      </c>
      <c r="H314">
        <f>IF('INHERENT MAP'!$B$5=2021,'РЕЕСТР РИСКОВ_2023'!L354,IF('INHERENT MAP'!$B$5=2022,#REF!,IF('INHERENT MAP'!$B$5=2023,#REF!,IF('INHERENT MAP'!$B$5=2024,#REF!,#REF!))))</f>
        <v>0</v>
      </c>
      <c r="I314">
        <f>IF('INHERENT MAP'!$B$5=2021,'РЕЕСТР РИСКОВ_2023'!M354,IF('INHERENT MAP'!$B$5=2022,#REF!,IF('INHERENT MAP'!$B$5=2023,#REF!,IF('INHERENT MAP'!$B$5=2024,#REF!,#REF!))))</f>
        <v>0</v>
      </c>
      <c r="J314">
        <f>IF('INHERENT MAP'!$B$5=2021,'РЕЕСТР РИСКОВ_2023'!N354,IF('INHERENT MAP'!$B$5=2022,#REF!,IF('INHERENT MAP'!$B$5=2023,#REF!,IF('INHERENT MAP'!$B$5=2024,#REF!,#REF!))))</f>
        <v>0</v>
      </c>
      <c r="K314">
        <f>IF('INHERENT MAP'!$B$5=2021,'РЕЕСТР РИСКОВ_2023'!O354,IF('INHERENT MAP'!$B$5=2022,#REF!,IF('INHERENT MAP'!$B$5=2023,#REF!,IF('INHERENT MAP'!$B$5=2024,#REF!,#REF!))))</f>
        <v>0</v>
      </c>
      <c r="L314">
        <f>IF('INHERENT MAP'!$B$5=2021,'РЕЕСТР РИСКОВ_2023'!P354,IF('INHERENT MAP'!$B$5=2022,#REF!,IF('INHERENT MAP'!$B$5=2023,#REF!,IF('INHERENT MAP'!$B$5=2024,#REF!,#REF!))))</f>
        <v>0</v>
      </c>
      <c r="M314" t="str">
        <f>IF('INHERENT MAP'!$B$5=2021,IF('РЕЕСТР РИСКОВ_2023'!Q354="",M313,'РЕЕСТР РИСКОВ_2023'!Q354),IF('INHERENT MAP'!$B$5=2022,IF(#REF!="",M313,#REF!),IF('INHERENT MAP'!$B$5=2023,IF(#REF!="",M313,#REF!),IF('INHERENT MAP'!$B$5=2024,IF(#REF!="",M313,#REF!),IF('РЕЕСТР РИСКОВ_2023'!Q354="",M313,'РЕЕСТР РИСКОВ_2023'!Q354)))))</f>
        <v>Увеличение базовой ставки Национального банка Республики Казахстан до 16%</v>
      </c>
      <c r="N314" t="str">
        <f>IF('INHERENT MAP'!$B$5=2021,IF('РЕЕСТР РИСКОВ_2023'!R354="",N313,'РЕЕСТР РИСКОВ_2023'!R354),IF('INHERENT MAP'!$B$5=2022,IF(#REF!="",N313,#REF!),IF('INHERENT MAP'!$B$5=2023,IF(#REF!="",N313,#REF!),IF('INHERENT MAP'!$B$5=2024,IF(#REF!="",N313,#REF!),IF('РЕЕСТР РИСКОВ_2023'!R354="",N313,'РЕЕСТР РИСКОВ_2023'!R354)))))</f>
        <v>Рецессия экономики европейских стран</v>
      </c>
      <c r="O314">
        <f>'РЕЕСТР РИСКОВ_2023'!T354</f>
        <v>0</v>
      </c>
      <c r="P314" t="e">
        <f>IF('РЕЕСТР РИСКОВ_2023'!U354="",P313,'РЕЕСТР РИСКОВ_2023'!U354)</f>
        <v>#REF!</v>
      </c>
      <c r="Q314" t="str">
        <f>IF('РЕЕСТР РИСКОВ_2023'!V354="",Q313,'РЕЕСТР РИСКОВ_2023'!V354)</f>
        <v>Угрозы</v>
      </c>
      <c r="R314" t="e">
        <f>IF('РЕЕСТР РИСКОВ_2023'!W354="",R313,'РЕЕСТР РИСКОВ_2023'!W354)</f>
        <v>#REF!</v>
      </c>
      <c r="S314">
        <f>'РЕЕСТР РИСКОВ_2023'!X354</f>
        <v>0</v>
      </c>
      <c r="T314" s="94">
        <f>IF('INHERENT MAP'!$B$5=2021,'РЕЕСТР РИСКОВ_2023'!Y354,IF('INHERENT MAP'!$B$5=2022,#REF!,IF('INHERENT MAP'!$B$5=2023,#REF!,IF('INHERENT MAP'!$B$5=2024,#REF!,#REF!))))</f>
        <v>0</v>
      </c>
      <c r="U314">
        <f>IF('INHERENT MAP'!$B$5=2021,'РЕЕСТР РИСКОВ_2023'!Z354,IF('INHERENT MAP'!$B$5=2022,#REF!,IF('INHERENT MAP'!$B$5=2023,#REF!,IF('INHERENT MAP'!$B$5=2024,#REF!,#REF!))))</f>
        <v>0</v>
      </c>
      <c r="V314">
        <f>IF('INHERENT MAP'!$B$5=2021,'РЕЕСТР РИСКОВ_2023'!AA354,IF('INHERENT MAP'!$B$5=2022,#REF!,IF('INHERENT MAP'!$B$5=2023,#REF!,IF('INHERENT MAP'!$B$5=2024,#REF!,#REF!))))</f>
        <v>0</v>
      </c>
      <c r="W314">
        <f>IF('INHERENT MAP'!$B$5=2021,'РЕЕСТР РИСКОВ_2023'!AB354,IF('INHERENT MAP'!$B$5=2022,#REF!,IF('INHERENT MAP'!$B$5=2023,#REF!,IF('INHERENT MAP'!$B$5=2024,#REF!,#REF!))))</f>
        <v>0</v>
      </c>
      <c r="X314" s="94">
        <f>IF('INHERENT MAP'!$B$5=2021,'РЕЕСТР РИСКОВ_2023'!AC354,IF('INHERENT MAP'!$B$5=2022,#REF!,IF('INHERENT MAP'!$B$5=2023,#REF!,IF('INHERENT MAP'!$B$5=2024,#REF!,#REF!))))</f>
        <v>0</v>
      </c>
      <c r="Y314">
        <f>IF('INHERENT MAP'!$B$5=2021,'РЕЕСТР РИСКОВ_2023'!AD354,IF('INHERENT MAP'!$B$5=2022,#REF!,IF('INHERENT MAP'!$B$5=2023,#REF!,IF('INHERENT MAP'!$B$5=2024,#REF!,#REF!))))</f>
        <v>0</v>
      </c>
      <c r="Z314">
        <f>IF('INHERENT MAP'!$B$5=2021,'РЕЕСТР РИСКОВ_2023'!AE354,IF('INHERENT MAP'!$B$5=2022,#REF!,IF('INHERENT MAP'!$B$5=2023,#REF!,IF('INHERENT MAP'!$B$5=2024,#REF!,#REF!))))</f>
        <v>0</v>
      </c>
      <c r="AA314">
        <f>IF('INHERENT MAP'!$B$5=2021,'РЕЕСТР РИСКОВ_2023'!AF354,IF('INHERENT MAP'!$B$5=2022,#REF!,IF('INHERENT MAP'!$B$5=2023,#REF!,IF('INHERENT MAP'!$B$5=2024,#REF!,#REF!))))</f>
        <v>0</v>
      </c>
      <c r="AB314">
        <f>IF('INHERENT MAP'!$B$5=2021,'РЕЕСТР РИСКОВ_2023'!AG354,IF('INHERENT MAP'!$B$5=2022,#REF!,IF('INHERENT MAP'!$B$5=2023,#REF!,IF('INHERENT MAP'!$B$5=2024,#REF!,#REF!))))</f>
        <v>0</v>
      </c>
      <c r="AC314">
        <f>IF('INHERENT MAP'!$B$5=2021,'РЕЕСТР РИСКОВ_2023'!AH354,IF('INHERENT MAP'!$B$5=2022,#REF!,IF('INHERENT MAP'!$B$5=2023,#REF!,IF('INHERENT MAP'!$B$5=2024,#REF!,#REF!))))</f>
        <v>0</v>
      </c>
      <c r="AD314">
        <f>IF('INHERENT MAP'!$B$5=2021,'РЕЕСТР РИСКОВ_2023'!AI354,IF('INHERENT MAP'!$B$5=2022,#REF!,IF('INHERENT MAP'!$B$5=2023,#REF!,IF('INHERENT MAP'!$B$5=2024,#REF!,#REF!))))</f>
        <v>0</v>
      </c>
      <c r="AE314">
        <f>IF('INHERENT MAP'!$B$5=2021,'РЕЕСТР РИСКОВ_2023'!AK354,IF('INHERENT MAP'!$B$5=2022,#REF!,IF('INHERENT MAP'!$B$5=2023,#REF!,IF('INHERENT MAP'!$B$5=2024,#REF!,#REF!))))</f>
        <v>0</v>
      </c>
      <c r="AF314">
        <f>IF('INHERENT MAP'!$B$5=2021,'РЕЕСТР РИСКОВ_2023'!AL354,IF('INHERENT MAP'!$B$5=2022,#REF!,IF('INHERENT MAP'!$B$5=2023,#REF!,IF('INHERENT MAP'!$B$5=2024,#REF!,#REF!))))</f>
        <v>0</v>
      </c>
      <c r="AG314">
        <f>IF('INHERENT MAP'!$B$5=2021,'РЕЕСТР РИСКОВ_2023'!AM354,IF('INHERENT MAP'!$B$5=2022,#REF!,IF('INHERENT MAP'!$B$5=2023,#REF!,IF('INHERENT MAP'!$B$5=2024,#REF!,#REF!))))</f>
        <v>0</v>
      </c>
      <c r="AH314">
        <f>IF('INHERENT MAP'!$B$5=2021,'РЕЕСТР РИСКОВ_2023'!AN354,IF('INHERENT MAP'!$B$5=2022,#REF!,IF('INHERENT MAP'!$B$5=2023,#REF!,IF('INHERENT MAP'!$B$5=2024,#REF!,#REF!))))</f>
        <v>0</v>
      </c>
      <c r="AI314">
        <f>IF('INHERENT MAP'!$B$5=2021,'РЕЕСТР РИСКОВ_2023'!AO354,IF('INHERENT MAP'!$B$5=2022,#REF!,IF('INHERENT MAP'!$B$5=2023,#REF!,IF('INHERENT MAP'!$B$5=2024,#REF!,#REF!))))</f>
        <v>0</v>
      </c>
      <c r="AJ314">
        <f>IF('INHERENT MAP'!$B$5=2021,'РЕЕСТР РИСКОВ_2023'!AP354,IF('INHERENT MAP'!$B$5=2022,#REF!,IF('INHERENT MAP'!$B$5=2023,#REF!,IF('INHERENT MAP'!$B$5=2024,#REF!,#REF!))))</f>
        <v>0</v>
      </c>
      <c r="AK314">
        <f>IF('РЕЕСТР РИСКОВ_2023'!AQ354="",AK313,'РЕЕСТР РИСКОВ_2023'!AQ354)</f>
        <v>-216</v>
      </c>
      <c r="AL314">
        <f>IF('РЕЕСТР РИСКОВ_2023'!AR354="",AL313,'РЕЕСТР РИСКОВ_2023'!AR354)</f>
        <v>0.12</v>
      </c>
      <c r="AM314" t="str">
        <f>IF('РЕЕСТР РИСКОВ_2023'!AS354="",AM313,'РЕЕСТР РИСКОВ_2023'!AS354)</f>
        <v>стоп</v>
      </c>
      <c r="AN314" t="str">
        <f>IF('РЕЕСТР РИСКОВ_2023'!AT354="",AN313,'РЕЕСТР РИСКОВ_2023'!AT354)</f>
        <v>стоп</v>
      </c>
      <c r="AO314" t="e">
        <f>IF('РЕЕСТР РИСКОВ_2023'!AU354="",AO313,'РЕЕСТР РИСКОВ_2023'!AU354)</f>
        <v>#REF!</v>
      </c>
    </row>
    <row r="315" spans="2:41">
      <c r="B315" t="str">
        <f>IF('INHERENT MAP'!$B$5=2021,IF('РЕЕСТР РИСКОВ_2023'!F355="",B314,'РЕЕСТР РИСКОВ_2023'!F355),IF('INHERENT MAP'!$B$5=2022,IF(#REF!="",B314,#REF!),IF('INHERENT MAP'!$B$5=2023,IF(#REF!="",B314,#REF!),IF('INHERENT MAP'!$B$5=2024,IF(#REF!="",B314,#REF!),IF('РЕЕСТР РИСКОВ_2023'!F355="",B314,'РЕЕСТР РИСКОВ_2023'!F355)))))</f>
        <v>ПРОЦЕНТНЫЙ РИСК</v>
      </c>
      <c r="C315" t="e">
        <f>IF('INHERENT MAP'!$B$5=2021,IF('РЕЕСТР РИСКОВ_2023'!G355="",C314,'РЕЕСТР РИСКОВ_2023'!G355),IF('INHERENT MAP'!$B$5=2022,IF(#REF!="",C314,#REF!),IF('INHERENT MAP'!$B$5=2023,IF(#REF!="",C314,#REF!),IF('INHERENT MAP'!$B$5=2024,IF(#REF!="",C314,#REF!),IF('РЕЕСТР РИСКОВ_2023'!G355="",C314,'РЕЕСТР РИСКОВ_2023'!G355)))))</f>
        <v>#REF!</v>
      </c>
      <c r="D315" t="str">
        <f>IF('INHERENT MAP'!$B$5=2021,IF('РЕЕСТР РИСКОВ_2023'!H355="",D314,'РЕЕСТР РИСКОВ_2023'!H355),IF('INHERENT MAP'!$B$5=2022,IF(#REF!="",D314,#REF!),IF('INHERENT MAP'!$B$5=2023,IF(#REF!="",D314,#REF!),IF('INHERENT MAP'!$B$5=2024,IF(#REF!="",D314,#REF!),IF('РЕЕСТР РИСКОВ_2023'!H355="",D314,'РЕЕСТР РИСКОВ_2023'!H355)))))</f>
        <v>IRR-1</v>
      </c>
      <c r="E315" t="str">
        <f>IF('INHERENT MAP'!$B$5=2021,IF('РЕЕСТР РИСКОВ_2023'!I355="",E314,'РЕЕСТР РИСКОВ_2023'!I355),IF('INHERENT MAP'!$B$5=2022,IF(#REF!="",E314,#REF!),IF('INHERENT MAP'!$B$5=2023,IF(#REF!="",E314,#REF!),IF('INHERENT MAP'!$B$5=2024,IF(#REF!="",E314,#REF!),IF('РЕЕСТР РИСКОВ_2023'!I355="",E314,'РЕЕСТР РИСКОВ_2023'!I355)))))</f>
        <v>ЦЗФ</v>
      </c>
      <c r="F315" t="str">
        <f>IF('INHERENT MAP'!$B$5=2021,IF('РЕЕСТР РИСКОВ_2023'!J355="",F314,'РЕЕСТР РИСКОВ_2023'!J355),IF('INHERENT MAP'!$B$5=2022,IF(#REF!="",F314,#REF!),IF('INHERENT MAP'!$B$5=2023,IF(#REF!="",F314,#REF!),IF('INHERENT MAP'!$B$5=2024,IF(#REF!="",F314,#REF!),IF('РЕЕСТР РИСКОВ_2023'!J355="",F314,'РЕЕСТР РИСКОВ_2023'!J355)))))</f>
        <v>Цзайм</v>
      </c>
      <c r="G315" t="str">
        <f>IF('INHERENT MAP'!$B$5=2021,IF('РЕЕСТР РИСКОВ_2023'!K355="",G314,'РЕЕСТР РИСКОВ_2023'!K355),IF('INHERENT MAP'!$B$5=2022,IF(#REF!="",G314,#REF!),IF('INHERENT MAP'!$B$5=2023,IF(#REF!="",G314,#REF!),IF('INHERENT MAP'!$B$5=2024,IF(#REF!="",G314,#REF!),IF('РЕЕСТР РИСКОВ_2023'!K355="",G314,'РЕЕСТР РИСКОВ_2023'!K355)))))</f>
        <v>Увеличение расходов по процентам на новые займы, а также текущие займы (с плавающей ставкой) в тенге.</v>
      </c>
      <c r="H315">
        <f>IF('INHERENT MAP'!$B$5=2021,'РЕЕСТР РИСКОВ_2023'!L355,IF('INHERENT MAP'!$B$5=2022,#REF!,IF('INHERENT MAP'!$B$5=2023,#REF!,IF('INHERENT MAP'!$B$5=2024,#REF!,#REF!))))</f>
        <v>0</v>
      </c>
      <c r="I315">
        <f>IF('INHERENT MAP'!$B$5=2021,'РЕЕСТР РИСКОВ_2023'!M355,IF('INHERENT MAP'!$B$5=2022,#REF!,IF('INHERENT MAP'!$B$5=2023,#REF!,IF('INHERENT MAP'!$B$5=2024,#REF!,#REF!))))</f>
        <v>0</v>
      </c>
      <c r="J315">
        <f>IF('INHERENT MAP'!$B$5=2021,'РЕЕСТР РИСКОВ_2023'!N355,IF('INHERENT MAP'!$B$5=2022,#REF!,IF('INHERENT MAP'!$B$5=2023,#REF!,IF('INHERENT MAP'!$B$5=2024,#REF!,#REF!))))</f>
        <v>0</v>
      </c>
      <c r="K315">
        <f>IF('INHERENT MAP'!$B$5=2021,'РЕЕСТР РИСКОВ_2023'!O355,IF('INHERENT MAP'!$B$5=2022,#REF!,IF('INHERENT MAP'!$B$5=2023,#REF!,IF('INHERENT MAP'!$B$5=2024,#REF!,#REF!))))</f>
        <v>0</v>
      </c>
      <c r="L315">
        <f>IF('INHERENT MAP'!$B$5=2021,'РЕЕСТР РИСКОВ_2023'!P355,IF('INHERENT MAP'!$B$5=2022,#REF!,IF('INHERENT MAP'!$B$5=2023,#REF!,IF('INHERENT MAP'!$B$5=2024,#REF!,#REF!))))</f>
        <v>0</v>
      </c>
      <c r="M315" t="str">
        <f>IF('INHERENT MAP'!$B$5=2021,IF('РЕЕСТР РИСКОВ_2023'!Q355="",M314,'РЕЕСТР РИСКОВ_2023'!Q355),IF('INHERENT MAP'!$B$5=2022,IF(#REF!="",M314,#REF!),IF('INHERENT MAP'!$B$5=2023,IF(#REF!="",M314,#REF!),IF('INHERENT MAP'!$B$5=2024,IF(#REF!="",M314,#REF!),IF('РЕЕСТР РИСКОВ_2023'!Q355="",M314,'РЕЕСТР РИСКОВ_2023'!Q355)))))</f>
        <v>Увеличение базовой ставки Национального банка Республики Казахстан до 16%</v>
      </c>
      <c r="N315" t="str">
        <f>IF('INHERENT MAP'!$B$5=2021,IF('РЕЕСТР РИСКОВ_2023'!R355="",N314,'РЕЕСТР РИСКОВ_2023'!R355),IF('INHERENT MAP'!$B$5=2022,IF(#REF!="",N314,#REF!),IF('INHERENT MAP'!$B$5=2023,IF(#REF!="",N314,#REF!),IF('INHERENT MAP'!$B$5=2024,IF(#REF!="",N314,#REF!),IF('РЕЕСТР РИСКОВ_2023'!R355="",N314,'РЕЕСТР РИСКОВ_2023'!R355)))))</f>
        <v>Рецессия экономики европейских стран</v>
      </c>
      <c r="O315">
        <f>'РЕЕСТР РИСКОВ_2023'!T355</f>
        <v>0</v>
      </c>
      <c r="P315" t="e">
        <f>IF('РЕЕСТР РИСКОВ_2023'!U355="",P314,'РЕЕСТР РИСКОВ_2023'!U355)</f>
        <v>#REF!</v>
      </c>
      <c r="Q315" t="str">
        <f>IF('РЕЕСТР РИСКОВ_2023'!V355="",Q314,'РЕЕСТР РИСКОВ_2023'!V355)</f>
        <v>Угрозы</v>
      </c>
      <c r="R315" t="e">
        <f>IF('РЕЕСТР РИСКОВ_2023'!W355="",R314,'РЕЕСТР РИСКОВ_2023'!W355)</f>
        <v>#REF!</v>
      </c>
      <c r="S315">
        <f>'РЕЕСТР РИСКОВ_2023'!X355</f>
        <v>0</v>
      </c>
      <c r="T315" s="94">
        <f>IF('INHERENT MAP'!$B$5=2021,'РЕЕСТР РИСКОВ_2023'!Y355,IF('INHERENT MAP'!$B$5=2022,#REF!,IF('INHERENT MAP'!$B$5=2023,#REF!,IF('INHERENT MAP'!$B$5=2024,#REF!,#REF!))))</f>
        <v>0</v>
      </c>
      <c r="U315">
        <f>IF('INHERENT MAP'!$B$5=2021,'РЕЕСТР РИСКОВ_2023'!Z355,IF('INHERENT MAP'!$B$5=2022,#REF!,IF('INHERENT MAP'!$B$5=2023,#REF!,IF('INHERENT MAP'!$B$5=2024,#REF!,#REF!))))</f>
        <v>0</v>
      </c>
      <c r="V315">
        <f>IF('INHERENT MAP'!$B$5=2021,'РЕЕСТР РИСКОВ_2023'!AA355,IF('INHERENT MAP'!$B$5=2022,#REF!,IF('INHERENT MAP'!$B$5=2023,#REF!,IF('INHERENT MAP'!$B$5=2024,#REF!,#REF!))))</f>
        <v>0</v>
      </c>
      <c r="W315">
        <f>IF('INHERENT MAP'!$B$5=2021,'РЕЕСТР РИСКОВ_2023'!AB355,IF('INHERENT MAP'!$B$5=2022,#REF!,IF('INHERENT MAP'!$B$5=2023,#REF!,IF('INHERENT MAP'!$B$5=2024,#REF!,#REF!))))</f>
        <v>0</v>
      </c>
      <c r="X315" s="94">
        <f>IF('INHERENT MAP'!$B$5=2021,'РЕЕСТР РИСКОВ_2023'!AC355,IF('INHERENT MAP'!$B$5=2022,#REF!,IF('INHERENT MAP'!$B$5=2023,#REF!,IF('INHERENT MAP'!$B$5=2024,#REF!,#REF!))))</f>
        <v>0</v>
      </c>
      <c r="Y315">
        <f>IF('INHERENT MAP'!$B$5=2021,'РЕЕСТР РИСКОВ_2023'!AD355,IF('INHERENT MAP'!$B$5=2022,#REF!,IF('INHERENT MAP'!$B$5=2023,#REF!,IF('INHERENT MAP'!$B$5=2024,#REF!,#REF!))))</f>
        <v>0</v>
      </c>
      <c r="Z315">
        <f>IF('INHERENT MAP'!$B$5=2021,'РЕЕСТР РИСКОВ_2023'!AE355,IF('INHERENT MAP'!$B$5=2022,#REF!,IF('INHERENT MAP'!$B$5=2023,#REF!,IF('INHERENT MAP'!$B$5=2024,#REF!,#REF!))))</f>
        <v>0</v>
      </c>
      <c r="AA315">
        <f>IF('INHERENT MAP'!$B$5=2021,'РЕЕСТР РИСКОВ_2023'!AF355,IF('INHERENT MAP'!$B$5=2022,#REF!,IF('INHERENT MAP'!$B$5=2023,#REF!,IF('INHERENT MAP'!$B$5=2024,#REF!,#REF!))))</f>
        <v>0</v>
      </c>
      <c r="AB315">
        <f>IF('INHERENT MAP'!$B$5=2021,'РЕЕСТР РИСКОВ_2023'!AG355,IF('INHERENT MAP'!$B$5=2022,#REF!,IF('INHERENT MAP'!$B$5=2023,#REF!,IF('INHERENT MAP'!$B$5=2024,#REF!,#REF!))))</f>
        <v>0</v>
      </c>
      <c r="AC315">
        <f>IF('INHERENT MAP'!$B$5=2021,'РЕЕСТР РИСКОВ_2023'!AH355,IF('INHERENT MAP'!$B$5=2022,#REF!,IF('INHERENT MAP'!$B$5=2023,#REF!,IF('INHERENT MAP'!$B$5=2024,#REF!,#REF!))))</f>
        <v>0</v>
      </c>
      <c r="AD315">
        <f>IF('INHERENT MAP'!$B$5=2021,'РЕЕСТР РИСКОВ_2023'!AI355,IF('INHERENT MAP'!$B$5=2022,#REF!,IF('INHERENT MAP'!$B$5=2023,#REF!,IF('INHERENT MAP'!$B$5=2024,#REF!,#REF!))))</f>
        <v>0</v>
      </c>
      <c r="AE315">
        <f>IF('INHERENT MAP'!$B$5=2021,'РЕЕСТР РИСКОВ_2023'!AK355,IF('INHERENT MAP'!$B$5=2022,#REF!,IF('INHERENT MAP'!$B$5=2023,#REF!,IF('INHERENT MAP'!$B$5=2024,#REF!,#REF!))))</f>
        <v>0</v>
      </c>
      <c r="AF315">
        <f>IF('INHERENT MAP'!$B$5=2021,'РЕЕСТР РИСКОВ_2023'!AL355,IF('INHERENT MAP'!$B$5=2022,#REF!,IF('INHERENT MAP'!$B$5=2023,#REF!,IF('INHERENT MAP'!$B$5=2024,#REF!,#REF!))))</f>
        <v>0</v>
      </c>
      <c r="AG315">
        <f>IF('INHERENT MAP'!$B$5=2021,'РЕЕСТР РИСКОВ_2023'!AM355,IF('INHERENT MAP'!$B$5=2022,#REF!,IF('INHERENT MAP'!$B$5=2023,#REF!,IF('INHERENT MAP'!$B$5=2024,#REF!,#REF!))))</f>
        <v>0</v>
      </c>
      <c r="AH315">
        <f>IF('INHERENT MAP'!$B$5=2021,'РЕЕСТР РИСКОВ_2023'!AN355,IF('INHERENT MAP'!$B$5=2022,#REF!,IF('INHERENT MAP'!$B$5=2023,#REF!,IF('INHERENT MAP'!$B$5=2024,#REF!,#REF!))))</f>
        <v>0</v>
      </c>
      <c r="AI315">
        <f>IF('INHERENT MAP'!$B$5=2021,'РЕЕСТР РИСКОВ_2023'!AO355,IF('INHERENT MAP'!$B$5=2022,#REF!,IF('INHERENT MAP'!$B$5=2023,#REF!,IF('INHERENT MAP'!$B$5=2024,#REF!,#REF!))))</f>
        <v>0</v>
      </c>
      <c r="AJ315">
        <f>IF('INHERENT MAP'!$B$5=2021,'РЕЕСТР РИСКОВ_2023'!AP355,IF('INHERENT MAP'!$B$5=2022,#REF!,IF('INHERENT MAP'!$B$5=2023,#REF!,IF('INHERENT MAP'!$B$5=2024,#REF!,#REF!))))</f>
        <v>0</v>
      </c>
      <c r="AK315">
        <f>IF('РЕЕСТР РИСКОВ_2023'!AQ355="",AK314,'РЕЕСТР РИСКОВ_2023'!AQ355)</f>
        <v>-216</v>
      </c>
      <c r="AL315">
        <f>IF('РЕЕСТР РИСКОВ_2023'!AR355="",AL314,'РЕЕСТР РИСКОВ_2023'!AR355)</f>
        <v>0.12</v>
      </c>
      <c r="AM315" t="str">
        <f>IF('РЕЕСТР РИСКОВ_2023'!AS355="",AM314,'РЕЕСТР РИСКОВ_2023'!AS355)</f>
        <v>стоп</v>
      </c>
      <c r="AN315" t="str">
        <f>IF('РЕЕСТР РИСКОВ_2023'!AT355="",AN314,'РЕЕСТР РИСКОВ_2023'!AT355)</f>
        <v>стоп</v>
      </c>
      <c r="AO315" t="e">
        <f>IF('РЕЕСТР РИСКОВ_2023'!AU355="",AO314,'РЕЕСТР РИСКОВ_2023'!AU355)</f>
        <v>#REF!</v>
      </c>
    </row>
    <row r="316" spans="2:41">
      <c r="B316" t="str">
        <f>IF('INHERENT MAP'!$B$5=2021,IF('РЕЕСТР РИСКОВ_2023'!F356="",B315,'РЕЕСТР РИСКОВ_2023'!F356),IF('INHERENT MAP'!$B$5=2022,IF(#REF!="",B315,#REF!),IF('INHERENT MAP'!$B$5=2023,IF(#REF!="",B315,#REF!),IF('INHERENT MAP'!$B$5=2024,IF(#REF!="",B315,#REF!),IF('РЕЕСТР РИСКОВ_2023'!F356="",B315,'РЕЕСТР РИСКОВ_2023'!F356)))))</f>
        <v>ПРОЦЕНТНЫЙ РИСК</v>
      </c>
      <c r="C316" t="e">
        <f>IF('INHERENT MAP'!$B$5=2021,IF('РЕЕСТР РИСКОВ_2023'!G356="",C315,'РЕЕСТР РИСКОВ_2023'!G356),IF('INHERENT MAP'!$B$5=2022,IF(#REF!="",C315,#REF!),IF('INHERENT MAP'!$B$5=2023,IF(#REF!="",C315,#REF!),IF('INHERENT MAP'!$B$5=2024,IF(#REF!="",C315,#REF!),IF('РЕЕСТР РИСКОВ_2023'!G356="",C315,'РЕЕСТР РИСКОВ_2023'!G356)))))</f>
        <v>#REF!</v>
      </c>
      <c r="D316" t="str">
        <f>IF('INHERENT MAP'!$B$5=2021,IF('РЕЕСТР РИСКОВ_2023'!H356="",D315,'РЕЕСТР РИСКОВ_2023'!H356),IF('INHERENT MAP'!$B$5=2022,IF(#REF!="",D315,#REF!),IF('INHERENT MAP'!$B$5=2023,IF(#REF!="",D315,#REF!),IF('INHERENT MAP'!$B$5=2024,IF(#REF!="",D315,#REF!),IF('РЕЕСТР РИСКОВ_2023'!H356="",D315,'РЕЕСТР РИСКОВ_2023'!H356)))))</f>
        <v>IRR-1</v>
      </c>
      <c r="E316" t="str">
        <f>IF('INHERENT MAP'!$B$5=2021,IF('РЕЕСТР РИСКОВ_2023'!I356="",E315,'РЕЕСТР РИСКОВ_2023'!I356),IF('INHERENT MAP'!$B$5=2022,IF(#REF!="",E315,#REF!),IF('INHERENT MAP'!$B$5=2023,IF(#REF!="",E315,#REF!),IF('INHERENT MAP'!$B$5=2024,IF(#REF!="",E315,#REF!),IF('РЕЕСТР РИСКОВ_2023'!I356="",E315,'РЕЕСТР РИСКОВ_2023'!I356)))))</f>
        <v>ЦЗФ</v>
      </c>
      <c r="F316" t="str">
        <f>IF('INHERENT MAP'!$B$5=2021,IF('РЕЕСТР РИСКОВ_2023'!J356="",F315,'РЕЕСТР РИСКОВ_2023'!J356),IF('INHERENT MAP'!$B$5=2022,IF(#REF!="",F315,#REF!),IF('INHERENT MAP'!$B$5=2023,IF(#REF!="",F315,#REF!),IF('INHERENT MAP'!$B$5=2024,IF(#REF!="",F315,#REF!),IF('РЕЕСТР РИСКОВ_2023'!J356="",F315,'РЕЕСТР РИСКОВ_2023'!J356)))))</f>
        <v>Цзайм</v>
      </c>
      <c r="G316" t="str">
        <f>IF('INHERENT MAP'!$B$5=2021,IF('РЕЕСТР РИСКОВ_2023'!K356="",G315,'РЕЕСТР РИСКОВ_2023'!K356),IF('INHERENT MAP'!$B$5=2022,IF(#REF!="",G315,#REF!),IF('INHERENT MAP'!$B$5=2023,IF(#REF!="",G315,#REF!),IF('INHERENT MAP'!$B$5=2024,IF(#REF!="",G315,#REF!),IF('РЕЕСТР РИСКОВ_2023'!K356="",G315,'РЕЕСТР РИСКОВ_2023'!K356)))))</f>
        <v>Увеличение расходов по процентам на новые займы, а также текущие займы (с плавающей ставкой) в тенге.</v>
      </c>
      <c r="H316">
        <f>IF('INHERENT MAP'!$B$5=2021,'РЕЕСТР РИСКОВ_2023'!L356,IF('INHERENT MAP'!$B$5=2022,#REF!,IF('INHERENT MAP'!$B$5=2023,#REF!,IF('INHERENT MAP'!$B$5=2024,#REF!,#REF!))))</f>
        <v>0</v>
      </c>
      <c r="I316">
        <f>IF('INHERENT MAP'!$B$5=2021,'РЕЕСТР РИСКОВ_2023'!M356,IF('INHERENT MAP'!$B$5=2022,#REF!,IF('INHERENT MAP'!$B$5=2023,#REF!,IF('INHERENT MAP'!$B$5=2024,#REF!,#REF!))))</f>
        <v>0</v>
      </c>
      <c r="J316">
        <f>IF('INHERENT MAP'!$B$5=2021,'РЕЕСТР РИСКОВ_2023'!N356,IF('INHERENT MAP'!$B$5=2022,#REF!,IF('INHERENT MAP'!$B$5=2023,#REF!,IF('INHERENT MAP'!$B$5=2024,#REF!,#REF!))))</f>
        <v>0</v>
      </c>
      <c r="K316">
        <f>IF('INHERENT MAP'!$B$5=2021,'РЕЕСТР РИСКОВ_2023'!O356,IF('INHERENT MAP'!$B$5=2022,#REF!,IF('INHERENT MAP'!$B$5=2023,#REF!,IF('INHERENT MAP'!$B$5=2024,#REF!,#REF!))))</f>
        <v>0</v>
      </c>
      <c r="L316">
        <f>IF('INHERENT MAP'!$B$5=2021,'РЕЕСТР РИСКОВ_2023'!P356,IF('INHERENT MAP'!$B$5=2022,#REF!,IF('INHERENT MAP'!$B$5=2023,#REF!,IF('INHERENT MAP'!$B$5=2024,#REF!,#REF!))))</f>
        <v>0</v>
      </c>
      <c r="M316" t="str">
        <f>IF('INHERENT MAP'!$B$5=2021,IF('РЕЕСТР РИСКОВ_2023'!Q356="",M315,'РЕЕСТР РИСКОВ_2023'!Q356),IF('INHERENT MAP'!$B$5=2022,IF(#REF!="",M315,#REF!),IF('INHERENT MAP'!$B$5=2023,IF(#REF!="",M315,#REF!),IF('INHERENT MAP'!$B$5=2024,IF(#REF!="",M315,#REF!),IF('РЕЕСТР РИСКОВ_2023'!Q356="",M315,'РЕЕСТР РИСКОВ_2023'!Q356)))))</f>
        <v>Увеличение базовой ставки Национального банка Республики Казахстан до 16%</v>
      </c>
      <c r="N316" t="str">
        <f>IF('INHERENT MAP'!$B$5=2021,IF('РЕЕСТР РИСКОВ_2023'!R356="",N315,'РЕЕСТР РИСКОВ_2023'!R356),IF('INHERENT MAP'!$B$5=2022,IF(#REF!="",N315,#REF!),IF('INHERENT MAP'!$B$5=2023,IF(#REF!="",N315,#REF!),IF('INHERENT MAP'!$B$5=2024,IF(#REF!="",N315,#REF!),IF('РЕЕСТР РИСКОВ_2023'!R356="",N315,'РЕЕСТР РИСКОВ_2023'!R356)))))</f>
        <v>Рецессия экономики европейских стран</v>
      </c>
      <c r="O316">
        <f>'РЕЕСТР РИСКОВ_2023'!T356</f>
        <v>0</v>
      </c>
      <c r="P316" t="e">
        <f>IF('РЕЕСТР РИСКОВ_2023'!U356="",P315,'РЕЕСТР РИСКОВ_2023'!U356)</f>
        <v>#REF!</v>
      </c>
      <c r="Q316" t="str">
        <f>IF('РЕЕСТР РИСКОВ_2023'!V356="",Q315,'РЕЕСТР РИСКОВ_2023'!V356)</f>
        <v>Угрозы</v>
      </c>
      <c r="R316" t="e">
        <f>IF('РЕЕСТР РИСКОВ_2023'!W356="",R315,'РЕЕСТР РИСКОВ_2023'!W356)</f>
        <v>#REF!</v>
      </c>
      <c r="S316">
        <f>'РЕЕСТР РИСКОВ_2023'!X356</f>
        <v>0</v>
      </c>
      <c r="T316" s="94">
        <f>IF('INHERENT MAP'!$B$5=2021,'РЕЕСТР РИСКОВ_2023'!Y356,IF('INHERENT MAP'!$B$5=2022,#REF!,IF('INHERENT MAP'!$B$5=2023,#REF!,IF('INHERENT MAP'!$B$5=2024,#REF!,#REF!))))</f>
        <v>0</v>
      </c>
      <c r="U316">
        <f>IF('INHERENT MAP'!$B$5=2021,'РЕЕСТР РИСКОВ_2023'!Z356,IF('INHERENT MAP'!$B$5=2022,#REF!,IF('INHERENT MAP'!$B$5=2023,#REF!,IF('INHERENT MAP'!$B$5=2024,#REF!,#REF!))))</f>
        <v>0</v>
      </c>
      <c r="V316">
        <f>IF('INHERENT MAP'!$B$5=2021,'РЕЕСТР РИСКОВ_2023'!AA356,IF('INHERENT MAP'!$B$5=2022,#REF!,IF('INHERENT MAP'!$B$5=2023,#REF!,IF('INHERENT MAP'!$B$5=2024,#REF!,#REF!))))</f>
        <v>0</v>
      </c>
      <c r="W316">
        <f>IF('INHERENT MAP'!$B$5=2021,'РЕЕСТР РИСКОВ_2023'!AB356,IF('INHERENT MAP'!$B$5=2022,#REF!,IF('INHERENT MAP'!$B$5=2023,#REF!,IF('INHERENT MAP'!$B$5=2024,#REF!,#REF!))))</f>
        <v>0</v>
      </c>
      <c r="X316" s="94">
        <f>IF('INHERENT MAP'!$B$5=2021,'РЕЕСТР РИСКОВ_2023'!AC356,IF('INHERENT MAP'!$B$5=2022,#REF!,IF('INHERENT MAP'!$B$5=2023,#REF!,IF('INHERENT MAP'!$B$5=2024,#REF!,#REF!))))</f>
        <v>0</v>
      </c>
      <c r="Y316">
        <f>IF('INHERENT MAP'!$B$5=2021,'РЕЕСТР РИСКОВ_2023'!AD356,IF('INHERENT MAP'!$B$5=2022,#REF!,IF('INHERENT MAP'!$B$5=2023,#REF!,IF('INHERENT MAP'!$B$5=2024,#REF!,#REF!))))</f>
        <v>0</v>
      </c>
      <c r="Z316">
        <f>IF('INHERENT MAP'!$B$5=2021,'РЕЕСТР РИСКОВ_2023'!AE356,IF('INHERENT MAP'!$B$5=2022,#REF!,IF('INHERENT MAP'!$B$5=2023,#REF!,IF('INHERENT MAP'!$B$5=2024,#REF!,#REF!))))</f>
        <v>0</v>
      </c>
      <c r="AA316">
        <f>IF('INHERENT MAP'!$B$5=2021,'РЕЕСТР РИСКОВ_2023'!AF356,IF('INHERENT MAP'!$B$5=2022,#REF!,IF('INHERENT MAP'!$B$5=2023,#REF!,IF('INHERENT MAP'!$B$5=2024,#REF!,#REF!))))</f>
        <v>0</v>
      </c>
      <c r="AB316">
        <f>IF('INHERENT MAP'!$B$5=2021,'РЕЕСТР РИСКОВ_2023'!AG356,IF('INHERENT MAP'!$B$5=2022,#REF!,IF('INHERENT MAP'!$B$5=2023,#REF!,IF('INHERENT MAP'!$B$5=2024,#REF!,#REF!))))</f>
        <v>0</v>
      </c>
      <c r="AC316">
        <f>IF('INHERENT MAP'!$B$5=2021,'РЕЕСТР РИСКОВ_2023'!AH356,IF('INHERENT MAP'!$B$5=2022,#REF!,IF('INHERENT MAP'!$B$5=2023,#REF!,IF('INHERENT MAP'!$B$5=2024,#REF!,#REF!))))</f>
        <v>0</v>
      </c>
      <c r="AD316">
        <f>IF('INHERENT MAP'!$B$5=2021,'РЕЕСТР РИСКОВ_2023'!AI356,IF('INHERENT MAP'!$B$5=2022,#REF!,IF('INHERENT MAP'!$B$5=2023,#REF!,IF('INHERENT MAP'!$B$5=2024,#REF!,#REF!))))</f>
        <v>0</v>
      </c>
      <c r="AE316">
        <f>IF('INHERENT MAP'!$B$5=2021,'РЕЕСТР РИСКОВ_2023'!AK356,IF('INHERENT MAP'!$B$5=2022,#REF!,IF('INHERENT MAP'!$B$5=2023,#REF!,IF('INHERENT MAP'!$B$5=2024,#REF!,#REF!))))</f>
        <v>0</v>
      </c>
      <c r="AF316">
        <f>IF('INHERENT MAP'!$B$5=2021,'РЕЕСТР РИСКОВ_2023'!AL356,IF('INHERENT MAP'!$B$5=2022,#REF!,IF('INHERENT MAP'!$B$5=2023,#REF!,IF('INHERENT MAP'!$B$5=2024,#REF!,#REF!))))</f>
        <v>0</v>
      </c>
      <c r="AG316">
        <f>IF('INHERENT MAP'!$B$5=2021,'РЕЕСТР РИСКОВ_2023'!AM356,IF('INHERENT MAP'!$B$5=2022,#REF!,IF('INHERENT MAP'!$B$5=2023,#REF!,IF('INHERENT MAP'!$B$5=2024,#REF!,#REF!))))</f>
        <v>0</v>
      </c>
      <c r="AH316">
        <f>IF('INHERENT MAP'!$B$5=2021,'РЕЕСТР РИСКОВ_2023'!AN356,IF('INHERENT MAP'!$B$5=2022,#REF!,IF('INHERENT MAP'!$B$5=2023,#REF!,IF('INHERENT MAP'!$B$5=2024,#REF!,#REF!))))</f>
        <v>0</v>
      </c>
      <c r="AI316">
        <f>IF('INHERENT MAP'!$B$5=2021,'РЕЕСТР РИСКОВ_2023'!AO356,IF('INHERENT MAP'!$B$5=2022,#REF!,IF('INHERENT MAP'!$B$5=2023,#REF!,IF('INHERENT MAP'!$B$5=2024,#REF!,#REF!))))</f>
        <v>0</v>
      </c>
      <c r="AJ316">
        <f>IF('INHERENT MAP'!$B$5=2021,'РЕЕСТР РИСКОВ_2023'!AP356,IF('INHERENT MAP'!$B$5=2022,#REF!,IF('INHERENT MAP'!$B$5=2023,#REF!,IF('INHERENT MAP'!$B$5=2024,#REF!,#REF!))))</f>
        <v>0</v>
      </c>
      <c r="AK316">
        <f>IF('РЕЕСТР РИСКОВ_2023'!AQ356="",AK315,'РЕЕСТР РИСКОВ_2023'!AQ356)</f>
        <v>-216</v>
      </c>
      <c r="AL316">
        <f>IF('РЕЕСТР РИСКОВ_2023'!AR356="",AL315,'РЕЕСТР РИСКОВ_2023'!AR356)</f>
        <v>0.12</v>
      </c>
      <c r="AM316" t="str">
        <f>IF('РЕЕСТР РИСКОВ_2023'!AS356="",AM315,'РЕЕСТР РИСКОВ_2023'!AS356)</f>
        <v>стоп</v>
      </c>
      <c r="AN316" t="str">
        <f>IF('РЕЕСТР РИСКОВ_2023'!AT356="",AN315,'РЕЕСТР РИСКОВ_2023'!AT356)</f>
        <v>стоп</v>
      </c>
      <c r="AO316" t="e">
        <f>IF('РЕЕСТР РИСКОВ_2023'!AU356="",AO315,'РЕЕСТР РИСКОВ_2023'!AU356)</f>
        <v>#REF!</v>
      </c>
    </row>
    <row r="317" spans="2:41">
      <c r="B317" t="str">
        <f>IF('INHERENT MAP'!$B$5=2021,IF('РЕЕСТР РИСКОВ_2023'!F357="",B316,'РЕЕСТР РИСКОВ_2023'!F357),IF('INHERENT MAP'!$B$5=2022,IF(#REF!="",B316,#REF!),IF('INHERENT MAP'!$B$5=2023,IF(#REF!="",B316,#REF!),IF('INHERENT MAP'!$B$5=2024,IF(#REF!="",B316,#REF!),IF('РЕЕСТР РИСКОВ_2023'!F357="",B316,'РЕЕСТР РИСКОВ_2023'!F357)))))</f>
        <v>ПРОЦЕНТНЫЙ РИСК</v>
      </c>
      <c r="C317" t="e">
        <f>IF('INHERENT MAP'!$B$5=2021,IF('РЕЕСТР РИСКОВ_2023'!G357="",C316,'РЕЕСТР РИСКОВ_2023'!G357),IF('INHERENT MAP'!$B$5=2022,IF(#REF!="",C316,#REF!),IF('INHERENT MAP'!$B$5=2023,IF(#REF!="",C316,#REF!),IF('INHERENT MAP'!$B$5=2024,IF(#REF!="",C316,#REF!),IF('РЕЕСТР РИСКОВ_2023'!G357="",C316,'РЕЕСТР РИСКОВ_2023'!G357)))))</f>
        <v>#REF!</v>
      </c>
      <c r="D317" t="str">
        <f>IF('INHERENT MAP'!$B$5=2021,IF('РЕЕСТР РИСКОВ_2023'!H357="",D316,'РЕЕСТР РИСКОВ_2023'!H357),IF('INHERENT MAP'!$B$5=2022,IF(#REF!="",D316,#REF!),IF('INHERENT MAP'!$B$5=2023,IF(#REF!="",D316,#REF!),IF('INHERENT MAP'!$B$5=2024,IF(#REF!="",D316,#REF!),IF('РЕЕСТР РИСКОВ_2023'!H357="",D316,'РЕЕСТР РИСКОВ_2023'!H357)))))</f>
        <v>IRR-1</v>
      </c>
      <c r="E317" t="str">
        <f>IF('INHERENT MAP'!$B$5=2021,IF('РЕЕСТР РИСКОВ_2023'!I357="",E316,'РЕЕСТР РИСКОВ_2023'!I357),IF('INHERENT MAP'!$B$5=2022,IF(#REF!="",E316,#REF!),IF('INHERENT MAP'!$B$5=2023,IF(#REF!="",E316,#REF!),IF('INHERENT MAP'!$B$5=2024,IF(#REF!="",E316,#REF!),IF('РЕЕСТР РИСКОВ_2023'!I357="",E316,'РЕЕСТР РИСКОВ_2023'!I357)))))</f>
        <v>ЦЗФ</v>
      </c>
      <c r="F317" t="str">
        <f>IF('INHERENT MAP'!$B$5=2021,IF('РЕЕСТР РИСКОВ_2023'!J357="",F316,'РЕЕСТР РИСКОВ_2023'!J357),IF('INHERENT MAP'!$B$5=2022,IF(#REF!="",F316,#REF!),IF('INHERENT MAP'!$B$5=2023,IF(#REF!="",F316,#REF!),IF('INHERENT MAP'!$B$5=2024,IF(#REF!="",F316,#REF!),IF('РЕЕСТР РИСКОВ_2023'!J357="",F316,'РЕЕСТР РИСКОВ_2023'!J357)))))</f>
        <v>Цзайм</v>
      </c>
      <c r="G317" t="str">
        <f>IF('INHERENT MAP'!$B$5=2021,IF('РЕЕСТР РИСКОВ_2023'!K357="",G316,'РЕЕСТР РИСКОВ_2023'!K357),IF('INHERENT MAP'!$B$5=2022,IF(#REF!="",G316,#REF!),IF('INHERENT MAP'!$B$5=2023,IF(#REF!="",G316,#REF!),IF('INHERENT MAP'!$B$5=2024,IF(#REF!="",G316,#REF!),IF('РЕЕСТР РИСКОВ_2023'!K357="",G316,'РЕЕСТР РИСКОВ_2023'!K357)))))</f>
        <v>Увеличение расходов по процентам на новые займы, а также текущие займы (с плавающей ставкой) в тенге.</v>
      </c>
      <c r="H317">
        <f>IF('INHERENT MAP'!$B$5=2021,'РЕЕСТР РИСКОВ_2023'!L357,IF('INHERENT MAP'!$B$5=2022,#REF!,IF('INHERENT MAP'!$B$5=2023,#REF!,IF('INHERENT MAP'!$B$5=2024,#REF!,#REF!))))</f>
        <v>0</v>
      </c>
      <c r="I317">
        <f>IF('INHERENT MAP'!$B$5=2021,'РЕЕСТР РИСКОВ_2023'!M357,IF('INHERENT MAP'!$B$5=2022,#REF!,IF('INHERENT MAP'!$B$5=2023,#REF!,IF('INHERENT MAP'!$B$5=2024,#REF!,#REF!))))</f>
        <v>0</v>
      </c>
      <c r="J317">
        <f>IF('INHERENT MAP'!$B$5=2021,'РЕЕСТР РИСКОВ_2023'!N357,IF('INHERENT MAP'!$B$5=2022,#REF!,IF('INHERENT MAP'!$B$5=2023,#REF!,IF('INHERENT MAP'!$B$5=2024,#REF!,#REF!))))</f>
        <v>0</v>
      </c>
      <c r="K317">
        <f>IF('INHERENT MAP'!$B$5=2021,'РЕЕСТР РИСКОВ_2023'!O357,IF('INHERENT MAP'!$B$5=2022,#REF!,IF('INHERENT MAP'!$B$5=2023,#REF!,IF('INHERENT MAP'!$B$5=2024,#REF!,#REF!))))</f>
        <v>0</v>
      </c>
      <c r="L317">
        <f>IF('INHERENT MAP'!$B$5=2021,'РЕЕСТР РИСКОВ_2023'!P357,IF('INHERENT MAP'!$B$5=2022,#REF!,IF('INHERENT MAP'!$B$5=2023,#REF!,IF('INHERENT MAP'!$B$5=2024,#REF!,#REF!))))</f>
        <v>0</v>
      </c>
      <c r="M317" t="str">
        <f>IF('INHERENT MAP'!$B$5=2021,IF('РЕЕСТР РИСКОВ_2023'!Q357="",M316,'РЕЕСТР РИСКОВ_2023'!Q357),IF('INHERENT MAP'!$B$5=2022,IF(#REF!="",M316,#REF!),IF('INHERENT MAP'!$B$5=2023,IF(#REF!="",M316,#REF!),IF('INHERENT MAP'!$B$5=2024,IF(#REF!="",M316,#REF!),IF('РЕЕСТР РИСКОВ_2023'!Q357="",M316,'РЕЕСТР РИСКОВ_2023'!Q357)))))</f>
        <v>Увеличение базовой ставки Национального банка Республики Казахстан до 16%</v>
      </c>
      <c r="N317" t="str">
        <f>IF('INHERENT MAP'!$B$5=2021,IF('РЕЕСТР РИСКОВ_2023'!R357="",N316,'РЕЕСТР РИСКОВ_2023'!R357),IF('INHERENT MAP'!$B$5=2022,IF(#REF!="",N316,#REF!),IF('INHERENT MAP'!$B$5=2023,IF(#REF!="",N316,#REF!),IF('INHERENT MAP'!$B$5=2024,IF(#REF!="",N316,#REF!),IF('РЕЕСТР РИСКОВ_2023'!R357="",N316,'РЕЕСТР РИСКОВ_2023'!R357)))))</f>
        <v>Рецессия экономики европейских стран</v>
      </c>
      <c r="O317">
        <f>'РЕЕСТР РИСКОВ_2023'!T357</f>
        <v>0</v>
      </c>
      <c r="P317" t="e">
        <f>IF('РЕЕСТР РИСКОВ_2023'!U357="",P316,'РЕЕСТР РИСКОВ_2023'!U357)</f>
        <v>#REF!</v>
      </c>
      <c r="Q317" t="str">
        <f>IF('РЕЕСТР РИСКОВ_2023'!V357="",Q316,'РЕЕСТР РИСКОВ_2023'!V357)</f>
        <v>Угрозы</v>
      </c>
      <c r="R317" t="e">
        <f>IF('РЕЕСТР РИСКОВ_2023'!W357="",R316,'РЕЕСТР РИСКОВ_2023'!W357)</f>
        <v>#REF!</v>
      </c>
      <c r="S317">
        <f>'РЕЕСТР РИСКОВ_2023'!X357</f>
        <v>0</v>
      </c>
      <c r="T317" s="94">
        <f>IF('INHERENT MAP'!$B$5=2021,'РЕЕСТР РИСКОВ_2023'!Y357,IF('INHERENT MAP'!$B$5=2022,#REF!,IF('INHERENT MAP'!$B$5=2023,#REF!,IF('INHERENT MAP'!$B$5=2024,#REF!,#REF!))))</f>
        <v>0</v>
      </c>
      <c r="U317">
        <f>IF('INHERENT MAP'!$B$5=2021,'РЕЕСТР РИСКОВ_2023'!Z357,IF('INHERENT MAP'!$B$5=2022,#REF!,IF('INHERENT MAP'!$B$5=2023,#REF!,IF('INHERENT MAP'!$B$5=2024,#REF!,#REF!))))</f>
        <v>0</v>
      </c>
      <c r="V317">
        <f>IF('INHERENT MAP'!$B$5=2021,'РЕЕСТР РИСКОВ_2023'!AA357,IF('INHERENT MAP'!$B$5=2022,#REF!,IF('INHERENT MAP'!$B$5=2023,#REF!,IF('INHERENT MAP'!$B$5=2024,#REF!,#REF!))))</f>
        <v>0</v>
      </c>
      <c r="W317">
        <f>IF('INHERENT MAP'!$B$5=2021,'РЕЕСТР РИСКОВ_2023'!AB357,IF('INHERENT MAP'!$B$5=2022,#REF!,IF('INHERENT MAP'!$B$5=2023,#REF!,IF('INHERENT MAP'!$B$5=2024,#REF!,#REF!))))</f>
        <v>0</v>
      </c>
      <c r="X317" s="94">
        <f>IF('INHERENT MAP'!$B$5=2021,'РЕЕСТР РИСКОВ_2023'!AC357,IF('INHERENT MAP'!$B$5=2022,#REF!,IF('INHERENT MAP'!$B$5=2023,#REF!,IF('INHERENT MAP'!$B$5=2024,#REF!,#REF!))))</f>
        <v>0</v>
      </c>
      <c r="Y317">
        <f>IF('INHERENT MAP'!$B$5=2021,'РЕЕСТР РИСКОВ_2023'!AD357,IF('INHERENT MAP'!$B$5=2022,#REF!,IF('INHERENT MAP'!$B$5=2023,#REF!,IF('INHERENT MAP'!$B$5=2024,#REF!,#REF!))))</f>
        <v>0</v>
      </c>
      <c r="Z317">
        <f>IF('INHERENT MAP'!$B$5=2021,'РЕЕСТР РИСКОВ_2023'!AE357,IF('INHERENT MAP'!$B$5=2022,#REF!,IF('INHERENT MAP'!$B$5=2023,#REF!,IF('INHERENT MAP'!$B$5=2024,#REF!,#REF!))))</f>
        <v>0</v>
      </c>
      <c r="AA317">
        <f>IF('INHERENT MAP'!$B$5=2021,'РЕЕСТР РИСКОВ_2023'!AF357,IF('INHERENT MAP'!$B$5=2022,#REF!,IF('INHERENT MAP'!$B$5=2023,#REF!,IF('INHERENT MAP'!$B$5=2024,#REF!,#REF!))))</f>
        <v>0</v>
      </c>
      <c r="AB317">
        <f>IF('INHERENT MAP'!$B$5=2021,'РЕЕСТР РИСКОВ_2023'!AG357,IF('INHERENT MAP'!$B$5=2022,#REF!,IF('INHERENT MAP'!$B$5=2023,#REF!,IF('INHERENT MAP'!$B$5=2024,#REF!,#REF!))))</f>
        <v>0</v>
      </c>
      <c r="AC317">
        <f>IF('INHERENT MAP'!$B$5=2021,'РЕЕСТР РИСКОВ_2023'!AH357,IF('INHERENT MAP'!$B$5=2022,#REF!,IF('INHERENT MAP'!$B$5=2023,#REF!,IF('INHERENT MAP'!$B$5=2024,#REF!,#REF!))))</f>
        <v>0</v>
      </c>
      <c r="AD317">
        <f>IF('INHERENT MAP'!$B$5=2021,'РЕЕСТР РИСКОВ_2023'!AI357,IF('INHERENT MAP'!$B$5=2022,#REF!,IF('INHERENT MAP'!$B$5=2023,#REF!,IF('INHERENT MAP'!$B$5=2024,#REF!,#REF!))))</f>
        <v>0</v>
      </c>
      <c r="AE317">
        <f>IF('INHERENT MAP'!$B$5=2021,'РЕЕСТР РИСКОВ_2023'!AK357,IF('INHERENT MAP'!$B$5=2022,#REF!,IF('INHERENT MAP'!$B$5=2023,#REF!,IF('INHERENT MAP'!$B$5=2024,#REF!,#REF!))))</f>
        <v>0</v>
      </c>
      <c r="AF317">
        <f>IF('INHERENT MAP'!$B$5=2021,'РЕЕСТР РИСКОВ_2023'!AL357,IF('INHERENT MAP'!$B$5=2022,#REF!,IF('INHERENT MAP'!$B$5=2023,#REF!,IF('INHERENT MAP'!$B$5=2024,#REF!,#REF!))))</f>
        <v>0</v>
      </c>
      <c r="AG317">
        <f>IF('INHERENT MAP'!$B$5=2021,'РЕЕСТР РИСКОВ_2023'!AM357,IF('INHERENT MAP'!$B$5=2022,#REF!,IF('INHERENT MAP'!$B$5=2023,#REF!,IF('INHERENT MAP'!$B$5=2024,#REF!,#REF!))))</f>
        <v>0</v>
      </c>
      <c r="AH317">
        <f>IF('INHERENT MAP'!$B$5=2021,'РЕЕСТР РИСКОВ_2023'!AN357,IF('INHERENT MAP'!$B$5=2022,#REF!,IF('INHERENT MAP'!$B$5=2023,#REF!,IF('INHERENT MAP'!$B$5=2024,#REF!,#REF!))))</f>
        <v>0</v>
      </c>
      <c r="AI317">
        <f>IF('INHERENT MAP'!$B$5=2021,'РЕЕСТР РИСКОВ_2023'!AO357,IF('INHERENT MAP'!$B$5=2022,#REF!,IF('INHERENT MAP'!$B$5=2023,#REF!,IF('INHERENT MAP'!$B$5=2024,#REF!,#REF!))))</f>
        <v>0</v>
      </c>
      <c r="AJ317">
        <f>IF('INHERENT MAP'!$B$5=2021,'РЕЕСТР РИСКОВ_2023'!AP357,IF('INHERENT MAP'!$B$5=2022,#REF!,IF('INHERENT MAP'!$B$5=2023,#REF!,IF('INHERENT MAP'!$B$5=2024,#REF!,#REF!))))</f>
        <v>0</v>
      </c>
      <c r="AK317">
        <f>IF('РЕЕСТР РИСКОВ_2023'!AQ357="",AK316,'РЕЕСТР РИСКОВ_2023'!AQ357)</f>
        <v>-216</v>
      </c>
      <c r="AL317">
        <f>IF('РЕЕСТР РИСКОВ_2023'!AR357="",AL316,'РЕЕСТР РИСКОВ_2023'!AR357)</f>
        <v>0.12</v>
      </c>
      <c r="AM317" t="str">
        <f>IF('РЕЕСТР РИСКОВ_2023'!AS357="",AM316,'РЕЕСТР РИСКОВ_2023'!AS357)</f>
        <v>стоп</v>
      </c>
      <c r="AN317" t="str">
        <f>IF('РЕЕСТР РИСКОВ_2023'!AT357="",AN316,'РЕЕСТР РИСКОВ_2023'!AT357)</f>
        <v>стоп</v>
      </c>
      <c r="AO317" t="e">
        <f>IF('РЕЕСТР РИСКОВ_2023'!AU357="",AO316,'РЕЕСТР РИСКОВ_2023'!AU357)</f>
        <v>#REF!</v>
      </c>
    </row>
    <row r="318" spans="2:41">
      <c r="B318" t="str">
        <f>IF('INHERENT MAP'!$B$5=2021,IF('РЕЕСТР РИСКОВ_2023'!F358="",B317,'РЕЕСТР РИСКОВ_2023'!F358),IF('INHERENT MAP'!$B$5=2022,IF(#REF!="",B317,#REF!),IF('INHERENT MAP'!$B$5=2023,IF(#REF!="",B317,#REF!),IF('INHERENT MAP'!$B$5=2024,IF(#REF!="",B317,#REF!),IF('РЕЕСТР РИСКОВ_2023'!F358="",B317,'РЕЕСТР РИСКОВ_2023'!F358)))))</f>
        <v>ПРОЦЕНТНЫЙ РИСК</v>
      </c>
      <c r="C318" t="e">
        <f>IF('INHERENT MAP'!$B$5=2021,IF('РЕЕСТР РИСКОВ_2023'!G358="",C317,'РЕЕСТР РИСКОВ_2023'!G358),IF('INHERENT MAP'!$B$5=2022,IF(#REF!="",C317,#REF!),IF('INHERENT MAP'!$B$5=2023,IF(#REF!="",C317,#REF!),IF('INHERENT MAP'!$B$5=2024,IF(#REF!="",C317,#REF!),IF('РЕЕСТР РИСКОВ_2023'!G358="",C317,'РЕЕСТР РИСКОВ_2023'!G358)))))</f>
        <v>#REF!</v>
      </c>
      <c r="D318" t="str">
        <f>IF('INHERENT MAP'!$B$5=2021,IF('РЕЕСТР РИСКОВ_2023'!H358="",D317,'РЕЕСТР РИСКОВ_2023'!H358),IF('INHERENT MAP'!$B$5=2022,IF(#REF!="",D317,#REF!),IF('INHERENT MAP'!$B$5=2023,IF(#REF!="",D317,#REF!),IF('INHERENT MAP'!$B$5=2024,IF(#REF!="",D317,#REF!),IF('РЕЕСТР РИСКОВ_2023'!H358="",D317,'РЕЕСТР РИСКОВ_2023'!H358)))))</f>
        <v>IRR-1</v>
      </c>
      <c r="E318" t="str">
        <f>IF('INHERENT MAP'!$B$5=2021,IF('РЕЕСТР РИСКОВ_2023'!I358="",E317,'РЕЕСТР РИСКОВ_2023'!I358),IF('INHERENT MAP'!$B$5=2022,IF(#REF!="",E317,#REF!),IF('INHERENT MAP'!$B$5=2023,IF(#REF!="",E317,#REF!),IF('INHERENT MAP'!$B$5=2024,IF(#REF!="",E317,#REF!),IF('РЕЕСТР РИСКОВ_2023'!I358="",E317,'РЕЕСТР РИСКОВ_2023'!I358)))))</f>
        <v>ЦЗФ</v>
      </c>
      <c r="F318" t="str">
        <f>IF('INHERENT MAP'!$B$5=2021,IF('РЕЕСТР РИСКОВ_2023'!J358="",F317,'РЕЕСТР РИСКОВ_2023'!J358),IF('INHERENT MAP'!$B$5=2022,IF(#REF!="",F317,#REF!),IF('INHERENT MAP'!$B$5=2023,IF(#REF!="",F317,#REF!),IF('INHERENT MAP'!$B$5=2024,IF(#REF!="",F317,#REF!),IF('РЕЕСТР РИСКОВ_2023'!J358="",F317,'РЕЕСТР РИСКОВ_2023'!J358)))))</f>
        <v>Цзайм</v>
      </c>
      <c r="G318" t="str">
        <f>IF('INHERENT MAP'!$B$5=2021,IF('РЕЕСТР РИСКОВ_2023'!K358="",G317,'РЕЕСТР РИСКОВ_2023'!K358),IF('INHERENT MAP'!$B$5=2022,IF(#REF!="",G317,#REF!),IF('INHERENT MAP'!$B$5=2023,IF(#REF!="",G317,#REF!),IF('INHERENT MAP'!$B$5=2024,IF(#REF!="",G317,#REF!),IF('РЕЕСТР РИСКОВ_2023'!K358="",G317,'РЕЕСТР РИСКОВ_2023'!K358)))))</f>
        <v>Увеличение расходов по процентам на новые займы, а также текущие займы (с плавающей ставкой) в тенге.</v>
      </c>
      <c r="H318">
        <f>IF('INHERENT MAP'!$B$5=2021,'РЕЕСТР РИСКОВ_2023'!L358,IF('INHERENT MAP'!$B$5=2022,#REF!,IF('INHERENT MAP'!$B$5=2023,#REF!,IF('INHERENT MAP'!$B$5=2024,#REF!,#REF!))))</f>
        <v>0</v>
      </c>
      <c r="I318">
        <f>IF('INHERENT MAP'!$B$5=2021,'РЕЕСТР РИСКОВ_2023'!M358,IF('INHERENT MAP'!$B$5=2022,#REF!,IF('INHERENT MAP'!$B$5=2023,#REF!,IF('INHERENT MAP'!$B$5=2024,#REF!,#REF!))))</f>
        <v>0</v>
      </c>
      <c r="J318">
        <f>IF('INHERENT MAP'!$B$5=2021,'РЕЕСТР РИСКОВ_2023'!N358,IF('INHERENT MAP'!$B$5=2022,#REF!,IF('INHERENT MAP'!$B$5=2023,#REF!,IF('INHERENT MAP'!$B$5=2024,#REF!,#REF!))))</f>
        <v>0</v>
      </c>
      <c r="K318">
        <f>IF('INHERENT MAP'!$B$5=2021,'РЕЕСТР РИСКОВ_2023'!O358,IF('INHERENT MAP'!$B$5=2022,#REF!,IF('INHERENT MAP'!$B$5=2023,#REF!,IF('INHERENT MAP'!$B$5=2024,#REF!,#REF!))))</f>
        <v>0</v>
      </c>
      <c r="L318">
        <f>IF('INHERENT MAP'!$B$5=2021,'РЕЕСТР РИСКОВ_2023'!P358,IF('INHERENT MAP'!$B$5=2022,#REF!,IF('INHERENT MAP'!$B$5=2023,#REF!,IF('INHERENT MAP'!$B$5=2024,#REF!,#REF!))))</f>
        <v>0</v>
      </c>
      <c r="M318" t="str">
        <f>IF('INHERENT MAP'!$B$5=2021,IF('РЕЕСТР РИСКОВ_2023'!Q358="",M317,'РЕЕСТР РИСКОВ_2023'!Q358),IF('INHERENT MAP'!$B$5=2022,IF(#REF!="",M317,#REF!),IF('INHERENT MAP'!$B$5=2023,IF(#REF!="",M317,#REF!),IF('INHERENT MAP'!$B$5=2024,IF(#REF!="",M317,#REF!),IF('РЕЕСТР РИСКОВ_2023'!Q358="",M317,'РЕЕСТР РИСКОВ_2023'!Q358)))))</f>
        <v>Увеличение базовой ставки Национального банка Республики Казахстан до 16%</v>
      </c>
      <c r="N318" t="str">
        <f>IF('INHERENT MAP'!$B$5=2021,IF('РЕЕСТР РИСКОВ_2023'!R358="",N317,'РЕЕСТР РИСКОВ_2023'!R358),IF('INHERENT MAP'!$B$5=2022,IF(#REF!="",N317,#REF!),IF('INHERENT MAP'!$B$5=2023,IF(#REF!="",N317,#REF!),IF('INHERENT MAP'!$B$5=2024,IF(#REF!="",N317,#REF!),IF('РЕЕСТР РИСКОВ_2023'!R358="",N317,'РЕЕСТР РИСКОВ_2023'!R358)))))</f>
        <v>Рецессия экономики европейских стран</v>
      </c>
      <c r="O318">
        <f>'РЕЕСТР РИСКОВ_2023'!T358</f>
        <v>0</v>
      </c>
      <c r="P318" t="e">
        <f>IF('РЕЕСТР РИСКОВ_2023'!U358="",P317,'РЕЕСТР РИСКОВ_2023'!U358)</f>
        <v>#REF!</v>
      </c>
      <c r="Q318" t="str">
        <f>IF('РЕЕСТР РИСКОВ_2023'!V358="",Q317,'РЕЕСТР РИСКОВ_2023'!V358)</f>
        <v>Угрозы</v>
      </c>
      <c r="R318" t="e">
        <f>IF('РЕЕСТР РИСКОВ_2023'!W358="",R317,'РЕЕСТР РИСКОВ_2023'!W358)</f>
        <v>#REF!</v>
      </c>
      <c r="S318">
        <f>'РЕЕСТР РИСКОВ_2023'!X358</f>
        <v>0</v>
      </c>
      <c r="T318" s="94">
        <f>IF('INHERENT MAP'!$B$5=2021,'РЕЕСТР РИСКОВ_2023'!Y358,IF('INHERENT MAP'!$B$5=2022,#REF!,IF('INHERENT MAP'!$B$5=2023,#REF!,IF('INHERENT MAP'!$B$5=2024,#REF!,#REF!))))</f>
        <v>0</v>
      </c>
      <c r="U318">
        <f>IF('INHERENT MAP'!$B$5=2021,'РЕЕСТР РИСКОВ_2023'!Z358,IF('INHERENT MAP'!$B$5=2022,#REF!,IF('INHERENT MAP'!$B$5=2023,#REF!,IF('INHERENT MAP'!$B$5=2024,#REF!,#REF!))))</f>
        <v>0</v>
      </c>
      <c r="V318">
        <f>IF('INHERENT MAP'!$B$5=2021,'РЕЕСТР РИСКОВ_2023'!AA358,IF('INHERENT MAP'!$B$5=2022,#REF!,IF('INHERENT MAP'!$B$5=2023,#REF!,IF('INHERENT MAP'!$B$5=2024,#REF!,#REF!))))</f>
        <v>0</v>
      </c>
      <c r="W318">
        <f>IF('INHERENT MAP'!$B$5=2021,'РЕЕСТР РИСКОВ_2023'!AB358,IF('INHERENT MAP'!$B$5=2022,#REF!,IF('INHERENT MAP'!$B$5=2023,#REF!,IF('INHERENT MAP'!$B$5=2024,#REF!,#REF!))))</f>
        <v>0</v>
      </c>
      <c r="X318" s="94">
        <f>IF('INHERENT MAP'!$B$5=2021,'РЕЕСТР РИСКОВ_2023'!AC358,IF('INHERENT MAP'!$B$5=2022,#REF!,IF('INHERENT MAP'!$B$5=2023,#REF!,IF('INHERENT MAP'!$B$5=2024,#REF!,#REF!))))</f>
        <v>0</v>
      </c>
      <c r="Y318">
        <f>IF('INHERENT MAP'!$B$5=2021,'РЕЕСТР РИСКОВ_2023'!AD358,IF('INHERENT MAP'!$B$5=2022,#REF!,IF('INHERENT MAP'!$B$5=2023,#REF!,IF('INHERENT MAP'!$B$5=2024,#REF!,#REF!))))</f>
        <v>0</v>
      </c>
      <c r="Z318">
        <f>IF('INHERENT MAP'!$B$5=2021,'РЕЕСТР РИСКОВ_2023'!AE358,IF('INHERENT MAP'!$B$5=2022,#REF!,IF('INHERENT MAP'!$B$5=2023,#REF!,IF('INHERENT MAP'!$B$5=2024,#REF!,#REF!))))</f>
        <v>0</v>
      </c>
      <c r="AA318">
        <f>IF('INHERENT MAP'!$B$5=2021,'РЕЕСТР РИСКОВ_2023'!AF358,IF('INHERENT MAP'!$B$5=2022,#REF!,IF('INHERENT MAP'!$B$5=2023,#REF!,IF('INHERENT MAP'!$B$5=2024,#REF!,#REF!))))</f>
        <v>0</v>
      </c>
      <c r="AB318">
        <f>IF('INHERENT MAP'!$B$5=2021,'РЕЕСТР РИСКОВ_2023'!AG358,IF('INHERENT MAP'!$B$5=2022,#REF!,IF('INHERENT MAP'!$B$5=2023,#REF!,IF('INHERENT MAP'!$B$5=2024,#REF!,#REF!))))</f>
        <v>0</v>
      </c>
      <c r="AC318">
        <f>IF('INHERENT MAP'!$B$5=2021,'РЕЕСТР РИСКОВ_2023'!AH358,IF('INHERENT MAP'!$B$5=2022,#REF!,IF('INHERENT MAP'!$B$5=2023,#REF!,IF('INHERENT MAP'!$B$5=2024,#REF!,#REF!))))</f>
        <v>0</v>
      </c>
      <c r="AD318">
        <f>IF('INHERENT MAP'!$B$5=2021,'РЕЕСТР РИСКОВ_2023'!AI358,IF('INHERENT MAP'!$B$5=2022,#REF!,IF('INHERENT MAP'!$B$5=2023,#REF!,IF('INHERENT MAP'!$B$5=2024,#REF!,#REF!))))</f>
        <v>0</v>
      </c>
      <c r="AE318">
        <f>IF('INHERENT MAP'!$B$5=2021,'РЕЕСТР РИСКОВ_2023'!AK358,IF('INHERENT MAP'!$B$5=2022,#REF!,IF('INHERENT MAP'!$B$5=2023,#REF!,IF('INHERENT MAP'!$B$5=2024,#REF!,#REF!))))</f>
        <v>0</v>
      </c>
      <c r="AF318">
        <f>IF('INHERENT MAP'!$B$5=2021,'РЕЕСТР РИСКОВ_2023'!AL358,IF('INHERENT MAP'!$B$5=2022,#REF!,IF('INHERENT MAP'!$B$5=2023,#REF!,IF('INHERENT MAP'!$B$5=2024,#REF!,#REF!))))</f>
        <v>0</v>
      </c>
      <c r="AG318">
        <f>IF('INHERENT MAP'!$B$5=2021,'РЕЕСТР РИСКОВ_2023'!AM358,IF('INHERENT MAP'!$B$5=2022,#REF!,IF('INHERENT MAP'!$B$5=2023,#REF!,IF('INHERENT MAP'!$B$5=2024,#REF!,#REF!))))</f>
        <v>0</v>
      </c>
      <c r="AH318">
        <f>IF('INHERENT MAP'!$B$5=2021,'РЕЕСТР РИСКОВ_2023'!AN358,IF('INHERENT MAP'!$B$5=2022,#REF!,IF('INHERENT MAP'!$B$5=2023,#REF!,IF('INHERENT MAP'!$B$5=2024,#REF!,#REF!))))</f>
        <v>0</v>
      </c>
      <c r="AI318">
        <f>IF('INHERENT MAP'!$B$5=2021,'РЕЕСТР РИСКОВ_2023'!AO358,IF('INHERENT MAP'!$B$5=2022,#REF!,IF('INHERENT MAP'!$B$5=2023,#REF!,IF('INHERENT MAP'!$B$5=2024,#REF!,#REF!))))</f>
        <v>0</v>
      </c>
      <c r="AJ318">
        <f>IF('INHERENT MAP'!$B$5=2021,'РЕЕСТР РИСКОВ_2023'!AP358,IF('INHERENT MAP'!$B$5=2022,#REF!,IF('INHERENT MAP'!$B$5=2023,#REF!,IF('INHERENT MAP'!$B$5=2024,#REF!,#REF!))))</f>
        <v>0</v>
      </c>
      <c r="AK318">
        <f>IF('РЕЕСТР РИСКОВ_2023'!AQ358="",AK317,'РЕЕСТР РИСКОВ_2023'!AQ358)</f>
        <v>-216</v>
      </c>
      <c r="AL318">
        <f>IF('РЕЕСТР РИСКОВ_2023'!AR358="",AL317,'РЕЕСТР РИСКОВ_2023'!AR358)</f>
        <v>0.12</v>
      </c>
      <c r="AM318" t="str">
        <f>IF('РЕЕСТР РИСКОВ_2023'!AS358="",AM317,'РЕЕСТР РИСКОВ_2023'!AS358)</f>
        <v>стоп</v>
      </c>
      <c r="AN318" t="str">
        <f>IF('РЕЕСТР РИСКОВ_2023'!AT358="",AN317,'РЕЕСТР РИСКОВ_2023'!AT358)</f>
        <v>стоп</v>
      </c>
      <c r="AO318" t="e">
        <f>IF('РЕЕСТР РИСКОВ_2023'!AU358="",AO317,'РЕЕСТР РИСКОВ_2023'!AU358)</f>
        <v>#REF!</v>
      </c>
    </row>
    <row r="319" spans="2:41">
      <c r="B319" t="str">
        <f>IF('INHERENT MAP'!$B$5=2021,IF('РЕЕСТР РИСКОВ_2023'!F359="",B318,'РЕЕСТР РИСКОВ_2023'!F359),IF('INHERENT MAP'!$B$5=2022,IF(#REF!="",B318,#REF!),IF('INHERENT MAP'!$B$5=2023,IF(#REF!="",B318,#REF!),IF('INHERENT MAP'!$B$5=2024,IF(#REF!="",B318,#REF!),IF('РЕЕСТР РИСКОВ_2023'!F359="",B318,'РЕЕСТР РИСКОВ_2023'!F359)))))</f>
        <v>ПРОЦЕНТНЫЙ РИСК</v>
      </c>
      <c r="C319" t="e">
        <f>IF('INHERENT MAP'!$B$5=2021,IF('РЕЕСТР РИСКОВ_2023'!G359="",C318,'РЕЕСТР РИСКОВ_2023'!G359),IF('INHERENT MAP'!$B$5=2022,IF(#REF!="",C318,#REF!),IF('INHERENT MAP'!$B$5=2023,IF(#REF!="",C318,#REF!),IF('INHERENT MAP'!$B$5=2024,IF(#REF!="",C318,#REF!),IF('РЕЕСТР РИСКОВ_2023'!G359="",C318,'РЕЕСТР РИСКОВ_2023'!G359)))))</f>
        <v>#REF!</v>
      </c>
      <c r="D319" t="str">
        <f>IF('INHERENT MAP'!$B$5=2021,IF('РЕЕСТР РИСКОВ_2023'!H359="",D318,'РЕЕСТР РИСКОВ_2023'!H359),IF('INHERENT MAP'!$B$5=2022,IF(#REF!="",D318,#REF!),IF('INHERENT MAP'!$B$5=2023,IF(#REF!="",D318,#REF!),IF('INHERENT MAP'!$B$5=2024,IF(#REF!="",D318,#REF!),IF('РЕЕСТР РИСКОВ_2023'!H359="",D318,'РЕЕСТР РИСКОВ_2023'!H359)))))</f>
        <v>IRR-1</v>
      </c>
      <c r="E319" t="str">
        <f>IF('INHERENT MAP'!$B$5=2021,IF('РЕЕСТР РИСКОВ_2023'!I359="",E318,'РЕЕСТР РИСКОВ_2023'!I359),IF('INHERENT MAP'!$B$5=2022,IF(#REF!="",E318,#REF!),IF('INHERENT MAP'!$B$5=2023,IF(#REF!="",E318,#REF!),IF('INHERENT MAP'!$B$5=2024,IF(#REF!="",E318,#REF!),IF('РЕЕСТР РИСКОВ_2023'!I359="",E318,'РЕЕСТР РИСКОВ_2023'!I359)))))</f>
        <v>ЦЗФ</v>
      </c>
      <c r="F319" t="str">
        <f>IF('INHERENT MAP'!$B$5=2021,IF('РЕЕСТР РИСКОВ_2023'!J359="",F318,'РЕЕСТР РИСКОВ_2023'!J359),IF('INHERENT MAP'!$B$5=2022,IF(#REF!="",F318,#REF!),IF('INHERENT MAP'!$B$5=2023,IF(#REF!="",F318,#REF!),IF('INHERENT MAP'!$B$5=2024,IF(#REF!="",F318,#REF!),IF('РЕЕСТР РИСКОВ_2023'!J359="",F318,'РЕЕСТР РИСКОВ_2023'!J359)))))</f>
        <v>Цзайм</v>
      </c>
      <c r="G319" t="str">
        <f>IF('INHERENT MAP'!$B$5=2021,IF('РЕЕСТР РИСКОВ_2023'!K359="",G318,'РЕЕСТР РИСКОВ_2023'!K359),IF('INHERENT MAP'!$B$5=2022,IF(#REF!="",G318,#REF!),IF('INHERENT MAP'!$B$5=2023,IF(#REF!="",G318,#REF!),IF('INHERENT MAP'!$B$5=2024,IF(#REF!="",G318,#REF!),IF('РЕЕСТР РИСКОВ_2023'!K359="",G318,'РЕЕСТР РИСКОВ_2023'!K359)))))</f>
        <v>Увеличение расходов по процентам на новые займы, а также текущие займы (с плавающей ставкой) в тенге.</v>
      </c>
      <c r="H319">
        <f>IF('INHERENT MAP'!$B$5=2021,'РЕЕСТР РИСКОВ_2023'!L359,IF('INHERENT MAP'!$B$5=2022,#REF!,IF('INHERENT MAP'!$B$5=2023,#REF!,IF('INHERENT MAP'!$B$5=2024,#REF!,#REF!))))</f>
        <v>0</v>
      </c>
      <c r="I319">
        <f>IF('INHERENT MAP'!$B$5=2021,'РЕЕСТР РИСКОВ_2023'!M359,IF('INHERENT MAP'!$B$5=2022,#REF!,IF('INHERENT MAP'!$B$5=2023,#REF!,IF('INHERENT MAP'!$B$5=2024,#REF!,#REF!))))</f>
        <v>0</v>
      </c>
      <c r="J319">
        <f>IF('INHERENT MAP'!$B$5=2021,'РЕЕСТР РИСКОВ_2023'!N359,IF('INHERENT MAP'!$B$5=2022,#REF!,IF('INHERENT MAP'!$B$5=2023,#REF!,IF('INHERENT MAP'!$B$5=2024,#REF!,#REF!))))</f>
        <v>0</v>
      </c>
      <c r="K319">
        <f>IF('INHERENT MAP'!$B$5=2021,'РЕЕСТР РИСКОВ_2023'!O359,IF('INHERENT MAP'!$B$5=2022,#REF!,IF('INHERENT MAP'!$B$5=2023,#REF!,IF('INHERENT MAP'!$B$5=2024,#REF!,#REF!))))</f>
        <v>0</v>
      </c>
      <c r="L319">
        <f>IF('INHERENT MAP'!$B$5=2021,'РЕЕСТР РИСКОВ_2023'!P359,IF('INHERENT MAP'!$B$5=2022,#REF!,IF('INHERENT MAP'!$B$5=2023,#REF!,IF('INHERENT MAP'!$B$5=2024,#REF!,#REF!))))</f>
        <v>0</v>
      </c>
      <c r="M319" t="str">
        <f>IF('INHERENT MAP'!$B$5=2021,IF('РЕЕСТР РИСКОВ_2023'!Q359="",M318,'РЕЕСТР РИСКОВ_2023'!Q359),IF('INHERENT MAP'!$B$5=2022,IF(#REF!="",M318,#REF!),IF('INHERENT MAP'!$B$5=2023,IF(#REF!="",M318,#REF!),IF('INHERENT MAP'!$B$5=2024,IF(#REF!="",M318,#REF!),IF('РЕЕСТР РИСКОВ_2023'!Q359="",M318,'РЕЕСТР РИСКОВ_2023'!Q359)))))</f>
        <v>Увеличение базовой ставки Национального банка Республики Казахстан до 16%</v>
      </c>
      <c r="N319" t="str">
        <f>IF('INHERENT MAP'!$B$5=2021,IF('РЕЕСТР РИСКОВ_2023'!R359="",N318,'РЕЕСТР РИСКОВ_2023'!R359),IF('INHERENT MAP'!$B$5=2022,IF(#REF!="",N318,#REF!),IF('INHERENT MAP'!$B$5=2023,IF(#REF!="",N318,#REF!),IF('INHERENT MAP'!$B$5=2024,IF(#REF!="",N318,#REF!),IF('РЕЕСТР РИСКОВ_2023'!R359="",N318,'РЕЕСТР РИСКОВ_2023'!R359)))))</f>
        <v>Рецессия экономики европейских стран</v>
      </c>
      <c r="O319">
        <f>'РЕЕСТР РИСКОВ_2023'!T359</f>
        <v>0</v>
      </c>
      <c r="P319" t="e">
        <f>IF('РЕЕСТР РИСКОВ_2023'!U359="",P318,'РЕЕСТР РИСКОВ_2023'!U359)</f>
        <v>#REF!</v>
      </c>
      <c r="Q319" t="str">
        <f>IF('РЕЕСТР РИСКОВ_2023'!V359="",Q318,'РЕЕСТР РИСКОВ_2023'!V359)</f>
        <v>Угрозы</v>
      </c>
      <c r="R319" t="e">
        <f>IF('РЕЕСТР РИСКОВ_2023'!W359="",R318,'РЕЕСТР РИСКОВ_2023'!W359)</f>
        <v>#REF!</v>
      </c>
      <c r="S319">
        <f>'РЕЕСТР РИСКОВ_2023'!X359</f>
        <v>0</v>
      </c>
      <c r="T319" s="94">
        <f>IF('INHERENT MAP'!$B$5=2021,'РЕЕСТР РИСКОВ_2023'!Y359,IF('INHERENT MAP'!$B$5=2022,#REF!,IF('INHERENT MAP'!$B$5=2023,#REF!,IF('INHERENT MAP'!$B$5=2024,#REF!,#REF!))))</f>
        <v>0</v>
      </c>
      <c r="U319">
        <f>IF('INHERENT MAP'!$B$5=2021,'РЕЕСТР РИСКОВ_2023'!Z359,IF('INHERENT MAP'!$B$5=2022,#REF!,IF('INHERENT MAP'!$B$5=2023,#REF!,IF('INHERENT MAP'!$B$5=2024,#REF!,#REF!))))</f>
        <v>0</v>
      </c>
      <c r="V319">
        <f>IF('INHERENT MAP'!$B$5=2021,'РЕЕСТР РИСКОВ_2023'!AA359,IF('INHERENT MAP'!$B$5=2022,#REF!,IF('INHERENT MAP'!$B$5=2023,#REF!,IF('INHERENT MAP'!$B$5=2024,#REF!,#REF!))))</f>
        <v>0</v>
      </c>
      <c r="W319">
        <f>IF('INHERENT MAP'!$B$5=2021,'РЕЕСТР РИСКОВ_2023'!AB359,IF('INHERENT MAP'!$B$5=2022,#REF!,IF('INHERENT MAP'!$B$5=2023,#REF!,IF('INHERENT MAP'!$B$5=2024,#REF!,#REF!))))</f>
        <v>0</v>
      </c>
      <c r="X319" s="94">
        <f>IF('INHERENT MAP'!$B$5=2021,'РЕЕСТР РИСКОВ_2023'!AC359,IF('INHERENT MAP'!$B$5=2022,#REF!,IF('INHERENT MAP'!$B$5=2023,#REF!,IF('INHERENT MAP'!$B$5=2024,#REF!,#REF!))))</f>
        <v>0</v>
      </c>
      <c r="Y319">
        <f>IF('INHERENT MAP'!$B$5=2021,'РЕЕСТР РИСКОВ_2023'!AD359,IF('INHERENT MAP'!$B$5=2022,#REF!,IF('INHERENT MAP'!$B$5=2023,#REF!,IF('INHERENT MAP'!$B$5=2024,#REF!,#REF!))))</f>
        <v>0</v>
      </c>
      <c r="Z319">
        <f>IF('INHERENT MAP'!$B$5=2021,'РЕЕСТР РИСКОВ_2023'!AE359,IF('INHERENT MAP'!$B$5=2022,#REF!,IF('INHERENT MAP'!$B$5=2023,#REF!,IF('INHERENT MAP'!$B$5=2024,#REF!,#REF!))))</f>
        <v>0</v>
      </c>
      <c r="AA319">
        <f>IF('INHERENT MAP'!$B$5=2021,'РЕЕСТР РИСКОВ_2023'!AF359,IF('INHERENT MAP'!$B$5=2022,#REF!,IF('INHERENT MAP'!$B$5=2023,#REF!,IF('INHERENT MAP'!$B$5=2024,#REF!,#REF!))))</f>
        <v>0</v>
      </c>
      <c r="AB319">
        <f>IF('INHERENT MAP'!$B$5=2021,'РЕЕСТР РИСКОВ_2023'!AG359,IF('INHERENT MAP'!$B$5=2022,#REF!,IF('INHERENT MAP'!$B$5=2023,#REF!,IF('INHERENT MAP'!$B$5=2024,#REF!,#REF!))))</f>
        <v>0</v>
      </c>
      <c r="AC319">
        <f>IF('INHERENT MAP'!$B$5=2021,'РЕЕСТР РИСКОВ_2023'!AH359,IF('INHERENT MAP'!$B$5=2022,#REF!,IF('INHERENT MAP'!$B$5=2023,#REF!,IF('INHERENT MAP'!$B$5=2024,#REF!,#REF!))))</f>
        <v>0</v>
      </c>
      <c r="AD319">
        <f>IF('INHERENT MAP'!$B$5=2021,'РЕЕСТР РИСКОВ_2023'!AI359,IF('INHERENT MAP'!$B$5=2022,#REF!,IF('INHERENT MAP'!$B$5=2023,#REF!,IF('INHERENT MAP'!$B$5=2024,#REF!,#REF!))))</f>
        <v>0</v>
      </c>
      <c r="AE319">
        <f>IF('INHERENT MAP'!$B$5=2021,'РЕЕСТР РИСКОВ_2023'!AK359,IF('INHERENT MAP'!$B$5=2022,#REF!,IF('INHERENT MAP'!$B$5=2023,#REF!,IF('INHERENT MAP'!$B$5=2024,#REF!,#REF!))))</f>
        <v>0</v>
      </c>
      <c r="AF319">
        <f>IF('INHERENT MAP'!$B$5=2021,'РЕЕСТР РИСКОВ_2023'!AL359,IF('INHERENT MAP'!$B$5=2022,#REF!,IF('INHERENT MAP'!$B$5=2023,#REF!,IF('INHERENT MAP'!$B$5=2024,#REF!,#REF!))))</f>
        <v>0</v>
      </c>
      <c r="AG319">
        <f>IF('INHERENT MAP'!$B$5=2021,'РЕЕСТР РИСКОВ_2023'!AM359,IF('INHERENT MAP'!$B$5=2022,#REF!,IF('INHERENT MAP'!$B$5=2023,#REF!,IF('INHERENT MAP'!$B$5=2024,#REF!,#REF!))))</f>
        <v>0</v>
      </c>
      <c r="AH319">
        <f>IF('INHERENT MAP'!$B$5=2021,'РЕЕСТР РИСКОВ_2023'!AN359,IF('INHERENT MAP'!$B$5=2022,#REF!,IF('INHERENT MAP'!$B$5=2023,#REF!,IF('INHERENT MAP'!$B$5=2024,#REF!,#REF!))))</f>
        <v>0</v>
      </c>
      <c r="AI319">
        <f>IF('INHERENT MAP'!$B$5=2021,'РЕЕСТР РИСКОВ_2023'!AO359,IF('INHERENT MAP'!$B$5=2022,#REF!,IF('INHERENT MAP'!$B$5=2023,#REF!,IF('INHERENT MAP'!$B$5=2024,#REF!,#REF!))))</f>
        <v>0</v>
      </c>
      <c r="AJ319">
        <f>IF('INHERENT MAP'!$B$5=2021,'РЕЕСТР РИСКОВ_2023'!AP359,IF('INHERENT MAP'!$B$5=2022,#REF!,IF('INHERENT MAP'!$B$5=2023,#REF!,IF('INHERENT MAP'!$B$5=2024,#REF!,#REF!))))</f>
        <v>0</v>
      </c>
      <c r="AK319">
        <f>IF('РЕЕСТР РИСКОВ_2023'!AQ359="",AK318,'РЕЕСТР РИСКОВ_2023'!AQ359)</f>
        <v>-216</v>
      </c>
      <c r="AL319">
        <f>IF('РЕЕСТР РИСКОВ_2023'!AR359="",AL318,'РЕЕСТР РИСКОВ_2023'!AR359)</f>
        <v>0.12</v>
      </c>
      <c r="AM319" t="str">
        <f>IF('РЕЕСТР РИСКОВ_2023'!AS359="",AM318,'РЕЕСТР РИСКОВ_2023'!AS359)</f>
        <v>стоп</v>
      </c>
      <c r="AN319" t="str">
        <f>IF('РЕЕСТР РИСКОВ_2023'!AT359="",AN318,'РЕЕСТР РИСКОВ_2023'!AT359)</f>
        <v>стоп</v>
      </c>
      <c r="AO319" t="e">
        <f>IF('РЕЕСТР РИСКОВ_2023'!AU359="",AO318,'РЕЕСТР РИСКОВ_2023'!AU359)</f>
        <v>#REF!</v>
      </c>
    </row>
    <row r="320" spans="2:41">
      <c r="B320" t="str">
        <f>IF('INHERENT MAP'!$B$5=2021,IF('РЕЕСТР РИСКОВ_2023'!F360="",B319,'РЕЕСТР РИСКОВ_2023'!F360),IF('INHERENT MAP'!$B$5=2022,IF(#REF!="",B319,#REF!),IF('INHERENT MAP'!$B$5=2023,IF(#REF!="",B319,#REF!),IF('INHERENT MAP'!$B$5=2024,IF(#REF!="",B319,#REF!),IF('РЕЕСТР РИСКОВ_2023'!F360="",B319,'РЕЕСТР РИСКОВ_2023'!F360)))))</f>
        <v>ПРОЦЕНТНЫЙ РИСК</v>
      </c>
      <c r="C320" t="e">
        <f>IF('INHERENT MAP'!$B$5=2021,IF('РЕЕСТР РИСКОВ_2023'!G360="",C319,'РЕЕСТР РИСКОВ_2023'!G360),IF('INHERENT MAP'!$B$5=2022,IF(#REF!="",C319,#REF!),IF('INHERENT MAP'!$B$5=2023,IF(#REF!="",C319,#REF!),IF('INHERENT MAP'!$B$5=2024,IF(#REF!="",C319,#REF!),IF('РЕЕСТР РИСКОВ_2023'!G360="",C319,'РЕЕСТР РИСКОВ_2023'!G360)))))</f>
        <v>#REF!</v>
      </c>
      <c r="D320" t="str">
        <f>IF('INHERENT MAP'!$B$5=2021,IF('РЕЕСТР РИСКОВ_2023'!H360="",D319,'РЕЕСТР РИСКОВ_2023'!H360),IF('INHERENT MAP'!$B$5=2022,IF(#REF!="",D319,#REF!),IF('INHERENT MAP'!$B$5=2023,IF(#REF!="",D319,#REF!),IF('INHERENT MAP'!$B$5=2024,IF(#REF!="",D319,#REF!),IF('РЕЕСТР РИСКОВ_2023'!H360="",D319,'РЕЕСТР РИСКОВ_2023'!H360)))))</f>
        <v>IRR-1</v>
      </c>
      <c r="E320" t="str">
        <f>IF('INHERENT MAP'!$B$5=2021,IF('РЕЕСТР РИСКОВ_2023'!I360="",E319,'РЕЕСТР РИСКОВ_2023'!I360),IF('INHERENT MAP'!$B$5=2022,IF(#REF!="",E319,#REF!),IF('INHERENT MAP'!$B$5=2023,IF(#REF!="",E319,#REF!),IF('INHERENT MAP'!$B$5=2024,IF(#REF!="",E319,#REF!),IF('РЕЕСТР РИСКОВ_2023'!I360="",E319,'РЕЕСТР РИСКОВ_2023'!I360)))))</f>
        <v>ЦЗФ</v>
      </c>
      <c r="F320" t="str">
        <f>IF('INHERENT MAP'!$B$5=2021,IF('РЕЕСТР РИСКОВ_2023'!J360="",F319,'РЕЕСТР РИСКОВ_2023'!J360),IF('INHERENT MAP'!$B$5=2022,IF(#REF!="",F319,#REF!),IF('INHERENT MAP'!$B$5=2023,IF(#REF!="",F319,#REF!),IF('INHERENT MAP'!$B$5=2024,IF(#REF!="",F319,#REF!),IF('РЕЕСТР РИСКОВ_2023'!J360="",F319,'РЕЕСТР РИСКОВ_2023'!J360)))))</f>
        <v>Цзайм</v>
      </c>
      <c r="G320" t="str">
        <f>IF('INHERENT MAP'!$B$5=2021,IF('РЕЕСТР РИСКОВ_2023'!K360="",G319,'РЕЕСТР РИСКОВ_2023'!K360),IF('INHERENT MAP'!$B$5=2022,IF(#REF!="",G319,#REF!),IF('INHERENT MAP'!$B$5=2023,IF(#REF!="",G319,#REF!),IF('INHERENT MAP'!$B$5=2024,IF(#REF!="",G319,#REF!),IF('РЕЕСТР РИСКОВ_2023'!K360="",G319,'РЕЕСТР РИСКОВ_2023'!K360)))))</f>
        <v>Увеличение расходов по процентам на новые займы, а также текущие займы (с плавающей ставкой) в тенге.</v>
      </c>
      <c r="H320">
        <f>IF('INHERENT MAP'!$B$5=2021,'РЕЕСТР РИСКОВ_2023'!L360,IF('INHERENT MAP'!$B$5=2022,#REF!,IF('INHERENT MAP'!$B$5=2023,#REF!,IF('INHERENT MAP'!$B$5=2024,#REF!,#REF!))))</f>
        <v>0</v>
      </c>
      <c r="I320">
        <f>IF('INHERENT MAP'!$B$5=2021,'РЕЕСТР РИСКОВ_2023'!M360,IF('INHERENT MAP'!$B$5=2022,#REF!,IF('INHERENT MAP'!$B$5=2023,#REF!,IF('INHERENT MAP'!$B$5=2024,#REF!,#REF!))))</f>
        <v>0</v>
      </c>
      <c r="J320">
        <f>IF('INHERENT MAP'!$B$5=2021,'РЕЕСТР РИСКОВ_2023'!N360,IF('INHERENT MAP'!$B$5=2022,#REF!,IF('INHERENT MAP'!$B$5=2023,#REF!,IF('INHERENT MAP'!$B$5=2024,#REF!,#REF!))))</f>
        <v>0</v>
      </c>
      <c r="K320">
        <f>IF('INHERENT MAP'!$B$5=2021,'РЕЕСТР РИСКОВ_2023'!O360,IF('INHERENT MAP'!$B$5=2022,#REF!,IF('INHERENT MAP'!$B$5=2023,#REF!,IF('INHERENT MAP'!$B$5=2024,#REF!,#REF!))))</f>
        <v>0</v>
      </c>
      <c r="L320">
        <f>IF('INHERENT MAP'!$B$5=2021,'РЕЕСТР РИСКОВ_2023'!P360,IF('INHERENT MAP'!$B$5=2022,#REF!,IF('INHERENT MAP'!$B$5=2023,#REF!,IF('INHERENT MAP'!$B$5=2024,#REF!,#REF!))))</f>
        <v>0</v>
      </c>
      <c r="M320" t="str">
        <f>IF('INHERENT MAP'!$B$5=2021,IF('РЕЕСТР РИСКОВ_2023'!Q360="",M319,'РЕЕСТР РИСКОВ_2023'!Q360),IF('INHERENT MAP'!$B$5=2022,IF(#REF!="",M319,#REF!),IF('INHERENT MAP'!$B$5=2023,IF(#REF!="",M319,#REF!),IF('INHERENT MAP'!$B$5=2024,IF(#REF!="",M319,#REF!),IF('РЕЕСТР РИСКОВ_2023'!Q360="",M319,'РЕЕСТР РИСКОВ_2023'!Q360)))))</f>
        <v>Увеличение базовой ставки Национального банка Республики Казахстан до 16%</v>
      </c>
      <c r="N320" t="str">
        <f>IF('INHERENT MAP'!$B$5=2021,IF('РЕЕСТР РИСКОВ_2023'!R360="",N319,'РЕЕСТР РИСКОВ_2023'!R360),IF('INHERENT MAP'!$B$5=2022,IF(#REF!="",N319,#REF!),IF('INHERENT MAP'!$B$5=2023,IF(#REF!="",N319,#REF!),IF('INHERENT MAP'!$B$5=2024,IF(#REF!="",N319,#REF!),IF('РЕЕСТР РИСКОВ_2023'!R360="",N319,'РЕЕСТР РИСКОВ_2023'!R360)))))</f>
        <v>Рецессия экономики европейских стран</v>
      </c>
      <c r="O320">
        <f>'РЕЕСТР РИСКОВ_2023'!T360</f>
        <v>0</v>
      </c>
      <c r="P320" t="e">
        <f>IF('РЕЕСТР РИСКОВ_2023'!U360="",P319,'РЕЕСТР РИСКОВ_2023'!U360)</f>
        <v>#REF!</v>
      </c>
      <c r="Q320" t="str">
        <f>IF('РЕЕСТР РИСКОВ_2023'!V360="",Q319,'РЕЕСТР РИСКОВ_2023'!V360)</f>
        <v>Угрозы</v>
      </c>
      <c r="R320" t="e">
        <f>IF('РЕЕСТР РИСКОВ_2023'!W360="",R319,'РЕЕСТР РИСКОВ_2023'!W360)</f>
        <v>#REF!</v>
      </c>
      <c r="S320">
        <f>'РЕЕСТР РИСКОВ_2023'!X360</f>
        <v>0</v>
      </c>
      <c r="T320" s="94">
        <f>IF('INHERENT MAP'!$B$5=2021,'РЕЕСТР РИСКОВ_2023'!Y360,IF('INHERENT MAP'!$B$5=2022,#REF!,IF('INHERENT MAP'!$B$5=2023,#REF!,IF('INHERENT MAP'!$B$5=2024,#REF!,#REF!))))</f>
        <v>0</v>
      </c>
      <c r="U320">
        <f>IF('INHERENT MAP'!$B$5=2021,'РЕЕСТР РИСКОВ_2023'!Z360,IF('INHERENT MAP'!$B$5=2022,#REF!,IF('INHERENT MAP'!$B$5=2023,#REF!,IF('INHERENT MAP'!$B$5=2024,#REF!,#REF!))))</f>
        <v>0</v>
      </c>
      <c r="V320">
        <f>IF('INHERENT MAP'!$B$5=2021,'РЕЕСТР РИСКОВ_2023'!AA360,IF('INHERENT MAP'!$B$5=2022,#REF!,IF('INHERENT MAP'!$B$5=2023,#REF!,IF('INHERENT MAP'!$B$5=2024,#REF!,#REF!))))</f>
        <v>0</v>
      </c>
      <c r="W320">
        <f>IF('INHERENT MAP'!$B$5=2021,'РЕЕСТР РИСКОВ_2023'!AB360,IF('INHERENT MAP'!$B$5=2022,#REF!,IF('INHERENT MAP'!$B$5=2023,#REF!,IF('INHERENT MAP'!$B$5=2024,#REF!,#REF!))))</f>
        <v>0</v>
      </c>
      <c r="X320" s="94">
        <f>IF('INHERENT MAP'!$B$5=2021,'РЕЕСТР РИСКОВ_2023'!AC360,IF('INHERENT MAP'!$B$5=2022,#REF!,IF('INHERENT MAP'!$B$5=2023,#REF!,IF('INHERENT MAP'!$B$5=2024,#REF!,#REF!))))</f>
        <v>0</v>
      </c>
      <c r="Y320">
        <f>IF('INHERENT MAP'!$B$5=2021,'РЕЕСТР РИСКОВ_2023'!AD360,IF('INHERENT MAP'!$B$5=2022,#REF!,IF('INHERENT MAP'!$B$5=2023,#REF!,IF('INHERENT MAP'!$B$5=2024,#REF!,#REF!))))</f>
        <v>0</v>
      </c>
      <c r="Z320">
        <f>IF('INHERENT MAP'!$B$5=2021,'РЕЕСТР РИСКОВ_2023'!AE360,IF('INHERENT MAP'!$B$5=2022,#REF!,IF('INHERENT MAP'!$B$5=2023,#REF!,IF('INHERENT MAP'!$B$5=2024,#REF!,#REF!))))</f>
        <v>0</v>
      </c>
      <c r="AA320">
        <f>IF('INHERENT MAP'!$B$5=2021,'РЕЕСТР РИСКОВ_2023'!AF360,IF('INHERENT MAP'!$B$5=2022,#REF!,IF('INHERENT MAP'!$B$5=2023,#REF!,IF('INHERENT MAP'!$B$5=2024,#REF!,#REF!))))</f>
        <v>0</v>
      </c>
      <c r="AB320">
        <f>IF('INHERENT MAP'!$B$5=2021,'РЕЕСТР РИСКОВ_2023'!AG360,IF('INHERENT MAP'!$B$5=2022,#REF!,IF('INHERENT MAP'!$B$5=2023,#REF!,IF('INHERENT MAP'!$B$5=2024,#REF!,#REF!))))</f>
        <v>0</v>
      </c>
      <c r="AC320">
        <f>IF('INHERENT MAP'!$B$5=2021,'РЕЕСТР РИСКОВ_2023'!AH360,IF('INHERENT MAP'!$B$5=2022,#REF!,IF('INHERENT MAP'!$B$5=2023,#REF!,IF('INHERENT MAP'!$B$5=2024,#REF!,#REF!))))</f>
        <v>0</v>
      </c>
      <c r="AD320">
        <f>IF('INHERENT MAP'!$B$5=2021,'РЕЕСТР РИСКОВ_2023'!AI360,IF('INHERENT MAP'!$B$5=2022,#REF!,IF('INHERENT MAP'!$B$5=2023,#REF!,IF('INHERENT MAP'!$B$5=2024,#REF!,#REF!))))</f>
        <v>0</v>
      </c>
      <c r="AE320">
        <f>IF('INHERENT MAP'!$B$5=2021,'РЕЕСТР РИСКОВ_2023'!AK360,IF('INHERENT MAP'!$B$5=2022,#REF!,IF('INHERENT MAP'!$B$5=2023,#REF!,IF('INHERENT MAP'!$B$5=2024,#REF!,#REF!))))</f>
        <v>0</v>
      </c>
      <c r="AF320">
        <f>IF('INHERENT MAP'!$B$5=2021,'РЕЕСТР РИСКОВ_2023'!AL360,IF('INHERENT MAP'!$B$5=2022,#REF!,IF('INHERENT MAP'!$B$5=2023,#REF!,IF('INHERENT MAP'!$B$5=2024,#REF!,#REF!))))</f>
        <v>0</v>
      </c>
      <c r="AG320">
        <f>IF('INHERENT MAP'!$B$5=2021,'РЕЕСТР РИСКОВ_2023'!AM360,IF('INHERENT MAP'!$B$5=2022,#REF!,IF('INHERENT MAP'!$B$5=2023,#REF!,IF('INHERENT MAP'!$B$5=2024,#REF!,#REF!))))</f>
        <v>0</v>
      </c>
      <c r="AH320">
        <f>IF('INHERENT MAP'!$B$5=2021,'РЕЕСТР РИСКОВ_2023'!AN360,IF('INHERENT MAP'!$B$5=2022,#REF!,IF('INHERENT MAP'!$B$5=2023,#REF!,IF('INHERENT MAP'!$B$5=2024,#REF!,#REF!))))</f>
        <v>0</v>
      </c>
      <c r="AI320">
        <f>IF('INHERENT MAP'!$B$5=2021,'РЕЕСТР РИСКОВ_2023'!AO360,IF('INHERENT MAP'!$B$5=2022,#REF!,IF('INHERENT MAP'!$B$5=2023,#REF!,IF('INHERENT MAP'!$B$5=2024,#REF!,#REF!))))</f>
        <v>0</v>
      </c>
      <c r="AJ320">
        <f>IF('INHERENT MAP'!$B$5=2021,'РЕЕСТР РИСКОВ_2023'!AP360,IF('INHERENT MAP'!$B$5=2022,#REF!,IF('INHERENT MAP'!$B$5=2023,#REF!,IF('INHERENT MAP'!$B$5=2024,#REF!,#REF!))))</f>
        <v>0</v>
      </c>
      <c r="AK320">
        <f>IF('РЕЕСТР РИСКОВ_2023'!AQ360="",AK319,'РЕЕСТР РИСКОВ_2023'!AQ360)</f>
        <v>-216</v>
      </c>
      <c r="AL320">
        <f>IF('РЕЕСТР РИСКОВ_2023'!AR360="",AL319,'РЕЕСТР РИСКОВ_2023'!AR360)</f>
        <v>0.12</v>
      </c>
      <c r="AM320" t="str">
        <f>IF('РЕЕСТР РИСКОВ_2023'!AS360="",AM319,'РЕЕСТР РИСКОВ_2023'!AS360)</f>
        <v>стоп</v>
      </c>
      <c r="AN320" t="str">
        <f>IF('РЕЕСТР РИСКОВ_2023'!AT360="",AN319,'РЕЕСТР РИСКОВ_2023'!AT360)</f>
        <v>стоп</v>
      </c>
      <c r="AO320" t="e">
        <f>IF('РЕЕСТР РИСКОВ_2023'!AU360="",AO319,'РЕЕСТР РИСКОВ_2023'!AU360)</f>
        <v>#REF!</v>
      </c>
    </row>
    <row r="321" spans="2:41">
      <c r="B321" t="str">
        <f>IF('INHERENT MAP'!$B$5=2021,IF('РЕЕСТР РИСКОВ_2023'!F361="",B320,'РЕЕСТР РИСКОВ_2023'!F361),IF('INHERENT MAP'!$B$5=2022,IF(#REF!="",B320,#REF!),IF('INHERENT MAP'!$B$5=2023,IF(#REF!="",B320,#REF!),IF('INHERENT MAP'!$B$5=2024,IF(#REF!="",B320,#REF!),IF('РЕЕСТР РИСКОВ_2023'!F361="",B320,'РЕЕСТР РИСКОВ_2023'!F361)))))</f>
        <v>ПРОЦЕНТНЫЙ РИСК</v>
      </c>
      <c r="C321" t="e">
        <f>IF('INHERENT MAP'!$B$5=2021,IF('РЕЕСТР РИСКОВ_2023'!G361="",C320,'РЕЕСТР РИСКОВ_2023'!G361),IF('INHERENT MAP'!$B$5=2022,IF(#REF!="",C320,#REF!),IF('INHERENT MAP'!$B$5=2023,IF(#REF!="",C320,#REF!),IF('INHERENT MAP'!$B$5=2024,IF(#REF!="",C320,#REF!),IF('РЕЕСТР РИСКОВ_2023'!G361="",C320,'РЕЕСТР РИСКОВ_2023'!G361)))))</f>
        <v>#REF!</v>
      </c>
      <c r="D321" t="str">
        <f>IF('INHERENT MAP'!$B$5=2021,IF('РЕЕСТР РИСКОВ_2023'!H361="",D320,'РЕЕСТР РИСКОВ_2023'!H361),IF('INHERENT MAP'!$B$5=2022,IF(#REF!="",D320,#REF!),IF('INHERENT MAP'!$B$5=2023,IF(#REF!="",D320,#REF!),IF('INHERENT MAP'!$B$5=2024,IF(#REF!="",D320,#REF!),IF('РЕЕСТР РИСКОВ_2023'!H361="",D320,'РЕЕСТР РИСКОВ_2023'!H361)))))</f>
        <v>IRR-1</v>
      </c>
      <c r="E321" t="str">
        <f>IF('INHERENT MAP'!$B$5=2021,IF('РЕЕСТР РИСКОВ_2023'!I361="",E320,'РЕЕСТР РИСКОВ_2023'!I361),IF('INHERENT MAP'!$B$5=2022,IF(#REF!="",E320,#REF!),IF('INHERENT MAP'!$B$5=2023,IF(#REF!="",E320,#REF!),IF('INHERENT MAP'!$B$5=2024,IF(#REF!="",E320,#REF!),IF('РЕЕСТР РИСКОВ_2023'!I361="",E320,'РЕЕСТР РИСКОВ_2023'!I361)))))</f>
        <v>ЦЗФ</v>
      </c>
      <c r="F321" t="str">
        <f>IF('INHERENT MAP'!$B$5=2021,IF('РЕЕСТР РИСКОВ_2023'!J361="",F320,'РЕЕСТР РИСКОВ_2023'!J361),IF('INHERENT MAP'!$B$5=2022,IF(#REF!="",F320,#REF!),IF('INHERENT MAP'!$B$5=2023,IF(#REF!="",F320,#REF!),IF('INHERENT MAP'!$B$5=2024,IF(#REF!="",F320,#REF!),IF('РЕЕСТР РИСКОВ_2023'!J361="",F320,'РЕЕСТР РИСКОВ_2023'!J361)))))</f>
        <v>Цзайм</v>
      </c>
      <c r="G321" t="str">
        <f>IF('INHERENT MAP'!$B$5=2021,IF('РЕЕСТР РИСКОВ_2023'!K361="",G320,'РЕЕСТР РИСКОВ_2023'!K361),IF('INHERENT MAP'!$B$5=2022,IF(#REF!="",G320,#REF!),IF('INHERENT MAP'!$B$5=2023,IF(#REF!="",G320,#REF!),IF('INHERENT MAP'!$B$5=2024,IF(#REF!="",G320,#REF!),IF('РЕЕСТР РИСКОВ_2023'!K361="",G320,'РЕЕСТР РИСКОВ_2023'!K361)))))</f>
        <v>Увеличение расходов по процентам на новые займы, а также текущие займы (с плавающей ставкой) в тенге.</v>
      </c>
      <c r="H321">
        <f>IF('INHERENT MAP'!$B$5=2021,'РЕЕСТР РИСКОВ_2023'!L361,IF('INHERENT MAP'!$B$5=2022,#REF!,IF('INHERENT MAP'!$B$5=2023,#REF!,IF('INHERENT MAP'!$B$5=2024,#REF!,#REF!))))</f>
        <v>0</v>
      </c>
      <c r="I321">
        <f>IF('INHERENT MAP'!$B$5=2021,'РЕЕСТР РИСКОВ_2023'!M361,IF('INHERENT MAP'!$B$5=2022,#REF!,IF('INHERENT MAP'!$B$5=2023,#REF!,IF('INHERENT MAP'!$B$5=2024,#REF!,#REF!))))</f>
        <v>0</v>
      </c>
      <c r="J321">
        <f>IF('INHERENT MAP'!$B$5=2021,'РЕЕСТР РИСКОВ_2023'!N361,IF('INHERENT MAP'!$B$5=2022,#REF!,IF('INHERENT MAP'!$B$5=2023,#REF!,IF('INHERENT MAP'!$B$5=2024,#REF!,#REF!))))</f>
        <v>0</v>
      </c>
      <c r="K321">
        <f>IF('INHERENT MAP'!$B$5=2021,'РЕЕСТР РИСКОВ_2023'!O361,IF('INHERENT MAP'!$B$5=2022,#REF!,IF('INHERENT MAP'!$B$5=2023,#REF!,IF('INHERENT MAP'!$B$5=2024,#REF!,#REF!))))</f>
        <v>0</v>
      </c>
      <c r="L321">
        <f>IF('INHERENT MAP'!$B$5=2021,'РЕЕСТР РИСКОВ_2023'!P361,IF('INHERENT MAP'!$B$5=2022,#REF!,IF('INHERENT MAP'!$B$5=2023,#REF!,IF('INHERENT MAP'!$B$5=2024,#REF!,#REF!))))</f>
        <v>0</v>
      </c>
      <c r="M321" t="str">
        <f>IF('INHERENT MAP'!$B$5=2021,IF('РЕЕСТР РИСКОВ_2023'!Q361="",M320,'РЕЕСТР РИСКОВ_2023'!Q361),IF('INHERENT MAP'!$B$5=2022,IF(#REF!="",M320,#REF!),IF('INHERENT MAP'!$B$5=2023,IF(#REF!="",M320,#REF!),IF('INHERENT MAP'!$B$5=2024,IF(#REF!="",M320,#REF!),IF('РЕЕСТР РИСКОВ_2023'!Q361="",M320,'РЕЕСТР РИСКОВ_2023'!Q361)))))</f>
        <v>Увеличение базовой ставки Национального банка Республики Казахстан до 16%</v>
      </c>
      <c r="N321" t="str">
        <f>IF('INHERENT MAP'!$B$5=2021,IF('РЕЕСТР РИСКОВ_2023'!R361="",N320,'РЕЕСТР РИСКОВ_2023'!R361),IF('INHERENT MAP'!$B$5=2022,IF(#REF!="",N320,#REF!),IF('INHERENT MAP'!$B$5=2023,IF(#REF!="",N320,#REF!),IF('INHERENT MAP'!$B$5=2024,IF(#REF!="",N320,#REF!),IF('РЕЕСТР РИСКОВ_2023'!R361="",N320,'РЕЕСТР РИСКОВ_2023'!R361)))))</f>
        <v>Рецессия экономики европейских стран</v>
      </c>
      <c r="O321">
        <f>'РЕЕСТР РИСКОВ_2023'!T361</f>
        <v>0</v>
      </c>
      <c r="P321" t="e">
        <f>IF('РЕЕСТР РИСКОВ_2023'!U361="",P320,'РЕЕСТР РИСКОВ_2023'!U361)</f>
        <v>#REF!</v>
      </c>
      <c r="Q321" t="str">
        <f>IF('РЕЕСТР РИСКОВ_2023'!V361="",Q320,'РЕЕСТР РИСКОВ_2023'!V361)</f>
        <v>Угрозы</v>
      </c>
      <c r="R321" t="e">
        <f>IF('РЕЕСТР РИСКОВ_2023'!W361="",R320,'РЕЕСТР РИСКОВ_2023'!W361)</f>
        <v>#REF!</v>
      </c>
      <c r="S321">
        <f>'РЕЕСТР РИСКОВ_2023'!X361</f>
        <v>0</v>
      </c>
      <c r="T321" s="94">
        <f>IF('INHERENT MAP'!$B$5=2021,'РЕЕСТР РИСКОВ_2023'!Y361,IF('INHERENT MAP'!$B$5=2022,#REF!,IF('INHERENT MAP'!$B$5=2023,#REF!,IF('INHERENT MAP'!$B$5=2024,#REF!,#REF!))))</f>
        <v>0</v>
      </c>
      <c r="U321">
        <f>IF('INHERENT MAP'!$B$5=2021,'РЕЕСТР РИСКОВ_2023'!Z361,IF('INHERENT MAP'!$B$5=2022,#REF!,IF('INHERENT MAP'!$B$5=2023,#REF!,IF('INHERENT MAP'!$B$5=2024,#REF!,#REF!))))</f>
        <v>0</v>
      </c>
      <c r="V321">
        <f>IF('INHERENT MAP'!$B$5=2021,'РЕЕСТР РИСКОВ_2023'!AA361,IF('INHERENT MAP'!$B$5=2022,#REF!,IF('INHERENT MAP'!$B$5=2023,#REF!,IF('INHERENT MAP'!$B$5=2024,#REF!,#REF!))))</f>
        <v>0</v>
      </c>
      <c r="W321">
        <f>IF('INHERENT MAP'!$B$5=2021,'РЕЕСТР РИСКОВ_2023'!AB361,IF('INHERENT MAP'!$B$5=2022,#REF!,IF('INHERENT MAP'!$B$5=2023,#REF!,IF('INHERENT MAP'!$B$5=2024,#REF!,#REF!))))</f>
        <v>0</v>
      </c>
      <c r="X321" s="94">
        <f>IF('INHERENT MAP'!$B$5=2021,'РЕЕСТР РИСКОВ_2023'!AC361,IF('INHERENT MAP'!$B$5=2022,#REF!,IF('INHERENT MAP'!$B$5=2023,#REF!,IF('INHERENT MAP'!$B$5=2024,#REF!,#REF!))))</f>
        <v>0</v>
      </c>
      <c r="Y321">
        <f>IF('INHERENT MAP'!$B$5=2021,'РЕЕСТР РИСКОВ_2023'!AD361,IF('INHERENT MAP'!$B$5=2022,#REF!,IF('INHERENT MAP'!$B$5=2023,#REF!,IF('INHERENT MAP'!$B$5=2024,#REF!,#REF!))))</f>
        <v>0</v>
      </c>
      <c r="Z321">
        <f>IF('INHERENT MAP'!$B$5=2021,'РЕЕСТР РИСКОВ_2023'!AE361,IF('INHERENT MAP'!$B$5=2022,#REF!,IF('INHERENT MAP'!$B$5=2023,#REF!,IF('INHERENT MAP'!$B$5=2024,#REF!,#REF!))))</f>
        <v>0</v>
      </c>
      <c r="AA321">
        <f>IF('INHERENT MAP'!$B$5=2021,'РЕЕСТР РИСКОВ_2023'!AF361,IF('INHERENT MAP'!$B$5=2022,#REF!,IF('INHERENT MAP'!$B$5=2023,#REF!,IF('INHERENT MAP'!$B$5=2024,#REF!,#REF!))))</f>
        <v>0</v>
      </c>
      <c r="AB321">
        <f>IF('INHERENT MAP'!$B$5=2021,'РЕЕСТР РИСКОВ_2023'!AG361,IF('INHERENT MAP'!$B$5=2022,#REF!,IF('INHERENT MAP'!$B$5=2023,#REF!,IF('INHERENT MAP'!$B$5=2024,#REF!,#REF!))))</f>
        <v>0</v>
      </c>
      <c r="AC321">
        <f>IF('INHERENT MAP'!$B$5=2021,'РЕЕСТР РИСКОВ_2023'!AH361,IF('INHERENT MAP'!$B$5=2022,#REF!,IF('INHERENT MAP'!$B$5=2023,#REF!,IF('INHERENT MAP'!$B$5=2024,#REF!,#REF!))))</f>
        <v>0</v>
      </c>
      <c r="AD321">
        <f>IF('INHERENT MAP'!$B$5=2021,'РЕЕСТР РИСКОВ_2023'!AI361,IF('INHERENT MAP'!$B$5=2022,#REF!,IF('INHERENT MAP'!$B$5=2023,#REF!,IF('INHERENT MAP'!$B$5=2024,#REF!,#REF!))))</f>
        <v>0</v>
      </c>
      <c r="AE321">
        <f>IF('INHERENT MAP'!$B$5=2021,'РЕЕСТР РИСКОВ_2023'!AK361,IF('INHERENT MAP'!$B$5=2022,#REF!,IF('INHERENT MAP'!$B$5=2023,#REF!,IF('INHERENT MAP'!$B$5=2024,#REF!,#REF!))))</f>
        <v>0</v>
      </c>
      <c r="AF321">
        <f>IF('INHERENT MAP'!$B$5=2021,'РЕЕСТР РИСКОВ_2023'!AL361,IF('INHERENT MAP'!$B$5=2022,#REF!,IF('INHERENT MAP'!$B$5=2023,#REF!,IF('INHERENT MAP'!$B$5=2024,#REF!,#REF!))))</f>
        <v>0</v>
      </c>
      <c r="AG321">
        <f>IF('INHERENT MAP'!$B$5=2021,'РЕЕСТР РИСКОВ_2023'!AM361,IF('INHERENT MAP'!$B$5=2022,#REF!,IF('INHERENT MAP'!$B$5=2023,#REF!,IF('INHERENT MAP'!$B$5=2024,#REF!,#REF!))))</f>
        <v>0</v>
      </c>
      <c r="AH321">
        <f>IF('INHERENT MAP'!$B$5=2021,'РЕЕСТР РИСКОВ_2023'!AN361,IF('INHERENT MAP'!$B$5=2022,#REF!,IF('INHERENT MAP'!$B$5=2023,#REF!,IF('INHERENT MAP'!$B$5=2024,#REF!,#REF!))))</f>
        <v>0</v>
      </c>
      <c r="AI321">
        <f>IF('INHERENT MAP'!$B$5=2021,'РЕЕСТР РИСКОВ_2023'!AO361,IF('INHERENT MAP'!$B$5=2022,#REF!,IF('INHERENT MAP'!$B$5=2023,#REF!,IF('INHERENT MAP'!$B$5=2024,#REF!,#REF!))))</f>
        <v>0</v>
      </c>
      <c r="AJ321">
        <f>IF('INHERENT MAP'!$B$5=2021,'РЕЕСТР РИСКОВ_2023'!AP361,IF('INHERENT MAP'!$B$5=2022,#REF!,IF('INHERENT MAP'!$B$5=2023,#REF!,IF('INHERENT MAP'!$B$5=2024,#REF!,#REF!))))</f>
        <v>0</v>
      </c>
      <c r="AK321">
        <f>IF('РЕЕСТР РИСКОВ_2023'!AQ361="",AK320,'РЕЕСТР РИСКОВ_2023'!AQ361)</f>
        <v>-216</v>
      </c>
      <c r="AL321">
        <f>IF('РЕЕСТР РИСКОВ_2023'!AR361="",AL320,'РЕЕСТР РИСКОВ_2023'!AR361)</f>
        <v>0.12</v>
      </c>
      <c r="AM321" t="str">
        <f>IF('РЕЕСТР РИСКОВ_2023'!AS361="",AM320,'РЕЕСТР РИСКОВ_2023'!AS361)</f>
        <v>стоп</v>
      </c>
      <c r="AN321" t="str">
        <f>IF('РЕЕСТР РИСКОВ_2023'!AT361="",AN320,'РЕЕСТР РИСКОВ_2023'!AT361)</f>
        <v>стоп</v>
      </c>
      <c r="AO321" t="e">
        <f>IF('РЕЕСТР РИСКОВ_2023'!AU361="",AO320,'РЕЕСТР РИСКОВ_2023'!AU361)</f>
        <v>#REF!</v>
      </c>
    </row>
    <row r="322" spans="2:41">
      <c r="B322" t="str">
        <f>IF('INHERENT MAP'!$B$5=2021,IF('РЕЕСТР РИСКОВ_2023'!F362="",B321,'РЕЕСТР РИСКОВ_2023'!F362),IF('INHERENT MAP'!$B$5=2022,IF(#REF!="",B321,#REF!),IF('INHERENT MAP'!$B$5=2023,IF(#REF!="",B321,#REF!),IF('INHERENT MAP'!$B$5=2024,IF(#REF!="",B321,#REF!),IF('РЕЕСТР РИСКОВ_2023'!F362="",B321,'РЕЕСТР РИСКОВ_2023'!F362)))))</f>
        <v>ПРОЦЕНТНЫЙ РИСК</v>
      </c>
      <c r="C322" t="e">
        <f>IF('INHERENT MAP'!$B$5=2021,IF('РЕЕСТР РИСКОВ_2023'!G362="",C321,'РЕЕСТР РИСКОВ_2023'!G362),IF('INHERENT MAP'!$B$5=2022,IF(#REF!="",C321,#REF!),IF('INHERENT MAP'!$B$5=2023,IF(#REF!="",C321,#REF!),IF('INHERENT MAP'!$B$5=2024,IF(#REF!="",C321,#REF!),IF('РЕЕСТР РИСКОВ_2023'!G362="",C321,'РЕЕСТР РИСКОВ_2023'!G362)))))</f>
        <v>#REF!</v>
      </c>
      <c r="D322" t="str">
        <f>IF('INHERENT MAP'!$B$5=2021,IF('РЕЕСТР РИСКОВ_2023'!H362="",D321,'РЕЕСТР РИСКОВ_2023'!H362),IF('INHERENT MAP'!$B$5=2022,IF(#REF!="",D321,#REF!),IF('INHERENT MAP'!$B$5=2023,IF(#REF!="",D321,#REF!),IF('INHERENT MAP'!$B$5=2024,IF(#REF!="",D321,#REF!),IF('РЕЕСТР РИСКОВ_2023'!H362="",D321,'РЕЕСТР РИСКОВ_2023'!H362)))))</f>
        <v>IRR-1</v>
      </c>
      <c r="E322" t="str">
        <f>IF('INHERENT MAP'!$B$5=2021,IF('РЕЕСТР РИСКОВ_2023'!I362="",E321,'РЕЕСТР РИСКОВ_2023'!I362),IF('INHERENT MAP'!$B$5=2022,IF(#REF!="",E321,#REF!),IF('INHERENT MAP'!$B$5=2023,IF(#REF!="",E321,#REF!),IF('INHERENT MAP'!$B$5=2024,IF(#REF!="",E321,#REF!),IF('РЕЕСТР РИСКОВ_2023'!I362="",E321,'РЕЕСТР РИСКОВ_2023'!I362)))))</f>
        <v>ЦЗФ</v>
      </c>
      <c r="F322" t="str">
        <f>IF('INHERENT MAP'!$B$5=2021,IF('РЕЕСТР РИСКОВ_2023'!J362="",F321,'РЕЕСТР РИСКОВ_2023'!J362),IF('INHERENT MAP'!$B$5=2022,IF(#REF!="",F321,#REF!),IF('INHERENT MAP'!$B$5=2023,IF(#REF!="",F321,#REF!),IF('INHERENT MAP'!$B$5=2024,IF(#REF!="",F321,#REF!),IF('РЕЕСТР РИСКОВ_2023'!J362="",F321,'РЕЕСТР РИСКОВ_2023'!J362)))))</f>
        <v>Цзайм</v>
      </c>
      <c r="G322" t="str">
        <f>IF('INHERENT MAP'!$B$5=2021,IF('РЕЕСТР РИСКОВ_2023'!K362="",G321,'РЕЕСТР РИСКОВ_2023'!K362),IF('INHERENT MAP'!$B$5=2022,IF(#REF!="",G321,#REF!),IF('INHERENT MAP'!$B$5=2023,IF(#REF!="",G321,#REF!),IF('INHERENT MAP'!$B$5=2024,IF(#REF!="",G321,#REF!),IF('РЕЕСТР РИСКОВ_2023'!K362="",G321,'РЕЕСТР РИСКОВ_2023'!K362)))))</f>
        <v>Увеличение расходов по процентам на новые займы, а также текущие займы (с плавающей ставкой) в тенге.</v>
      </c>
      <c r="H322">
        <f>IF('INHERENT MAP'!$B$5=2021,'РЕЕСТР РИСКОВ_2023'!L362,IF('INHERENT MAP'!$B$5=2022,#REF!,IF('INHERENT MAP'!$B$5=2023,#REF!,IF('INHERENT MAP'!$B$5=2024,#REF!,#REF!))))</f>
        <v>0</v>
      </c>
      <c r="I322">
        <f>IF('INHERENT MAP'!$B$5=2021,'РЕЕСТР РИСКОВ_2023'!M362,IF('INHERENT MAP'!$B$5=2022,#REF!,IF('INHERENT MAP'!$B$5=2023,#REF!,IF('INHERENT MAP'!$B$5=2024,#REF!,#REF!))))</f>
        <v>0</v>
      </c>
      <c r="J322">
        <f>IF('INHERENT MAP'!$B$5=2021,'РЕЕСТР РИСКОВ_2023'!N362,IF('INHERENT MAP'!$B$5=2022,#REF!,IF('INHERENT MAP'!$B$5=2023,#REF!,IF('INHERENT MAP'!$B$5=2024,#REF!,#REF!))))</f>
        <v>0</v>
      </c>
      <c r="K322">
        <f>IF('INHERENT MAP'!$B$5=2021,'РЕЕСТР РИСКОВ_2023'!O362,IF('INHERENT MAP'!$B$5=2022,#REF!,IF('INHERENT MAP'!$B$5=2023,#REF!,IF('INHERENT MAP'!$B$5=2024,#REF!,#REF!))))</f>
        <v>0</v>
      </c>
      <c r="L322">
        <f>IF('INHERENT MAP'!$B$5=2021,'РЕЕСТР РИСКОВ_2023'!P362,IF('INHERENT MAP'!$B$5=2022,#REF!,IF('INHERENT MAP'!$B$5=2023,#REF!,IF('INHERENT MAP'!$B$5=2024,#REF!,#REF!))))</f>
        <v>0</v>
      </c>
      <c r="M322" t="str">
        <f>IF('INHERENT MAP'!$B$5=2021,IF('РЕЕСТР РИСКОВ_2023'!Q362="",M321,'РЕЕСТР РИСКОВ_2023'!Q362),IF('INHERENT MAP'!$B$5=2022,IF(#REF!="",M321,#REF!),IF('INHERENT MAP'!$B$5=2023,IF(#REF!="",M321,#REF!),IF('INHERENT MAP'!$B$5=2024,IF(#REF!="",M321,#REF!),IF('РЕЕСТР РИСКОВ_2023'!Q362="",M321,'РЕЕСТР РИСКОВ_2023'!Q362)))))</f>
        <v>Увеличение базовой ставки Национального банка Республики Казахстан до 16%</v>
      </c>
      <c r="N322" t="str">
        <f>IF('INHERENT MAP'!$B$5=2021,IF('РЕЕСТР РИСКОВ_2023'!R362="",N321,'РЕЕСТР РИСКОВ_2023'!R362),IF('INHERENT MAP'!$B$5=2022,IF(#REF!="",N321,#REF!),IF('INHERENT MAP'!$B$5=2023,IF(#REF!="",N321,#REF!),IF('INHERENT MAP'!$B$5=2024,IF(#REF!="",N321,#REF!),IF('РЕЕСТР РИСКОВ_2023'!R362="",N321,'РЕЕСТР РИСКОВ_2023'!R362)))))</f>
        <v>Рецессия экономики европейских стран</v>
      </c>
      <c r="O322">
        <f>'РЕЕСТР РИСКОВ_2023'!T362</f>
        <v>0</v>
      </c>
      <c r="P322" t="e">
        <f>IF('РЕЕСТР РИСКОВ_2023'!U362="",P321,'РЕЕСТР РИСКОВ_2023'!U362)</f>
        <v>#REF!</v>
      </c>
      <c r="Q322" t="str">
        <f>IF('РЕЕСТР РИСКОВ_2023'!V362="",Q321,'РЕЕСТР РИСКОВ_2023'!V362)</f>
        <v>Угрозы</v>
      </c>
      <c r="R322" t="e">
        <f>IF('РЕЕСТР РИСКОВ_2023'!W362="",R321,'РЕЕСТР РИСКОВ_2023'!W362)</f>
        <v>#REF!</v>
      </c>
      <c r="S322">
        <f>'РЕЕСТР РИСКОВ_2023'!X362</f>
        <v>0</v>
      </c>
      <c r="T322" s="94">
        <f>IF('INHERENT MAP'!$B$5=2021,'РЕЕСТР РИСКОВ_2023'!Y362,IF('INHERENT MAP'!$B$5=2022,#REF!,IF('INHERENT MAP'!$B$5=2023,#REF!,IF('INHERENT MAP'!$B$5=2024,#REF!,#REF!))))</f>
        <v>0</v>
      </c>
      <c r="U322">
        <f>IF('INHERENT MAP'!$B$5=2021,'РЕЕСТР РИСКОВ_2023'!Z362,IF('INHERENT MAP'!$B$5=2022,#REF!,IF('INHERENT MAP'!$B$5=2023,#REF!,IF('INHERENT MAP'!$B$5=2024,#REF!,#REF!))))</f>
        <v>0</v>
      </c>
      <c r="V322">
        <f>IF('INHERENT MAP'!$B$5=2021,'РЕЕСТР РИСКОВ_2023'!AA362,IF('INHERENT MAP'!$B$5=2022,#REF!,IF('INHERENT MAP'!$B$5=2023,#REF!,IF('INHERENT MAP'!$B$5=2024,#REF!,#REF!))))</f>
        <v>0</v>
      </c>
      <c r="W322">
        <f>IF('INHERENT MAP'!$B$5=2021,'РЕЕСТР РИСКОВ_2023'!AB362,IF('INHERENT MAP'!$B$5=2022,#REF!,IF('INHERENT MAP'!$B$5=2023,#REF!,IF('INHERENT MAP'!$B$5=2024,#REF!,#REF!))))</f>
        <v>0</v>
      </c>
      <c r="X322" s="94">
        <f>IF('INHERENT MAP'!$B$5=2021,'РЕЕСТР РИСКОВ_2023'!AC362,IF('INHERENT MAP'!$B$5=2022,#REF!,IF('INHERENT MAP'!$B$5=2023,#REF!,IF('INHERENT MAP'!$B$5=2024,#REF!,#REF!))))</f>
        <v>0</v>
      </c>
      <c r="Y322">
        <f>IF('INHERENT MAP'!$B$5=2021,'РЕЕСТР РИСКОВ_2023'!AD362,IF('INHERENT MAP'!$B$5=2022,#REF!,IF('INHERENT MAP'!$B$5=2023,#REF!,IF('INHERENT MAP'!$B$5=2024,#REF!,#REF!))))</f>
        <v>0</v>
      </c>
      <c r="Z322">
        <f>IF('INHERENT MAP'!$B$5=2021,'РЕЕСТР РИСКОВ_2023'!AE362,IF('INHERENT MAP'!$B$5=2022,#REF!,IF('INHERENT MAP'!$B$5=2023,#REF!,IF('INHERENT MAP'!$B$5=2024,#REF!,#REF!))))</f>
        <v>0</v>
      </c>
      <c r="AA322">
        <f>IF('INHERENT MAP'!$B$5=2021,'РЕЕСТР РИСКОВ_2023'!AF362,IF('INHERENT MAP'!$B$5=2022,#REF!,IF('INHERENT MAP'!$B$5=2023,#REF!,IF('INHERENT MAP'!$B$5=2024,#REF!,#REF!))))</f>
        <v>0</v>
      </c>
      <c r="AB322">
        <f>IF('INHERENT MAP'!$B$5=2021,'РЕЕСТР РИСКОВ_2023'!AG362,IF('INHERENT MAP'!$B$5=2022,#REF!,IF('INHERENT MAP'!$B$5=2023,#REF!,IF('INHERENT MAP'!$B$5=2024,#REF!,#REF!))))</f>
        <v>0</v>
      </c>
      <c r="AC322">
        <f>IF('INHERENT MAP'!$B$5=2021,'РЕЕСТР РИСКОВ_2023'!AH362,IF('INHERENT MAP'!$B$5=2022,#REF!,IF('INHERENT MAP'!$B$5=2023,#REF!,IF('INHERENT MAP'!$B$5=2024,#REF!,#REF!))))</f>
        <v>0</v>
      </c>
      <c r="AD322">
        <f>IF('INHERENT MAP'!$B$5=2021,'РЕЕСТР РИСКОВ_2023'!AI362,IF('INHERENT MAP'!$B$5=2022,#REF!,IF('INHERENT MAP'!$B$5=2023,#REF!,IF('INHERENT MAP'!$B$5=2024,#REF!,#REF!))))</f>
        <v>0</v>
      </c>
      <c r="AE322">
        <f>IF('INHERENT MAP'!$B$5=2021,'РЕЕСТР РИСКОВ_2023'!AK362,IF('INHERENT MAP'!$B$5=2022,#REF!,IF('INHERENT MAP'!$B$5=2023,#REF!,IF('INHERENT MAP'!$B$5=2024,#REF!,#REF!))))</f>
        <v>0</v>
      </c>
      <c r="AF322">
        <f>IF('INHERENT MAP'!$B$5=2021,'РЕЕСТР РИСКОВ_2023'!AL362,IF('INHERENT MAP'!$B$5=2022,#REF!,IF('INHERENT MAP'!$B$5=2023,#REF!,IF('INHERENT MAP'!$B$5=2024,#REF!,#REF!))))</f>
        <v>0</v>
      </c>
      <c r="AG322">
        <f>IF('INHERENT MAP'!$B$5=2021,'РЕЕСТР РИСКОВ_2023'!AM362,IF('INHERENT MAP'!$B$5=2022,#REF!,IF('INHERENT MAP'!$B$5=2023,#REF!,IF('INHERENT MAP'!$B$5=2024,#REF!,#REF!))))</f>
        <v>0</v>
      </c>
      <c r="AH322">
        <f>IF('INHERENT MAP'!$B$5=2021,'РЕЕСТР РИСКОВ_2023'!AN362,IF('INHERENT MAP'!$B$5=2022,#REF!,IF('INHERENT MAP'!$B$5=2023,#REF!,IF('INHERENT MAP'!$B$5=2024,#REF!,#REF!))))</f>
        <v>0</v>
      </c>
      <c r="AI322">
        <f>IF('INHERENT MAP'!$B$5=2021,'РЕЕСТР РИСКОВ_2023'!AO362,IF('INHERENT MAP'!$B$5=2022,#REF!,IF('INHERENT MAP'!$B$5=2023,#REF!,IF('INHERENT MAP'!$B$5=2024,#REF!,#REF!))))</f>
        <v>0</v>
      </c>
      <c r="AJ322">
        <f>IF('INHERENT MAP'!$B$5=2021,'РЕЕСТР РИСКОВ_2023'!AP362,IF('INHERENT MAP'!$B$5=2022,#REF!,IF('INHERENT MAP'!$B$5=2023,#REF!,IF('INHERENT MAP'!$B$5=2024,#REF!,#REF!))))</f>
        <v>0</v>
      </c>
      <c r="AK322">
        <f>IF('РЕЕСТР РИСКОВ_2023'!AQ362="",AK321,'РЕЕСТР РИСКОВ_2023'!AQ362)</f>
        <v>-216</v>
      </c>
      <c r="AL322">
        <f>IF('РЕЕСТР РИСКОВ_2023'!AR362="",AL321,'РЕЕСТР РИСКОВ_2023'!AR362)</f>
        <v>0.12</v>
      </c>
      <c r="AM322" t="str">
        <f>IF('РЕЕСТР РИСКОВ_2023'!AS362="",AM321,'РЕЕСТР РИСКОВ_2023'!AS362)</f>
        <v>стоп</v>
      </c>
      <c r="AN322" t="str">
        <f>IF('РЕЕСТР РИСКОВ_2023'!AT362="",AN321,'РЕЕСТР РИСКОВ_2023'!AT362)</f>
        <v>стоп</v>
      </c>
      <c r="AO322" t="e">
        <f>IF('РЕЕСТР РИСКОВ_2023'!AU362="",AO321,'РЕЕСТР РИСКОВ_2023'!AU362)</f>
        <v>#REF!</v>
      </c>
    </row>
    <row r="323" spans="2:41">
      <c r="B323" t="str">
        <f>IF('INHERENT MAP'!$B$5=2021,IF('РЕЕСТР РИСКОВ_2023'!F363="",B322,'РЕЕСТР РИСКОВ_2023'!F363),IF('INHERENT MAP'!$B$5=2022,IF(#REF!="",B322,#REF!),IF('INHERENT MAP'!$B$5=2023,IF(#REF!="",B322,#REF!),IF('INHERENT MAP'!$B$5=2024,IF(#REF!="",B322,#REF!),IF('РЕЕСТР РИСКОВ_2023'!F363="",B322,'РЕЕСТР РИСКОВ_2023'!F363)))))</f>
        <v>ПРОЦЕНТНЫЙ РИСК</v>
      </c>
      <c r="C323" t="e">
        <f>IF('INHERENT MAP'!$B$5=2021,IF('РЕЕСТР РИСКОВ_2023'!G363="",C322,'РЕЕСТР РИСКОВ_2023'!G363),IF('INHERENT MAP'!$B$5=2022,IF(#REF!="",C322,#REF!),IF('INHERENT MAP'!$B$5=2023,IF(#REF!="",C322,#REF!),IF('INHERENT MAP'!$B$5=2024,IF(#REF!="",C322,#REF!),IF('РЕЕСТР РИСКОВ_2023'!G363="",C322,'РЕЕСТР РИСКОВ_2023'!G363)))))</f>
        <v>#REF!</v>
      </c>
      <c r="D323" t="str">
        <f>IF('INHERENT MAP'!$B$5=2021,IF('РЕЕСТР РИСКОВ_2023'!H363="",D322,'РЕЕСТР РИСКОВ_2023'!H363),IF('INHERENT MAP'!$B$5=2022,IF(#REF!="",D322,#REF!),IF('INHERENT MAP'!$B$5=2023,IF(#REF!="",D322,#REF!),IF('INHERENT MAP'!$B$5=2024,IF(#REF!="",D322,#REF!),IF('РЕЕСТР РИСКОВ_2023'!H363="",D322,'РЕЕСТР РИСКОВ_2023'!H363)))))</f>
        <v>IRR-1</v>
      </c>
      <c r="E323" t="str">
        <f>IF('INHERENT MAP'!$B$5=2021,IF('РЕЕСТР РИСКОВ_2023'!I363="",E322,'РЕЕСТР РИСКОВ_2023'!I363),IF('INHERENT MAP'!$B$5=2022,IF(#REF!="",E322,#REF!),IF('INHERENT MAP'!$B$5=2023,IF(#REF!="",E322,#REF!),IF('INHERENT MAP'!$B$5=2024,IF(#REF!="",E322,#REF!),IF('РЕЕСТР РИСКОВ_2023'!I363="",E322,'РЕЕСТР РИСКОВ_2023'!I363)))))</f>
        <v>ЦЗФ</v>
      </c>
      <c r="F323" t="str">
        <f>IF('INHERENT MAP'!$B$5=2021,IF('РЕЕСТР РИСКОВ_2023'!J363="",F322,'РЕЕСТР РИСКОВ_2023'!J363),IF('INHERENT MAP'!$B$5=2022,IF(#REF!="",F322,#REF!),IF('INHERENT MAP'!$B$5=2023,IF(#REF!="",F322,#REF!),IF('INHERENT MAP'!$B$5=2024,IF(#REF!="",F322,#REF!),IF('РЕЕСТР РИСКОВ_2023'!J363="",F322,'РЕЕСТР РИСКОВ_2023'!J363)))))</f>
        <v>Цзайм</v>
      </c>
      <c r="G323" t="str">
        <f>IF('INHERENT MAP'!$B$5=2021,IF('РЕЕСТР РИСКОВ_2023'!K363="",G322,'РЕЕСТР РИСКОВ_2023'!K363),IF('INHERENT MAP'!$B$5=2022,IF(#REF!="",G322,#REF!),IF('INHERENT MAP'!$B$5=2023,IF(#REF!="",G322,#REF!),IF('INHERENT MAP'!$B$5=2024,IF(#REF!="",G322,#REF!),IF('РЕЕСТР РИСКОВ_2023'!K363="",G322,'РЕЕСТР РИСКОВ_2023'!K363)))))</f>
        <v>Увеличение расходов по процентам на новые займы, а также текущие займы (с плавающей ставкой) в тенге.</v>
      </c>
      <c r="H323">
        <f>IF('INHERENT MAP'!$B$5=2021,'РЕЕСТР РИСКОВ_2023'!L363,IF('INHERENT MAP'!$B$5=2022,#REF!,IF('INHERENT MAP'!$B$5=2023,#REF!,IF('INHERENT MAP'!$B$5=2024,#REF!,#REF!))))</f>
        <v>0</v>
      </c>
      <c r="I323">
        <f>IF('INHERENT MAP'!$B$5=2021,'РЕЕСТР РИСКОВ_2023'!M363,IF('INHERENT MAP'!$B$5=2022,#REF!,IF('INHERENT MAP'!$B$5=2023,#REF!,IF('INHERENT MAP'!$B$5=2024,#REF!,#REF!))))</f>
        <v>0</v>
      </c>
      <c r="J323">
        <f>IF('INHERENT MAP'!$B$5=2021,'РЕЕСТР РИСКОВ_2023'!N363,IF('INHERENT MAP'!$B$5=2022,#REF!,IF('INHERENT MAP'!$B$5=2023,#REF!,IF('INHERENT MAP'!$B$5=2024,#REF!,#REF!))))</f>
        <v>0</v>
      </c>
      <c r="K323">
        <f>IF('INHERENT MAP'!$B$5=2021,'РЕЕСТР РИСКОВ_2023'!O363,IF('INHERENT MAP'!$B$5=2022,#REF!,IF('INHERENT MAP'!$B$5=2023,#REF!,IF('INHERENT MAP'!$B$5=2024,#REF!,#REF!))))</f>
        <v>0</v>
      </c>
      <c r="L323">
        <f>IF('INHERENT MAP'!$B$5=2021,'РЕЕСТР РИСКОВ_2023'!P363,IF('INHERENT MAP'!$B$5=2022,#REF!,IF('INHERENT MAP'!$B$5=2023,#REF!,IF('INHERENT MAP'!$B$5=2024,#REF!,#REF!))))</f>
        <v>0</v>
      </c>
      <c r="M323" t="str">
        <f>IF('INHERENT MAP'!$B$5=2021,IF('РЕЕСТР РИСКОВ_2023'!Q363="",M322,'РЕЕСТР РИСКОВ_2023'!Q363),IF('INHERENT MAP'!$B$5=2022,IF(#REF!="",M322,#REF!),IF('INHERENT MAP'!$B$5=2023,IF(#REF!="",M322,#REF!),IF('INHERENT MAP'!$B$5=2024,IF(#REF!="",M322,#REF!),IF('РЕЕСТР РИСКОВ_2023'!Q363="",M322,'РЕЕСТР РИСКОВ_2023'!Q363)))))</f>
        <v>Увеличение базовой ставки Национального банка Республики Казахстан до 16%</v>
      </c>
      <c r="N323" t="str">
        <f>IF('INHERENT MAP'!$B$5=2021,IF('РЕЕСТР РИСКОВ_2023'!R363="",N322,'РЕЕСТР РИСКОВ_2023'!R363),IF('INHERENT MAP'!$B$5=2022,IF(#REF!="",N322,#REF!),IF('INHERENT MAP'!$B$5=2023,IF(#REF!="",N322,#REF!),IF('INHERENT MAP'!$B$5=2024,IF(#REF!="",N322,#REF!),IF('РЕЕСТР РИСКОВ_2023'!R363="",N322,'РЕЕСТР РИСКОВ_2023'!R363)))))</f>
        <v>Рецессия экономики европейских стран</v>
      </c>
      <c r="O323">
        <f>'РЕЕСТР РИСКОВ_2023'!T363</f>
        <v>0</v>
      </c>
      <c r="P323" t="e">
        <f>IF('РЕЕСТР РИСКОВ_2023'!U363="",P322,'РЕЕСТР РИСКОВ_2023'!U363)</f>
        <v>#REF!</v>
      </c>
      <c r="Q323" t="str">
        <f>IF('РЕЕСТР РИСКОВ_2023'!V363="",Q322,'РЕЕСТР РИСКОВ_2023'!V363)</f>
        <v>Угрозы</v>
      </c>
      <c r="R323" t="e">
        <f>IF('РЕЕСТР РИСКОВ_2023'!W363="",R322,'РЕЕСТР РИСКОВ_2023'!W363)</f>
        <v>#REF!</v>
      </c>
      <c r="S323">
        <f>'РЕЕСТР РИСКОВ_2023'!X363</f>
        <v>0</v>
      </c>
      <c r="T323" s="94">
        <f>IF('INHERENT MAP'!$B$5=2021,'РЕЕСТР РИСКОВ_2023'!Y363,IF('INHERENT MAP'!$B$5=2022,#REF!,IF('INHERENT MAP'!$B$5=2023,#REF!,IF('INHERENT MAP'!$B$5=2024,#REF!,#REF!))))</f>
        <v>0</v>
      </c>
      <c r="U323">
        <f>IF('INHERENT MAP'!$B$5=2021,'РЕЕСТР РИСКОВ_2023'!Z363,IF('INHERENT MAP'!$B$5=2022,#REF!,IF('INHERENT MAP'!$B$5=2023,#REF!,IF('INHERENT MAP'!$B$5=2024,#REF!,#REF!))))</f>
        <v>0</v>
      </c>
      <c r="V323">
        <f>IF('INHERENT MAP'!$B$5=2021,'РЕЕСТР РИСКОВ_2023'!AA363,IF('INHERENT MAP'!$B$5=2022,#REF!,IF('INHERENT MAP'!$B$5=2023,#REF!,IF('INHERENT MAP'!$B$5=2024,#REF!,#REF!))))</f>
        <v>0</v>
      </c>
      <c r="W323">
        <f>IF('INHERENT MAP'!$B$5=2021,'РЕЕСТР РИСКОВ_2023'!AB363,IF('INHERENT MAP'!$B$5=2022,#REF!,IF('INHERENT MAP'!$B$5=2023,#REF!,IF('INHERENT MAP'!$B$5=2024,#REF!,#REF!))))</f>
        <v>0</v>
      </c>
      <c r="X323" s="94">
        <f>IF('INHERENT MAP'!$B$5=2021,'РЕЕСТР РИСКОВ_2023'!AC363,IF('INHERENT MAP'!$B$5=2022,#REF!,IF('INHERENT MAP'!$B$5=2023,#REF!,IF('INHERENT MAP'!$B$5=2024,#REF!,#REF!))))</f>
        <v>0</v>
      </c>
      <c r="Y323">
        <f>IF('INHERENT MAP'!$B$5=2021,'РЕЕСТР РИСКОВ_2023'!AD363,IF('INHERENT MAP'!$B$5=2022,#REF!,IF('INHERENT MAP'!$B$5=2023,#REF!,IF('INHERENT MAP'!$B$5=2024,#REF!,#REF!))))</f>
        <v>0</v>
      </c>
      <c r="Z323">
        <f>IF('INHERENT MAP'!$B$5=2021,'РЕЕСТР РИСКОВ_2023'!AE363,IF('INHERENT MAP'!$B$5=2022,#REF!,IF('INHERENT MAP'!$B$5=2023,#REF!,IF('INHERENT MAP'!$B$5=2024,#REF!,#REF!))))</f>
        <v>0</v>
      </c>
      <c r="AA323">
        <f>IF('INHERENT MAP'!$B$5=2021,'РЕЕСТР РИСКОВ_2023'!AF363,IF('INHERENT MAP'!$B$5=2022,#REF!,IF('INHERENT MAP'!$B$5=2023,#REF!,IF('INHERENT MAP'!$B$5=2024,#REF!,#REF!))))</f>
        <v>0</v>
      </c>
      <c r="AB323">
        <f>IF('INHERENT MAP'!$B$5=2021,'РЕЕСТР РИСКОВ_2023'!AG363,IF('INHERENT MAP'!$B$5=2022,#REF!,IF('INHERENT MAP'!$B$5=2023,#REF!,IF('INHERENT MAP'!$B$5=2024,#REF!,#REF!))))</f>
        <v>0</v>
      </c>
      <c r="AC323">
        <f>IF('INHERENT MAP'!$B$5=2021,'РЕЕСТР РИСКОВ_2023'!AH363,IF('INHERENT MAP'!$B$5=2022,#REF!,IF('INHERENT MAP'!$B$5=2023,#REF!,IF('INHERENT MAP'!$B$5=2024,#REF!,#REF!))))</f>
        <v>0</v>
      </c>
      <c r="AD323">
        <f>IF('INHERENT MAP'!$B$5=2021,'РЕЕСТР РИСКОВ_2023'!AI363,IF('INHERENT MAP'!$B$5=2022,#REF!,IF('INHERENT MAP'!$B$5=2023,#REF!,IF('INHERENT MAP'!$B$5=2024,#REF!,#REF!))))</f>
        <v>0</v>
      </c>
      <c r="AE323">
        <f>IF('INHERENT MAP'!$B$5=2021,'РЕЕСТР РИСКОВ_2023'!AK363,IF('INHERENT MAP'!$B$5=2022,#REF!,IF('INHERENT MAP'!$B$5=2023,#REF!,IF('INHERENT MAP'!$B$5=2024,#REF!,#REF!))))</f>
        <v>0</v>
      </c>
      <c r="AF323">
        <f>IF('INHERENT MAP'!$B$5=2021,'РЕЕСТР РИСКОВ_2023'!AL363,IF('INHERENT MAP'!$B$5=2022,#REF!,IF('INHERENT MAP'!$B$5=2023,#REF!,IF('INHERENT MAP'!$B$5=2024,#REF!,#REF!))))</f>
        <v>0</v>
      </c>
      <c r="AG323">
        <f>IF('INHERENT MAP'!$B$5=2021,'РЕЕСТР РИСКОВ_2023'!AM363,IF('INHERENT MAP'!$B$5=2022,#REF!,IF('INHERENT MAP'!$B$5=2023,#REF!,IF('INHERENT MAP'!$B$5=2024,#REF!,#REF!))))</f>
        <v>0</v>
      </c>
      <c r="AH323">
        <f>IF('INHERENT MAP'!$B$5=2021,'РЕЕСТР РИСКОВ_2023'!AN363,IF('INHERENT MAP'!$B$5=2022,#REF!,IF('INHERENT MAP'!$B$5=2023,#REF!,IF('INHERENT MAP'!$B$5=2024,#REF!,#REF!))))</f>
        <v>0</v>
      </c>
      <c r="AI323">
        <f>IF('INHERENT MAP'!$B$5=2021,'РЕЕСТР РИСКОВ_2023'!AO363,IF('INHERENT MAP'!$B$5=2022,#REF!,IF('INHERENT MAP'!$B$5=2023,#REF!,IF('INHERENT MAP'!$B$5=2024,#REF!,#REF!))))</f>
        <v>0</v>
      </c>
      <c r="AJ323">
        <f>IF('INHERENT MAP'!$B$5=2021,'РЕЕСТР РИСКОВ_2023'!AP363,IF('INHERENT MAP'!$B$5=2022,#REF!,IF('INHERENT MAP'!$B$5=2023,#REF!,IF('INHERENT MAP'!$B$5=2024,#REF!,#REF!))))</f>
        <v>0</v>
      </c>
      <c r="AK323">
        <f>IF('РЕЕСТР РИСКОВ_2023'!AQ363="",AK322,'РЕЕСТР РИСКОВ_2023'!AQ363)</f>
        <v>-216</v>
      </c>
      <c r="AL323">
        <f>IF('РЕЕСТР РИСКОВ_2023'!AR363="",AL322,'РЕЕСТР РИСКОВ_2023'!AR363)</f>
        <v>0.12</v>
      </c>
      <c r="AM323" t="str">
        <f>IF('РЕЕСТР РИСКОВ_2023'!AS363="",AM322,'РЕЕСТР РИСКОВ_2023'!AS363)</f>
        <v>стоп</v>
      </c>
      <c r="AN323" t="str">
        <f>IF('РЕЕСТР РИСКОВ_2023'!AT363="",AN322,'РЕЕСТР РИСКОВ_2023'!AT363)</f>
        <v>стоп</v>
      </c>
      <c r="AO323" t="e">
        <f>IF('РЕЕСТР РИСКОВ_2023'!AU363="",AO322,'РЕЕСТР РИСКОВ_2023'!AU363)</f>
        <v>#REF!</v>
      </c>
    </row>
    <row r="324" spans="2:41">
      <c r="B324" t="str">
        <f>IF('INHERENT MAP'!$B$5=2021,IF('РЕЕСТР РИСКОВ_2023'!F364="",B323,'РЕЕСТР РИСКОВ_2023'!F364),IF('INHERENT MAP'!$B$5=2022,IF(#REF!="",B323,#REF!),IF('INHERENT MAP'!$B$5=2023,IF(#REF!="",B323,#REF!),IF('INHERENT MAP'!$B$5=2024,IF(#REF!="",B323,#REF!),IF('РЕЕСТР РИСКОВ_2023'!F364="",B323,'РЕЕСТР РИСКОВ_2023'!F364)))))</f>
        <v>ПРОЦЕНТНЫЙ РИСК</v>
      </c>
      <c r="C324" t="e">
        <f>IF('INHERENT MAP'!$B$5=2021,IF('РЕЕСТР РИСКОВ_2023'!G364="",C323,'РЕЕСТР РИСКОВ_2023'!G364),IF('INHERENT MAP'!$B$5=2022,IF(#REF!="",C323,#REF!),IF('INHERENT MAP'!$B$5=2023,IF(#REF!="",C323,#REF!),IF('INHERENT MAP'!$B$5=2024,IF(#REF!="",C323,#REF!),IF('РЕЕСТР РИСКОВ_2023'!G364="",C323,'РЕЕСТР РИСКОВ_2023'!G364)))))</f>
        <v>#REF!</v>
      </c>
      <c r="D324" t="str">
        <f>IF('INHERENT MAP'!$B$5=2021,IF('РЕЕСТР РИСКОВ_2023'!H364="",D323,'РЕЕСТР РИСКОВ_2023'!H364),IF('INHERENT MAP'!$B$5=2022,IF(#REF!="",D323,#REF!),IF('INHERENT MAP'!$B$5=2023,IF(#REF!="",D323,#REF!),IF('INHERENT MAP'!$B$5=2024,IF(#REF!="",D323,#REF!),IF('РЕЕСТР РИСКОВ_2023'!H364="",D323,'РЕЕСТР РИСКОВ_2023'!H364)))))</f>
        <v>IRR-1</v>
      </c>
      <c r="E324" t="str">
        <f>IF('INHERENT MAP'!$B$5=2021,IF('РЕЕСТР РИСКОВ_2023'!I364="",E323,'РЕЕСТР РИСКОВ_2023'!I364),IF('INHERENT MAP'!$B$5=2022,IF(#REF!="",E323,#REF!),IF('INHERENT MAP'!$B$5=2023,IF(#REF!="",E323,#REF!),IF('INHERENT MAP'!$B$5=2024,IF(#REF!="",E323,#REF!),IF('РЕЕСТР РИСКОВ_2023'!I364="",E323,'РЕЕСТР РИСКОВ_2023'!I364)))))</f>
        <v>ЦЗФ</v>
      </c>
      <c r="F324" t="str">
        <f>IF('INHERENT MAP'!$B$5=2021,IF('РЕЕСТР РИСКОВ_2023'!J364="",F323,'РЕЕСТР РИСКОВ_2023'!J364),IF('INHERENT MAP'!$B$5=2022,IF(#REF!="",F323,#REF!),IF('INHERENT MAP'!$B$5=2023,IF(#REF!="",F323,#REF!),IF('INHERENT MAP'!$B$5=2024,IF(#REF!="",F323,#REF!),IF('РЕЕСТР РИСКОВ_2023'!J364="",F323,'РЕЕСТР РИСКОВ_2023'!J364)))))</f>
        <v>Цзайм</v>
      </c>
      <c r="G324" t="str">
        <f>IF('INHERENT MAP'!$B$5=2021,IF('РЕЕСТР РИСКОВ_2023'!K364="",G323,'РЕЕСТР РИСКОВ_2023'!K364),IF('INHERENT MAP'!$B$5=2022,IF(#REF!="",G323,#REF!),IF('INHERENT MAP'!$B$5=2023,IF(#REF!="",G323,#REF!),IF('INHERENT MAP'!$B$5=2024,IF(#REF!="",G323,#REF!),IF('РЕЕСТР РИСКОВ_2023'!K364="",G323,'РЕЕСТР РИСКОВ_2023'!K364)))))</f>
        <v>Увеличение расходов по процентам на новые займы, а также текущие займы (с плавающей ставкой) в тенге.</v>
      </c>
      <c r="H324">
        <f>IF('INHERENT MAP'!$B$5=2021,'РЕЕСТР РИСКОВ_2023'!L364,IF('INHERENT MAP'!$B$5=2022,#REF!,IF('INHERENT MAP'!$B$5=2023,#REF!,IF('INHERENT MAP'!$B$5=2024,#REF!,#REF!))))</f>
        <v>0</v>
      </c>
      <c r="I324">
        <f>IF('INHERENT MAP'!$B$5=2021,'РЕЕСТР РИСКОВ_2023'!M364,IF('INHERENT MAP'!$B$5=2022,#REF!,IF('INHERENT MAP'!$B$5=2023,#REF!,IF('INHERENT MAP'!$B$5=2024,#REF!,#REF!))))</f>
        <v>0</v>
      </c>
      <c r="J324">
        <f>IF('INHERENT MAP'!$B$5=2021,'РЕЕСТР РИСКОВ_2023'!N364,IF('INHERENT MAP'!$B$5=2022,#REF!,IF('INHERENT MAP'!$B$5=2023,#REF!,IF('INHERENT MAP'!$B$5=2024,#REF!,#REF!))))</f>
        <v>0</v>
      </c>
      <c r="K324">
        <f>IF('INHERENT MAP'!$B$5=2021,'РЕЕСТР РИСКОВ_2023'!O364,IF('INHERENT MAP'!$B$5=2022,#REF!,IF('INHERENT MAP'!$B$5=2023,#REF!,IF('INHERENT MAP'!$B$5=2024,#REF!,#REF!))))</f>
        <v>0</v>
      </c>
      <c r="L324">
        <f>IF('INHERENT MAP'!$B$5=2021,'РЕЕСТР РИСКОВ_2023'!P364,IF('INHERENT MAP'!$B$5=2022,#REF!,IF('INHERENT MAP'!$B$5=2023,#REF!,IF('INHERENT MAP'!$B$5=2024,#REF!,#REF!))))</f>
        <v>0</v>
      </c>
      <c r="M324" t="str">
        <f>IF('INHERENT MAP'!$B$5=2021,IF('РЕЕСТР РИСКОВ_2023'!Q364="",M323,'РЕЕСТР РИСКОВ_2023'!Q364),IF('INHERENT MAP'!$B$5=2022,IF(#REF!="",M323,#REF!),IF('INHERENT MAP'!$B$5=2023,IF(#REF!="",M323,#REF!),IF('INHERENT MAP'!$B$5=2024,IF(#REF!="",M323,#REF!),IF('РЕЕСТР РИСКОВ_2023'!Q364="",M323,'РЕЕСТР РИСКОВ_2023'!Q364)))))</f>
        <v>Увеличение базовой ставки Национального банка Республики Казахстан до 16%</v>
      </c>
      <c r="N324" t="str">
        <f>IF('INHERENT MAP'!$B$5=2021,IF('РЕЕСТР РИСКОВ_2023'!R364="",N323,'РЕЕСТР РИСКОВ_2023'!R364),IF('INHERENT MAP'!$B$5=2022,IF(#REF!="",N323,#REF!),IF('INHERENT MAP'!$B$5=2023,IF(#REF!="",N323,#REF!),IF('INHERENT MAP'!$B$5=2024,IF(#REF!="",N323,#REF!),IF('РЕЕСТР РИСКОВ_2023'!R364="",N323,'РЕЕСТР РИСКОВ_2023'!R364)))))</f>
        <v>Рецессия экономики европейских стран</v>
      </c>
      <c r="O324">
        <f>'РЕЕСТР РИСКОВ_2023'!T364</f>
        <v>0</v>
      </c>
      <c r="P324" t="e">
        <f>IF('РЕЕСТР РИСКОВ_2023'!U364="",P323,'РЕЕСТР РИСКОВ_2023'!U364)</f>
        <v>#REF!</v>
      </c>
      <c r="Q324" t="str">
        <f>IF('РЕЕСТР РИСКОВ_2023'!V364="",Q323,'РЕЕСТР РИСКОВ_2023'!V364)</f>
        <v>Угрозы</v>
      </c>
      <c r="R324" t="e">
        <f>IF('РЕЕСТР РИСКОВ_2023'!W364="",R323,'РЕЕСТР РИСКОВ_2023'!W364)</f>
        <v>#REF!</v>
      </c>
      <c r="S324">
        <f>'РЕЕСТР РИСКОВ_2023'!X364</f>
        <v>0</v>
      </c>
      <c r="T324" s="94">
        <f>IF('INHERENT MAP'!$B$5=2021,'РЕЕСТР РИСКОВ_2023'!Y364,IF('INHERENT MAP'!$B$5=2022,#REF!,IF('INHERENT MAP'!$B$5=2023,#REF!,IF('INHERENT MAP'!$B$5=2024,#REF!,#REF!))))</f>
        <v>0</v>
      </c>
      <c r="U324">
        <f>IF('INHERENT MAP'!$B$5=2021,'РЕЕСТР РИСКОВ_2023'!Z364,IF('INHERENT MAP'!$B$5=2022,#REF!,IF('INHERENT MAP'!$B$5=2023,#REF!,IF('INHERENT MAP'!$B$5=2024,#REF!,#REF!))))</f>
        <v>0</v>
      </c>
      <c r="V324">
        <f>IF('INHERENT MAP'!$B$5=2021,'РЕЕСТР РИСКОВ_2023'!AA364,IF('INHERENT MAP'!$B$5=2022,#REF!,IF('INHERENT MAP'!$B$5=2023,#REF!,IF('INHERENT MAP'!$B$5=2024,#REF!,#REF!))))</f>
        <v>0</v>
      </c>
      <c r="W324">
        <f>IF('INHERENT MAP'!$B$5=2021,'РЕЕСТР РИСКОВ_2023'!AB364,IF('INHERENT MAP'!$B$5=2022,#REF!,IF('INHERENT MAP'!$B$5=2023,#REF!,IF('INHERENT MAP'!$B$5=2024,#REF!,#REF!))))</f>
        <v>0</v>
      </c>
      <c r="X324" s="94">
        <f>IF('INHERENT MAP'!$B$5=2021,'РЕЕСТР РИСКОВ_2023'!AC364,IF('INHERENT MAP'!$B$5=2022,#REF!,IF('INHERENT MAP'!$B$5=2023,#REF!,IF('INHERENT MAP'!$B$5=2024,#REF!,#REF!))))</f>
        <v>0</v>
      </c>
      <c r="Y324">
        <f>IF('INHERENT MAP'!$B$5=2021,'РЕЕСТР РИСКОВ_2023'!AD364,IF('INHERENT MAP'!$B$5=2022,#REF!,IF('INHERENT MAP'!$B$5=2023,#REF!,IF('INHERENT MAP'!$B$5=2024,#REF!,#REF!))))</f>
        <v>0</v>
      </c>
      <c r="Z324">
        <f>IF('INHERENT MAP'!$B$5=2021,'РЕЕСТР РИСКОВ_2023'!AE364,IF('INHERENT MAP'!$B$5=2022,#REF!,IF('INHERENT MAP'!$B$5=2023,#REF!,IF('INHERENT MAP'!$B$5=2024,#REF!,#REF!))))</f>
        <v>0</v>
      </c>
      <c r="AA324">
        <f>IF('INHERENT MAP'!$B$5=2021,'РЕЕСТР РИСКОВ_2023'!AF364,IF('INHERENT MAP'!$B$5=2022,#REF!,IF('INHERENT MAP'!$B$5=2023,#REF!,IF('INHERENT MAP'!$B$5=2024,#REF!,#REF!))))</f>
        <v>0</v>
      </c>
      <c r="AB324">
        <f>IF('INHERENT MAP'!$B$5=2021,'РЕЕСТР РИСКОВ_2023'!AG364,IF('INHERENT MAP'!$B$5=2022,#REF!,IF('INHERENT MAP'!$B$5=2023,#REF!,IF('INHERENT MAP'!$B$5=2024,#REF!,#REF!))))</f>
        <v>0</v>
      </c>
      <c r="AC324">
        <f>IF('INHERENT MAP'!$B$5=2021,'РЕЕСТР РИСКОВ_2023'!AH364,IF('INHERENT MAP'!$B$5=2022,#REF!,IF('INHERENT MAP'!$B$5=2023,#REF!,IF('INHERENT MAP'!$B$5=2024,#REF!,#REF!))))</f>
        <v>0</v>
      </c>
      <c r="AD324">
        <f>IF('INHERENT MAP'!$B$5=2021,'РЕЕСТР РИСКОВ_2023'!AI364,IF('INHERENT MAP'!$B$5=2022,#REF!,IF('INHERENT MAP'!$B$5=2023,#REF!,IF('INHERENT MAP'!$B$5=2024,#REF!,#REF!))))</f>
        <v>0</v>
      </c>
      <c r="AE324">
        <f>IF('INHERENT MAP'!$B$5=2021,'РЕЕСТР РИСКОВ_2023'!AK364,IF('INHERENT MAP'!$B$5=2022,#REF!,IF('INHERENT MAP'!$B$5=2023,#REF!,IF('INHERENT MAP'!$B$5=2024,#REF!,#REF!))))</f>
        <v>0</v>
      </c>
      <c r="AF324">
        <f>IF('INHERENT MAP'!$B$5=2021,'РЕЕСТР РИСКОВ_2023'!AL364,IF('INHERENT MAP'!$B$5=2022,#REF!,IF('INHERENT MAP'!$B$5=2023,#REF!,IF('INHERENT MAP'!$B$5=2024,#REF!,#REF!))))</f>
        <v>0</v>
      </c>
      <c r="AG324">
        <f>IF('INHERENT MAP'!$B$5=2021,'РЕЕСТР РИСКОВ_2023'!AM364,IF('INHERENT MAP'!$B$5=2022,#REF!,IF('INHERENT MAP'!$B$5=2023,#REF!,IF('INHERENT MAP'!$B$5=2024,#REF!,#REF!))))</f>
        <v>0</v>
      </c>
      <c r="AH324">
        <f>IF('INHERENT MAP'!$B$5=2021,'РЕЕСТР РИСКОВ_2023'!AN364,IF('INHERENT MAP'!$B$5=2022,#REF!,IF('INHERENT MAP'!$B$5=2023,#REF!,IF('INHERENT MAP'!$B$5=2024,#REF!,#REF!))))</f>
        <v>0</v>
      </c>
      <c r="AI324">
        <f>IF('INHERENT MAP'!$B$5=2021,'РЕЕСТР РИСКОВ_2023'!AO364,IF('INHERENT MAP'!$B$5=2022,#REF!,IF('INHERENT MAP'!$B$5=2023,#REF!,IF('INHERENT MAP'!$B$5=2024,#REF!,#REF!))))</f>
        <v>0</v>
      </c>
      <c r="AJ324">
        <f>IF('INHERENT MAP'!$B$5=2021,'РЕЕСТР РИСКОВ_2023'!AP364,IF('INHERENT MAP'!$B$5=2022,#REF!,IF('INHERENT MAP'!$B$5=2023,#REF!,IF('INHERENT MAP'!$B$5=2024,#REF!,#REF!))))</f>
        <v>0</v>
      </c>
      <c r="AK324">
        <f>IF('РЕЕСТР РИСКОВ_2023'!AQ364="",AK323,'РЕЕСТР РИСКОВ_2023'!AQ364)</f>
        <v>-216</v>
      </c>
      <c r="AL324">
        <f>IF('РЕЕСТР РИСКОВ_2023'!AR364="",AL323,'РЕЕСТР РИСКОВ_2023'!AR364)</f>
        <v>0.12</v>
      </c>
      <c r="AM324" t="str">
        <f>IF('РЕЕСТР РИСКОВ_2023'!AS364="",AM323,'РЕЕСТР РИСКОВ_2023'!AS364)</f>
        <v>стоп</v>
      </c>
      <c r="AN324" t="str">
        <f>IF('РЕЕСТР РИСКОВ_2023'!AT364="",AN323,'РЕЕСТР РИСКОВ_2023'!AT364)</f>
        <v>стоп</v>
      </c>
      <c r="AO324" t="e">
        <f>IF('РЕЕСТР РИСКОВ_2023'!AU364="",AO323,'РЕЕСТР РИСКОВ_2023'!AU364)</f>
        <v>#REF!</v>
      </c>
    </row>
    <row r="325" spans="2:41">
      <c r="B325" t="str">
        <f>IF('INHERENT MAP'!$B$5=2021,IF('РЕЕСТР РИСКОВ_2023'!F365="",B324,'РЕЕСТР РИСКОВ_2023'!F365),IF('INHERENT MAP'!$B$5=2022,IF(#REF!="",B324,#REF!),IF('INHERENT MAP'!$B$5=2023,IF(#REF!="",B324,#REF!),IF('INHERENT MAP'!$B$5=2024,IF(#REF!="",B324,#REF!),IF('РЕЕСТР РИСКОВ_2023'!F365="",B324,'РЕЕСТР РИСКОВ_2023'!F365)))))</f>
        <v>ПРОЦЕНТНЫЙ РИСК</v>
      </c>
      <c r="C325" t="e">
        <f>IF('INHERENT MAP'!$B$5=2021,IF('РЕЕСТР РИСКОВ_2023'!G365="",C324,'РЕЕСТР РИСКОВ_2023'!G365),IF('INHERENT MAP'!$B$5=2022,IF(#REF!="",C324,#REF!),IF('INHERENT MAP'!$B$5=2023,IF(#REF!="",C324,#REF!),IF('INHERENT MAP'!$B$5=2024,IF(#REF!="",C324,#REF!),IF('РЕЕСТР РИСКОВ_2023'!G365="",C324,'РЕЕСТР РИСКОВ_2023'!G365)))))</f>
        <v>#REF!</v>
      </c>
      <c r="D325" t="str">
        <f>IF('INHERENT MAP'!$B$5=2021,IF('РЕЕСТР РИСКОВ_2023'!H365="",D324,'РЕЕСТР РИСКОВ_2023'!H365),IF('INHERENT MAP'!$B$5=2022,IF(#REF!="",D324,#REF!),IF('INHERENT MAP'!$B$5=2023,IF(#REF!="",D324,#REF!),IF('INHERENT MAP'!$B$5=2024,IF(#REF!="",D324,#REF!),IF('РЕЕСТР РИСКОВ_2023'!H365="",D324,'РЕЕСТР РИСКОВ_2023'!H365)))))</f>
        <v>IRR-1</v>
      </c>
      <c r="E325" t="str">
        <f>IF('INHERENT MAP'!$B$5=2021,IF('РЕЕСТР РИСКОВ_2023'!I365="",E324,'РЕЕСТР РИСКОВ_2023'!I365),IF('INHERENT MAP'!$B$5=2022,IF(#REF!="",E324,#REF!),IF('INHERENT MAP'!$B$5=2023,IF(#REF!="",E324,#REF!),IF('INHERENT MAP'!$B$5=2024,IF(#REF!="",E324,#REF!),IF('РЕЕСТР РИСКОВ_2023'!I365="",E324,'РЕЕСТР РИСКОВ_2023'!I365)))))</f>
        <v>ЦЗФ</v>
      </c>
      <c r="F325" t="str">
        <f>IF('INHERENT MAP'!$B$5=2021,IF('РЕЕСТР РИСКОВ_2023'!J365="",F324,'РЕЕСТР РИСКОВ_2023'!J365),IF('INHERENT MAP'!$B$5=2022,IF(#REF!="",F324,#REF!),IF('INHERENT MAP'!$B$5=2023,IF(#REF!="",F324,#REF!),IF('INHERENT MAP'!$B$5=2024,IF(#REF!="",F324,#REF!),IF('РЕЕСТР РИСКОВ_2023'!J365="",F324,'РЕЕСТР РИСКОВ_2023'!J365)))))</f>
        <v>Цзайм</v>
      </c>
      <c r="G325" t="str">
        <f>IF('INHERENT MAP'!$B$5=2021,IF('РЕЕСТР РИСКОВ_2023'!K365="",G324,'РЕЕСТР РИСКОВ_2023'!K365),IF('INHERENT MAP'!$B$5=2022,IF(#REF!="",G324,#REF!),IF('INHERENT MAP'!$B$5=2023,IF(#REF!="",G324,#REF!),IF('INHERENT MAP'!$B$5=2024,IF(#REF!="",G324,#REF!),IF('РЕЕСТР РИСКОВ_2023'!K365="",G324,'РЕЕСТР РИСКОВ_2023'!K365)))))</f>
        <v>Увеличение расходов по процентам на новые займы, а также текущие займы (с плавающей ставкой) в тенге.</v>
      </c>
      <c r="H325">
        <f>IF('INHERENT MAP'!$B$5=2021,'РЕЕСТР РИСКОВ_2023'!L365,IF('INHERENT MAP'!$B$5=2022,#REF!,IF('INHERENT MAP'!$B$5=2023,#REF!,IF('INHERENT MAP'!$B$5=2024,#REF!,#REF!))))</f>
        <v>0</v>
      </c>
      <c r="I325">
        <f>IF('INHERENT MAP'!$B$5=2021,'РЕЕСТР РИСКОВ_2023'!M365,IF('INHERENT MAP'!$B$5=2022,#REF!,IF('INHERENT MAP'!$B$5=2023,#REF!,IF('INHERENT MAP'!$B$5=2024,#REF!,#REF!))))</f>
        <v>0</v>
      </c>
      <c r="J325">
        <f>IF('INHERENT MAP'!$B$5=2021,'РЕЕСТР РИСКОВ_2023'!N365,IF('INHERENT MAP'!$B$5=2022,#REF!,IF('INHERENT MAP'!$B$5=2023,#REF!,IF('INHERENT MAP'!$B$5=2024,#REF!,#REF!))))</f>
        <v>0</v>
      </c>
      <c r="K325">
        <f>IF('INHERENT MAP'!$B$5=2021,'РЕЕСТР РИСКОВ_2023'!O365,IF('INHERENT MAP'!$B$5=2022,#REF!,IF('INHERENT MAP'!$B$5=2023,#REF!,IF('INHERENT MAP'!$B$5=2024,#REF!,#REF!))))</f>
        <v>0</v>
      </c>
      <c r="L325">
        <f>IF('INHERENT MAP'!$B$5=2021,'РЕЕСТР РИСКОВ_2023'!P365,IF('INHERENT MAP'!$B$5=2022,#REF!,IF('INHERENT MAP'!$B$5=2023,#REF!,IF('INHERENT MAP'!$B$5=2024,#REF!,#REF!))))</f>
        <v>0</v>
      </c>
      <c r="M325" t="str">
        <f>IF('INHERENT MAP'!$B$5=2021,IF('РЕЕСТР РИСКОВ_2023'!Q365="",M324,'РЕЕСТР РИСКОВ_2023'!Q365),IF('INHERENT MAP'!$B$5=2022,IF(#REF!="",M324,#REF!),IF('INHERENT MAP'!$B$5=2023,IF(#REF!="",M324,#REF!),IF('INHERENT MAP'!$B$5=2024,IF(#REF!="",M324,#REF!),IF('РЕЕСТР РИСКОВ_2023'!Q365="",M324,'РЕЕСТР РИСКОВ_2023'!Q365)))))</f>
        <v>Увеличение базовой ставки Национального банка Республики Казахстан до 16%</v>
      </c>
      <c r="N325" t="str">
        <f>IF('INHERENT MAP'!$B$5=2021,IF('РЕЕСТР РИСКОВ_2023'!R365="",N324,'РЕЕСТР РИСКОВ_2023'!R365),IF('INHERENT MAP'!$B$5=2022,IF(#REF!="",N324,#REF!),IF('INHERENT MAP'!$B$5=2023,IF(#REF!="",N324,#REF!),IF('INHERENT MAP'!$B$5=2024,IF(#REF!="",N324,#REF!),IF('РЕЕСТР РИСКОВ_2023'!R365="",N324,'РЕЕСТР РИСКОВ_2023'!R365)))))</f>
        <v>Рецессия экономики европейских стран</v>
      </c>
      <c r="O325">
        <f>'РЕЕСТР РИСКОВ_2023'!T365</f>
        <v>0</v>
      </c>
      <c r="P325" t="e">
        <f>IF('РЕЕСТР РИСКОВ_2023'!U365="",P324,'РЕЕСТР РИСКОВ_2023'!U365)</f>
        <v>#REF!</v>
      </c>
      <c r="Q325" t="str">
        <f>IF('РЕЕСТР РИСКОВ_2023'!V365="",Q324,'РЕЕСТР РИСКОВ_2023'!V365)</f>
        <v>Угрозы</v>
      </c>
      <c r="R325" t="e">
        <f>IF('РЕЕСТР РИСКОВ_2023'!W365="",R324,'РЕЕСТР РИСКОВ_2023'!W365)</f>
        <v>#REF!</v>
      </c>
      <c r="S325">
        <f>'РЕЕСТР РИСКОВ_2023'!X365</f>
        <v>0</v>
      </c>
      <c r="T325" s="94">
        <f>IF('INHERENT MAP'!$B$5=2021,'РЕЕСТР РИСКОВ_2023'!Y365,IF('INHERENT MAP'!$B$5=2022,#REF!,IF('INHERENT MAP'!$B$5=2023,#REF!,IF('INHERENT MAP'!$B$5=2024,#REF!,#REF!))))</f>
        <v>0</v>
      </c>
      <c r="U325">
        <f>IF('INHERENT MAP'!$B$5=2021,'РЕЕСТР РИСКОВ_2023'!Z365,IF('INHERENT MAP'!$B$5=2022,#REF!,IF('INHERENT MAP'!$B$5=2023,#REF!,IF('INHERENT MAP'!$B$5=2024,#REF!,#REF!))))</f>
        <v>0</v>
      </c>
      <c r="V325">
        <f>IF('INHERENT MAP'!$B$5=2021,'РЕЕСТР РИСКОВ_2023'!AA365,IF('INHERENT MAP'!$B$5=2022,#REF!,IF('INHERENT MAP'!$B$5=2023,#REF!,IF('INHERENT MAP'!$B$5=2024,#REF!,#REF!))))</f>
        <v>0</v>
      </c>
      <c r="W325">
        <f>IF('INHERENT MAP'!$B$5=2021,'РЕЕСТР РИСКОВ_2023'!AB365,IF('INHERENT MAP'!$B$5=2022,#REF!,IF('INHERENT MAP'!$B$5=2023,#REF!,IF('INHERENT MAP'!$B$5=2024,#REF!,#REF!))))</f>
        <v>0</v>
      </c>
      <c r="X325" s="94">
        <f>IF('INHERENT MAP'!$B$5=2021,'РЕЕСТР РИСКОВ_2023'!AC365,IF('INHERENT MAP'!$B$5=2022,#REF!,IF('INHERENT MAP'!$B$5=2023,#REF!,IF('INHERENT MAP'!$B$5=2024,#REF!,#REF!))))</f>
        <v>0</v>
      </c>
      <c r="Y325">
        <f>IF('INHERENT MAP'!$B$5=2021,'РЕЕСТР РИСКОВ_2023'!AD365,IF('INHERENT MAP'!$B$5=2022,#REF!,IF('INHERENT MAP'!$B$5=2023,#REF!,IF('INHERENT MAP'!$B$5=2024,#REF!,#REF!))))</f>
        <v>0</v>
      </c>
      <c r="Z325">
        <f>IF('INHERENT MAP'!$B$5=2021,'РЕЕСТР РИСКОВ_2023'!AE365,IF('INHERENT MAP'!$B$5=2022,#REF!,IF('INHERENT MAP'!$B$5=2023,#REF!,IF('INHERENT MAP'!$B$5=2024,#REF!,#REF!))))</f>
        <v>0</v>
      </c>
      <c r="AA325">
        <f>IF('INHERENT MAP'!$B$5=2021,'РЕЕСТР РИСКОВ_2023'!AF365,IF('INHERENT MAP'!$B$5=2022,#REF!,IF('INHERENT MAP'!$B$5=2023,#REF!,IF('INHERENT MAP'!$B$5=2024,#REF!,#REF!))))</f>
        <v>0</v>
      </c>
      <c r="AB325">
        <f>IF('INHERENT MAP'!$B$5=2021,'РЕЕСТР РИСКОВ_2023'!AG365,IF('INHERENT MAP'!$B$5=2022,#REF!,IF('INHERENT MAP'!$B$5=2023,#REF!,IF('INHERENT MAP'!$B$5=2024,#REF!,#REF!))))</f>
        <v>0</v>
      </c>
      <c r="AC325">
        <f>IF('INHERENT MAP'!$B$5=2021,'РЕЕСТР РИСКОВ_2023'!AH365,IF('INHERENT MAP'!$B$5=2022,#REF!,IF('INHERENT MAP'!$B$5=2023,#REF!,IF('INHERENT MAP'!$B$5=2024,#REF!,#REF!))))</f>
        <v>0</v>
      </c>
      <c r="AD325">
        <f>IF('INHERENT MAP'!$B$5=2021,'РЕЕСТР РИСКОВ_2023'!AI365,IF('INHERENT MAP'!$B$5=2022,#REF!,IF('INHERENT MAP'!$B$5=2023,#REF!,IF('INHERENT MAP'!$B$5=2024,#REF!,#REF!))))</f>
        <v>0</v>
      </c>
      <c r="AE325">
        <f>IF('INHERENT MAP'!$B$5=2021,'РЕЕСТР РИСКОВ_2023'!AK365,IF('INHERENT MAP'!$B$5=2022,#REF!,IF('INHERENT MAP'!$B$5=2023,#REF!,IF('INHERENT MAP'!$B$5=2024,#REF!,#REF!))))</f>
        <v>0</v>
      </c>
      <c r="AF325">
        <f>IF('INHERENT MAP'!$B$5=2021,'РЕЕСТР РИСКОВ_2023'!AL365,IF('INHERENT MAP'!$B$5=2022,#REF!,IF('INHERENT MAP'!$B$5=2023,#REF!,IF('INHERENT MAP'!$B$5=2024,#REF!,#REF!))))</f>
        <v>0</v>
      </c>
      <c r="AG325">
        <f>IF('INHERENT MAP'!$B$5=2021,'РЕЕСТР РИСКОВ_2023'!AM365,IF('INHERENT MAP'!$B$5=2022,#REF!,IF('INHERENT MAP'!$B$5=2023,#REF!,IF('INHERENT MAP'!$B$5=2024,#REF!,#REF!))))</f>
        <v>0</v>
      </c>
      <c r="AH325">
        <f>IF('INHERENT MAP'!$B$5=2021,'РЕЕСТР РИСКОВ_2023'!AN365,IF('INHERENT MAP'!$B$5=2022,#REF!,IF('INHERENT MAP'!$B$5=2023,#REF!,IF('INHERENT MAP'!$B$5=2024,#REF!,#REF!))))</f>
        <v>0</v>
      </c>
      <c r="AI325">
        <f>IF('INHERENT MAP'!$B$5=2021,'РЕЕСТР РИСКОВ_2023'!AO365,IF('INHERENT MAP'!$B$5=2022,#REF!,IF('INHERENT MAP'!$B$5=2023,#REF!,IF('INHERENT MAP'!$B$5=2024,#REF!,#REF!))))</f>
        <v>0</v>
      </c>
      <c r="AJ325">
        <f>IF('INHERENT MAP'!$B$5=2021,'РЕЕСТР РИСКОВ_2023'!AP365,IF('INHERENT MAP'!$B$5=2022,#REF!,IF('INHERENT MAP'!$B$5=2023,#REF!,IF('INHERENT MAP'!$B$5=2024,#REF!,#REF!))))</f>
        <v>0</v>
      </c>
      <c r="AK325">
        <f>IF('РЕЕСТР РИСКОВ_2023'!AQ365="",AK324,'РЕЕСТР РИСКОВ_2023'!AQ365)</f>
        <v>-216</v>
      </c>
      <c r="AL325">
        <f>IF('РЕЕСТР РИСКОВ_2023'!AR365="",AL324,'РЕЕСТР РИСКОВ_2023'!AR365)</f>
        <v>0.12</v>
      </c>
      <c r="AM325" t="str">
        <f>IF('РЕЕСТР РИСКОВ_2023'!AS365="",AM324,'РЕЕСТР РИСКОВ_2023'!AS365)</f>
        <v>стоп</v>
      </c>
      <c r="AN325" t="str">
        <f>IF('РЕЕСТР РИСКОВ_2023'!AT365="",AN324,'РЕЕСТР РИСКОВ_2023'!AT365)</f>
        <v>стоп</v>
      </c>
      <c r="AO325" t="e">
        <f>IF('РЕЕСТР РИСКОВ_2023'!AU365="",AO324,'РЕЕСТР РИСКОВ_2023'!AU365)</f>
        <v>#REF!</v>
      </c>
    </row>
    <row r="326" spans="2:41">
      <c r="B326" t="str">
        <f>IF('INHERENT MAP'!$B$5=2021,IF('РЕЕСТР РИСКОВ_2023'!F366="",B325,'РЕЕСТР РИСКОВ_2023'!F366),IF('INHERENT MAP'!$B$5=2022,IF(#REF!="",B325,#REF!),IF('INHERENT MAP'!$B$5=2023,IF(#REF!="",B325,#REF!),IF('INHERENT MAP'!$B$5=2024,IF(#REF!="",B325,#REF!),IF('РЕЕСТР РИСКОВ_2023'!F366="",B325,'РЕЕСТР РИСКОВ_2023'!F366)))))</f>
        <v>ПРОЦЕНТНЫЙ РИСК</v>
      </c>
      <c r="C326" t="e">
        <f>IF('INHERENT MAP'!$B$5=2021,IF('РЕЕСТР РИСКОВ_2023'!G366="",C325,'РЕЕСТР РИСКОВ_2023'!G366),IF('INHERENT MAP'!$B$5=2022,IF(#REF!="",C325,#REF!),IF('INHERENT MAP'!$B$5=2023,IF(#REF!="",C325,#REF!),IF('INHERENT MAP'!$B$5=2024,IF(#REF!="",C325,#REF!),IF('РЕЕСТР РИСКОВ_2023'!G366="",C325,'РЕЕСТР РИСКОВ_2023'!G366)))))</f>
        <v>#REF!</v>
      </c>
      <c r="D326" t="str">
        <f>IF('INHERENT MAP'!$B$5=2021,IF('РЕЕСТР РИСКОВ_2023'!H366="",D325,'РЕЕСТР РИСКОВ_2023'!H366),IF('INHERENT MAP'!$B$5=2022,IF(#REF!="",D325,#REF!),IF('INHERENT MAP'!$B$5=2023,IF(#REF!="",D325,#REF!),IF('INHERENT MAP'!$B$5=2024,IF(#REF!="",D325,#REF!),IF('РЕЕСТР РИСКОВ_2023'!H366="",D325,'РЕЕСТР РИСКОВ_2023'!H366)))))</f>
        <v>IRR-1</v>
      </c>
      <c r="E326" t="str">
        <f>IF('INHERENT MAP'!$B$5=2021,IF('РЕЕСТР РИСКОВ_2023'!I366="",E325,'РЕЕСТР РИСКОВ_2023'!I366),IF('INHERENT MAP'!$B$5=2022,IF(#REF!="",E325,#REF!),IF('INHERENT MAP'!$B$5=2023,IF(#REF!="",E325,#REF!),IF('INHERENT MAP'!$B$5=2024,IF(#REF!="",E325,#REF!),IF('РЕЕСТР РИСКОВ_2023'!I366="",E325,'РЕЕСТР РИСКОВ_2023'!I366)))))</f>
        <v>ЦЗФ</v>
      </c>
      <c r="F326" t="str">
        <f>IF('INHERENT MAP'!$B$5=2021,IF('РЕЕСТР РИСКОВ_2023'!J366="",F325,'РЕЕСТР РИСКОВ_2023'!J366),IF('INHERENT MAP'!$B$5=2022,IF(#REF!="",F325,#REF!),IF('INHERENT MAP'!$B$5=2023,IF(#REF!="",F325,#REF!),IF('INHERENT MAP'!$B$5=2024,IF(#REF!="",F325,#REF!),IF('РЕЕСТР РИСКОВ_2023'!J366="",F325,'РЕЕСТР РИСКОВ_2023'!J366)))))</f>
        <v>Цзайм</v>
      </c>
      <c r="G326" t="str">
        <f>IF('INHERENT MAP'!$B$5=2021,IF('РЕЕСТР РИСКОВ_2023'!K366="",G325,'РЕЕСТР РИСКОВ_2023'!K366),IF('INHERENT MAP'!$B$5=2022,IF(#REF!="",G325,#REF!),IF('INHERENT MAP'!$B$5=2023,IF(#REF!="",G325,#REF!),IF('INHERENT MAP'!$B$5=2024,IF(#REF!="",G325,#REF!),IF('РЕЕСТР РИСКОВ_2023'!K366="",G325,'РЕЕСТР РИСКОВ_2023'!K366)))))</f>
        <v>Увеличение расходов по процентам на новые займы, а также текущие займы (с плавающей ставкой) в тенге.</v>
      </c>
      <c r="H326">
        <f>IF('INHERENT MAP'!$B$5=2021,'РЕЕСТР РИСКОВ_2023'!L366,IF('INHERENT MAP'!$B$5=2022,#REF!,IF('INHERENT MAP'!$B$5=2023,#REF!,IF('INHERENT MAP'!$B$5=2024,#REF!,#REF!))))</f>
        <v>0</v>
      </c>
      <c r="I326">
        <f>IF('INHERENT MAP'!$B$5=2021,'РЕЕСТР РИСКОВ_2023'!M366,IF('INHERENT MAP'!$B$5=2022,#REF!,IF('INHERENT MAP'!$B$5=2023,#REF!,IF('INHERENT MAP'!$B$5=2024,#REF!,#REF!))))</f>
        <v>0</v>
      </c>
      <c r="J326">
        <f>IF('INHERENT MAP'!$B$5=2021,'РЕЕСТР РИСКОВ_2023'!N366,IF('INHERENT MAP'!$B$5=2022,#REF!,IF('INHERENT MAP'!$B$5=2023,#REF!,IF('INHERENT MAP'!$B$5=2024,#REF!,#REF!))))</f>
        <v>0</v>
      </c>
      <c r="K326">
        <f>IF('INHERENT MAP'!$B$5=2021,'РЕЕСТР РИСКОВ_2023'!O366,IF('INHERENT MAP'!$B$5=2022,#REF!,IF('INHERENT MAP'!$B$5=2023,#REF!,IF('INHERENT MAP'!$B$5=2024,#REF!,#REF!))))</f>
        <v>0</v>
      </c>
      <c r="L326">
        <f>IF('INHERENT MAP'!$B$5=2021,'РЕЕСТР РИСКОВ_2023'!P366,IF('INHERENT MAP'!$B$5=2022,#REF!,IF('INHERENT MAP'!$B$5=2023,#REF!,IF('INHERENT MAP'!$B$5=2024,#REF!,#REF!))))</f>
        <v>0</v>
      </c>
      <c r="M326" t="str">
        <f>IF('INHERENT MAP'!$B$5=2021,IF('РЕЕСТР РИСКОВ_2023'!Q366="",M325,'РЕЕСТР РИСКОВ_2023'!Q366),IF('INHERENT MAP'!$B$5=2022,IF(#REF!="",M325,#REF!),IF('INHERENT MAP'!$B$5=2023,IF(#REF!="",M325,#REF!),IF('INHERENT MAP'!$B$5=2024,IF(#REF!="",M325,#REF!),IF('РЕЕСТР РИСКОВ_2023'!Q366="",M325,'РЕЕСТР РИСКОВ_2023'!Q366)))))</f>
        <v>Увеличение базовой ставки Национального банка Республики Казахстан до 16%</v>
      </c>
      <c r="N326" t="str">
        <f>IF('INHERENT MAP'!$B$5=2021,IF('РЕЕСТР РИСКОВ_2023'!R366="",N325,'РЕЕСТР РИСКОВ_2023'!R366),IF('INHERENT MAP'!$B$5=2022,IF(#REF!="",N325,#REF!),IF('INHERENT MAP'!$B$5=2023,IF(#REF!="",N325,#REF!),IF('INHERENT MAP'!$B$5=2024,IF(#REF!="",N325,#REF!),IF('РЕЕСТР РИСКОВ_2023'!R366="",N325,'РЕЕСТР РИСКОВ_2023'!R366)))))</f>
        <v>Рецессия экономики европейских стран</v>
      </c>
      <c r="O326">
        <f>'РЕЕСТР РИСКОВ_2023'!T366</f>
        <v>0</v>
      </c>
      <c r="P326" t="e">
        <f>IF('РЕЕСТР РИСКОВ_2023'!U366="",P325,'РЕЕСТР РИСКОВ_2023'!U366)</f>
        <v>#REF!</v>
      </c>
      <c r="Q326" t="str">
        <f>IF('РЕЕСТР РИСКОВ_2023'!V366="",Q325,'РЕЕСТР РИСКОВ_2023'!V366)</f>
        <v>Угрозы</v>
      </c>
      <c r="R326" t="e">
        <f>IF('РЕЕСТР РИСКОВ_2023'!W366="",R325,'РЕЕСТР РИСКОВ_2023'!W366)</f>
        <v>#REF!</v>
      </c>
      <c r="S326">
        <f>'РЕЕСТР РИСКОВ_2023'!X366</f>
        <v>0</v>
      </c>
      <c r="T326" s="94">
        <f>IF('INHERENT MAP'!$B$5=2021,'РЕЕСТР РИСКОВ_2023'!Y366,IF('INHERENT MAP'!$B$5=2022,#REF!,IF('INHERENT MAP'!$B$5=2023,#REF!,IF('INHERENT MAP'!$B$5=2024,#REF!,#REF!))))</f>
        <v>0</v>
      </c>
      <c r="U326">
        <f>IF('INHERENT MAP'!$B$5=2021,'РЕЕСТР РИСКОВ_2023'!Z366,IF('INHERENT MAP'!$B$5=2022,#REF!,IF('INHERENT MAP'!$B$5=2023,#REF!,IF('INHERENT MAP'!$B$5=2024,#REF!,#REF!))))</f>
        <v>0</v>
      </c>
      <c r="V326">
        <f>IF('INHERENT MAP'!$B$5=2021,'РЕЕСТР РИСКОВ_2023'!AA366,IF('INHERENT MAP'!$B$5=2022,#REF!,IF('INHERENT MAP'!$B$5=2023,#REF!,IF('INHERENT MAP'!$B$5=2024,#REF!,#REF!))))</f>
        <v>0</v>
      </c>
      <c r="W326">
        <f>IF('INHERENT MAP'!$B$5=2021,'РЕЕСТР РИСКОВ_2023'!AB366,IF('INHERENT MAP'!$B$5=2022,#REF!,IF('INHERENT MAP'!$B$5=2023,#REF!,IF('INHERENT MAP'!$B$5=2024,#REF!,#REF!))))</f>
        <v>0</v>
      </c>
      <c r="X326" s="94">
        <f>IF('INHERENT MAP'!$B$5=2021,'РЕЕСТР РИСКОВ_2023'!AC366,IF('INHERENT MAP'!$B$5=2022,#REF!,IF('INHERENT MAP'!$B$5=2023,#REF!,IF('INHERENT MAP'!$B$5=2024,#REF!,#REF!))))</f>
        <v>0</v>
      </c>
      <c r="Y326">
        <f>IF('INHERENT MAP'!$B$5=2021,'РЕЕСТР РИСКОВ_2023'!AD366,IF('INHERENT MAP'!$B$5=2022,#REF!,IF('INHERENT MAP'!$B$5=2023,#REF!,IF('INHERENT MAP'!$B$5=2024,#REF!,#REF!))))</f>
        <v>0</v>
      </c>
      <c r="Z326">
        <f>IF('INHERENT MAP'!$B$5=2021,'РЕЕСТР РИСКОВ_2023'!AE366,IF('INHERENT MAP'!$B$5=2022,#REF!,IF('INHERENT MAP'!$B$5=2023,#REF!,IF('INHERENT MAP'!$B$5=2024,#REF!,#REF!))))</f>
        <v>0</v>
      </c>
      <c r="AA326">
        <f>IF('INHERENT MAP'!$B$5=2021,'РЕЕСТР РИСКОВ_2023'!AF366,IF('INHERENT MAP'!$B$5=2022,#REF!,IF('INHERENT MAP'!$B$5=2023,#REF!,IF('INHERENT MAP'!$B$5=2024,#REF!,#REF!))))</f>
        <v>0</v>
      </c>
      <c r="AB326">
        <f>IF('INHERENT MAP'!$B$5=2021,'РЕЕСТР РИСКОВ_2023'!AG366,IF('INHERENT MAP'!$B$5=2022,#REF!,IF('INHERENT MAP'!$B$5=2023,#REF!,IF('INHERENT MAP'!$B$5=2024,#REF!,#REF!))))</f>
        <v>0</v>
      </c>
      <c r="AC326">
        <f>IF('INHERENT MAP'!$B$5=2021,'РЕЕСТР РИСКОВ_2023'!AH366,IF('INHERENT MAP'!$B$5=2022,#REF!,IF('INHERENT MAP'!$B$5=2023,#REF!,IF('INHERENT MAP'!$B$5=2024,#REF!,#REF!))))</f>
        <v>0</v>
      </c>
      <c r="AD326">
        <f>IF('INHERENT MAP'!$B$5=2021,'РЕЕСТР РИСКОВ_2023'!AI366,IF('INHERENT MAP'!$B$5=2022,#REF!,IF('INHERENT MAP'!$B$5=2023,#REF!,IF('INHERENT MAP'!$B$5=2024,#REF!,#REF!))))</f>
        <v>0</v>
      </c>
      <c r="AE326">
        <f>IF('INHERENT MAP'!$B$5=2021,'РЕЕСТР РИСКОВ_2023'!AK366,IF('INHERENT MAP'!$B$5=2022,#REF!,IF('INHERENT MAP'!$B$5=2023,#REF!,IF('INHERENT MAP'!$B$5=2024,#REF!,#REF!))))</f>
        <v>0</v>
      </c>
      <c r="AF326">
        <f>IF('INHERENT MAP'!$B$5=2021,'РЕЕСТР РИСКОВ_2023'!AL366,IF('INHERENT MAP'!$B$5=2022,#REF!,IF('INHERENT MAP'!$B$5=2023,#REF!,IF('INHERENT MAP'!$B$5=2024,#REF!,#REF!))))</f>
        <v>0</v>
      </c>
      <c r="AG326">
        <f>IF('INHERENT MAP'!$B$5=2021,'РЕЕСТР РИСКОВ_2023'!AM366,IF('INHERENT MAP'!$B$5=2022,#REF!,IF('INHERENT MAP'!$B$5=2023,#REF!,IF('INHERENT MAP'!$B$5=2024,#REF!,#REF!))))</f>
        <v>0</v>
      </c>
      <c r="AH326">
        <f>IF('INHERENT MAP'!$B$5=2021,'РЕЕСТР РИСКОВ_2023'!AN366,IF('INHERENT MAP'!$B$5=2022,#REF!,IF('INHERENT MAP'!$B$5=2023,#REF!,IF('INHERENT MAP'!$B$5=2024,#REF!,#REF!))))</f>
        <v>0</v>
      </c>
      <c r="AI326">
        <f>IF('INHERENT MAP'!$B$5=2021,'РЕЕСТР РИСКОВ_2023'!AO366,IF('INHERENT MAP'!$B$5=2022,#REF!,IF('INHERENT MAP'!$B$5=2023,#REF!,IF('INHERENT MAP'!$B$5=2024,#REF!,#REF!))))</f>
        <v>0</v>
      </c>
      <c r="AJ326">
        <f>IF('INHERENT MAP'!$B$5=2021,'РЕЕСТР РИСКОВ_2023'!AP366,IF('INHERENT MAP'!$B$5=2022,#REF!,IF('INHERENT MAP'!$B$5=2023,#REF!,IF('INHERENT MAP'!$B$5=2024,#REF!,#REF!))))</f>
        <v>0</v>
      </c>
      <c r="AK326">
        <f>IF('РЕЕСТР РИСКОВ_2023'!AQ366="",AK325,'РЕЕСТР РИСКОВ_2023'!AQ366)</f>
        <v>-216</v>
      </c>
      <c r="AL326">
        <f>IF('РЕЕСТР РИСКОВ_2023'!AR366="",AL325,'РЕЕСТР РИСКОВ_2023'!AR366)</f>
        <v>0.12</v>
      </c>
      <c r="AM326" t="str">
        <f>IF('РЕЕСТР РИСКОВ_2023'!AS366="",AM325,'РЕЕСТР РИСКОВ_2023'!AS366)</f>
        <v>стоп</v>
      </c>
      <c r="AN326" t="str">
        <f>IF('РЕЕСТР РИСКОВ_2023'!AT366="",AN325,'РЕЕСТР РИСКОВ_2023'!AT366)</f>
        <v>стоп</v>
      </c>
      <c r="AO326" t="e">
        <f>IF('РЕЕСТР РИСКОВ_2023'!AU366="",AO325,'РЕЕСТР РИСКОВ_2023'!AU366)</f>
        <v>#REF!</v>
      </c>
    </row>
    <row r="327" spans="2:41">
      <c r="B327" t="str">
        <f>IF('INHERENT MAP'!$B$5=2021,IF('РЕЕСТР РИСКОВ_2023'!F367="",B326,'РЕЕСТР РИСКОВ_2023'!F367),IF('INHERENT MAP'!$B$5=2022,IF(#REF!="",B326,#REF!),IF('INHERENT MAP'!$B$5=2023,IF(#REF!="",B326,#REF!),IF('INHERENT MAP'!$B$5=2024,IF(#REF!="",B326,#REF!),IF('РЕЕСТР РИСКОВ_2023'!F367="",B326,'РЕЕСТР РИСКОВ_2023'!F367)))))</f>
        <v>ПРОЦЕНТНЫЙ РИСК</v>
      </c>
      <c r="C327" t="e">
        <f>IF('INHERENT MAP'!$B$5=2021,IF('РЕЕСТР РИСКОВ_2023'!G367="",C326,'РЕЕСТР РИСКОВ_2023'!G367),IF('INHERENT MAP'!$B$5=2022,IF(#REF!="",C326,#REF!),IF('INHERENT MAP'!$B$5=2023,IF(#REF!="",C326,#REF!),IF('INHERENT MAP'!$B$5=2024,IF(#REF!="",C326,#REF!),IF('РЕЕСТР РИСКОВ_2023'!G367="",C326,'РЕЕСТР РИСКОВ_2023'!G367)))))</f>
        <v>#REF!</v>
      </c>
      <c r="D327" t="str">
        <f>IF('INHERENT MAP'!$B$5=2021,IF('РЕЕСТР РИСКОВ_2023'!H367="",D326,'РЕЕСТР РИСКОВ_2023'!H367),IF('INHERENT MAP'!$B$5=2022,IF(#REF!="",D326,#REF!),IF('INHERENT MAP'!$B$5=2023,IF(#REF!="",D326,#REF!),IF('INHERENT MAP'!$B$5=2024,IF(#REF!="",D326,#REF!),IF('РЕЕСТР РИСКОВ_2023'!H367="",D326,'РЕЕСТР РИСКОВ_2023'!H367)))))</f>
        <v>IRR-1</v>
      </c>
      <c r="E327" t="str">
        <f>IF('INHERENT MAP'!$B$5=2021,IF('РЕЕСТР РИСКОВ_2023'!I367="",E326,'РЕЕСТР РИСКОВ_2023'!I367),IF('INHERENT MAP'!$B$5=2022,IF(#REF!="",E326,#REF!),IF('INHERENT MAP'!$B$5=2023,IF(#REF!="",E326,#REF!),IF('INHERENT MAP'!$B$5=2024,IF(#REF!="",E326,#REF!),IF('РЕЕСТР РИСКОВ_2023'!I367="",E326,'РЕЕСТР РИСКОВ_2023'!I367)))))</f>
        <v>ЦЗФ</v>
      </c>
      <c r="F327" t="str">
        <f>IF('INHERENT MAP'!$B$5=2021,IF('РЕЕСТР РИСКОВ_2023'!J367="",F326,'РЕЕСТР РИСКОВ_2023'!J367),IF('INHERENT MAP'!$B$5=2022,IF(#REF!="",F326,#REF!),IF('INHERENT MAP'!$B$5=2023,IF(#REF!="",F326,#REF!),IF('INHERENT MAP'!$B$5=2024,IF(#REF!="",F326,#REF!),IF('РЕЕСТР РИСКОВ_2023'!J367="",F326,'РЕЕСТР РИСКОВ_2023'!J367)))))</f>
        <v>Цзайм</v>
      </c>
      <c r="G327" t="str">
        <f>IF('INHERENT MAP'!$B$5=2021,IF('РЕЕСТР РИСКОВ_2023'!K367="",G326,'РЕЕСТР РИСКОВ_2023'!K367),IF('INHERENT MAP'!$B$5=2022,IF(#REF!="",G326,#REF!),IF('INHERENT MAP'!$B$5=2023,IF(#REF!="",G326,#REF!),IF('INHERENT MAP'!$B$5=2024,IF(#REF!="",G326,#REF!),IF('РЕЕСТР РИСКОВ_2023'!K367="",G326,'РЕЕСТР РИСКОВ_2023'!K367)))))</f>
        <v>Увеличение расходов по процентам на новые займы, а также текущие займы (с плавающей ставкой) в тенге.</v>
      </c>
      <c r="H327">
        <f>IF('INHERENT MAP'!$B$5=2021,'РЕЕСТР РИСКОВ_2023'!L367,IF('INHERENT MAP'!$B$5=2022,#REF!,IF('INHERENT MAP'!$B$5=2023,#REF!,IF('INHERENT MAP'!$B$5=2024,#REF!,#REF!))))</f>
        <v>0</v>
      </c>
      <c r="I327">
        <f>IF('INHERENT MAP'!$B$5=2021,'РЕЕСТР РИСКОВ_2023'!M367,IF('INHERENT MAP'!$B$5=2022,#REF!,IF('INHERENT MAP'!$B$5=2023,#REF!,IF('INHERENT MAP'!$B$5=2024,#REF!,#REF!))))</f>
        <v>0</v>
      </c>
      <c r="J327">
        <f>IF('INHERENT MAP'!$B$5=2021,'РЕЕСТР РИСКОВ_2023'!N367,IF('INHERENT MAP'!$B$5=2022,#REF!,IF('INHERENT MAP'!$B$5=2023,#REF!,IF('INHERENT MAP'!$B$5=2024,#REF!,#REF!))))</f>
        <v>0</v>
      </c>
      <c r="K327">
        <f>IF('INHERENT MAP'!$B$5=2021,'РЕЕСТР РИСКОВ_2023'!O367,IF('INHERENT MAP'!$B$5=2022,#REF!,IF('INHERENT MAP'!$B$5=2023,#REF!,IF('INHERENT MAP'!$B$5=2024,#REF!,#REF!))))</f>
        <v>0</v>
      </c>
      <c r="L327">
        <f>IF('INHERENT MAP'!$B$5=2021,'РЕЕСТР РИСКОВ_2023'!P367,IF('INHERENT MAP'!$B$5=2022,#REF!,IF('INHERENT MAP'!$B$5=2023,#REF!,IF('INHERENT MAP'!$B$5=2024,#REF!,#REF!))))</f>
        <v>0</v>
      </c>
      <c r="M327" t="str">
        <f>IF('INHERENT MAP'!$B$5=2021,IF('РЕЕСТР РИСКОВ_2023'!Q367="",M326,'РЕЕСТР РИСКОВ_2023'!Q367),IF('INHERENT MAP'!$B$5=2022,IF(#REF!="",M326,#REF!),IF('INHERENT MAP'!$B$5=2023,IF(#REF!="",M326,#REF!),IF('INHERENT MAP'!$B$5=2024,IF(#REF!="",M326,#REF!),IF('РЕЕСТР РИСКОВ_2023'!Q367="",M326,'РЕЕСТР РИСКОВ_2023'!Q367)))))</f>
        <v>Увеличение базовой ставки Национального банка Республики Казахстан до 16%</v>
      </c>
      <c r="N327" t="str">
        <f>IF('INHERENT MAP'!$B$5=2021,IF('РЕЕСТР РИСКОВ_2023'!R367="",N326,'РЕЕСТР РИСКОВ_2023'!R367),IF('INHERENT MAP'!$B$5=2022,IF(#REF!="",N326,#REF!),IF('INHERENT MAP'!$B$5=2023,IF(#REF!="",N326,#REF!),IF('INHERENT MAP'!$B$5=2024,IF(#REF!="",N326,#REF!),IF('РЕЕСТР РИСКОВ_2023'!R367="",N326,'РЕЕСТР РИСКОВ_2023'!R367)))))</f>
        <v>Рецессия экономики европейских стран</v>
      </c>
      <c r="O327">
        <f>'РЕЕСТР РИСКОВ_2023'!T367</f>
        <v>0</v>
      </c>
      <c r="P327" t="e">
        <f>IF('РЕЕСТР РИСКОВ_2023'!U367="",P326,'РЕЕСТР РИСКОВ_2023'!U367)</f>
        <v>#REF!</v>
      </c>
      <c r="Q327" t="str">
        <f>IF('РЕЕСТР РИСКОВ_2023'!V367="",Q326,'РЕЕСТР РИСКОВ_2023'!V367)</f>
        <v>Угрозы</v>
      </c>
      <c r="R327" t="e">
        <f>IF('РЕЕСТР РИСКОВ_2023'!W367="",R326,'РЕЕСТР РИСКОВ_2023'!W367)</f>
        <v>#REF!</v>
      </c>
      <c r="S327">
        <f>'РЕЕСТР РИСКОВ_2023'!X367</f>
        <v>0</v>
      </c>
      <c r="T327" s="94">
        <f>IF('INHERENT MAP'!$B$5=2021,'РЕЕСТР РИСКОВ_2023'!Y367,IF('INHERENT MAP'!$B$5=2022,#REF!,IF('INHERENT MAP'!$B$5=2023,#REF!,IF('INHERENT MAP'!$B$5=2024,#REF!,#REF!))))</f>
        <v>0</v>
      </c>
      <c r="U327">
        <f>IF('INHERENT MAP'!$B$5=2021,'РЕЕСТР РИСКОВ_2023'!Z367,IF('INHERENT MAP'!$B$5=2022,#REF!,IF('INHERENT MAP'!$B$5=2023,#REF!,IF('INHERENT MAP'!$B$5=2024,#REF!,#REF!))))</f>
        <v>0</v>
      </c>
      <c r="V327">
        <f>IF('INHERENT MAP'!$B$5=2021,'РЕЕСТР РИСКОВ_2023'!AA367,IF('INHERENT MAP'!$B$5=2022,#REF!,IF('INHERENT MAP'!$B$5=2023,#REF!,IF('INHERENT MAP'!$B$5=2024,#REF!,#REF!))))</f>
        <v>0</v>
      </c>
      <c r="W327">
        <f>IF('INHERENT MAP'!$B$5=2021,'РЕЕСТР РИСКОВ_2023'!AB367,IF('INHERENT MAP'!$B$5=2022,#REF!,IF('INHERENT MAP'!$B$5=2023,#REF!,IF('INHERENT MAP'!$B$5=2024,#REF!,#REF!))))</f>
        <v>0</v>
      </c>
      <c r="X327" s="94">
        <f>IF('INHERENT MAP'!$B$5=2021,'РЕЕСТР РИСКОВ_2023'!AC367,IF('INHERENT MAP'!$B$5=2022,#REF!,IF('INHERENT MAP'!$B$5=2023,#REF!,IF('INHERENT MAP'!$B$5=2024,#REF!,#REF!))))</f>
        <v>0</v>
      </c>
      <c r="Y327">
        <f>IF('INHERENT MAP'!$B$5=2021,'РЕЕСТР РИСКОВ_2023'!AD367,IF('INHERENT MAP'!$B$5=2022,#REF!,IF('INHERENT MAP'!$B$5=2023,#REF!,IF('INHERENT MAP'!$B$5=2024,#REF!,#REF!))))</f>
        <v>0</v>
      </c>
      <c r="Z327">
        <f>IF('INHERENT MAP'!$B$5=2021,'РЕЕСТР РИСКОВ_2023'!AE367,IF('INHERENT MAP'!$B$5=2022,#REF!,IF('INHERENT MAP'!$B$5=2023,#REF!,IF('INHERENT MAP'!$B$5=2024,#REF!,#REF!))))</f>
        <v>0</v>
      </c>
      <c r="AA327">
        <f>IF('INHERENT MAP'!$B$5=2021,'РЕЕСТР РИСКОВ_2023'!AF367,IF('INHERENT MAP'!$B$5=2022,#REF!,IF('INHERENT MAP'!$B$5=2023,#REF!,IF('INHERENT MAP'!$B$5=2024,#REF!,#REF!))))</f>
        <v>0</v>
      </c>
      <c r="AB327">
        <f>IF('INHERENT MAP'!$B$5=2021,'РЕЕСТР РИСКОВ_2023'!AG367,IF('INHERENT MAP'!$B$5=2022,#REF!,IF('INHERENT MAP'!$B$5=2023,#REF!,IF('INHERENT MAP'!$B$5=2024,#REF!,#REF!))))</f>
        <v>0</v>
      </c>
      <c r="AC327">
        <f>IF('INHERENT MAP'!$B$5=2021,'РЕЕСТР РИСКОВ_2023'!AH367,IF('INHERENT MAP'!$B$5=2022,#REF!,IF('INHERENT MAP'!$B$5=2023,#REF!,IF('INHERENT MAP'!$B$5=2024,#REF!,#REF!))))</f>
        <v>0</v>
      </c>
      <c r="AD327">
        <f>IF('INHERENT MAP'!$B$5=2021,'РЕЕСТР РИСКОВ_2023'!AI367,IF('INHERENT MAP'!$B$5=2022,#REF!,IF('INHERENT MAP'!$B$5=2023,#REF!,IF('INHERENT MAP'!$B$5=2024,#REF!,#REF!))))</f>
        <v>0</v>
      </c>
      <c r="AE327">
        <f>IF('INHERENT MAP'!$B$5=2021,'РЕЕСТР РИСКОВ_2023'!AK367,IF('INHERENT MAP'!$B$5=2022,#REF!,IF('INHERENT MAP'!$B$5=2023,#REF!,IF('INHERENT MAP'!$B$5=2024,#REF!,#REF!))))</f>
        <v>0</v>
      </c>
      <c r="AF327">
        <f>IF('INHERENT MAP'!$B$5=2021,'РЕЕСТР РИСКОВ_2023'!AL367,IF('INHERENT MAP'!$B$5=2022,#REF!,IF('INHERENT MAP'!$B$5=2023,#REF!,IF('INHERENT MAP'!$B$5=2024,#REF!,#REF!))))</f>
        <v>0</v>
      </c>
      <c r="AG327">
        <f>IF('INHERENT MAP'!$B$5=2021,'РЕЕСТР РИСКОВ_2023'!AM367,IF('INHERENT MAP'!$B$5=2022,#REF!,IF('INHERENT MAP'!$B$5=2023,#REF!,IF('INHERENT MAP'!$B$5=2024,#REF!,#REF!))))</f>
        <v>0</v>
      </c>
      <c r="AH327">
        <f>IF('INHERENT MAP'!$B$5=2021,'РЕЕСТР РИСКОВ_2023'!AN367,IF('INHERENT MAP'!$B$5=2022,#REF!,IF('INHERENT MAP'!$B$5=2023,#REF!,IF('INHERENT MAP'!$B$5=2024,#REF!,#REF!))))</f>
        <v>0</v>
      </c>
      <c r="AI327">
        <f>IF('INHERENT MAP'!$B$5=2021,'РЕЕСТР РИСКОВ_2023'!AO367,IF('INHERENT MAP'!$B$5=2022,#REF!,IF('INHERENT MAP'!$B$5=2023,#REF!,IF('INHERENT MAP'!$B$5=2024,#REF!,#REF!))))</f>
        <v>0</v>
      </c>
      <c r="AJ327">
        <f>IF('INHERENT MAP'!$B$5=2021,'РЕЕСТР РИСКОВ_2023'!AP367,IF('INHERENT MAP'!$B$5=2022,#REF!,IF('INHERENT MAP'!$B$5=2023,#REF!,IF('INHERENT MAP'!$B$5=2024,#REF!,#REF!))))</f>
        <v>0</v>
      </c>
      <c r="AK327">
        <f>IF('РЕЕСТР РИСКОВ_2023'!AQ367="",AK326,'РЕЕСТР РИСКОВ_2023'!AQ367)</f>
        <v>-216</v>
      </c>
      <c r="AL327">
        <f>IF('РЕЕСТР РИСКОВ_2023'!AR367="",AL326,'РЕЕСТР РИСКОВ_2023'!AR367)</f>
        <v>0.12</v>
      </c>
      <c r="AM327" t="str">
        <f>IF('РЕЕСТР РИСКОВ_2023'!AS367="",AM326,'РЕЕСТР РИСКОВ_2023'!AS367)</f>
        <v>стоп</v>
      </c>
      <c r="AN327" t="str">
        <f>IF('РЕЕСТР РИСКОВ_2023'!AT367="",AN326,'РЕЕСТР РИСКОВ_2023'!AT367)</f>
        <v>стоп</v>
      </c>
      <c r="AO327" t="e">
        <f>IF('РЕЕСТР РИСКОВ_2023'!AU367="",AO326,'РЕЕСТР РИСКОВ_2023'!AU367)</f>
        <v>#REF!</v>
      </c>
    </row>
    <row r="328" spans="2:41">
      <c r="B328" t="str">
        <f>IF('INHERENT MAP'!$B$5=2021,IF('РЕЕСТР РИСКОВ_2023'!F368="",B327,'РЕЕСТР РИСКОВ_2023'!F368),IF('INHERENT MAP'!$B$5=2022,IF(#REF!="",B327,#REF!),IF('INHERENT MAP'!$B$5=2023,IF(#REF!="",B327,#REF!),IF('INHERENT MAP'!$B$5=2024,IF(#REF!="",B327,#REF!),IF('РЕЕСТР РИСКОВ_2023'!F368="",B327,'РЕЕСТР РИСКОВ_2023'!F368)))))</f>
        <v>ПРОЦЕНТНЫЙ РИСК</v>
      </c>
      <c r="C328" t="e">
        <f>IF('INHERENT MAP'!$B$5=2021,IF('РЕЕСТР РИСКОВ_2023'!G368="",C327,'РЕЕСТР РИСКОВ_2023'!G368),IF('INHERENT MAP'!$B$5=2022,IF(#REF!="",C327,#REF!),IF('INHERENT MAP'!$B$5=2023,IF(#REF!="",C327,#REF!),IF('INHERENT MAP'!$B$5=2024,IF(#REF!="",C327,#REF!),IF('РЕЕСТР РИСКОВ_2023'!G368="",C327,'РЕЕСТР РИСКОВ_2023'!G368)))))</f>
        <v>#REF!</v>
      </c>
      <c r="D328" t="str">
        <f>IF('INHERENT MAP'!$B$5=2021,IF('РЕЕСТР РИСКОВ_2023'!H368="",D327,'РЕЕСТР РИСКОВ_2023'!H368),IF('INHERENT MAP'!$B$5=2022,IF(#REF!="",D327,#REF!),IF('INHERENT MAP'!$B$5=2023,IF(#REF!="",D327,#REF!),IF('INHERENT MAP'!$B$5=2024,IF(#REF!="",D327,#REF!),IF('РЕЕСТР РИСКОВ_2023'!H368="",D327,'РЕЕСТР РИСКОВ_2023'!H368)))))</f>
        <v>IRR-1</v>
      </c>
      <c r="E328" t="str">
        <f>IF('INHERENT MAP'!$B$5=2021,IF('РЕЕСТР РИСКОВ_2023'!I368="",E327,'РЕЕСТР РИСКОВ_2023'!I368),IF('INHERENT MAP'!$B$5=2022,IF(#REF!="",E327,#REF!),IF('INHERENT MAP'!$B$5=2023,IF(#REF!="",E327,#REF!),IF('INHERENT MAP'!$B$5=2024,IF(#REF!="",E327,#REF!),IF('РЕЕСТР РИСКОВ_2023'!I368="",E327,'РЕЕСТР РИСКОВ_2023'!I368)))))</f>
        <v>ЦЗФ</v>
      </c>
      <c r="F328" t="str">
        <f>IF('INHERENT MAP'!$B$5=2021,IF('РЕЕСТР РИСКОВ_2023'!J368="",F327,'РЕЕСТР РИСКОВ_2023'!J368),IF('INHERENT MAP'!$B$5=2022,IF(#REF!="",F327,#REF!),IF('INHERENT MAP'!$B$5=2023,IF(#REF!="",F327,#REF!),IF('INHERENT MAP'!$B$5=2024,IF(#REF!="",F327,#REF!),IF('РЕЕСТР РИСКОВ_2023'!J368="",F327,'РЕЕСТР РИСКОВ_2023'!J368)))))</f>
        <v>Цзайм</v>
      </c>
      <c r="G328" t="str">
        <f>IF('INHERENT MAP'!$B$5=2021,IF('РЕЕСТР РИСКОВ_2023'!K368="",G327,'РЕЕСТР РИСКОВ_2023'!K368),IF('INHERENT MAP'!$B$5=2022,IF(#REF!="",G327,#REF!),IF('INHERENT MAP'!$B$5=2023,IF(#REF!="",G327,#REF!),IF('INHERENT MAP'!$B$5=2024,IF(#REF!="",G327,#REF!),IF('РЕЕСТР РИСКОВ_2023'!K368="",G327,'РЕЕСТР РИСКОВ_2023'!K368)))))</f>
        <v>Увеличение расходов по процентам на новые займы, а также текущие займы (с плавающей ставкой) в тенге.</v>
      </c>
      <c r="H328">
        <f>IF('INHERENT MAP'!$B$5=2021,'РЕЕСТР РИСКОВ_2023'!L368,IF('INHERENT MAP'!$B$5=2022,#REF!,IF('INHERENT MAP'!$B$5=2023,#REF!,IF('INHERENT MAP'!$B$5=2024,#REF!,#REF!))))</f>
        <v>0</v>
      </c>
      <c r="I328">
        <f>IF('INHERENT MAP'!$B$5=2021,'РЕЕСТР РИСКОВ_2023'!M368,IF('INHERENT MAP'!$B$5=2022,#REF!,IF('INHERENT MAP'!$B$5=2023,#REF!,IF('INHERENT MAP'!$B$5=2024,#REF!,#REF!))))</f>
        <v>0</v>
      </c>
      <c r="J328">
        <f>IF('INHERENT MAP'!$B$5=2021,'РЕЕСТР РИСКОВ_2023'!N368,IF('INHERENT MAP'!$B$5=2022,#REF!,IF('INHERENT MAP'!$B$5=2023,#REF!,IF('INHERENT MAP'!$B$5=2024,#REF!,#REF!))))</f>
        <v>0</v>
      </c>
      <c r="K328">
        <f>IF('INHERENT MAP'!$B$5=2021,'РЕЕСТР РИСКОВ_2023'!O368,IF('INHERENT MAP'!$B$5=2022,#REF!,IF('INHERENT MAP'!$B$5=2023,#REF!,IF('INHERENT MAP'!$B$5=2024,#REF!,#REF!))))</f>
        <v>0</v>
      </c>
      <c r="L328">
        <f>IF('INHERENT MAP'!$B$5=2021,'РЕЕСТР РИСКОВ_2023'!P368,IF('INHERENT MAP'!$B$5=2022,#REF!,IF('INHERENT MAP'!$B$5=2023,#REF!,IF('INHERENT MAP'!$B$5=2024,#REF!,#REF!))))</f>
        <v>0</v>
      </c>
      <c r="M328" t="str">
        <f>IF('INHERENT MAP'!$B$5=2021,IF('РЕЕСТР РИСКОВ_2023'!Q368="",M327,'РЕЕСТР РИСКОВ_2023'!Q368),IF('INHERENT MAP'!$B$5=2022,IF(#REF!="",M327,#REF!),IF('INHERENT MAP'!$B$5=2023,IF(#REF!="",M327,#REF!),IF('INHERENT MAP'!$B$5=2024,IF(#REF!="",M327,#REF!),IF('РЕЕСТР РИСКОВ_2023'!Q368="",M327,'РЕЕСТР РИСКОВ_2023'!Q368)))))</f>
        <v>Увеличение базовой ставки Национального банка Республики Казахстан до 16%</v>
      </c>
      <c r="N328" t="str">
        <f>IF('INHERENT MAP'!$B$5=2021,IF('РЕЕСТР РИСКОВ_2023'!R368="",N327,'РЕЕСТР РИСКОВ_2023'!R368),IF('INHERENT MAP'!$B$5=2022,IF(#REF!="",N327,#REF!),IF('INHERENT MAP'!$B$5=2023,IF(#REF!="",N327,#REF!),IF('INHERENT MAP'!$B$5=2024,IF(#REF!="",N327,#REF!),IF('РЕЕСТР РИСКОВ_2023'!R368="",N327,'РЕЕСТР РИСКОВ_2023'!R368)))))</f>
        <v>Рецессия экономики европейских стран</v>
      </c>
      <c r="O328">
        <f>'РЕЕСТР РИСКОВ_2023'!T368</f>
        <v>0</v>
      </c>
      <c r="P328" t="e">
        <f>IF('РЕЕСТР РИСКОВ_2023'!U368="",P327,'РЕЕСТР РИСКОВ_2023'!U368)</f>
        <v>#REF!</v>
      </c>
      <c r="Q328" t="str">
        <f>IF('РЕЕСТР РИСКОВ_2023'!V368="",Q327,'РЕЕСТР РИСКОВ_2023'!V368)</f>
        <v>Угрозы</v>
      </c>
      <c r="R328" t="e">
        <f>IF('РЕЕСТР РИСКОВ_2023'!W368="",R327,'РЕЕСТР РИСКОВ_2023'!W368)</f>
        <v>#REF!</v>
      </c>
      <c r="S328">
        <f>'РЕЕСТР РИСКОВ_2023'!X368</f>
        <v>0</v>
      </c>
      <c r="T328" s="94">
        <f>IF('INHERENT MAP'!$B$5=2021,'РЕЕСТР РИСКОВ_2023'!Y368,IF('INHERENT MAP'!$B$5=2022,#REF!,IF('INHERENT MAP'!$B$5=2023,#REF!,IF('INHERENT MAP'!$B$5=2024,#REF!,#REF!))))</f>
        <v>0</v>
      </c>
      <c r="U328">
        <f>IF('INHERENT MAP'!$B$5=2021,'РЕЕСТР РИСКОВ_2023'!Z368,IF('INHERENT MAP'!$B$5=2022,#REF!,IF('INHERENT MAP'!$B$5=2023,#REF!,IF('INHERENT MAP'!$B$5=2024,#REF!,#REF!))))</f>
        <v>0</v>
      </c>
      <c r="V328">
        <f>IF('INHERENT MAP'!$B$5=2021,'РЕЕСТР РИСКОВ_2023'!AA368,IF('INHERENT MAP'!$B$5=2022,#REF!,IF('INHERENT MAP'!$B$5=2023,#REF!,IF('INHERENT MAP'!$B$5=2024,#REF!,#REF!))))</f>
        <v>0</v>
      </c>
      <c r="W328">
        <f>IF('INHERENT MAP'!$B$5=2021,'РЕЕСТР РИСКОВ_2023'!AB368,IF('INHERENT MAP'!$B$5=2022,#REF!,IF('INHERENT MAP'!$B$5=2023,#REF!,IF('INHERENT MAP'!$B$5=2024,#REF!,#REF!))))</f>
        <v>0</v>
      </c>
      <c r="X328" s="94">
        <f>IF('INHERENT MAP'!$B$5=2021,'РЕЕСТР РИСКОВ_2023'!AC368,IF('INHERENT MAP'!$B$5=2022,#REF!,IF('INHERENT MAP'!$B$5=2023,#REF!,IF('INHERENT MAP'!$B$5=2024,#REF!,#REF!))))</f>
        <v>0</v>
      </c>
      <c r="Y328">
        <f>IF('INHERENT MAP'!$B$5=2021,'РЕЕСТР РИСКОВ_2023'!AD368,IF('INHERENT MAP'!$B$5=2022,#REF!,IF('INHERENT MAP'!$B$5=2023,#REF!,IF('INHERENT MAP'!$B$5=2024,#REF!,#REF!))))</f>
        <v>0</v>
      </c>
      <c r="Z328">
        <f>IF('INHERENT MAP'!$B$5=2021,'РЕЕСТР РИСКОВ_2023'!AE368,IF('INHERENT MAP'!$B$5=2022,#REF!,IF('INHERENT MAP'!$B$5=2023,#REF!,IF('INHERENT MAP'!$B$5=2024,#REF!,#REF!))))</f>
        <v>0</v>
      </c>
      <c r="AA328">
        <f>IF('INHERENT MAP'!$B$5=2021,'РЕЕСТР РИСКОВ_2023'!AF368,IF('INHERENT MAP'!$B$5=2022,#REF!,IF('INHERENT MAP'!$B$5=2023,#REF!,IF('INHERENT MAP'!$B$5=2024,#REF!,#REF!))))</f>
        <v>0</v>
      </c>
      <c r="AB328">
        <f>IF('INHERENT MAP'!$B$5=2021,'РЕЕСТР РИСКОВ_2023'!AG368,IF('INHERENT MAP'!$B$5=2022,#REF!,IF('INHERENT MAP'!$B$5=2023,#REF!,IF('INHERENT MAP'!$B$5=2024,#REF!,#REF!))))</f>
        <v>0</v>
      </c>
      <c r="AC328">
        <f>IF('INHERENT MAP'!$B$5=2021,'РЕЕСТР РИСКОВ_2023'!AH368,IF('INHERENT MAP'!$B$5=2022,#REF!,IF('INHERENT MAP'!$B$5=2023,#REF!,IF('INHERENT MAP'!$B$5=2024,#REF!,#REF!))))</f>
        <v>0</v>
      </c>
      <c r="AD328">
        <f>IF('INHERENT MAP'!$B$5=2021,'РЕЕСТР РИСКОВ_2023'!AI368,IF('INHERENT MAP'!$B$5=2022,#REF!,IF('INHERENT MAP'!$B$5=2023,#REF!,IF('INHERENT MAP'!$B$5=2024,#REF!,#REF!))))</f>
        <v>0</v>
      </c>
      <c r="AE328">
        <f>IF('INHERENT MAP'!$B$5=2021,'РЕЕСТР РИСКОВ_2023'!AK368,IF('INHERENT MAP'!$B$5=2022,#REF!,IF('INHERENT MAP'!$B$5=2023,#REF!,IF('INHERENT MAP'!$B$5=2024,#REF!,#REF!))))</f>
        <v>0</v>
      </c>
      <c r="AF328">
        <f>IF('INHERENT MAP'!$B$5=2021,'РЕЕСТР РИСКОВ_2023'!AL368,IF('INHERENT MAP'!$B$5=2022,#REF!,IF('INHERENT MAP'!$B$5=2023,#REF!,IF('INHERENT MAP'!$B$5=2024,#REF!,#REF!))))</f>
        <v>0</v>
      </c>
      <c r="AG328">
        <f>IF('INHERENT MAP'!$B$5=2021,'РЕЕСТР РИСКОВ_2023'!AM368,IF('INHERENT MAP'!$B$5=2022,#REF!,IF('INHERENT MAP'!$B$5=2023,#REF!,IF('INHERENT MAP'!$B$5=2024,#REF!,#REF!))))</f>
        <v>0</v>
      </c>
      <c r="AH328">
        <f>IF('INHERENT MAP'!$B$5=2021,'РЕЕСТР РИСКОВ_2023'!AN368,IF('INHERENT MAP'!$B$5=2022,#REF!,IF('INHERENT MAP'!$B$5=2023,#REF!,IF('INHERENT MAP'!$B$5=2024,#REF!,#REF!))))</f>
        <v>0</v>
      </c>
      <c r="AI328">
        <f>IF('INHERENT MAP'!$B$5=2021,'РЕЕСТР РИСКОВ_2023'!AO368,IF('INHERENT MAP'!$B$5=2022,#REF!,IF('INHERENT MAP'!$B$5=2023,#REF!,IF('INHERENT MAP'!$B$5=2024,#REF!,#REF!))))</f>
        <v>0</v>
      </c>
      <c r="AJ328">
        <f>IF('INHERENT MAP'!$B$5=2021,'РЕЕСТР РИСКОВ_2023'!AP368,IF('INHERENT MAP'!$B$5=2022,#REF!,IF('INHERENT MAP'!$B$5=2023,#REF!,IF('INHERENT MAP'!$B$5=2024,#REF!,#REF!))))</f>
        <v>0</v>
      </c>
      <c r="AK328">
        <f>IF('РЕЕСТР РИСКОВ_2023'!AQ368="",AK327,'РЕЕСТР РИСКОВ_2023'!AQ368)</f>
        <v>-216</v>
      </c>
      <c r="AL328">
        <f>IF('РЕЕСТР РИСКОВ_2023'!AR368="",AL327,'РЕЕСТР РИСКОВ_2023'!AR368)</f>
        <v>0.12</v>
      </c>
      <c r="AM328" t="str">
        <f>IF('РЕЕСТР РИСКОВ_2023'!AS368="",AM327,'РЕЕСТР РИСКОВ_2023'!AS368)</f>
        <v>стоп</v>
      </c>
      <c r="AN328" t="str">
        <f>IF('РЕЕСТР РИСКОВ_2023'!AT368="",AN327,'РЕЕСТР РИСКОВ_2023'!AT368)</f>
        <v>стоп</v>
      </c>
      <c r="AO328" t="e">
        <f>IF('РЕЕСТР РИСКОВ_2023'!AU368="",AO327,'РЕЕСТР РИСКОВ_2023'!AU368)</f>
        <v>#REF!</v>
      </c>
    </row>
    <row r="329" spans="2:41">
      <c r="B329" t="str">
        <f>IF('INHERENT MAP'!$B$5=2021,IF('РЕЕСТР РИСКОВ_2023'!F369="",B328,'РЕЕСТР РИСКОВ_2023'!F369),IF('INHERENT MAP'!$B$5=2022,IF(#REF!="",B328,#REF!),IF('INHERENT MAP'!$B$5=2023,IF(#REF!="",B328,#REF!),IF('INHERENT MAP'!$B$5=2024,IF(#REF!="",B328,#REF!),IF('РЕЕСТР РИСКОВ_2023'!F369="",B328,'РЕЕСТР РИСКОВ_2023'!F369)))))</f>
        <v>ПРОЦЕНТНЫЙ РИСК</v>
      </c>
      <c r="C329" t="e">
        <f>IF('INHERENT MAP'!$B$5=2021,IF('РЕЕСТР РИСКОВ_2023'!G369="",C328,'РЕЕСТР РИСКОВ_2023'!G369),IF('INHERENT MAP'!$B$5=2022,IF(#REF!="",C328,#REF!),IF('INHERENT MAP'!$B$5=2023,IF(#REF!="",C328,#REF!),IF('INHERENT MAP'!$B$5=2024,IF(#REF!="",C328,#REF!),IF('РЕЕСТР РИСКОВ_2023'!G369="",C328,'РЕЕСТР РИСКОВ_2023'!G369)))))</f>
        <v>#REF!</v>
      </c>
      <c r="D329" t="str">
        <f>IF('INHERENT MAP'!$B$5=2021,IF('РЕЕСТР РИСКОВ_2023'!H369="",D328,'РЕЕСТР РИСКОВ_2023'!H369),IF('INHERENT MAP'!$B$5=2022,IF(#REF!="",D328,#REF!),IF('INHERENT MAP'!$B$5=2023,IF(#REF!="",D328,#REF!),IF('INHERENT MAP'!$B$5=2024,IF(#REF!="",D328,#REF!),IF('РЕЕСТР РИСКОВ_2023'!H369="",D328,'РЕЕСТР РИСКОВ_2023'!H369)))))</f>
        <v>IRR-1</v>
      </c>
      <c r="E329" t="str">
        <f>IF('INHERENT MAP'!$B$5=2021,IF('РЕЕСТР РИСКОВ_2023'!I369="",E328,'РЕЕСТР РИСКОВ_2023'!I369),IF('INHERENT MAP'!$B$5=2022,IF(#REF!="",E328,#REF!),IF('INHERENT MAP'!$B$5=2023,IF(#REF!="",E328,#REF!),IF('INHERENT MAP'!$B$5=2024,IF(#REF!="",E328,#REF!),IF('РЕЕСТР РИСКОВ_2023'!I369="",E328,'РЕЕСТР РИСКОВ_2023'!I369)))))</f>
        <v>ЦЗФ</v>
      </c>
      <c r="F329" t="str">
        <f>IF('INHERENT MAP'!$B$5=2021,IF('РЕЕСТР РИСКОВ_2023'!J369="",F328,'РЕЕСТР РИСКОВ_2023'!J369),IF('INHERENT MAP'!$B$5=2022,IF(#REF!="",F328,#REF!),IF('INHERENT MAP'!$B$5=2023,IF(#REF!="",F328,#REF!),IF('INHERENT MAP'!$B$5=2024,IF(#REF!="",F328,#REF!),IF('РЕЕСТР РИСКОВ_2023'!J369="",F328,'РЕЕСТР РИСКОВ_2023'!J369)))))</f>
        <v>Цзайм</v>
      </c>
      <c r="G329" t="str">
        <f>IF('INHERENT MAP'!$B$5=2021,IF('РЕЕСТР РИСКОВ_2023'!K369="",G328,'РЕЕСТР РИСКОВ_2023'!K369),IF('INHERENT MAP'!$B$5=2022,IF(#REF!="",G328,#REF!),IF('INHERENT MAP'!$B$5=2023,IF(#REF!="",G328,#REF!),IF('INHERENT MAP'!$B$5=2024,IF(#REF!="",G328,#REF!),IF('РЕЕСТР РИСКОВ_2023'!K369="",G328,'РЕЕСТР РИСКОВ_2023'!K369)))))</f>
        <v>Увеличение расходов по процентам на новые займы, а также текущие займы (с плавающей ставкой) в тенге.</v>
      </c>
      <c r="H329">
        <f>IF('INHERENT MAP'!$B$5=2021,'РЕЕСТР РИСКОВ_2023'!L369,IF('INHERENT MAP'!$B$5=2022,#REF!,IF('INHERENT MAP'!$B$5=2023,#REF!,IF('INHERENT MAP'!$B$5=2024,#REF!,#REF!))))</f>
        <v>0</v>
      </c>
      <c r="I329">
        <f>IF('INHERENT MAP'!$B$5=2021,'РЕЕСТР РИСКОВ_2023'!M369,IF('INHERENT MAP'!$B$5=2022,#REF!,IF('INHERENT MAP'!$B$5=2023,#REF!,IF('INHERENT MAP'!$B$5=2024,#REF!,#REF!))))</f>
        <v>0</v>
      </c>
      <c r="J329">
        <f>IF('INHERENT MAP'!$B$5=2021,'РЕЕСТР РИСКОВ_2023'!N369,IF('INHERENT MAP'!$B$5=2022,#REF!,IF('INHERENT MAP'!$B$5=2023,#REF!,IF('INHERENT MAP'!$B$5=2024,#REF!,#REF!))))</f>
        <v>0</v>
      </c>
      <c r="K329">
        <f>IF('INHERENT MAP'!$B$5=2021,'РЕЕСТР РИСКОВ_2023'!O369,IF('INHERENT MAP'!$B$5=2022,#REF!,IF('INHERENT MAP'!$B$5=2023,#REF!,IF('INHERENT MAP'!$B$5=2024,#REF!,#REF!))))</f>
        <v>0</v>
      </c>
      <c r="L329">
        <f>IF('INHERENT MAP'!$B$5=2021,'РЕЕСТР РИСКОВ_2023'!P369,IF('INHERENT MAP'!$B$5=2022,#REF!,IF('INHERENT MAP'!$B$5=2023,#REF!,IF('INHERENT MAP'!$B$5=2024,#REF!,#REF!))))</f>
        <v>0</v>
      </c>
      <c r="M329" t="str">
        <f>IF('INHERENT MAP'!$B$5=2021,IF('РЕЕСТР РИСКОВ_2023'!Q369="",M328,'РЕЕСТР РИСКОВ_2023'!Q369),IF('INHERENT MAP'!$B$5=2022,IF(#REF!="",M328,#REF!),IF('INHERENT MAP'!$B$5=2023,IF(#REF!="",M328,#REF!),IF('INHERENT MAP'!$B$5=2024,IF(#REF!="",M328,#REF!),IF('РЕЕСТР РИСКОВ_2023'!Q369="",M328,'РЕЕСТР РИСКОВ_2023'!Q369)))))</f>
        <v>Увеличение базовой ставки Национального банка Республики Казахстан до 16%</v>
      </c>
      <c r="N329" t="str">
        <f>IF('INHERENT MAP'!$B$5=2021,IF('РЕЕСТР РИСКОВ_2023'!R369="",N328,'РЕЕСТР РИСКОВ_2023'!R369),IF('INHERENT MAP'!$B$5=2022,IF(#REF!="",N328,#REF!),IF('INHERENT MAP'!$B$5=2023,IF(#REF!="",N328,#REF!),IF('INHERENT MAP'!$B$5=2024,IF(#REF!="",N328,#REF!),IF('РЕЕСТР РИСКОВ_2023'!R369="",N328,'РЕЕСТР РИСКОВ_2023'!R369)))))</f>
        <v>Рецессия экономики европейских стран</v>
      </c>
      <c r="O329">
        <f>'РЕЕСТР РИСКОВ_2023'!T369</f>
        <v>0</v>
      </c>
      <c r="P329" t="e">
        <f>IF('РЕЕСТР РИСКОВ_2023'!U369="",P328,'РЕЕСТР РИСКОВ_2023'!U369)</f>
        <v>#REF!</v>
      </c>
      <c r="Q329" t="str">
        <f>IF('РЕЕСТР РИСКОВ_2023'!V369="",Q328,'РЕЕСТР РИСКОВ_2023'!V369)</f>
        <v>Угрозы</v>
      </c>
      <c r="R329" t="e">
        <f>IF('РЕЕСТР РИСКОВ_2023'!W369="",R328,'РЕЕСТР РИСКОВ_2023'!W369)</f>
        <v>#REF!</v>
      </c>
      <c r="S329">
        <f>'РЕЕСТР РИСКОВ_2023'!X369</f>
        <v>0</v>
      </c>
      <c r="T329" s="94">
        <f>IF('INHERENT MAP'!$B$5=2021,'РЕЕСТР РИСКОВ_2023'!Y369,IF('INHERENT MAP'!$B$5=2022,#REF!,IF('INHERENT MAP'!$B$5=2023,#REF!,IF('INHERENT MAP'!$B$5=2024,#REF!,#REF!))))</f>
        <v>0</v>
      </c>
      <c r="U329">
        <f>IF('INHERENT MAP'!$B$5=2021,'РЕЕСТР РИСКОВ_2023'!Z369,IF('INHERENT MAP'!$B$5=2022,#REF!,IF('INHERENT MAP'!$B$5=2023,#REF!,IF('INHERENT MAP'!$B$5=2024,#REF!,#REF!))))</f>
        <v>0</v>
      </c>
      <c r="V329">
        <f>IF('INHERENT MAP'!$B$5=2021,'РЕЕСТР РИСКОВ_2023'!AA369,IF('INHERENT MAP'!$B$5=2022,#REF!,IF('INHERENT MAP'!$B$5=2023,#REF!,IF('INHERENT MAP'!$B$5=2024,#REF!,#REF!))))</f>
        <v>0</v>
      </c>
      <c r="W329">
        <f>IF('INHERENT MAP'!$B$5=2021,'РЕЕСТР РИСКОВ_2023'!AB369,IF('INHERENT MAP'!$B$5=2022,#REF!,IF('INHERENT MAP'!$B$5=2023,#REF!,IF('INHERENT MAP'!$B$5=2024,#REF!,#REF!))))</f>
        <v>0</v>
      </c>
      <c r="X329" s="94">
        <f>IF('INHERENT MAP'!$B$5=2021,'РЕЕСТР РИСКОВ_2023'!AC369,IF('INHERENT MAP'!$B$5=2022,#REF!,IF('INHERENT MAP'!$B$5=2023,#REF!,IF('INHERENT MAP'!$B$5=2024,#REF!,#REF!))))</f>
        <v>0</v>
      </c>
      <c r="Y329">
        <f>IF('INHERENT MAP'!$B$5=2021,'РЕЕСТР РИСКОВ_2023'!AD369,IF('INHERENT MAP'!$B$5=2022,#REF!,IF('INHERENT MAP'!$B$5=2023,#REF!,IF('INHERENT MAP'!$B$5=2024,#REF!,#REF!))))</f>
        <v>0</v>
      </c>
      <c r="Z329">
        <f>IF('INHERENT MAP'!$B$5=2021,'РЕЕСТР РИСКОВ_2023'!AE369,IF('INHERENT MAP'!$B$5=2022,#REF!,IF('INHERENT MAP'!$B$5=2023,#REF!,IF('INHERENT MAP'!$B$5=2024,#REF!,#REF!))))</f>
        <v>0</v>
      </c>
      <c r="AA329">
        <f>IF('INHERENT MAP'!$B$5=2021,'РЕЕСТР РИСКОВ_2023'!AF369,IF('INHERENT MAP'!$B$5=2022,#REF!,IF('INHERENT MAP'!$B$5=2023,#REF!,IF('INHERENT MAP'!$B$5=2024,#REF!,#REF!))))</f>
        <v>0</v>
      </c>
      <c r="AB329">
        <f>IF('INHERENT MAP'!$B$5=2021,'РЕЕСТР РИСКОВ_2023'!AG369,IF('INHERENT MAP'!$B$5=2022,#REF!,IF('INHERENT MAP'!$B$5=2023,#REF!,IF('INHERENT MAP'!$B$5=2024,#REF!,#REF!))))</f>
        <v>0</v>
      </c>
      <c r="AC329">
        <f>IF('INHERENT MAP'!$B$5=2021,'РЕЕСТР РИСКОВ_2023'!AH369,IF('INHERENT MAP'!$B$5=2022,#REF!,IF('INHERENT MAP'!$B$5=2023,#REF!,IF('INHERENT MAP'!$B$5=2024,#REF!,#REF!))))</f>
        <v>0</v>
      </c>
      <c r="AD329">
        <f>IF('INHERENT MAP'!$B$5=2021,'РЕЕСТР РИСКОВ_2023'!AI369,IF('INHERENT MAP'!$B$5=2022,#REF!,IF('INHERENT MAP'!$B$5=2023,#REF!,IF('INHERENT MAP'!$B$5=2024,#REF!,#REF!))))</f>
        <v>0</v>
      </c>
      <c r="AE329">
        <f>IF('INHERENT MAP'!$B$5=2021,'РЕЕСТР РИСКОВ_2023'!AK369,IF('INHERENT MAP'!$B$5=2022,#REF!,IF('INHERENT MAP'!$B$5=2023,#REF!,IF('INHERENT MAP'!$B$5=2024,#REF!,#REF!))))</f>
        <v>0</v>
      </c>
      <c r="AF329">
        <f>IF('INHERENT MAP'!$B$5=2021,'РЕЕСТР РИСКОВ_2023'!AL369,IF('INHERENT MAP'!$B$5=2022,#REF!,IF('INHERENT MAP'!$B$5=2023,#REF!,IF('INHERENT MAP'!$B$5=2024,#REF!,#REF!))))</f>
        <v>0</v>
      </c>
      <c r="AG329">
        <f>IF('INHERENT MAP'!$B$5=2021,'РЕЕСТР РИСКОВ_2023'!AM369,IF('INHERENT MAP'!$B$5=2022,#REF!,IF('INHERENT MAP'!$B$5=2023,#REF!,IF('INHERENT MAP'!$B$5=2024,#REF!,#REF!))))</f>
        <v>0</v>
      </c>
      <c r="AH329">
        <f>IF('INHERENT MAP'!$B$5=2021,'РЕЕСТР РИСКОВ_2023'!AN369,IF('INHERENT MAP'!$B$5=2022,#REF!,IF('INHERENT MAP'!$B$5=2023,#REF!,IF('INHERENT MAP'!$B$5=2024,#REF!,#REF!))))</f>
        <v>0</v>
      </c>
      <c r="AI329">
        <f>IF('INHERENT MAP'!$B$5=2021,'РЕЕСТР РИСКОВ_2023'!AO369,IF('INHERENT MAP'!$B$5=2022,#REF!,IF('INHERENT MAP'!$B$5=2023,#REF!,IF('INHERENT MAP'!$B$5=2024,#REF!,#REF!))))</f>
        <v>0</v>
      </c>
      <c r="AJ329">
        <f>IF('INHERENT MAP'!$B$5=2021,'РЕЕСТР РИСКОВ_2023'!AP369,IF('INHERENT MAP'!$B$5=2022,#REF!,IF('INHERENT MAP'!$B$5=2023,#REF!,IF('INHERENT MAP'!$B$5=2024,#REF!,#REF!))))</f>
        <v>0</v>
      </c>
      <c r="AK329">
        <f>IF('РЕЕСТР РИСКОВ_2023'!AQ369="",AK328,'РЕЕСТР РИСКОВ_2023'!AQ369)</f>
        <v>-216</v>
      </c>
      <c r="AL329">
        <f>IF('РЕЕСТР РИСКОВ_2023'!AR369="",AL328,'РЕЕСТР РИСКОВ_2023'!AR369)</f>
        <v>0.12</v>
      </c>
      <c r="AM329" t="str">
        <f>IF('РЕЕСТР РИСКОВ_2023'!AS369="",AM328,'РЕЕСТР РИСКОВ_2023'!AS369)</f>
        <v>стоп</v>
      </c>
      <c r="AN329" t="str">
        <f>IF('РЕЕСТР РИСКОВ_2023'!AT369="",AN328,'РЕЕСТР РИСКОВ_2023'!AT369)</f>
        <v>стоп</v>
      </c>
      <c r="AO329" t="e">
        <f>IF('РЕЕСТР РИСКОВ_2023'!AU369="",AO328,'РЕЕСТР РИСКОВ_2023'!AU369)</f>
        <v>#REF!</v>
      </c>
    </row>
    <row r="330" spans="2:41">
      <c r="B330" t="str">
        <f>IF('INHERENT MAP'!$B$5=2021,IF('РЕЕСТР РИСКОВ_2023'!F370="",B329,'РЕЕСТР РИСКОВ_2023'!F370),IF('INHERENT MAP'!$B$5=2022,IF(#REF!="",B329,#REF!),IF('INHERENT MAP'!$B$5=2023,IF(#REF!="",B329,#REF!),IF('INHERENT MAP'!$B$5=2024,IF(#REF!="",B329,#REF!),IF('РЕЕСТР РИСКОВ_2023'!F370="",B329,'РЕЕСТР РИСКОВ_2023'!F370)))))</f>
        <v>ПРОЦЕНТНЫЙ РИСК</v>
      </c>
      <c r="C330" t="e">
        <f>IF('INHERENT MAP'!$B$5=2021,IF('РЕЕСТР РИСКОВ_2023'!G370="",C329,'РЕЕСТР РИСКОВ_2023'!G370),IF('INHERENT MAP'!$B$5=2022,IF(#REF!="",C329,#REF!),IF('INHERENT MAP'!$B$5=2023,IF(#REF!="",C329,#REF!),IF('INHERENT MAP'!$B$5=2024,IF(#REF!="",C329,#REF!),IF('РЕЕСТР РИСКОВ_2023'!G370="",C329,'РЕЕСТР РИСКОВ_2023'!G370)))))</f>
        <v>#REF!</v>
      </c>
      <c r="D330" t="str">
        <f>IF('INHERENT MAP'!$B$5=2021,IF('РЕЕСТР РИСКОВ_2023'!H370="",D329,'РЕЕСТР РИСКОВ_2023'!H370),IF('INHERENT MAP'!$B$5=2022,IF(#REF!="",D329,#REF!),IF('INHERENT MAP'!$B$5=2023,IF(#REF!="",D329,#REF!),IF('INHERENT MAP'!$B$5=2024,IF(#REF!="",D329,#REF!),IF('РЕЕСТР РИСКОВ_2023'!H370="",D329,'РЕЕСТР РИСКОВ_2023'!H370)))))</f>
        <v>IRR-1</v>
      </c>
      <c r="E330" t="str">
        <f>IF('INHERENT MAP'!$B$5=2021,IF('РЕЕСТР РИСКОВ_2023'!I370="",E329,'РЕЕСТР РИСКОВ_2023'!I370),IF('INHERENT MAP'!$B$5=2022,IF(#REF!="",E329,#REF!),IF('INHERENT MAP'!$B$5=2023,IF(#REF!="",E329,#REF!),IF('INHERENT MAP'!$B$5=2024,IF(#REF!="",E329,#REF!),IF('РЕЕСТР РИСКОВ_2023'!I370="",E329,'РЕЕСТР РИСКОВ_2023'!I370)))))</f>
        <v>ЦЗФ</v>
      </c>
      <c r="F330" t="str">
        <f>IF('INHERENT MAP'!$B$5=2021,IF('РЕЕСТР РИСКОВ_2023'!J370="",F329,'РЕЕСТР РИСКОВ_2023'!J370),IF('INHERENT MAP'!$B$5=2022,IF(#REF!="",F329,#REF!),IF('INHERENT MAP'!$B$5=2023,IF(#REF!="",F329,#REF!),IF('INHERENT MAP'!$B$5=2024,IF(#REF!="",F329,#REF!),IF('РЕЕСТР РИСКОВ_2023'!J370="",F329,'РЕЕСТР РИСКОВ_2023'!J370)))))</f>
        <v>Цзайм</v>
      </c>
      <c r="G330" t="str">
        <f>IF('INHERENT MAP'!$B$5=2021,IF('РЕЕСТР РИСКОВ_2023'!K370="",G329,'РЕЕСТР РИСКОВ_2023'!K370),IF('INHERENT MAP'!$B$5=2022,IF(#REF!="",G329,#REF!),IF('INHERENT MAP'!$B$5=2023,IF(#REF!="",G329,#REF!),IF('INHERENT MAP'!$B$5=2024,IF(#REF!="",G329,#REF!),IF('РЕЕСТР РИСКОВ_2023'!K370="",G329,'РЕЕСТР РИСКОВ_2023'!K370)))))</f>
        <v>Увеличение расходов по процентам на новые займы, а также текущие займы (с плавающей ставкой) в тенге.</v>
      </c>
      <c r="H330">
        <f>IF('INHERENT MAP'!$B$5=2021,'РЕЕСТР РИСКОВ_2023'!L370,IF('INHERENT MAP'!$B$5=2022,#REF!,IF('INHERENT MAP'!$B$5=2023,#REF!,IF('INHERENT MAP'!$B$5=2024,#REF!,#REF!))))</f>
        <v>0</v>
      </c>
      <c r="I330">
        <f>IF('INHERENT MAP'!$B$5=2021,'РЕЕСТР РИСКОВ_2023'!M370,IF('INHERENT MAP'!$B$5=2022,#REF!,IF('INHERENT MAP'!$B$5=2023,#REF!,IF('INHERENT MAP'!$B$5=2024,#REF!,#REF!))))</f>
        <v>0</v>
      </c>
      <c r="J330">
        <f>IF('INHERENT MAP'!$B$5=2021,'РЕЕСТР РИСКОВ_2023'!N370,IF('INHERENT MAP'!$B$5=2022,#REF!,IF('INHERENT MAP'!$B$5=2023,#REF!,IF('INHERENT MAP'!$B$5=2024,#REF!,#REF!))))</f>
        <v>0</v>
      </c>
      <c r="K330">
        <f>IF('INHERENT MAP'!$B$5=2021,'РЕЕСТР РИСКОВ_2023'!O370,IF('INHERENT MAP'!$B$5=2022,#REF!,IF('INHERENT MAP'!$B$5=2023,#REF!,IF('INHERENT MAP'!$B$5=2024,#REF!,#REF!))))</f>
        <v>0</v>
      </c>
      <c r="L330">
        <f>IF('INHERENT MAP'!$B$5=2021,'РЕЕСТР РИСКОВ_2023'!P370,IF('INHERENT MAP'!$B$5=2022,#REF!,IF('INHERENT MAP'!$B$5=2023,#REF!,IF('INHERENT MAP'!$B$5=2024,#REF!,#REF!))))</f>
        <v>0</v>
      </c>
      <c r="M330" t="str">
        <f>IF('INHERENT MAP'!$B$5=2021,IF('РЕЕСТР РИСКОВ_2023'!Q370="",M329,'РЕЕСТР РИСКОВ_2023'!Q370),IF('INHERENT MAP'!$B$5=2022,IF(#REF!="",M329,#REF!),IF('INHERENT MAP'!$B$5=2023,IF(#REF!="",M329,#REF!),IF('INHERENT MAP'!$B$5=2024,IF(#REF!="",M329,#REF!),IF('РЕЕСТР РИСКОВ_2023'!Q370="",M329,'РЕЕСТР РИСКОВ_2023'!Q370)))))</f>
        <v>Увеличение базовой ставки Национального банка Республики Казахстан до 16%</v>
      </c>
      <c r="N330" t="str">
        <f>IF('INHERENT MAP'!$B$5=2021,IF('РЕЕСТР РИСКОВ_2023'!R370="",N329,'РЕЕСТР РИСКОВ_2023'!R370),IF('INHERENT MAP'!$B$5=2022,IF(#REF!="",N329,#REF!),IF('INHERENT MAP'!$B$5=2023,IF(#REF!="",N329,#REF!),IF('INHERENT MAP'!$B$5=2024,IF(#REF!="",N329,#REF!),IF('РЕЕСТР РИСКОВ_2023'!R370="",N329,'РЕЕСТР РИСКОВ_2023'!R370)))))</f>
        <v>Рецессия экономики европейских стран</v>
      </c>
      <c r="O330">
        <f>'РЕЕСТР РИСКОВ_2023'!T370</f>
        <v>0</v>
      </c>
      <c r="P330" t="e">
        <f>IF('РЕЕСТР РИСКОВ_2023'!U370="",P329,'РЕЕСТР РИСКОВ_2023'!U370)</f>
        <v>#REF!</v>
      </c>
      <c r="Q330" t="str">
        <f>IF('РЕЕСТР РИСКОВ_2023'!V370="",Q329,'РЕЕСТР РИСКОВ_2023'!V370)</f>
        <v>Угрозы</v>
      </c>
      <c r="R330" t="e">
        <f>IF('РЕЕСТР РИСКОВ_2023'!W370="",R329,'РЕЕСТР РИСКОВ_2023'!W370)</f>
        <v>#REF!</v>
      </c>
      <c r="S330">
        <f>'РЕЕСТР РИСКОВ_2023'!X370</f>
        <v>0</v>
      </c>
      <c r="T330" s="94">
        <f>IF('INHERENT MAP'!$B$5=2021,'РЕЕСТР РИСКОВ_2023'!Y370,IF('INHERENT MAP'!$B$5=2022,#REF!,IF('INHERENT MAP'!$B$5=2023,#REF!,IF('INHERENT MAP'!$B$5=2024,#REF!,#REF!))))</f>
        <v>0</v>
      </c>
      <c r="U330">
        <f>IF('INHERENT MAP'!$B$5=2021,'РЕЕСТР РИСКОВ_2023'!Z370,IF('INHERENT MAP'!$B$5=2022,#REF!,IF('INHERENT MAP'!$B$5=2023,#REF!,IF('INHERENT MAP'!$B$5=2024,#REF!,#REF!))))</f>
        <v>0</v>
      </c>
      <c r="V330">
        <f>IF('INHERENT MAP'!$B$5=2021,'РЕЕСТР РИСКОВ_2023'!AA370,IF('INHERENT MAP'!$B$5=2022,#REF!,IF('INHERENT MAP'!$B$5=2023,#REF!,IF('INHERENT MAP'!$B$5=2024,#REF!,#REF!))))</f>
        <v>0</v>
      </c>
      <c r="W330">
        <f>IF('INHERENT MAP'!$B$5=2021,'РЕЕСТР РИСКОВ_2023'!AB370,IF('INHERENT MAP'!$B$5=2022,#REF!,IF('INHERENT MAP'!$B$5=2023,#REF!,IF('INHERENT MAP'!$B$5=2024,#REF!,#REF!))))</f>
        <v>0</v>
      </c>
      <c r="X330" s="94">
        <f>IF('INHERENT MAP'!$B$5=2021,'РЕЕСТР РИСКОВ_2023'!AC370,IF('INHERENT MAP'!$B$5=2022,#REF!,IF('INHERENT MAP'!$B$5=2023,#REF!,IF('INHERENT MAP'!$B$5=2024,#REF!,#REF!))))</f>
        <v>0</v>
      </c>
      <c r="Y330">
        <f>IF('INHERENT MAP'!$B$5=2021,'РЕЕСТР РИСКОВ_2023'!AD370,IF('INHERENT MAP'!$B$5=2022,#REF!,IF('INHERENT MAP'!$B$5=2023,#REF!,IF('INHERENT MAP'!$B$5=2024,#REF!,#REF!))))</f>
        <v>0</v>
      </c>
      <c r="Z330">
        <f>IF('INHERENT MAP'!$B$5=2021,'РЕЕСТР РИСКОВ_2023'!AE370,IF('INHERENT MAP'!$B$5=2022,#REF!,IF('INHERENT MAP'!$B$5=2023,#REF!,IF('INHERENT MAP'!$B$5=2024,#REF!,#REF!))))</f>
        <v>0</v>
      </c>
      <c r="AA330">
        <f>IF('INHERENT MAP'!$B$5=2021,'РЕЕСТР РИСКОВ_2023'!AF370,IF('INHERENT MAP'!$B$5=2022,#REF!,IF('INHERENT MAP'!$B$5=2023,#REF!,IF('INHERENT MAP'!$B$5=2024,#REF!,#REF!))))</f>
        <v>0</v>
      </c>
      <c r="AB330">
        <f>IF('INHERENT MAP'!$B$5=2021,'РЕЕСТР РИСКОВ_2023'!AG370,IF('INHERENT MAP'!$B$5=2022,#REF!,IF('INHERENT MAP'!$B$5=2023,#REF!,IF('INHERENT MAP'!$B$5=2024,#REF!,#REF!))))</f>
        <v>0</v>
      </c>
      <c r="AC330">
        <f>IF('INHERENT MAP'!$B$5=2021,'РЕЕСТР РИСКОВ_2023'!AH370,IF('INHERENT MAP'!$B$5=2022,#REF!,IF('INHERENT MAP'!$B$5=2023,#REF!,IF('INHERENT MAP'!$B$5=2024,#REF!,#REF!))))</f>
        <v>0</v>
      </c>
      <c r="AD330">
        <f>IF('INHERENT MAP'!$B$5=2021,'РЕЕСТР РИСКОВ_2023'!AI370,IF('INHERENT MAP'!$B$5=2022,#REF!,IF('INHERENT MAP'!$B$5=2023,#REF!,IF('INHERENT MAP'!$B$5=2024,#REF!,#REF!))))</f>
        <v>0</v>
      </c>
      <c r="AE330">
        <f>IF('INHERENT MAP'!$B$5=2021,'РЕЕСТР РИСКОВ_2023'!AK370,IF('INHERENT MAP'!$B$5=2022,#REF!,IF('INHERENT MAP'!$B$5=2023,#REF!,IF('INHERENT MAP'!$B$5=2024,#REF!,#REF!))))</f>
        <v>0</v>
      </c>
      <c r="AF330">
        <f>IF('INHERENT MAP'!$B$5=2021,'РЕЕСТР РИСКОВ_2023'!AL370,IF('INHERENT MAP'!$B$5=2022,#REF!,IF('INHERENT MAP'!$B$5=2023,#REF!,IF('INHERENT MAP'!$B$5=2024,#REF!,#REF!))))</f>
        <v>0</v>
      </c>
      <c r="AG330">
        <f>IF('INHERENT MAP'!$B$5=2021,'РЕЕСТР РИСКОВ_2023'!AM370,IF('INHERENT MAP'!$B$5=2022,#REF!,IF('INHERENT MAP'!$B$5=2023,#REF!,IF('INHERENT MAP'!$B$5=2024,#REF!,#REF!))))</f>
        <v>0</v>
      </c>
      <c r="AH330">
        <f>IF('INHERENT MAP'!$B$5=2021,'РЕЕСТР РИСКОВ_2023'!AN370,IF('INHERENT MAP'!$B$5=2022,#REF!,IF('INHERENT MAP'!$B$5=2023,#REF!,IF('INHERENT MAP'!$B$5=2024,#REF!,#REF!))))</f>
        <v>0</v>
      </c>
      <c r="AI330">
        <f>IF('INHERENT MAP'!$B$5=2021,'РЕЕСТР РИСКОВ_2023'!AO370,IF('INHERENT MAP'!$B$5=2022,#REF!,IF('INHERENT MAP'!$B$5=2023,#REF!,IF('INHERENT MAP'!$B$5=2024,#REF!,#REF!))))</f>
        <v>0</v>
      </c>
      <c r="AJ330">
        <f>IF('INHERENT MAP'!$B$5=2021,'РЕЕСТР РИСКОВ_2023'!AP370,IF('INHERENT MAP'!$B$5=2022,#REF!,IF('INHERENT MAP'!$B$5=2023,#REF!,IF('INHERENT MAP'!$B$5=2024,#REF!,#REF!))))</f>
        <v>0</v>
      </c>
      <c r="AK330">
        <f>IF('РЕЕСТР РИСКОВ_2023'!AQ370="",AK329,'РЕЕСТР РИСКОВ_2023'!AQ370)</f>
        <v>-216</v>
      </c>
      <c r="AL330">
        <f>IF('РЕЕСТР РИСКОВ_2023'!AR370="",AL329,'РЕЕСТР РИСКОВ_2023'!AR370)</f>
        <v>0.12</v>
      </c>
      <c r="AM330" t="str">
        <f>IF('РЕЕСТР РИСКОВ_2023'!AS370="",AM329,'РЕЕСТР РИСКОВ_2023'!AS370)</f>
        <v>стоп</v>
      </c>
      <c r="AN330" t="str">
        <f>IF('РЕЕСТР РИСКОВ_2023'!AT370="",AN329,'РЕЕСТР РИСКОВ_2023'!AT370)</f>
        <v>стоп</v>
      </c>
      <c r="AO330" t="e">
        <f>IF('РЕЕСТР РИСКОВ_2023'!AU370="",AO329,'РЕЕСТР РИСКОВ_2023'!AU370)</f>
        <v>#REF!</v>
      </c>
    </row>
    <row r="331" spans="2:41">
      <c r="B331" t="str">
        <f>IF('INHERENT MAP'!$B$5=2021,IF('РЕЕСТР РИСКОВ_2023'!F371="",B330,'РЕЕСТР РИСКОВ_2023'!F371),IF('INHERENT MAP'!$B$5=2022,IF(#REF!="",B330,#REF!),IF('INHERENT MAP'!$B$5=2023,IF(#REF!="",B330,#REF!),IF('INHERENT MAP'!$B$5=2024,IF(#REF!="",B330,#REF!),IF('РЕЕСТР РИСКОВ_2023'!F371="",B330,'РЕЕСТР РИСКОВ_2023'!F371)))))</f>
        <v>ПРОЦЕНТНЫЙ РИСК</v>
      </c>
      <c r="C331" t="e">
        <f>IF('INHERENT MAP'!$B$5=2021,IF('РЕЕСТР РИСКОВ_2023'!G371="",C330,'РЕЕСТР РИСКОВ_2023'!G371),IF('INHERENT MAP'!$B$5=2022,IF(#REF!="",C330,#REF!),IF('INHERENT MAP'!$B$5=2023,IF(#REF!="",C330,#REF!),IF('INHERENT MAP'!$B$5=2024,IF(#REF!="",C330,#REF!),IF('РЕЕСТР РИСКОВ_2023'!G371="",C330,'РЕЕСТР РИСКОВ_2023'!G371)))))</f>
        <v>#REF!</v>
      </c>
      <c r="D331" t="str">
        <f>IF('INHERENT MAP'!$B$5=2021,IF('РЕЕСТР РИСКОВ_2023'!H371="",D330,'РЕЕСТР РИСКОВ_2023'!H371),IF('INHERENT MAP'!$B$5=2022,IF(#REF!="",D330,#REF!),IF('INHERENT MAP'!$B$5=2023,IF(#REF!="",D330,#REF!),IF('INHERENT MAP'!$B$5=2024,IF(#REF!="",D330,#REF!),IF('РЕЕСТР РИСКОВ_2023'!H371="",D330,'РЕЕСТР РИСКОВ_2023'!H371)))))</f>
        <v>IRR-1</v>
      </c>
      <c r="E331" t="str">
        <f>IF('INHERENT MAP'!$B$5=2021,IF('РЕЕСТР РИСКОВ_2023'!I371="",E330,'РЕЕСТР РИСКОВ_2023'!I371),IF('INHERENT MAP'!$B$5=2022,IF(#REF!="",E330,#REF!),IF('INHERENT MAP'!$B$5=2023,IF(#REF!="",E330,#REF!),IF('INHERENT MAP'!$B$5=2024,IF(#REF!="",E330,#REF!),IF('РЕЕСТР РИСКОВ_2023'!I371="",E330,'РЕЕСТР РИСКОВ_2023'!I371)))))</f>
        <v>ЦЗФ</v>
      </c>
      <c r="F331" t="str">
        <f>IF('INHERENT MAP'!$B$5=2021,IF('РЕЕСТР РИСКОВ_2023'!J371="",F330,'РЕЕСТР РИСКОВ_2023'!J371),IF('INHERENT MAP'!$B$5=2022,IF(#REF!="",F330,#REF!),IF('INHERENT MAP'!$B$5=2023,IF(#REF!="",F330,#REF!),IF('INHERENT MAP'!$B$5=2024,IF(#REF!="",F330,#REF!),IF('РЕЕСТР РИСКОВ_2023'!J371="",F330,'РЕЕСТР РИСКОВ_2023'!J371)))))</f>
        <v>Цзайм</v>
      </c>
      <c r="G331" t="str">
        <f>IF('INHERENT MAP'!$B$5=2021,IF('РЕЕСТР РИСКОВ_2023'!K371="",G330,'РЕЕСТР РИСКОВ_2023'!K371),IF('INHERENT MAP'!$B$5=2022,IF(#REF!="",G330,#REF!),IF('INHERENT MAP'!$B$5=2023,IF(#REF!="",G330,#REF!),IF('INHERENT MAP'!$B$5=2024,IF(#REF!="",G330,#REF!),IF('РЕЕСТР РИСКОВ_2023'!K371="",G330,'РЕЕСТР РИСКОВ_2023'!K371)))))</f>
        <v>Увеличение расходов по процентам на новые займы, а также текущие займы (с плавающей ставкой) в тенге.</v>
      </c>
      <c r="H331">
        <f>IF('INHERENT MAP'!$B$5=2021,'РЕЕСТР РИСКОВ_2023'!L371,IF('INHERENT MAP'!$B$5=2022,#REF!,IF('INHERENT MAP'!$B$5=2023,#REF!,IF('INHERENT MAP'!$B$5=2024,#REF!,#REF!))))</f>
        <v>0</v>
      </c>
      <c r="I331">
        <f>IF('INHERENT MAP'!$B$5=2021,'РЕЕСТР РИСКОВ_2023'!M371,IF('INHERENT MAP'!$B$5=2022,#REF!,IF('INHERENT MAP'!$B$5=2023,#REF!,IF('INHERENT MAP'!$B$5=2024,#REF!,#REF!))))</f>
        <v>0</v>
      </c>
      <c r="J331">
        <f>IF('INHERENT MAP'!$B$5=2021,'РЕЕСТР РИСКОВ_2023'!N371,IF('INHERENT MAP'!$B$5=2022,#REF!,IF('INHERENT MAP'!$B$5=2023,#REF!,IF('INHERENT MAP'!$B$5=2024,#REF!,#REF!))))</f>
        <v>0</v>
      </c>
      <c r="K331">
        <f>IF('INHERENT MAP'!$B$5=2021,'РЕЕСТР РИСКОВ_2023'!O371,IF('INHERENT MAP'!$B$5=2022,#REF!,IF('INHERENT MAP'!$B$5=2023,#REF!,IF('INHERENT MAP'!$B$5=2024,#REF!,#REF!))))</f>
        <v>0</v>
      </c>
      <c r="L331">
        <f>IF('INHERENT MAP'!$B$5=2021,'РЕЕСТР РИСКОВ_2023'!P371,IF('INHERENT MAP'!$B$5=2022,#REF!,IF('INHERENT MAP'!$B$5=2023,#REF!,IF('INHERENT MAP'!$B$5=2024,#REF!,#REF!))))</f>
        <v>0</v>
      </c>
      <c r="M331" t="str">
        <f>IF('INHERENT MAP'!$B$5=2021,IF('РЕЕСТР РИСКОВ_2023'!Q371="",M330,'РЕЕСТР РИСКОВ_2023'!Q371),IF('INHERENT MAP'!$B$5=2022,IF(#REF!="",M330,#REF!),IF('INHERENT MAP'!$B$5=2023,IF(#REF!="",M330,#REF!),IF('INHERENT MAP'!$B$5=2024,IF(#REF!="",M330,#REF!),IF('РЕЕСТР РИСКОВ_2023'!Q371="",M330,'РЕЕСТР РИСКОВ_2023'!Q371)))))</f>
        <v>Увеличение базовой ставки Национального банка Республики Казахстан до 16%</v>
      </c>
      <c r="N331" t="str">
        <f>IF('INHERENT MAP'!$B$5=2021,IF('РЕЕСТР РИСКОВ_2023'!R371="",N330,'РЕЕСТР РИСКОВ_2023'!R371),IF('INHERENT MAP'!$B$5=2022,IF(#REF!="",N330,#REF!),IF('INHERENT MAP'!$B$5=2023,IF(#REF!="",N330,#REF!),IF('INHERENT MAP'!$B$5=2024,IF(#REF!="",N330,#REF!),IF('РЕЕСТР РИСКОВ_2023'!R371="",N330,'РЕЕСТР РИСКОВ_2023'!R371)))))</f>
        <v>Рецессия экономики европейских стран</v>
      </c>
      <c r="O331">
        <f>'РЕЕСТР РИСКОВ_2023'!T371</f>
        <v>0</v>
      </c>
      <c r="P331" t="e">
        <f>IF('РЕЕСТР РИСКОВ_2023'!U371="",P330,'РЕЕСТР РИСКОВ_2023'!U371)</f>
        <v>#REF!</v>
      </c>
      <c r="Q331" t="str">
        <f>IF('РЕЕСТР РИСКОВ_2023'!V371="",Q330,'РЕЕСТР РИСКОВ_2023'!V371)</f>
        <v>Угрозы</v>
      </c>
      <c r="R331" t="e">
        <f>IF('РЕЕСТР РИСКОВ_2023'!W371="",R330,'РЕЕСТР РИСКОВ_2023'!W371)</f>
        <v>#REF!</v>
      </c>
      <c r="S331">
        <f>'РЕЕСТР РИСКОВ_2023'!X371</f>
        <v>0</v>
      </c>
      <c r="T331" s="94">
        <f>IF('INHERENT MAP'!$B$5=2021,'РЕЕСТР РИСКОВ_2023'!Y371,IF('INHERENT MAP'!$B$5=2022,#REF!,IF('INHERENT MAP'!$B$5=2023,#REF!,IF('INHERENT MAP'!$B$5=2024,#REF!,#REF!))))</f>
        <v>0</v>
      </c>
      <c r="U331">
        <f>IF('INHERENT MAP'!$B$5=2021,'РЕЕСТР РИСКОВ_2023'!Z371,IF('INHERENT MAP'!$B$5=2022,#REF!,IF('INHERENT MAP'!$B$5=2023,#REF!,IF('INHERENT MAP'!$B$5=2024,#REF!,#REF!))))</f>
        <v>0</v>
      </c>
      <c r="V331">
        <f>IF('INHERENT MAP'!$B$5=2021,'РЕЕСТР РИСКОВ_2023'!AA371,IF('INHERENT MAP'!$B$5=2022,#REF!,IF('INHERENT MAP'!$B$5=2023,#REF!,IF('INHERENT MAP'!$B$5=2024,#REF!,#REF!))))</f>
        <v>0</v>
      </c>
      <c r="W331">
        <f>IF('INHERENT MAP'!$B$5=2021,'РЕЕСТР РИСКОВ_2023'!AB371,IF('INHERENT MAP'!$B$5=2022,#REF!,IF('INHERENT MAP'!$B$5=2023,#REF!,IF('INHERENT MAP'!$B$5=2024,#REF!,#REF!))))</f>
        <v>0</v>
      </c>
      <c r="X331" s="94">
        <f>IF('INHERENT MAP'!$B$5=2021,'РЕЕСТР РИСКОВ_2023'!AC371,IF('INHERENT MAP'!$B$5=2022,#REF!,IF('INHERENT MAP'!$B$5=2023,#REF!,IF('INHERENT MAP'!$B$5=2024,#REF!,#REF!))))</f>
        <v>0</v>
      </c>
      <c r="Y331">
        <f>IF('INHERENT MAP'!$B$5=2021,'РЕЕСТР РИСКОВ_2023'!AD371,IF('INHERENT MAP'!$B$5=2022,#REF!,IF('INHERENT MAP'!$B$5=2023,#REF!,IF('INHERENT MAP'!$B$5=2024,#REF!,#REF!))))</f>
        <v>0</v>
      </c>
      <c r="Z331">
        <f>IF('INHERENT MAP'!$B$5=2021,'РЕЕСТР РИСКОВ_2023'!AE371,IF('INHERENT MAP'!$B$5=2022,#REF!,IF('INHERENT MAP'!$B$5=2023,#REF!,IF('INHERENT MAP'!$B$5=2024,#REF!,#REF!))))</f>
        <v>0</v>
      </c>
      <c r="AA331">
        <f>IF('INHERENT MAP'!$B$5=2021,'РЕЕСТР РИСКОВ_2023'!AF371,IF('INHERENT MAP'!$B$5=2022,#REF!,IF('INHERENT MAP'!$B$5=2023,#REF!,IF('INHERENT MAP'!$B$5=2024,#REF!,#REF!))))</f>
        <v>0</v>
      </c>
      <c r="AB331">
        <f>IF('INHERENT MAP'!$B$5=2021,'РЕЕСТР РИСКОВ_2023'!AG371,IF('INHERENT MAP'!$B$5=2022,#REF!,IF('INHERENT MAP'!$B$5=2023,#REF!,IF('INHERENT MAP'!$B$5=2024,#REF!,#REF!))))</f>
        <v>0</v>
      </c>
      <c r="AC331">
        <f>IF('INHERENT MAP'!$B$5=2021,'РЕЕСТР РИСКОВ_2023'!AH371,IF('INHERENT MAP'!$B$5=2022,#REF!,IF('INHERENT MAP'!$B$5=2023,#REF!,IF('INHERENT MAP'!$B$5=2024,#REF!,#REF!))))</f>
        <v>0</v>
      </c>
      <c r="AD331">
        <f>IF('INHERENT MAP'!$B$5=2021,'РЕЕСТР РИСКОВ_2023'!AI371,IF('INHERENT MAP'!$B$5=2022,#REF!,IF('INHERENT MAP'!$B$5=2023,#REF!,IF('INHERENT MAP'!$B$5=2024,#REF!,#REF!))))</f>
        <v>0</v>
      </c>
      <c r="AE331">
        <f>IF('INHERENT MAP'!$B$5=2021,'РЕЕСТР РИСКОВ_2023'!AK371,IF('INHERENT MAP'!$B$5=2022,#REF!,IF('INHERENT MAP'!$B$5=2023,#REF!,IF('INHERENT MAP'!$B$5=2024,#REF!,#REF!))))</f>
        <v>0</v>
      </c>
      <c r="AF331">
        <f>IF('INHERENT MAP'!$B$5=2021,'РЕЕСТР РИСКОВ_2023'!AL371,IF('INHERENT MAP'!$B$5=2022,#REF!,IF('INHERENT MAP'!$B$5=2023,#REF!,IF('INHERENT MAP'!$B$5=2024,#REF!,#REF!))))</f>
        <v>0</v>
      </c>
      <c r="AG331">
        <f>IF('INHERENT MAP'!$B$5=2021,'РЕЕСТР РИСКОВ_2023'!AM371,IF('INHERENT MAP'!$B$5=2022,#REF!,IF('INHERENT MAP'!$B$5=2023,#REF!,IF('INHERENT MAP'!$B$5=2024,#REF!,#REF!))))</f>
        <v>0</v>
      </c>
      <c r="AH331">
        <f>IF('INHERENT MAP'!$B$5=2021,'РЕЕСТР РИСКОВ_2023'!AN371,IF('INHERENT MAP'!$B$5=2022,#REF!,IF('INHERENT MAP'!$B$5=2023,#REF!,IF('INHERENT MAP'!$B$5=2024,#REF!,#REF!))))</f>
        <v>0</v>
      </c>
      <c r="AI331">
        <f>IF('INHERENT MAP'!$B$5=2021,'РЕЕСТР РИСКОВ_2023'!AO371,IF('INHERENT MAP'!$B$5=2022,#REF!,IF('INHERENT MAP'!$B$5=2023,#REF!,IF('INHERENT MAP'!$B$5=2024,#REF!,#REF!))))</f>
        <v>0</v>
      </c>
      <c r="AJ331">
        <f>IF('INHERENT MAP'!$B$5=2021,'РЕЕСТР РИСКОВ_2023'!AP371,IF('INHERENT MAP'!$B$5=2022,#REF!,IF('INHERENT MAP'!$B$5=2023,#REF!,IF('INHERENT MAP'!$B$5=2024,#REF!,#REF!))))</f>
        <v>0</v>
      </c>
      <c r="AK331">
        <f>IF('РЕЕСТР РИСКОВ_2023'!AQ371="",AK330,'РЕЕСТР РИСКОВ_2023'!AQ371)</f>
        <v>-216</v>
      </c>
      <c r="AL331">
        <f>IF('РЕЕСТР РИСКОВ_2023'!AR371="",AL330,'РЕЕСТР РИСКОВ_2023'!AR371)</f>
        <v>0.12</v>
      </c>
      <c r="AM331" t="str">
        <f>IF('РЕЕСТР РИСКОВ_2023'!AS371="",AM330,'РЕЕСТР РИСКОВ_2023'!AS371)</f>
        <v>стоп</v>
      </c>
      <c r="AN331" t="str">
        <f>IF('РЕЕСТР РИСКОВ_2023'!AT371="",AN330,'РЕЕСТР РИСКОВ_2023'!AT371)</f>
        <v>стоп</v>
      </c>
      <c r="AO331" t="e">
        <f>IF('РЕЕСТР РИСКОВ_2023'!AU371="",AO330,'РЕЕСТР РИСКОВ_2023'!AU371)</f>
        <v>#REF!</v>
      </c>
    </row>
    <row r="332" spans="2:41">
      <c r="B332" t="str">
        <f>IF('INHERENT MAP'!$B$5=2021,IF('РЕЕСТР РИСКОВ_2023'!F372="",B331,'РЕЕСТР РИСКОВ_2023'!F372),IF('INHERENT MAP'!$B$5=2022,IF(#REF!="",B331,#REF!),IF('INHERENT MAP'!$B$5=2023,IF(#REF!="",B331,#REF!),IF('INHERENT MAP'!$B$5=2024,IF(#REF!="",B331,#REF!),IF('РЕЕСТР РИСКОВ_2023'!F372="",B331,'РЕЕСТР РИСКОВ_2023'!F372)))))</f>
        <v>ПРОЦЕНТНЫЙ РИСК</v>
      </c>
      <c r="C332" t="e">
        <f>IF('INHERENT MAP'!$B$5=2021,IF('РЕЕСТР РИСКОВ_2023'!G372="",C331,'РЕЕСТР РИСКОВ_2023'!G372),IF('INHERENT MAP'!$B$5=2022,IF(#REF!="",C331,#REF!),IF('INHERENT MAP'!$B$5=2023,IF(#REF!="",C331,#REF!),IF('INHERENT MAP'!$B$5=2024,IF(#REF!="",C331,#REF!),IF('РЕЕСТР РИСКОВ_2023'!G372="",C331,'РЕЕСТР РИСКОВ_2023'!G372)))))</f>
        <v>#REF!</v>
      </c>
      <c r="D332" t="str">
        <f>IF('INHERENT MAP'!$B$5=2021,IF('РЕЕСТР РИСКОВ_2023'!H372="",D331,'РЕЕСТР РИСКОВ_2023'!H372),IF('INHERENT MAP'!$B$5=2022,IF(#REF!="",D331,#REF!),IF('INHERENT MAP'!$B$5=2023,IF(#REF!="",D331,#REF!),IF('INHERENT MAP'!$B$5=2024,IF(#REF!="",D331,#REF!),IF('РЕЕСТР РИСКОВ_2023'!H372="",D331,'РЕЕСТР РИСКОВ_2023'!H372)))))</f>
        <v>IRR-1</v>
      </c>
      <c r="E332" t="str">
        <f>IF('INHERENT MAP'!$B$5=2021,IF('РЕЕСТР РИСКОВ_2023'!I372="",E331,'РЕЕСТР РИСКОВ_2023'!I372),IF('INHERENT MAP'!$B$5=2022,IF(#REF!="",E331,#REF!),IF('INHERENT MAP'!$B$5=2023,IF(#REF!="",E331,#REF!),IF('INHERENT MAP'!$B$5=2024,IF(#REF!="",E331,#REF!),IF('РЕЕСТР РИСКОВ_2023'!I372="",E331,'РЕЕСТР РИСКОВ_2023'!I372)))))</f>
        <v>ЦЗФ</v>
      </c>
      <c r="F332" t="str">
        <f>IF('INHERENT MAP'!$B$5=2021,IF('РЕЕСТР РИСКОВ_2023'!J372="",F331,'РЕЕСТР РИСКОВ_2023'!J372),IF('INHERENT MAP'!$B$5=2022,IF(#REF!="",F331,#REF!),IF('INHERENT MAP'!$B$5=2023,IF(#REF!="",F331,#REF!),IF('INHERENT MAP'!$B$5=2024,IF(#REF!="",F331,#REF!),IF('РЕЕСТР РИСКОВ_2023'!J372="",F331,'РЕЕСТР РИСКОВ_2023'!J372)))))</f>
        <v>Цзайм</v>
      </c>
      <c r="G332" t="str">
        <f>IF('INHERENT MAP'!$B$5=2021,IF('РЕЕСТР РИСКОВ_2023'!K372="",G331,'РЕЕСТР РИСКОВ_2023'!K372),IF('INHERENT MAP'!$B$5=2022,IF(#REF!="",G331,#REF!),IF('INHERENT MAP'!$B$5=2023,IF(#REF!="",G331,#REF!),IF('INHERENT MAP'!$B$5=2024,IF(#REF!="",G331,#REF!),IF('РЕЕСТР РИСКОВ_2023'!K372="",G331,'РЕЕСТР РИСКОВ_2023'!K372)))))</f>
        <v>Увеличение расходов по процентам на новые займы, а также текущие займы (с плавающей ставкой) в тенге.</v>
      </c>
      <c r="H332">
        <f>IF('INHERENT MAP'!$B$5=2021,'РЕЕСТР РИСКОВ_2023'!L372,IF('INHERENT MAP'!$B$5=2022,#REF!,IF('INHERENT MAP'!$B$5=2023,#REF!,IF('INHERENT MAP'!$B$5=2024,#REF!,#REF!))))</f>
        <v>0</v>
      </c>
      <c r="I332">
        <f>IF('INHERENT MAP'!$B$5=2021,'РЕЕСТР РИСКОВ_2023'!M372,IF('INHERENT MAP'!$B$5=2022,#REF!,IF('INHERENT MAP'!$B$5=2023,#REF!,IF('INHERENT MAP'!$B$5=2024,#REF!,#REF!))))</f>
        <v>0</v>
      </c>
      <c r="J332">
        <f>IF('INHERENT MAP'!$B$5=2021,'РЕЕСТР РИСКОВ_2023'!N372,IF('INHERENT MAP'!$B$5=2022,#REF!,IF('INHERENT MAP'!$B$5=2023,#REF!,IF('INHERENT MAP'!$B$5=2024,#REF!,#REF!))))</f>
        <v>0</v>
      </c>
      <c r="K332">
        <f>IF('INHERENT MAP'!$B$5=2021,'РЕЕСТР РИСКОВ_2023'!O372,IF('INHERENT MAP'!$B$5=2022,#REF!,IF('INHERENT MAP'!$B$5=2023,#REF!,IF('INHERENT MAP'!$B$5=2024,#REF!,#REF!))))</f>
        <v>0</v>
      </c>
      <c r="L332">
        <f>IF('INHERENT MAP'!$B$5=2021,'РЕЕСТР РИСКОВ_2023'!P372,IF('INHERENT MAP'!$B$5=2022,#REF!,IF('INHERENT MAP'!$B$5=2023,#REF!,IF('INHERENT MAP'!$B$5=2024,#REF!,#REF!))))</f>
        <v>0</v>
      </c>
      <c r="M332" t="str">
        <f>IF('INHERENT MAP'!$B$5=2021,IF('РЕЕСТР РИСКОВ_2023'!Q372="",M331,'РЕЕСТР РИСКОВ_2023'!Q372),IF('INHERENT MAP'!$B$5=2022,IF(#REF!="",M331,#REF!),IF('INHERENT MAP'!$B$5=2023,IF(#REF!="",M331,#REF!),IF('INHERENT MAP'!$B$5=2024,IF(#REF!="",M331,#REF!),IF('РЕЕСТР РИСКОВ_2023'!Q372="",M331,'РЕЕСТР РИСКОВ_2023'!Q372)))))</f>
        <v>Увеличение базовой ставки Национального банка Республики Казахстан до 16%</v>
      </c>
      <c r="N332" t="str">
        <f>IF('INHERENT MAP'!$B$5=2021,IF('РЕЕСТР РИСКОВ_2023'!R372="",N331,'РЕЕСТР РИСКОВ_2023'!R372),IF('INHERENT MAP'!$B$5=2022,IF(#REF!="",N331,#REF!),IF('INHERENT MAP'!$B$5=2023,IF(#REF!="",N331,#REF!),IF('INHERENT MAP'!$B$5=2024,IF(#REF!="",N331,#REF!),IF('РЕЕСТР РИСКОВ_2023'!R372="",N331,'РЕЕСТР РИСКОВ_2023'!R372)))))</f>
        <v>Рецессия экономики европейских стран</v>
      </c>
      <c r="O332">
        <f>'РЕЕСТР РИСКОВ_2023'!T372</f>
        <v>0</v>
      </c>
      <c r="P332" t="e">
        <f>IF('РЕЕСТР РИСКОВ_2023'!U372="",P331,'РЕЕСТР РИСКОВ_2023'!U372)</f>
        <v>#REF!</v>
      </c>
      <c r="Q332" t="str">
        <f>IF('РЕЕСТР РИСКОВ_2023'!V372="",Q331,'РЕЕСТР РИСКОВ_2023'!V372)</f>
        <v>Угрозы</v>
      </c>
      <c r="R332" t="e">
        <f>IF('РЕЕСТР РИСКОВ_2023'!W372="",R331,'РЕЕСТР РИСКОВ_2023'!W372)</f>
        <v>#REF!</v>
      </c>
      <c r="S332">
        <f>'РЕЕСТР РИСКОВ_2023'!X372</f>
        <v>0</v>
      </c>
      <c r="T332" s="94">
        <f>IF('INHERENT MAP'!$B$5=2021,'РЕЕСТР РИСКОВ_2023'!Y372,IF('INHERENT MAP'!$B$5=2022,#REF!,IF('INHERENT MAP'!$B$5=2023,#REF!,IF('INHERENT MAP'!$B$5=2024,#REF!,#REF!))))</f>
        <v>0</v>
      </c>
      <c r="U332">
        <f>IF('INHERENT MAP'!$B$5=2021,'РЕЕСТР РИСКОВ_2023'!Z372,IF('INHERENT MAP'!$B$5=2022,#REF!,IF('INHERENT MAP'!$B$5=2023,#REF!,IF('INHERENT MAP'!$B$5=2024,#REF!,#REF!))))</f>
        <v>0</v>
      </c>
      <c r="V332">
        <f>IF('INHERENT MAP'!$B$5=2021,'РЕЕСТР РИСКОВ_2023'!AA372,IF('INHERENT MAP'!$B$5=2022,#REF!,IF('INHERENT MAP'!$B$5=2023,#REF!,IF('INHERENT MAP'!$B$5=2024,#REF!,#REF!))))</f>
        <v>0</v>
      </c>
      <c r="W332">
        <f>IF('INHERENT MAP'!$B$5=2021,'РЕЕСТР РИСКОВ_2023'!AB372,IF('INHERENT MAP'!$B$5=2022,#REF!,IF('INHERENT MAP'!$B$5=2023,#REF!,IF('INHERENT MAP'!$B$5=2024,#REF!,#REF!))))</f>
        <v>0</v>
      </c>
      <c r="X332" s="94">
        <f>IF('INHERENT MAP'!$B$5=2021,'РЕЕСТР РИСКОВ_2023'!AC372,IF('INHERENT MAP'!$B$5=2022,#REF!,IF('INHERENT MAP'!$B$5=2023,#REF!,IF('INHERENT MAP'!$B$5=2024,#REF!,#REF!))))</f>
        <v>0</v>
      </c>
      <c r="Y332">
        <f>IF('INHERENT MAP'!$B$5=2021,'РЕЕСТР РИСКОВ_2023'!AD372,IF('INHERENT MAP'!$B$5=2022,#REF!,IF('INHERENT MAP'!$B$5=2023,#REF!,IF('INHERENT MAP'!$B$5=2024,#REF!,#REF!))))</f>
        <v>0</v>
      </c>
      <c r="Z332">
        <f>IF('INHERENT MAP'!$B$5=2021,'РЕЕСТР РИСКОВ_2023'!AE372,IF('INHERENT MAP'!$B$5=2022,#REF!,IF('INHERENT MAP'!$B$5=2023,#REF!,IF('INHERENT MAP'!$B$5=2024,#REF!,#REF!))))</f>
        <v>0</v>
      </c>
      <c r="AA332">
        <f>IF('INHERENT MAP'!$B$5=2021,'РЕЕСТР РИСКОВ_2023'!AF372,IF('INHERENT MAP'!$B$5=2022,#REF!,IF('INHERENT MAP'!$B$5=2023,#REF!,IF('INHERENT MAP'!$B$5=2024,#REF!,#REF!))))</f>
        <v>0</v>
      </c>
      <c r="AB332">
        <f>IF('INHERENT MAP'!$B$5=2021,'РЕЕСТР РИСКОВ_2023'!AG372,IF('INHERENT MAP'!$B$5=2022,#REF!,IF('INHERENT MAP'!$B$5=2023,#REF!,IF('INHERENT MAP'!$B$5=2024,#REF!,#REF!))))</f>
        <v>0</v>
      </c>
      <c r="AC332">
        <f>IF('INHERENT MAP'!$B$5=2021,'РЕЕСТР РИСКОВ_2023'!AH372,IF('INHERENT MAP'!$B$5=2022,#REF!,IF('INHERENT MAP'!$B$5=2023,#REF!,IF('INHERENT MAP'!$B$5=2024,#REF!,#REF!))))</f>
        <v>0</v>
      </c>
      <c r="AD332">
        <f>IF('INHERENT MAP'!$B$5=2021,'РЕЕСТР РИСКОВ_2023'!AI372,IF('INHERENT MAP'!$B$5=2022,#REF!,IF('INHERENT MAP'!$B$5=2023,#REF!,IF('INHERENT MAP'!$B$5=2024,#REF!,#REF!))))</f>
        <v>0</v>
      </c>
      <c r="AE332">
        <f>IF('INHERENT MAP'!$B$5=2021,'РЕЕСТР РИСКОВ_2023'!AK372,IF('INHERENT MAP'!$B$5=2022,#REF!,IF('INHERENT MAP'!$B$5=2023,#REF!,IF('INHERENT MAP'!$B$5=2024,#REF!,#REF!))))</f>
        <v>0</v>
      </c>
      <c r="AF332">
        <f>IF('INHERENT MAP'!$B$5=2021,'РЕЕСТР РИСКОВ_2023'!AL372,IF('INHERENT MAP'!$B$5=2022,#REF!,IF('INHERENT MAP'!$B$5=2023,#REF!,IF('INHERENT MAP'!$B$5=2024,#REF!,#REF!))))</f>
        <v>0</v>
      </c>
      <c r="AG332">
        <f>IF('INHERENT MAP'!$B$5=2021,'РЕЕСТР РИСКОВ_2023'!AM372,IF('INHERENT MAP'!$B$5=2022,#REF!,IF('INHERENT MAP'!$B$5=2023,#REF!,IF('INHERENT MAP'!$B$5=2024,#REF!,#REF!))))</f>
        <v>0</v>
      </c>
      <c r="AH332">
        <f>IF('INHERENT MAP'!$B$5=2021,'РЕЕСТР РИСКОВ_2023'!AN372,IF('INHERENT MAP'!$B$5=2022,#REF!,IF('INHERENT MAP'!$B$5=2023,#REF!,IF('INHERENT MAP'!$B$5=2024,#REF!,#REF!))))</f>
        <v>0</v>
      </c>
      <c r="AI332">
        <f>IF('INHERENT MAP'!$B$5=2021,'РЕЕСТР РИСКОВ_2023'!AO372,IF('INHERENT MAP'!$B$5=2022,#REF!,IF('INHERENT MAP'!$B$5=2023,#REF!,IF('INHERENT MAP'!$B$5=2024,#REF!,#REF!))))</f>
        <v>0</v>
      </c>
      <c r="AJ332">
        <f>IF('INHERENT MAP'!$B$5=2021,'РЕЕСТР РИСКОВ_2023'!AP372,IF('INHERENT MAP'!$B$5=2022,#REF!,IF('INHERENT MAP'!$B$5=2023,#REF!,IF('INHERENT MAP'!$B$5=2024,#REF!,#REF!))))</f>
        <v>0</v>
      </c>
      <c r="AK332">
        <f>IF('РЕЕСТР РИСКОВ_2023'!AQ372="",AK331,'РЕЕСТР РИСКОВ_2023'!AQ372)</f>
        <v>-216</v>
      </c>
      <c r="AL332">
        <f>IF('РЕЕСТР РИСКОВ_2023'!AR372="",AL331,'РЕЕСТР РИСКОВ_2023'!AR372)</f>
        <v>0.12</v>
      </c>
      <c r="AM332" t="str">
        <f>IF('РЕЕСТР РИСКОВ_2023'!AS372="",AM331,'РЕЕСТР РИСКОВ_2023'!AS372)</f>
        <v>стоп</v>
      </c>
      <c r="AN332" t="str">
        <f>IF('РЕЕСТР РИСКОВ_2023'!AT372="",AN331,'РЕЕСТР РИСКОВ_2023'!AT372)</f>
        <v>стоп</v>
      </c>
      <c r="AO332" t="e">
        <f>IF('РЕЕСТР РИСКОВ_2023'!AU372="",AO331,'РЕЕСТР РИСКОВ_2023'!AU372)</f>
        <v>#REF!</v>
      </c>
    </row>
    <row r="333" spans="2:41">
      <c r="B333" t="str">
        <f>IF('INHERENT MAP'!$B$5=2021,IF('РЕЕСТР РИСКОВ_2023'!F373="",B332,'РЕЕСТР РИСКОВ_2023'!F373),IF('INHERENT MAP'!$B$5=2022,IF(#REF!="",B332,#REF!),IF('INHERENT MAP'!$B$5=2023,IF(#REF!="",B332,#REF!),IF('INHERENT MAP'!$B$5=2024,IF(#REF!="",B332,#REF!),IF('РЕЕСТР РИСКОВ_2023'!F373="",B332,'РЕЕСТР РИСКОВ_2023'!F373)))))</f>
        <v>ПРОЦЕНТНЫЙ РИСК</v>
      </c>
      <c r="C333" t="e">
        <f>IF('INHERENT MAP'!$B$5=2021,IF('РЕЕСТР РИСКОВ_2023'!G373="",C332,'РЕЕСТР РИСКОВ_2023'!G373),IF('INHERENT MAP'!$B$5=2022,IF(#REF!="",C332,#REF!),IF('INHERENT MAP'!$B$5=2023,IF(#REF!="",C332,#REF!),IF('INHERENT MAP'!$B$5=2024,IF(#REF!="",C332,#REF!),IF('РЕЕСТР РИСКОВ_2023'!G373="",C332,'РЕЕСТР РИСКОВ_2023'!G373)))))</f>
        <v>#REF!</v>
      </c>
      <c r="D333" t="str">
        <f>IF('INHERENT MAP'!$B$5=2021,IF('РЕЕСТР РИСКОВ_2023'!H373="",D332,'РЕЕСТР РИСКОВ_2023'!H373),IF('INHERENT MAP'!$B$5=2022,IF(#REF!="",D332,#REF!),IF('INHERENT MAP'!$B$5=2023,IF(#REF!="",D332,#REF!),IF('INHERENT MAP'!$B$5=2024,IF(#REF!="",D332,#REF!),IF('РЕЕСТР РИСКОВ_2023'!H373="",D332,'РЕЕСТР РИСКОВ_2023'!H373)))))</f>
        <v>IRR-1</v>
      </c>
      <c r="E333" t="str">
        <f>IF('INHERENT MAP'!$B$5=2021,IF('РЕЕСТР РИСКОВ_2023'!I373="",E332,'РЕЕСТР РИСКОВ_2023'!I373),IF('INHERENT MAP'!$B$5=2022,IF(#REF!="",E332,#REF!),IF('INHERENT MAP'!$B$5=2023,IF(#REF!="",E332,#REF!),IF('INHERENT MAP'!$B$5=2024,IF(#REF!="",E332,#REF!),IF('РЕЕСТР РИСКОВ_2023'!I373="",E332,'РЕЕСТР РИСКОВ_2023'!I373)))))</f>
        <v>ЦЗФ</v>
      </c>
      <c r="F333" t="str">
        <f>IF('INHERENT MAP'!$B$5=2021,IF('РЕЕСТР РИСКОВ_2023'!J373="",F332,'РЕЕСТР РИСКОВ_2023'!J373),IF('INHERENT MAP'!$B$5=2022,IF(#REF!="",F332,#REF!),IF('INHERENT MAP'!$B$5=2023,IF(#REF!="",F332,#REF!),IF('INHERENT MAP'!$B$5=2024,IF(#REF!="",F332,#REF!),IF('РЕЕСТР РИСКОВ_2023'!J373="",F332,'РЕЕСТР РИСКОВ_2023'!J373)))))</f>
        <v>Цзайм</v>
      </c>
      <c r="G333" t="str">
        <f>IF('INHERENT MAP'!$B$5=2021,IF('РЕЕСТР РИСКОВ_2023'!K373="",G332,'РЕЕСТР РИСКОВ_2023'!K373),IF('INHERENT MAP'!$B$5=2022,IF(#REF!="",G332,#REF!),IF('INHERENT MAP'!$B$5=2023,IF(#REF!="",G332,#REF!),IF('INHERENT MAP'!$B$5=2024,IF(#REF!="",G332,#REF!),IF('РЕЕСТР РИСКОВ_2023'!K373="",G332,'РЕЕСТР РИСКОВ_2023'!K373)))))</f>
        <v>Увеличение расходов по процентам на новые займы, а также текущие займы (с плавающей ставкой) в тенге.</v>
      </c>
      <c r="H333">
        <f>IF('INHERENT MAP'!$B$5=2021,'РЕЕСТР РИСКОВ_2023'!L373,IF('INHERENT MAP'!$B$5=2022,#REF!,IF('INHERENT MAP'!$B$5=2023,#REF!,IF('INHERENT MAP'!$B$5=2024,#REF!,#REF!))))</f>
        <v>0</v>
      </c>
      <c r="I333">
        <f>IF('INHERENT MAP'!$B$5=2021,'РЕЕСТР РИСКОВ_2023'!M373,IF('INHERENT MAP'!$B$5=2022,#REF!,IF('INHERENT MAP'!$B$5=2023,#REF!,IF('INHERENT MAP'!$B$5=2024,#REF!,#REF!))))</f>
        <v>0</v>
      </c>
      <c r="J333">
        <f>IF('INHERENT MAP'!$B$5=2021,'РЕЕСТР РИСКОВ_2023'!N373,IF('INHERENT MAP'!$B$5=2022,#REF!,IF('INHERENT MAP'!$B$5=2023,#REF!,IF('INHERENT MAP'!$B$5=2024,#REF!,#REF!))))</f>
        <v>0</v>
      </c>
      <c r="K333">
        <f>IF('INHERENT MAP'!$B$5=2021,'РЕЕСТР РИСКОВ_2023'!O373,IF('INHERENT MAP'!$B$5=2022,#REF!,IF('INHERENT MAP'!$B$5=2023,#REF!,IF('INHERENT MAP'!$B$5=2024,#REF!,#REF!))))</f>
        <v>0</v>
      </c>
      <c r="L333">
        <f>IF('INHERENT MAP'!$B$5=2021,'РЕЕСТР РИСКОВ_2023'!P373,IF('INHERENT MAP'!$B$5=2022,#REF!,IF('INHERENT MAP'!$B$5=2023,#REF!,IF('INHERENT MAP'!$B$5=2024,#REF!,#REF!))))</f>
        <v>0</v>
      </c>
      <c r="M333" t="str">
        <f>IF('INHERENT MAP'!$B$5=2021,IF('РЕЕСТР РИСКОВ_2023'!Q373="",M332,'РЕЕСТР РИСКОВ_2023'!Q373),IF('INHERENT MAP'!$B$5=2022,IF(#REF!="",M332,#REF!),IF('INHERENT MAP'!$B$5=2023,IF(#REF!="",M332,#REF!),IF('INHERENT MAP'!$B$5=2024,IF(#REF!="",M332,#REF!),IF('РЕЕСТР РИСКОВ_2023'!Q373="",M332,'РЕЕСТР РИСКОВ_2023'!Q373)))))</f>
        <v>Увеличение базовой ставки Национального банка Республики Казахстан до 16%</v>
      </c>
      <c r="N333" t="str">
        <f>IF('INHERENT MAP'!$B$5=2021,IF('РЕЕСТР РИСКОВ_2023'!R373="",N332,'РЕЕСТР РИСКОВ_2023'!R373),IF('INHERENT MAP'!$B$5=2022,IF(#REF!="",N332,#REF!),IF('INHERENT MAP'!$B$5=2023,IF(#REF!="",N332,#REF!),IF('INHERENT MAP'!$B$5=2024,IF(#REF!="",N332,#REF!),IF('РЕЕСТР РИСКОВ_2023'!R373="",N332,'РЕЕСТР РИСКОВ_2023'!R373)))))</f>
        <v>Рецессия экономики европейских стран</v>
      </c>
      <c r="O333">
        <f>'РЕЕСТР РИСКОВ_2023'!T373</f>
        <v>0</v>
      </c>
      <c r="P333" t="e">
        <f>IF('РЕЕСТР РИСКОВ_2023'!U373="",P332,'РЕЕСТР РИСКОВ_2023'!U373)</f>
        <v>#REF!</v>
      </c>
      <c r="Q333" t="str">
        <f>IF('РЕЕСТР РИСКОВ_2023'!V373="",Q332,'РЕЕСТР РИСКОВ_2023'!V373)</f>
        <v>Угрозы</v>
      </c>
      <c r="R333" t="e">
        <f>IF('РЕЕСТР РИСКОВ_2023'!W373="",R332,'РЕЕСТР РИСКОВ_2023'!W373)</f>
        <v>#REF!</v>
      </c>
      <c r="S333">
        <f>'РЕЕСТР РИСКОВ_2023'!X373</f>
        <v>0</v>
      </c>
      <c r="T333" s="94">
        <f>IF('INHERENT MAP'!$B$5=2021,'РЕЕСТР РИСКОВ_2023'!Y373,IF('INHERENT MAP'!$B$5=2022,#REF!,IF('INHERENT MAP'!$B$5=2023,#REF!,IF('INHERENT MAP'!$B$5=2024,#REF!,#REF!))))</f>
        <v>0</v>
      </c>
      <c r="U333">
        <f>IF('INHERENT MAP'!$B$5=2021,'РЕЕСТР РИСКОВ_2023'!Z373,IF('INHERENT MAP'!$B$5=2022,#REF!,IF('INHERENT MAP'!$B$5=2023,#REF!,IF('INHERENT MAP'!$B$5=2024,#REF!,#REF!))))</f>
        <v>0</v>
      </c>
      <c r="V333">
        <f>IF('INHERENT MAP'!$B$5=2021,'РЕЕСТР РИСКОВ_2023'!AA373,IF('INHERENT MAP'!$B$5=2022,#REF!,IF('INHERENT MAP'!$B$5=2023,#REF!,IF('INHERENT MAP'!$B$5=2024,#REF!,#REF!))))</f>
        <v>0</v>
      </c>
      <c r="W333">
        <f>IF('INHERENT MAP'!$B$5=2021,'РЕЕСТР РИСКОВ_2023'!AB373,IF('INHERENT MAP'!$B$5=2022,#REF!,IF('INHERENT MAP'!$B$5=2023,#REF!,IF('INHERENT MAP'!$B$5=2024,#REF!,#REF!))))</f>
        <v>0</v>
      </c>
      <c r="X333" s="94">
        <f>IF('INHERENT MAP'!$B$5=2021,'РЕЕСТР РИСКОВ_2023'!AC373,IF('INHERENT MAP'!$B$5=2022,#REF!,IF('INHERENT MAP'!$B$5=2023,#REF!,IF('INHERENT MAP'!$B$5=2024,#REF!,#REF!))))</f>
        <v>0</v>
      </c>
      <c r="Y333">
        <f>IF('INHERENT MAP'!$B$5=2021,'РЕЕСТР РИСКОВ_2023'!AD373,IF('INHERENT MAP'!$B$5=2022,#REF!,IF('INHERENT MAP'!$B$5=2023,#REF!,IF('INHERENT MAP'!$B$5=2024,#REF!,#REF!))))</f>
        <v>0</v>
      </c>
      <c r="Z333">
        <f>IF('INHERENT MAP'!$B$5=2021,'РЕЕСТР РИСКОВ_2023'!AE373,IF('INHERENT MAP'!$B$5=2022,#REF!,IF('INHERENT MAP'!$B$5=2023,#REF!,IF('INHERENT MAP'!$B$5=2024,#REF!,#REF!))))</f>
        <v>0</v>
      </c>
      <c r="AA333">
        <f>IF('INHERENT MAP'!$B$5=2021,'РЕЕСТР РИСКОВ_2023'!AF373,IF('INHERENT MAP'!$B$5=2022,#REF!,IF('INHERENT MAP'!$B$5=2023,#REF!,IF('INHERENT MAP'!$B$5=2024,#REF!,#REF!))))</f>
        <v>0</v>
      </c>
      <c r="AB333">
        <f>IF('INHERENT MAP'!$B$5=2021,'РЕЕСТР РИСКОВ_2023'!AG373,IF('INHERENT MAP'!$B$5=2022,#REF!,IF('INHERENT MAP'!$B$5=2023,#REF!,IF('INHERENT MAP'!$B$5=2024,#REF!,#REF!))))</f>
        <v>0</v>
      </c>
      <c r="AC333">
        <f>IF('INHERENT MAP'!$B$5=2021,'РЕЕСТР РИСКОВ_2023'!AH373,IF('INHERENT MAP'!$B$5=2022,#REF!,IF('INHERENT MAP'!$B$5=2023,#REF!,IF('INHERENT MAP'!$B$5=2024,#REF!,#REF!))))</f>
        <v>0</v>
      </c>
      <c r="AD333">
        <f>IF('INHERENT MAP'!$B$5=2021,'РЕЕСТР РИСКОВ_2023'!AI373,IF('INHERENT MAP'!$B$5=2022,#REF!,IF('INHERENT MAP'!$B$5=2023,#REF!,IF('INHERENT MAP'!$B$5=2024,#REF!,#REF!))))</f>
        <v>0</v>
      </c>
      <c r="AE333">
        <f>IF('INHERENT MAP'!$B$5=2021,'РЕЕСТР РИСКОВ_2023'!AK373,IF('INHERENT MAP'!$B$5=2022,#REF!,IF('INHERENT MAP'!$B$5=2023,#REF!,IF('INHERENT MAP'!$B$5=2024,#REF!,#REF!))))</f>
        <v>0</v>
      </c>
      <c r="AF333">
        <f>IF('INHERENT MAP'!$B$5=2021,'РЕЕСТР РИСКОВ_2023'!AL373,IF('INHERENT MAP'!$B$5=2022,#REF!,IF('INHERENT MAP'!$B$5=2023,#REF!,IF('INHERENT MAP'!$B$5=2024,#REF!,#REF!))))</f>
        <v>0</v>
      </c>
      <c r="AG333">
        <f>IF('INHERENT MAP'!$B$5=2021,'РЕЕСТР РИСКОВ_2023'!AM373,IF('INHERENT MAP'!$B$5=2022,#REF!,IF('INHERENT MAP'!$B$5=2023,#REF!,IF('INHERENT MAP'!$B$5=2024,#REF!,#REF!))))</f>
        <v>0</v>
      </c>
      <c r="AH333">
        <f>IF('INHERENT MAP'!$B$5=2021,'РЕЕСТР РИСКОВ_2023'!AN373,IF('INHERENT MAP'!$B$5=2022,#REF!,IF('INHERENT MAP'!$B$5=2023,#REF!,IF('INHERENT MAP'!$B$5=2024,#REF!,#REF!))))</f>
        <v>0</v>
      </c>
      <c r="AI333">
        <f>IF('INHERENT MAP'!$B$5=2021,'РЕЕСТР РИСКОВ_2023'!AO373,IF('INHERENT MAP'!$B$5=2022,#REF!,IF('INHERENT MAP'!$B$5=2023,#REF!,IF('INHERENT MAP'!$B$5=2024,#REF!,#REF!))))</f>
        <v>0</v>
      </c>
      <c r="AJ333">
        <f>IF('INHERENT MAP'!$B$5=2021,'РЕЕСТР РИСКОВ_2023'!AP373,IF('INHERENT MAP'!$B$5=2022,#REF!,IF('INHERENT MAP'!$B$5=2023,#REF!,IF('INHERENT MAP'!$B$5=2024,#REF!,#REF!))))</f>
        <v>0</v>
      </c>
      <c r="AK333">
        <f>IF('РЕЕСТР РИСКОВ_2023'!AQ373="",AK332,'РЕЕСТР РИСКОВ_2023'!AQ373)</f>
        <v>-216</v>
      </c>
      <c r="AL333">
        <f>IF('РЕЕСТР РИСКОВ_2023'!AR373="",AL332,'РЕЕСТР РИСКОВ_2023'!AR373)</f>
        <v>0.12</v>
      </c>
      <c r="AM333" t="str">
        <f>IF('РЕЕСТР РИСКОВ_2023'!AS373="",AM332,'РЕЕСТР РИСКОВ_2023'!AS373)</f>
        <v>стоп</v>
      </c>
      <c r="AN333" t="str">
        <f>IF('РЕЕСТР РИСКОВ_2023'!AT373="",AN332,'РЕЕСТР РИСКОВ_2023'!AT373)</f>
        <v>стоп</v>
      </c>
      <c r="AO333" t="e">
        <f>IF('РЕЕСТР РИСКОВ_2023'!AU373="",AO332,'РЕЕСТР РИСКОВ_2023'!AU373)</f>
        <v>#REF!</v>
      </c>
    </row>
    <row r="334" spans="2:41">
      <c r="B334" t="str">
        <f>IF('INHERENT MAP'!$B$5=2021,IF('РЕЕСТР РИСКОВ_2023'!F374="",B333,'РЕЕСТР РИСКОВ_2023'!F374),IF('INHERENT MAP'!$B$5=2022,IF(#REF!="",B333,#REF!),IF('INHERENT MAP'!$B$5=2023,IF(#REF!="",B333,#REF!),IF('INHERENT MAP'!$B$5=2024,IF(#REF!="",B333,#REF!),IF('РЕЕСТР РИСКОВ_2023'!F374="",B333,'РЕЕСТР РИСКОВ_2023'!F374)))))</f>
        <v>ПРОЦЕНТНЫЙ РИСК</v>
      </c>
      <c r="C334" t="e">
        <f>IF('INHERENT MAP'!$B$5=2021,IF('РЕЕСТР РИСКОВ_2023'!G374="",C333,'РЕЕСТР РИСКОВ_2023'!G374),IF('INHERENT MAP'!$B$5=2022,IF(#REF!="",C333,#REF!),IF('INHERENT MAP'!$B$5=2023,IF(#REF!="",C333,#REF!),IF('INHERENT MAP'!$B$5=2024,IF(#REF!="",C333,#REF!),IF('РЕЕСТР РИСКОВ_2023'!G374="",C333,'РЕЕСТР РИСКОВ_2023'!G374)))))</f>
        <v>#REF!</v>
      </c>
      <c r="D334" t="str">
        <f>IF('INHERENT MAP'!$B$5=2021,IF('РЕЕСТР РИСКОВ_2023'!H374="",D333,'РЕЕСТР РИСКОВ_2023'!H374),IF('INHERENT MAP'!$B$5=2022,IF(#REF!="",D333,#REF!),IF('INHERENT MAP'!$B$5=2023,IF(#REF!="",D333,#REF!),IF('INHERENT MAP'!$B$5=2024,IF(#REF!="",D333,#REF!),IF('РЕЕСТР РИСКОВ_2023'!H374="",D333,'РЕЕСТР РИСКОВ_2023'!H374)))))</f>
        <v>IRR-1</v>
      </c>
      <c r="E334" t="str">
        <f>IF('INHERENT MAP'!$B$5=2021,IF('РЕЕСТР РИСКОВ_2023'!I374="",E333,'РЕЕСТР РИСКОВ_2023'!I374),IF('INHERENT MAP'!$B$5=2022,IF(#REF!="",E333,#REF!),IF('INHERENT MAP'!$B$5=2023,IF(#REF!="",E333,#REF!),IF('INHERENT MAP'!$B$5=2024,IF(#REF!="",E333,#REF!),IF('РЕЕСТР РИСКОВ_2023'!I374="",E333,'РЕЕСТР РИСКОВ_2023'!I374)))))</f>
        <v>ЦЗФ</v>
      </c>
      <c r="F334" t="str">
        <f>IF('INHERENT MAP'!$B$5=2021,IF('РЕЕСТР РИСКОВ_2023'!J374="",F333,'РЕЕСТР РИСКОВ_2023'!J374),IF('INHERENT MAP'!$B$5=2022,IF(#REF!="",F333,#REF!),IF('INHERENT MAP'!$B$5=2023,IF(#REF!="",F333,#REF!),IF('INHERENT MAP'!$B$5=2024,IF(#REF!="",F333,#REF!),IF('РЕЕСТР РИСКОВ_2023'!J374="",F333,'РЕЕСТР РИСКОВ_2023'!J374)))))</f>
        <v>Цзайм</v>
      </c>
      <c r="G334" t="str">
        <f>IF('INHERENT MAP'!$B$5=2021,IF('РЕЕСТР РИСКОВ_2023'!K374="",G333,'РЕЕСТР РИСКОВ_2023'!K374),IF('INHERENT MAP'!$B$5=2022,IF(#REF!="",G333,#REF!),IF('INHERENT MAP'!$B$5=2023,IF(#REF!="",G333,#REF!),IF('INHERENT MAP'!$B$5=2024,IF(#REF!="",G333,#REF!),IF('РЕЕСТР РИСКОВ_2023'!K374="",G333,'РЕЕСТР РИСКОВ_2023'!K374)))))</f>
        <v>Увеличение расходов по процентам на новые займы, а также текущие займы (с плавающей ставкой) в тенге.</v>
      </c>
      <c r="H334">
        <f>IF('INHERENT MAP'!$B$5=2021,'РЕЕСТР РИСКОВ_2023'!L374,IF('INHERENT MAP'!$B$5=2022,#REF!,IF('INHERENT MAP'!$B$5=2023,#REF!,IF('INHERENT MAP'!$B$5=2024,#REF!,#REF!))))</f>
        <v>0</v>
      </c>
      <c r="I334">
        <f>IF('INHERENT MAP'!$B$5=2021,'РЕЕСТР РИСКОВ_2023'!M374,IF('INHERENT MAP'!$B$5=2022,#REF!,IF('INHERENT MAP'!$B$5=2023,#REF!,IF('INHERENT MAP'!$B$5=2024,#REF!,#REF!))))</f>
        <v>0</v>
      </c>
      <c r="J334">
        <f>IF('INHERENT MAP'!$B$5=2021,'РЕЕСТР РИСКОВ_2023'!N374,IF('INHERENT MAP'!$B$5=2022,#REF!,IF('INHERENT MAP'!$B$5=2023,#REF!,IF('INHERENT MAP'!$B$5=2024,#REF!,#REF!))))</f>
        <v>0</v>
      </c>
      <c r="K334">
        <f>IF('INHERENT MAP'!$B$5=2021,'РЕЕСТР РИСКОВ_2023'!O374,IF('INHERENT MAP'!$B$5=2022,#REF!,IF('INHERENT MAP'!$B$5=2023,#REF!,IF('INHERENT MAP'!$B$5=2024,#REF!,#REF!))))</f>
        <v>0</v>
      </c>
      <c r="L334">
        <f>IF('INHERENT MAP'!$B$5=2021,'РЕЕСТР РИСКОВ_2023'!P374,IF('INHERENT MAP'!$B$5=2022,#REF!,IF('INHERENT MAP'!$B$5=2023,#REF!,IF('INHERENT MAP'!$B$5=2024,#REF!,#REF!))))</f>
        <v>0</v>
      </c>
      <c r="M334" t="str">
        <f>IF('INHERENT MAP'!$B$5=2021,IF('РЕЕСТР РИСКОВ_2023'!Q374="",M333,'РЕЕСТР РИСКОВ_2023'!Q374),IF('INHERENT MAP'!$B$5=2022,IF(#REF!="",M333,#REF!),IF('INHERENT MAP'!$B$5=2023,IF(#REF!="",M333,#REF!),IF('INHERENT MAP'!$B$5=2024,IF(#REF!="",M333,#REF!),IF('РЕЕСТР РИСКОВ_2023'!Q374="",M333,'РЕЕСТР РИСКОВ_2023'!Q374)))))</f>
        <v>Увеличение базовой ставки Национального банка Республики Казахстан до 16%</v>
      </c>
      <c r="N334" t="str">
        <f>IF('INHERENT MAP'!$B$5=2021,IF('РЕЕСТР РИСКОВ_2023'!R374="",N333,'РЕЕСТР РИСКОВ_2023'!R374),IF('INHERENT MAP'!$B$5=2022,IF(#REF!="",N333,#REF!),IF('INHERENT MAP'!$B$5=2023,IF(#REF!="",N333,#REF!),IF('INHERENT MAP'!$B$5=2024,IF(#REF!="",N333,#REF!),IF('РЕЕСТР РИСКОВ_2023'!R374="",N333,'РЕЕСТР РИСКОВ_2023'!R374)))))</f>
        <v>Рецессия экономики европейских стран</v>
      </c>
      <c r="O334">
        <f>'РЕЕСТР РИСКОВ_2023'!T374</f>
        <v>0</v>
      </c>
      <c r="P334" t="e">
        <f>IF('РЕЕСТР РИСКОВ_2023'!U374="",P333,'РЕЕСТР РИСКОВ_2023'!U374)</f>
        <v>#REF!</v>
      </c>
      <c r="Q334" t="str">
        <f>IF('РЕЕСТР РИСКОВ_2023'!V374="",Q333,'РЕЕСТР РИСКОВ_2023'!V374)</f>
        <v>Угрозы</v>
      </c>
      <c r="R334" t="e">
        <f>IF('РЕЕСТР РИСКОВ_2023'!W374="",R333,'РЕЕСТР РИСКОВ_2023'!W374)</f>
        <v>#REF!</v>
      </c>
      <c r="S334">
        <f>'РЕЕСТР РИСКОВ_2023'!X374</f>
        <v>0</v>
      </c>
      <c r="T334" s="94">
        <f>IF('INHERENT MAP'!$B$5=2021,'РЕЕСТР РИСКОВ_2023'!Y374,IF('INHERENT MAP'!$B$5=2022,#REF!,IF('INHERENT MAP'!$B$5=2023,#REF!,IF('INHERENT MAP'!$B$5=2024,#REF!,#REF!))))</f>
        <v>0</v>
      </c>
      <c r="U334">
        <f>IF('INHERENT MAP'!$B$5=2021,'РЕЕСТР РИСКОВ_2023'!Z374,IF('INHERENT MAP'!$B$5=2022,#REF!,IF('INHERENT MAP'!$B$5=2023,#REF!,IF('INHERENT MAP'!$B$5=2024,#REF!,#REF!))))</f>
        <v>0</v>
      </c>
      <c r="V334">
        <f>IF('INHERENT MAP'!$B$5=2021,'РЕЕСТР РИСКОВ_2023'!AA374,IF('INHERENT MAP'!$B$5=2022,#REF!,IF('INHERENT MAP'!$B$5=2023,#REF!,IF('INHERENT MAP'!$B$5=2024,#REF!,#REF!))))</f>
        <v>0</v>
      </c>
      <c r="W334">
        <f>IF('INHERENT MAP'!$B$5=2021,'РЕЕСТР РИСКОВ_2023'!AB374,IF('INHERENT MAP'!$B$5=2022,#REF!,IF('INHERENT MAP'!$B$5=2023,#REF!,IF('INHERENT MAP'!$B$5=2024,#REF!,#REF!))))</f>
        <v>0</v>
      </c>
      <c r="X334" s="94">
        <f>IF('INHERENT MAP'!$B$5=2021,'РЕЕСТР РИСКОВ_2023'!AC374,IF('INHERENT MAP'!$B$5=2022,#REF!,IF('INHERENT MAP'!$B$5=2023,#REF!,IF('INHERENT MAP'!$B$5=2024,#REF!,#REF!))))</f>
        <v>0</v>
      </c>
      <c r="Y334">
        <f>IF('INHERENT MAP'!$B$5=2021,'РЕЕСТР РИСКОВ_2023'!AD374,IF('INHERENT MAP'!$B$5=2022,#REF!,IF('INHERENT MAP'!$B$5=2023,#REF!,IF('INHERENT MAP'!$B$5=2024,#REF!,#REF!))))</f>
        <v>0</v>
      </c>
      <c r="Z334">
        <f>IF('INHERENT MAP'!$B$5=2021,'РЕЕСТР РИСКОВ_2023'!AE374,IF('INHERENT MAP'!$B$5=2022,#REF!,IF('INHERENT MAP'!$B$5=2023,#REF!,IF('INHERENT MAP'!$B$5=2024,#REF!,#REF!))))</f>
        <v>0</v>
      </c>
      <c r="AA334">
        <f>IF('INHERENT MAP'!$B$5=2021,'РЕЕСТР РИСКОВ_2023'!AF374,IF('INHERENT MAP'!$B$5=2022,#REF!,IF('INHERENT MAP'!$B$5=2023,#REF!,IF('INHERENT MAP'!$B$5=2024,#REF!,#REF!))))</f>
        <v>0</v>
      </c>
      <c r="AB334">
        <f>IF('INHERENT MAP'!$B$5=2021,'РЕЕСТР РИСКОВ_2023'!AG374,IF('INHERENT MAP'!$B$5=2022,#REF!,IF('INHERENT MAP'!$B$5=2023,#REF!,IF('INHERENT MAP'!$B$5=2024,#REF!,#REF!))))</f>
        <v>0</v>
      </c>
      <c r="AC334">
        <f>IF('INHERENT MAP'!$B$5=2021,'РЕЕСТР РИСКОВ_2023'!AH374,IF('INHERENT MAP'!$B$5=2022,#REF!,IF('INHERENT MAP'!$B$5=2023,#REF!,IF('INHERENT MAP'!$B$5=2024,#REF!,#REF!))))</f>
        <v>0</v>
      </c>
      <c r="AD334">
        <f>IF('INHERENT MAP'!$B$5=2021,'РЕЕСТР РИСКОВ_2023'!AI374,IF('INHERENT MAP'!$B$5=2022,#REF!,IF('INHERENT MAP'!$B$5=2023,#REF!,IF('INHERENT MAP'!$B$5=2024,#REF!,#REF!))))</f>
        <v>0</v>
      </c>
      <c r="AE334">
        <f>IF('INHERENT MAP'!$B$5=2021,'РЕЕСТР РИСКОВ_2023'!AK374,IF('INHERENT MAP'!$B$5=2022,#REF!,IF('INHERENT MAP'!$B$5=2023,#REF!,IF('INHERENT MAP'!$B$5=2024,#REF!,#REF!))))</f>
        <v>0</v>
      </c>
      <c r="AF334">
        <f>IF('INHERENT MAP'!$B$5=2021,'РЕЕСТР РИСКОВ_2023'!AL374,IF('INHERENT MAP'!$B$5=2022,#REF!,IF('INHERENT MAP'!$B$5=2023,#REF!,IF('INHERENT MAP'!$B$5=2024,#REF!,#REF!))))</f>
        <v>0</v>
      </c>
      <c r="AG334">
        <f>IF('INHERENT MAP'!$B$5=2021,'РЕЕСТР РИСКОВ_2023'!AM374,IF('INHERENT MAP'!$B$5=2022,#REF!,IF('INHERENT MAP'!$B$5=2023,#REF!,IF('INHERENT MAP'!$B$5=2024,#REF!,#REF!))))</f>
        <v>0</v>
      </c>
      <c r="AH334">
        <f>IF('INHERENT MAP'!$B$5=2021,'РЕЕСТР РИСКОВ_2023'!AN374,IF('INHERENT MAP'!$B$5=2022,#REF!,IF('INHERENT MAP'!$B$5=2023,#REF!,IF('INHERENT MAP'!$B$5=2024,#REF!,#REF!))))</f>
        <v>0</v>
      </c>
      <c r="AI334">
        <f>IF('INHERENT MAP'!$B$5=2021,'РЕЕСТР РИСКОВ_2023'!AO374,IF('INHERENT MAP'!$B$5=2022,#REF!,IF('INHERENT MAP'!$B$5=2023,#REF!,IF('INHERENT MAP'!$B$5=2024,#REF!,#REF!))))</f>
        <v>0</v>
      </c>
      <c r="AJ334">
        <f>IF('INHERENT MAP'!$B$5=2021,'РЕЕСТР РИСКОВ_2023'!AP374,IF('INHERENT MAP'!$B$5=2022,#REF!,IF('INHERENT MAP'!$B$5=2023,#REF!,IF('INHERENT MAP'!$B$5=2024,#REF!,#REF!))))</f>
        <v>0</v>
      </c>
      <c r="AK334">
        <f>IF('РЕЕСТР РИСКОВ_2023'!AQ374="",AK333,'РЕЕСТР РИСКОВ_2023'!AQ374)</f>
        <v>-216</v>
      </c>
      <c r="AL334">
        <f>IF('РЕЕСТР РИСКОВ_2023'!AR374="",AL333,'РЕЕСТР РИСКОВ_2023'!AR374)</f>
        <v>0.12</v>
      </c>
      <c r="AM334" t="str">
        <f>IF('РЕЕСТР РИСКОВ_2023'!AS374="",AM333,'РЕЕСТР РИСКОВ_2023'!AS374)</f>
        <v>стоп</v>
      </c>
      <c r="AN334" t="str">
        <f>IF('РЕЕСТР РИСКОВ_2023'!AT374="",AN333,'РЕЕСТР РИСКОВ_2023'!AT374)</f>
        <v>стоп</v>
      </c>
      <c r="AO334" t="e">
        <f>IF('РЕЕСТР РИСКОВ_2023'!AU374="",AO333,'РЕЕСТР РИСКОВ_2023'!AU374)</f>
        <v>#REF!</v>
      </c>
    </row>
    <row r="335" spans="2:41">
      <c r="B335" t="str">
        <f>IF('INHERENT MAP'!$B$5=2021,IF('РЕЕСТР РИСКОВ_2023'!F375="",B334,'РЕЕСТР РИСКОВ_2023'!F375),IF('INHERENT MAP'!$B$5=2022,IF(#REF!="",B334,#REF!),IF('INHERENT MAP'!$B$5=2023,IF(#REF!="",B334,#REF!),IF('INHERENT MAP'!$B$5=2024,IF(#REF!="",B334,#REF!),IF('РЕЕСТР РИСКОВ_2023'!F375="",B334,'РЕЕСТР РИСКОВ_2023'!F375)))))</f>
        <v>ПРОЦЕНТНЫЙ РИСК</v>
      </c>
      <c r="C335" t="e">
        <f>IF('INHERENT MAP'!$B$5=2021,IF('РЕЕСТР РИСКОВ_2023'!G375="",C334,'РЕЕСТР РИСКОВ_2023'!G375),IF('INHERENT MAP'!$B$5=2022,IF(#REF!="",C334,#REF!),IF('INHERENT MAP'!$B$5=2023,IF(#REF!="",C334,#REF!),IF('INHERENT MAP'!$B$5=2024,IF(#REF!="",C334,#REF!),IF('РЕЕСТР РИСКОВ_2023'!G375="",C334,'РЕЕСТР РИСКОВ_2023'!G375)))))</f>
        <v>#REF!</v>
      </c>
      <c r="D335" t="str">
        <f>IF('INHERENT MAP'!$B$5=2021,IF('РЕЕСТР РИСКОВ_2023'!H375="",D334,'РЕЕСТР РИСКОВ_2023'!H375),IF('INHERENT MAP'!$B$5=2022,IF(#REF!="",D334,#REF!),IF('INHERENT MAP'!$B$5=2023,IF(#REF!="",D334,#REF!),IF('INHERENT MAP'!$B$5=2024,IF(#REF!="",D334,#REF!),IF('РЕЕСТР РИСКОВ_2023'!H375="",D334,'РЕЕСТР РИСКОВ_2023'!H375)))))</f>
        <v>IRR-1</v>
      </c>
      <c r="E335" t="str">
        <f>IF('INHERENT MAP'!$B$5=2021,IF('РЕЕСТР РИСКОВ_2023'!I375="",E334,'РЕЕСТР РИСКОВ_2023'!I375),IF('INHERENT MAP'!$B$5=2022,IF(#REF!="",E334,#REF!),IF('INHERENT MAP'!$B$5=2023,IF(#REF!="",E334,#REF!),IF('INHERENT MAP'!$B$5=2024,IF(#REF!="",E334,#REF!),IF('РЕЕСТР РИСКОВ_2023'!I375="",E334,'РЕЕСТР РИСКОВ_2023'!I375)))))</f>
        <v>ЦЗФ</v>
      </c>
      <c r="F335" t="str">
        <f>IF('INHERENT MAP'!$B$5=2021,IF('РЕЕСТР РИСКОВ_2023'!J375="",F334,'РЕЕСТР РИСКОВ_2023'!J375),IF('INHERENT MAP'!$B$5=2022,IF(#REF!="",F334,#REF!),IF('INHERENT MAP'!$B$5=2023,IF(#REF!="",F334,#REF!),IF('INHERENT MAP'!$B$5=2024,IF(#REF!="",F334,#REF!),IF('РЕЕСТР РИСКОВ_2023'!J375="",F334,'РЕЕСТР РИСКОВ_2023'!J375)))))</f>
        <v>Цзайм</v>
      </c>
      <c r="G335" t="str">
        <f>IF('INHERENT MAP'!$B$5=2021,IF('РЕЕСТР РИСКОВ_2023'!K375="",G334,'РЕЕСТР РИСКОВ_2023'!K375),IF('INHERENT MAP'!$B$5=2022,IF(#REF!="",G334,#REF!),IF('INHERENT MAP'!$B$5=2023,IF(#REF!="",G334,#REF!),IF('INHERENT MAP'!$B$5=2024,IF(#REF!="",G334,#REF!),IF('РЕЕСТР РИСКОВ_2023'!K375="",G334,'РЕЕСТР РИСКОВ_2023'!K375)))))</f>
        <v>Увеличение расходов по процентам на новые займы, а также текущие займы (с плавающей ставкой) в тенге.</v>
      </c>
      <c r="H335">
        <f>IF('INHERENT MAP'!$B$5=2021,'РЕЕСТР РИСКОВ_2023'!L375,IF('INHERENT MAP'!$B$5=2022,#REF!,IF('INHERENT MAP'!$B$5=2023,#REF!,IF('INHERENT MAP'!$B$5=2024,#REF!,#REF!))))</f>
        <v>0</v>
      </c>
      <c r="I335">
        <f>IF('INHERENT MAP'!$B$5=2021,'РЕЕСТР РИСКОВ_2023'!M375,IF('INHERENT MAP'!$B$5=2022,#REF!,IF('INHERENT MAP'!$B$5=2023,#REF!,IF('INHERENT MAP'!$B$5=2024,#REF!,#REF!))))</f>
        <v>0</v>
      </c>
      <c r="J335">
        <f>IF('INHERENT MAP'!$B$5=2021,'РЕЕСТР РИСКОВ_2023'!N375,IF('INHERENT MAP'!$B$5=2022,#REF!,IF('INHERENT MAP'!$B$5=2023,#REF!,IF('INHERENT MAP'!$B$5=2024,#REF!,#REF!))))</f>
        <v>0</v>
      </c>
      <c r="K335">
        <f>IF('INHERENT MAP'!$B$5=2021,'РЕЕСТР РИСКОВ_2023'!O375,IF('INHERENT MAP'!$B$5=2022,#REF!,IF('INHERENT MAP'!$B$5=2023,#REF!,IF('INHERENT MAP'!$B$5=2024,#REF!,#REF!))))</f>
        <v>0</v>
      </c>
      <c r="L335">
        <f>IF('INHERENT MAP'!$B$5=2021,'РЕЕСТР РИСКОВ_2023'!P375,IF('INHERENT MAP'!$B$5=2022,#REF!,IF('INHERENT MAP'!$B$5=2023,#REF!,IF('INHERENT MAP'!$B$5=2024,#REF!,#REF!))))</f>
        <v>0</v>
      </c>
      <c r="M335" t="str">
        <f>IF('INHERENT MAP'!$B$5=2021,IF('РЕЕСТР РИСКОВ_2023'!Q375="",M334,'РЕЕСТР РИСКОВ_2023'!Q375),IF('INHERENT MAP'!$B$5=2022,IF(#REF!="",M334,#REF!),IF('INHERENT MAP'!$B$5=2023,IF(#REF!="",M334,#REF!),IF('INHERENT MAP'!$B$5=2024,IF(#REF!="",M334,#REF!),IF('РЕЕСТР РИСКОВ_2023'!Q375="",M334,'РЕЕСТР РИСКОВ_2023'!Q375)))))</f>
        <v>Увеличение базовой ставки Национального банка Республики Казахстан до 16%</v>
      </c>
      <c r="N335" t="str">
        <f>IF('INHERENT MAP'!$B$5=2021,IF('РЕЕСТР РИСКОВ_2023'!R375="",N334,'РЕЕСТР РИСКОВ_2023'!R375),IF('INHERENT MAP'!$B$5=2022,IF(#REF!="",N334,#REF!),IF('INHERENT MAP'!$B$5=2023,IF(#REF!="",N334,#REF!),IF('INHERENT MAP'!$B$5=2024,IF(#REF!="",N334,#REF!),IF('РЕЕСТР РИСКОВ_2023'!R375="",N334,'РЕЕСТР РИСКОВ_2023'!R375)))))</f>
        <v>Рецессия экономики европейских стран</v>
      </c>
      <c r="O335">
        <f>'РЕЕСТР РИСКОВ_2023'!T375</f>
        <v>0</v>
      </c>
      <c r="P335" t="e">
        <f>IF('РЕЕСТР РИСКОВ_2023'!U375="",P334,'РЕЕСТР РИСКОВ_2023'!U375)</f>
        <v>#REF!</v>
      </c>
      <c r="Q335" t="str">
        <f>IF('РЕЕСТР РИСКОВ_2023'!V375="",Q334,'РЕЕСТР РИСКОВ_2023'!V375)</f>
        <v>Угрозы</v>
      </c>
      <c r="R335" t="e">
        <f>IF('РЕЕСТР РИСКОВ_2023'!W375="",R334,'РЕЕСТР РИСКОВ_2023'!W375)</f>
        <v>#REF!</v>
      </c>
      <c r="S335">
        <f>'РЕЕСТР РИСКОВ_2023'!X375</f>
        <v>0</v>
      </c>
      <c r="T335" s="94">
        <f>IF('INHERENT MAP'!$B$5=2021,'РЕЕСТР РИСКОВ_2023'!Y375,IF('INHERENT MAP'!$B$5=2022,#REF!,IF('INHERENT MAP'!$B$5=2023,#REF!,IF('INHERENT MAP'!$B$5=2024,#REF!,#REF!))))</f>
        <v>0</v>
      </c>
      <c r="U335">
        <f>IF('INHERENT MAP'!$B$5=2021,'РЕЕСТР РИСКОВ_2023'!Z375,IF('INHERENT MAP'!$B$5=2022,#REF!,IF('INHERENT MAP'!$B$5=2023,#REF!,IF('INHERENT MAP'!$B$5=2024,#REF!,#REF!))))</f>
        <v>0</v>
      </c>
      <c r="V335">
        <f>IF('INHERENT MAP'!$B$5=2021,'РЕЕСТР РИСКОВ_2023'!AA375,IF('INHERENT MAP'!$B$5=2022,#REF!,IF('INHERENT MAP'!$B$5=2023,#REF!,IF('INHERENT MAP'!$B$5=2024,#REF!,#REF!))))</f>
        <v>0</v>
      </c>
      <c r="W335">
        <f>IF('INHERENT MAP'!$B$5=2021,'РЕЕСТР РИСКОВ_2023'!AB375,IF('INHERENT MAP'!$B$5=2022,#REF!,IF('INHERENT MAP'!$B$5=2023,#REF!,IF('INHERENT MAP'!$B$5=2024,#REF!,#REF!))))</f>
        <v>0</v>
      </c>
      <c r="X335" s="94">
        <f>IF('INHERENT MAP'!$B$5=2021,'РЕЕСТР РИСКОВ_2023'!AC375,IF('INHERENT MAP'!$B$5=2022,#REF!,IF('INHERENT MAP'!$B$5=2023,#REF!,IF('INHERENT MAP'!$B$5=2024,#REF!,#REF!))))</f>
        <v>0</v>
      </c>
      <c r="Y335">
        <f>IF('INHERENT MAP'!$B$5=2021,'РЕЕСТР РИСКОВ_2023'!AD375,IF('INHERENT MAP'!$B$5=2022,#REF!,IF('INHERENT MAP'!$B$5=2023,#REF!,IF('INHERENT MAP'!$B$5=2024,#REF!,#REF!))))</f>
        <v>0</v>
      </c>
      <c r="Z335">
        <f>IF('INHERENT MAP'!$B$5=2021,'РЕЕСТР РИСКОВ_2023'!AE375,IF('INHERENT MAP'!$B$5=2022,#REF!,IF('INHERENT MAP'!$B$5=2023,#REF!,IF('INHERENT MAP'!$B$5=2024,#REF!,#REF!))))</f>
        <v>0</v>
      </c>
      <c r="AA335">
        <f>IF('INHERENT MAP'!$B$5=2021,'РЕЕСТР РИСКОВ_2023'!AF375,IF('INHERENT MAP'!$B$5=2022,#REF!,IF('INHERENT MAP'!$B$5=2023,#REF!,IF('INHERENT MAP'!$B$5=2024,#REF!,#REF!))))</f>
        <v>0</v>
      </c>
      <c r="AB335">
        <f>IF('INHERENT MAP'!$B$5=2021,'РЕЕСТР РИСКОВ_2023'!AG375,IF('INHERENT MAP'!$B$5=2022,#REF!,IF('INHERENT MAP'!$B$5=2023,#REF!,IF('INHERENT MAP'!$B$5=2024,#REF!,#REF!))))</f>
        <v>0</v>
      </c>
      <c r="AC335">
        <f>IF('INHERENT MAP'!$B$5=2021,'РЕЕСТР РИСКОВ_2023'!AH375,IF('INHERENT MAP'!$B$5=2022,#REF!,IF('INHERENT MAP'!$B$5=2023,#REF!,IF('INHERENT MAP'!$B$5=2024,#REF!,#REF!))))</f>
        <v>0</v>
      </c>
      <c r="AD335">
        <f>IF('INHERENT MAP'!$B$5=2021,'РЕЕСТР РИСКОВ_2023'!AI375,IF('INHERENT MAP'!$B$5=2022,#REF!,IF('INHERENT MAP'!$B$5=2023,#REF!,IF('INHERENT MAP'!$B$5=2024,#REF!,#REF!))))</f>
        <v>0</v>
      </c>
      <c r="AE335">
        <f>IF('INHERENT MAP'!$B$5=2021,'РЕЕСТР РИСКОВ_2023'!AK375,IF('INHERENT MAP'!$B$5=2022,#REF!,IF('INHERENT MAP'!$B$5=2023,#REF!,IF('INHERENT MAP'!$B$5=2024,#REF!,#REF!))))</f>
        <v>0</v>
      </c>
      <c r="AF335">
        <f>IF('INHERENT MAP'!$B$5=2021,'РЕЕСТР РИСКОВ_2023'!AL375,IF('INHERENT MAP'!$B$5=2022,#REF!,IF('INHERENT MAP'!$B$5=2023,#REF!,IF('INHERENT MAP'!$B$5=2024,#REF!,#REF!))))</f>
        <v>0</v>
      </c>
      <c r="AG335">
        <f>IF('INHERENT MAP'!$B$5=2021,'РЕЕСТР РИСКОВ_2023'!AM375,IF('INHERENT MAP'!$B$5=2022,#REF!,IF('INHERENT MAP'!$B$5=2023,#REF!,IF('INHERENT MAP'!$B$5=2024,#REF!,#REF!))))</f>
        <v>0</v>
      </c>
      <c r="AH335">
        <f>IF('INHERENT MAP'!$B$5=2021,'РЕЕСТР РИСКОВ_2023'!AN375,IF('INHERENT MAP'!$B$5=2022,#REF!,IF('INHERENT MAP'!$B$5=2023,#REF!,IF('INHERENT MAP'!$B$5=2024,#REF!,#REF!))))</f>
        <v>0</v>
      </c>
      <c r="AI335">
        <f>IF('INHERENT MAP'!$B$5=2021,'РЕЕСТР РИСКОВ_2023'!AO375,IF('INHERENT MAP'!$B$5=2022,#REF!,IF('INHERENT MAP'!$B$5=2023,#REF!,IF('INHERENT MAP'!$B$5=2024,#REF!,#REF!))))</f>
        <v>0</v>
      </c>
      <c r="AJ335">
        <f>IF('INHERENT MAP'!$B$5=2021,'РЕЕСТР РИСКОВ_2023'!AP375,IF('INHERENT MAP'!$B$5=2022,#REF!,IF('INHERENT MAP'!$B$5=2023,#REF!,IF('INHERENT MAP'!$B$5=2024,#REF!,#REF!))))</f>
        <v>0</v>
      </c>
      <c r="AK335">
        <f>IF('РЕЕСТР РИСКОВ_2023'!AQ375="",AK334,'РЕЕСТР РИСКОВ_2023'!AQ375)</f>
        <v>-216</v>
      </c>
      <c r="AL335">
        <f>IF('РЕЕСТР РИСКОВ_2023'!AR375="",AL334,'РЕЕСТР РИСКОВ_2023'!AR375)</f>
        <v>0.12</v>
      </c>
      <c r="AM335" t="str">
        <f>IF('РЕЕСТР РИСКОВ_2023'!AS375="",AM334,'РЕЕСТР РИСКОВ_2023'!AS375)</f>
        <v>стоп</v>
      </c>
      <c r="AN335" t="str">
        <f>IF('РЕЕСТР РИСКОВ_2023'!AT375="",AN334,'РЕЕСТР РИСКОВ_2023'!AT375)</f>
        <v>стоп</v>
      </c>
      <c r="AO335" t="e">
        <f>IF('РЕЕСТР РИСКОВ_2023'!AU375="",AO334,'РЕЕСТР РИСКОВ_2023'!AU375)</f>
        <v>#REF!</v>
      </c>
    </row>
    <row r="336" spans="2:41">
      <c r="B336" t="str">
        <f>IF('INHERENT MAP'!$B$5=2021,IF('РЕЕСТР РИСКОВ_2023'!F376="",B335,'РЕЕСТР РИСКОВ_2023'!F376),IF('INHERENT MAP'!$B$5=2022,IF(#REF!="",B335,#REF!),IF('INHERENT MAP'!$B$5=2023,IF(#REF!="",B335,#REF!),IF('INHERENT MAP'!$B$5=2024,IF(#REF!="",B335,#REF!),IF('РЕЕСТР РИСКОВ_2023'!F376="",B335,'РЕЕСТР РИСКОВ_2023'!F376)))))</f>
        <v>ПРОЦЕНТНЫЙ РИСК</v>
      </c>
      <c r="C336" t="e">
        <f>IF('INHERENT MAP'!$B$5=2021,IF('РЕЕСТР РИСКОВ_2023'!G376="",C335,'РЕЕСТР РИСКОВ_2023'!G376),IF('INHERENT MAP'!$B$5=2022,IF(#REF!="",C335,#REF!),IF('INHERENT MAP'!$B$5=2023,IF(#REF!="",C335,#REF!),IF('INHERENT MAP'!$B$5=2024,IF(#REF!="",C335,#REF!),IF('РЕЕСТР РИСКОВ_2023'!G376="",C335,'РЕЕСТР РИСКОВ_2023'!G376)))))</f>
        <v>#REF!</v>
      </c>
      <c r="D336" t="str">
        <f>IF('INHERENT MAP'!$B$5=2021,IF('РЕЕСТР РИСКОВ_2023'!H376="",D335,'РЕЕСТР РИСКОВ_2023'!H376),IF('INHERENT MAP'!$B$5=2022,IF(#REF!="",D335,#REF!),IF('INHERENT MAP'!$B$5=2023,IF(#REF!="",D335,#REF!),IF('INHERENT MAP'!$B$5=2024,IF(#REF!="",D335,#REF!),IF('РЕЕСТР РИСКОВ_2023'!H376="",D335,'РЕЕСТР РИСКОВ_2023'!H376)))))</f>
        <v>IRR-1</v>
      </c>
      <c r="E336" t="str">
        <f>IF('INHERENT MAP'!$B$5=2021,IF('РЕЕСТР РИСКОВ_2023'!I376="",E335,'РЕЕСТР РИСКОВ_2023'!I376),IF('INHERENT MAP'!$B$5=2022,IF(#REF!="",E335,#REF!),IF('INHERENT MAP'!$B$5=2023,IF(#REF!="",E335,#REF!),IF('INHERENT MAP'!$B$5=2024,IF(#REF!="",E335,#REF!),IF('РЕЕСТР РИСКОВ_2023'!I376="",E335,'РЕЕСТР РИСКОВ_2023'!I376)))))</f>
        <v>ЦЗФ</v>
      </c>
      <c r="F336" t="str">
        <f>IF('INHERENT MAP'!$B$5=2021,IF('РЕЕСТР РИСКОВ_2023'!J376="",F335,'РЕЕСТР РИСКОВ_2023'!J376),IF('INHERENT MAP'!$B$5=2022,IF(#REF!="",F335,#REF!),IF('INHERENT MAP'!$B$5=2023,IF(#REF!="",F335,#REF!),IF('INHERENT MAP'!$B$5=2024,IF(#REF!="",F335,#REF!),IF('РЕЕСТР РИСКОВ_2023'!J376="",F335,'РЕЕСТР РИСКОВ_2023'!J376)))))</f>
        <v>Цзайм</v>
      </c>
      <c r="G336" t="str">
        <f>IF('INHERENT MAP'!$B$5=2021,IF('РЕЕСТР РИСКОВ_2023'!K376="",G335,'РЕЕСТР РИСКОВ_2023'!K376),IF('INHERENT MAP'!$B$5=2022,IF(#REF!="",G335,#REF!),IF('INHERENT MAP'!$B$5=2023,IF(#REF!="",G335,#REF!),IF('INHERENT MAP'!$B$5=2024,IF(#REF!="",G335,#REF!),IF('РЕЕСТР РИСКОВ_2023'!K376="",G335,'РЕЕСТР РИСКОВ_2023'!K376)))))</f>
        <v>Увеличение расходов по процентам на новые займы, а также текущие займы (с плавающей ставкой) в тенге.</v>
      </c>
      <c r="H336">
        <f>IF('INHERENT MAP'!$B$5=2021,'РЕЕСТР РИСКОВ_2023'!L376,IF('INHERENT MAP'!$B$5=2022,#REF!,IF('INHERENT MAP'!$B$5=2023,#REF!,IF('INHERENT MAP'!$B$5=2024,#REF!,#REF!))))</f>
        <v>0</v>
      </c>
      <c r="I336">
        <f>IF('INHERENT MAP'!$B$5=2021,'РЕЕСТР РИСКОВ_2023'!M376,IF('INHERENT MAP'!$B$5=2022,#REF!,IF('INHERENT MAP'!$B$5=2023,#REF!,IF('INHERENT MAP'!$B$5=2024,#REF!,#REF!))))</f>
        <v>0</v>
      </c>
      <c r="J336">
        <f>IF('INHERENT MAP'!$B$5=2021,'РЕЕСТР РИСКОВ_2023'!N376,IF('INHERENT MAP'!$B$5=2022,#REF!,IF('INHERENT MAP'!$B$5=2023,#REF!,IF('INHERENT MAP'!$B$5=2024,#REF!,#REF!))))</f>
        <v>0</v>
      </c>
      <c r="K336">
        <f>IF('INHERENT MAP'!$B$5=2021,'РЕЕСТР РИСКОВ_2023'!O376,IF('INHERENT MAP'!$B$5=2022,#REF!,IF('INHERENT MAP'!$B$5=2023,#REF!,IF('INHERENT MAP'!$B$5=2024,#REF!,#REF!))))</f>
        <v>0</v>
      </c>
      <c r="L336">
        <f>IF('INHERENT MAP'!$B$5=2021,'РЕЕСТР РИСКОВ_2023'!P376,IF('INHERENT MAP'!$B$5=2022,#REF!,IF('INHERENT MAP'!$B$5=2023,#REF!,IF('INHERENT MAP'!$B$5=2024,#REF!,#REF!))))</f>
        <v>0</v>
      </c>
      <c r="M336" t="str">
        <f>IF('INHERENT MAP'!$B$5=2021,IF('РЕЕСТР РИСКОВ_2023'!Q376="",M335,'РЕЕСТР РИСКОВ_2023'!Q376),IF('INHERENT MAP'!$B$5=2022,IF(#REF!="",M335,#REF!),IF('INHERENT MAP'!$B$5=2023,IF(#REF!="",M335,#REF!),IF('INHERENT MAP'!$B$5=2024,IF(#REF!="",M335,#REF!),IF('РЕЕСТР РИСКОВ_2023'!Q376="",M335,'РЕЕСТР РИСКОВ_2023'!Q376)))))</f>
        <v>Увеличение базовой ставки Национального банка Республики Казахстан до 16%</v>
      </c>
      <c r="N336" t="str">
        <f>IF('INHERENT MAP'!$B$5=2021,IF('РЕЕСТР РИСКОВ_2023'!R376="",N335,'РЕЕСТР РИСКОВ_2023'!R376),IF('INHERENT MAP'!$B$5=2022,IF(#REF!="",N335,#REF!),IF('INHERENT MAP'!$B$5=2023,IF(#REF!="",N335,#REF!),IF('INHERENT MAP'!$B$5=2024,IF(#REF!="",N335,#REF!),IF('РЕЕСТР РИСКОВ_2023'!R376="",N335,'РЕЕСТР РИСКОВ_2023'!R376)))))</f>
        <v>Рецессия экономики европейских стран</v>
      </c>
      <c r="O336">
        <f>'РЕЕСТР РИСКОВ_2023'!T376</f>
        <v>0</v>
      </c>
      <c r="P336" t="e">
        <f>IF('РЕЕСТР РИСКОВ_2023'!U376="",P335,'РЕЕСТР РИСКОВ_2023'!U376)</f>
        <v>#REF!</v>
      </c>
      <c r="Q336" t="str">
        <f>IF('РЕЕСТР РИСКОВ_2023'!V376="",Q335,'РЕЕСТР РИСКОВ_2023'!V376)</f>
        <v>Угрозы</v>
      </c>
      <c r="R336" t="e">
        <f>IF('РЕЕСТР РИСКОВ_2023'!W376="",R335,'РЕЕСТР РИСКОВ_2023'!W376)</f>
        <v>#REF!</v>
      </c>
      <c r="S336">
        <f>'РЕЕСТР РИСКОВ_2023'!X376</f>
        <v>0</v>
      </c>
      <c r="T336" s="94">
        <f>IF('INHERENT MAP'!$B$5=2021,'РЕЕСТР РИСКОВ_2023'!Y376,IF('INHERENT MAP'!$B$5=2022,#REF!,IF('INHERENT MAP'!$B$5=2023,#REF!,IF('INHERENT MAP'!$B$5=2024,#REF!,#REF!))))</f>
        <v>0</v>
      </c>
      <c r="U336">
        <f>IF('INHERENT MAP'!$B$5=2021,'РЕЕСТР РИСКОВ_2023'!Z376,IF('INHERENT MAP'!$B$5=2022,#REF!,IF('INHERENT MAP'!$B$5=2023,#REF!,IF('INHERENT MAP'!$B$5=2024,#REF!,#REF!))))</f>
        <v>0</v>
      </c>
      <c r="V336">
        <f>IF('INHERENT MAP'!$B$5=2021,'РЕЕСТР РИСКОВ_2023'!AA376,IF('INHERENT MAP'!$B$5=2022,#REF!,IF('INHERENT MAP'!$B$5=2023,#REF!,IF('INHERENT MAP'!$B$5=2024,#REF!,#REF!))))</f>
        <v>0</v>
      </c>
      <c r="W336">
        <f>IF('INHERENT MAP'!$B$5=2021,'РЕЕСТР РИСКОВ_2023'!AB376,IF('INHERENT MAP'!$B$5=2022,#REF!,IF('INHERENT MAP'!$B$5=2023,#REF!,IF('INHERENT MAP'!$B$5=2024,#REF!,#REF!))))</f>
        <v>0</v>
      </c>
      <c r="X336" s="94">
        <f>IF('INHERENT MAP'!$B$5=2021,'РЕЕСТР РИСКОВ_2023'!AC376,IF('INHERENT MAP'!$B$5=2022,#REF!,IF('INHERENT MAP'!$B$5=2023,#REF!,IF('INHERENT MAP'!$B$5=2024,#REF!,#REF!))))</f>
        <v>0</v>
      </c>
      <c r="Y336">
        <f>IF('INHERENT MAP'!$B$5=2021,'РЕЕСТР РИСКОВ_2023'!AD376,IF('INHERENT MAP'!$B$5=2022,#REF!,IF('INHERENT MAP'!$B$5=2023,#REF!,IF('INHERENT MAP'!$B$5=2024,#REF!,#REF!))))</f>
        <v>0</v>
      </c>
      <c r="Z336">
        <f>IF('INHERENT MAP'!$B$5=2021,'РЕЕСТР РИСКОВ_2023'!AE376,IF('INHERENT MAP'!$B$5=2022,#REF!,IF('INHERENT MAP'!$B$5=2023,#REF!,IF('INHERENT MAP'!$B$5=2024,#REF!,#REF!))))</f>
        <v>0</v>
      </c>
      <c r="AA336">
        <f>IF('INHERENT MAP'!$B$5=2021,'РЕЕСТР РИСКОВ_2023'!AF376,IF('INHERENT MAP'!$B$5=2022,#REF!,IF('INHERENT MAP'!$B$5=2023,#REF!,IF('INHERENT MAP'!$B$5=2024,#REF!,#REF!))))</f>
        <v>0</v>
      </c>
      <c r="AB336">
        <f>IF('INHERENT MAP'!$B$5=2021,'РЕЕСТР РИСКОВ_2023'!AG376,IF('INHERENT MAP'!$B$5=2022,#REF!,IF('INHERENT MAP'!$B$5=2023,#REF!,IF('INHERENT MAP'!$B$5=2024,#REF!,#REF!))))</f>
        <v>0</v>
      </c>
      <c r="AC336">
        <f>IF('INHERENT MAP'!$B$5=2021,'РЕЕСТР РИСКОВ_2023'!AH376,IF('INHERENT MAP'!$B$5=2022,#REF!,IF('INHERENT MAP'!$B$5=2023,#REF!,IF('INHERENT MAP'!$B$5=2024,#REF!,#REF!))))</f>
        <v>0</v>
      </c>
      <c r="AD336">
        <f>IF('INHERENT MAP'!$B$5=2021,'РЕЕСТР РИСКОВ_2023'!AI376,IF('INHERENT MAP'!$B$5=2022,#REF!,IF('INHERENT MAP'!$B$5=2023,#REF!,IF('INHERENT MAP'!$B$5=2024,#REF!,#REF!))))</f>
        <v>0</v>
      </c>
      <c r="AE336">
        <f>IF('INHERENT MAP'!$B$5=2021,'РЕЕСТР РИСКОВ_2023'!AK376,IF('INHERENT MAP'!$B$5=2022,#REF!,IF('INHERENT MAP'!$B$5=2023,#REF!,IF('INHERENT MAP'!$B$5=2024,#REF!,#REF!))))</f>
        <v>0</v>
      </c>
      <c r="AF336">
        <f>IF('INHERENT MAP'!$B$5=2021,'РЕЕСТР РИСКОВ_2023'!AL376,IF('INHERENT MAP'!$B$5=2022,#REF!,IF('INHERENT MAP'!$B$5=2023,#REF!,IF('INHERENT MAP'!$B$5=2024,#REF!,#REF!))))</f>
        <v>0</v>
      </c>
      <c r="AG336">
        <f>IF('INHERENT MAP'!$B$5=2021,'РЕЕСТР РИСКОВ_2023'!AM376,IF('INHERENT MAP'!$B$5=2022,#REF!,IF('INHERENT MAP'!$B$5=2023,#REF!,IF('INHERENT MAP'!$B$5=2024,#REF!,#REF!))))</f>
        <v>0</v>
      </c>
      <c r="AH336">
        <f>IF('INHERENT MAP'!$B$5=2021,'РЕЕСТР РИСКОВ_2023'!AN376,IF('INHERENT MAP'!$B$5=2022,#REF!,IF('INHERENT MAP'!$B$5=2023,#REF!,IF('INHERENT MAP'!$B$5=2024,#REF!,#REF!))))</f>
        <v>0</v>
      </c>
      <c r="AI336">
        <f>IF('INHERENT MAP'!$B$5=2021,'РЕЕСТР РИСКОВ_2023'!AO376,IF('INHERENT MAP'!$B$5=2022,#REF!,IF('INHERENT MAP'!$B$5=2023,#REF!,IF('INHERENT MAP'!$B$5=2024,#REF!,#REF!))))</f>
        <v>0</v>
      </c>
      <c r="AJ336">
        <f>IF('INHERENT MAP'!$B$5=2021,'РЕЕСТР РИСКОВ_2023'!AP376,IF('INHERENT MAP'!$B$5=2022,#REF!,IF('INHERENT MAP'!$B$5=2023,#REF!,IF('INHERENT MAP'!$B$5=2024,#REF!,#REF!))))</f>
        <v>0</v>
      </c>
      <c r="AK336">
        <f>IF('РЕЕСТР РИСКОВ_2023'!AQ376="",AK335,'РЕЕСТР РИСКОВ_2023'!AQ376)</f>
        <v>-216</v>
      </c>
      <c r="AL336">
        <f>IF('РЕЕСТР РИСКОВ_2023'!AR376="",AL335,'РЕЕСТР РИСКОВ_2023'!AR376)</f>
        <v>0.12</v>
      </c>
      <c r="AM336" t="str">
        <f>IF('РЕЕСТР РИСКОВ_2023'!AS376="",AM335,'РЕЕСТР РИСКОВ_2023'!AS376)</f>
        <v>стоп</v>
      </c>
      <c r="AN336" t="str">
        <f>IF('РЕЕСТР РИСКОВ_2023'!AT376="",AN335,'РЕЕСТР РИСКОВ_2023'!AT376)</f>
        <v>стоп</v>
      </c>
      <c r="AO336" t="e">
        <f>IF('РЕЕСТР РИСКОВ_2023'!AU376="",AO335,'РЕЕСТР РИСКОВ_2023'!AU376)</f>
        <v>#REF!</v>
      </c>
    </row>
    <row r="337" spans="2:41">
      <c r="B337" t="str">
        <f>IF('INHERENT MAP'!$B$5=2021,IF('РЕЕСТР РИСКОВ_2023'!F377="",B336,'РЕЕСТР РИСКОВ_2023'!F377),IF('INHERENT MAP'!$B$5=2022,IF(#REF!="",B336,#REF!),IF('INHERENT MAP'!$B$5=2023,IF(#REF!="",B336,#REF!),IF('INHERENT MAP'!$B$5=2024,IF(#REF!="",B336,#REF!),IF('РЕЕСТР РИСКОВ_2023'!F377="",B336,'РЕЕСТР РИСКОВ_2023'!F377)))))</f>
        <v>ПРОЦЕНТНЫЙ РИСК</v>
      </c>
      <c r="C337" t="e">
        <f>IF('INHERENT MAP'!$B$5=2021,IF('РЕЕСТР РИСКОВ_2023'!G377="",C336,'РЕЕСТР РИСКОВ_2023'!G377),IF('INHERENT MAP'!$B$5=2022,IF(#REF!="",C336,#REF!),IF('INHERENT MAP'!$B$5=2023,IF(#REF!="",C336,#REF!),IF('INHERENT MAP'!$B$5=2024,IF(#REF!="",C336,#REF!),IF('РЕЕСТР РИСКОВ_2023'!G377="",C336,'РЕЕСТР РИСКОВ_2023'!G377)))))</f>
        <v>#REF!</v>
      </c>
      <c r="D337" t="str">
        <f>IF('INHERENT MAP'!$B$5=2021,IF('РЕЕСТР РИСКОВ_2023'!H377="",D336,'РЕЕСТР РИСКОВ_2023'!H377),IF('INHERENT MAP'!$B$5=2022,IF(#REF!="",D336,#REF!),IF('INHERENT MAP'!$B$5=2023,IF(#REF!="",D336,#REF!),IF('INHERENT MAP'!$B$5=2024,IF(#REF!="",D336,#REF!),IF('РЕЕСТР РИСКОВ_2023'!H377="",D336,'РЕЕСТР РИСКОВ_2023'!H377)))))</f>
        <v>IRR-1</v>
      </c>
      <c r="E337" t="str">
        <f>IF('INHERENT MAP'!$B$5=2021,IF('РЕЕСТР РИСКОВ_2023'!I377="",E336,'РЕЕСТР РИСКОВ_2023'!I377),IF('INHERENT MAP'!$B$5=2022,IF(#REF!="",E336,#REF!),IF('INHERENT MAP'!$B$5=2023,IF(#REF!="",E336,#REF!),IF('INHERENT MAP'!$B$5=2024,IF(#REF!="",E336,#REF!),IF('РЕЕСТР РИСКОВ_2023'!I377="",E336,'РЕЕСТР РИСКОВ_2023'!I377)))))</f>
        <v>ЦЗФ</v>
      </c>
      <c r="F337" t="str">
        <f>IF('INHERENT MAP'!$B$5=2021,IF('РЕЕСТР РИСКОВ_2023'!J377="",F336,'РЕЕСТР РИСКОВ_2023'!J377),IF('INHERENT MAP'!$B$5=2022,IF(#REF!="",F336,#REF!),IF('INHERENT MAP'!$B$5=2023,IF(#REF!="",F336,#REF!),IF('INHERENT MAP'!$B$5=2024,IF(#REF!="",F336,#REF!),IF('РЕЕСТР РИСКОВ_2023'!J377="",F336,'РЕЕСТР РИСКОВ_2023'!J377)))))</f>
        <v>Цзайм</v>
      </c>
      <c r="G337" t="str">
        <f>IF('INHERENT MAP'!$B$5=2021,IF('РЕЕСТР РИСКОВ_2023'!K377="",G336,'РЕЕСТР РИСКОВ_2023'!K377),IF('INHERENT MAP'!$B$5=2022,IF(#REF!="",G336,#REF!),IF('INHERENT MAP'!$B$5=2023,IF(#REF!="",G336,#REF!),IF('INHERENT MAP'!$B$5=2024,IF(#REF!="",G336,#REF!),IF('РЕЕСТР РИСКОВ_2023'!K377="",G336,'РЕЕСТР РИСКОВ_2023'!K377)))))</f>
        <v>Увеличение расходов по процентам на новые займы, а также текущие займы (с плавающей ставкой) в тенге.</v>
      </c>
      <c r="H337">
        <f>IF('INHERENT MAP'!$B$5=2021,'РЕЕСТР РИСКОВ_2023'!L377,IF('INHERENT MAP'!$B$5=2022,#REF!,IF('INHERENT MAP'!$B$5=2023,#REF!,IF('INHERENT MAP'!$B$5=2024,#REF!,#REF!))))</f>
        <v>0</v>
      </c>
      <c r="I337">
        <f>IF('INHERENT MAP'!$B$5=2021,'РЕЕСТР РИСКОВ_2023'!M377,IF('INHERENT MAP'!$B$5=2022,#REF!,IF('INHERENT MAP'!$B$5=2023,#REF!,IF('INHERENT MAP'!$B$5=2024,#REF!,#REF!))))</f>
        <v>0</v>
      </c>
      <c r="J337">
        <f>IF('INHERENT MAP'!$B$5=2021,'РЕЕСТР РИСКОВ_2023'!N377,IF('INHERENT MAP'!$B$5=2022,#REF!,IF('INHERENT MAP'!$B$5=2023,#REF!,IF('INHERENT MAP'!$B$5=2024,#REF!,#REF!))))</f>
        <v>0</v>
      </c>
      <c r="K337">
        <f>IF('INHERENT MAP'!$B$5=2021,'РЕЕСТР РИСКОВ_2023'!O377,IF('INHERENT MAP'!$B$5=2022,#REF!,IF('INHERENT MAP'!$B$5=2023,#REF!,IF('INHERENT MAP'!$B$5=2024,#REF!,#REF!))))</f>
        <v>0</v>
      </c>
      <c r="L337">
        <f>IF('INHERENT MAP'!$B$5=2021,'РЕЕСТР РИСКОВ_2023'!P377,IF('INHERENT MAP'!$B$5=2022,#REF!,IF('INHERENT MAP'!$B$5=2023,#REF!,IF('INHERENT MAP'!$B$5=2024,#REF!,#REF!))))</f>
        <v>0</v>
      </c>
      <c r="M337" t="str">
        <f>IF('INHERENT MAP'!$B$5=2021,IF('РЕЕСТР РИСКОВ_2023'!Q377="",M336,'РЕЕСТР РИСКОВ_2023'!Q377),IF('INHERENT MAP'!$B$5=2022,IF(#REF!="",M336,#REF!),IF('INHERENT MAP'!$B$5=2023,IF(#REF!="",M336,#REF!),IF('INHERENT MAP'!$B$5=2024,IF(#REF!="",M336,#REF!),IF('РЕЕСТР РИСКОВ_2023'!Q377="",M336,'РЕЕСТР РИСКОВ_2023'!Q377)))))</f>
        <v>Увеличение базовой ставки Национального банка Республики Казахстан до 16%</v>
      </c>
      <c r="N337" t="str">
        <f>IF('INHERENT MAP'!$B$5=2021,IF('РЕЕСТР РИСКОВ_2023'!R377="",N336,'РЕЕСТР РИСКОВ_2023'!R377),IF('INHERENT MAP'!$B$5=2022,IF(#REF!="",N336,#REF!),IF('INHERENT MAP'!$B$5=2023,IF(#REF!="",N336,#REF!),IF('INHERENT MAP'!$B$5=2024,IF(#REF!="",N336,#REF!),IF('РЕЕСТР РИСКОВ_2023'!R377="",N336,'РЕЕСТР РИСКОВ_2023'!R377)))))</f>
        <v>Рецессия экономики европейских стран</v>
      </c>
      <c r="O337">
        <f>'РЕЕСТР РИСКОВ_2023'!T377</f>
        <v>0</v>
      </c>
      <c r="P337" t="e">
        <f>IF('РЕЕСТР РИСКОВ_2023'!U377="",P336,'РЕЕСТР РИСКОВ_2023'!U377)</f>
        <v>#REF!</v>
      </c>
      <c r="Q337" t="str">
        <f>IF('РЕЕСТР РИСКОВ_2023'!V377="",Q336,'РЕЕСТР РИСКОВ_2023'!V377)</f>
        <v>Угрозы</v>
      </c>
      <c r="R337" t="e">
        <f>IF('РЕЕСТР РИСКОВ_2023'!W377="",R336,'РЕЕСТР РИСКОВ_2023'!W377)</f>
        <v>#REF!</v>
      </c>
      <c r="S337">
        <f>'РЕЕСТР РИСКОВ_2023'!X377</f>
        <v>0</v>
      </c>
      <c r="T337" s="94">
        <f>IF('INHERENT MAP'!$B$5=2021,'РЕЕСТР РИСКОВ_2023'!Y377,IF('INHERENT MAP'!$B$5=2022,#REF!,IF('INHERENT MAP'!$B$5=2023,#REF!,IF('INHERENT MAP'!$B$5=2024,#REF!,#REF!))))</f>
        <v>0</v>
      </c>
      <c r="U337">
        <f>IF('INHERENT MAP'!$B$5=2021,'РЕЕСТР РИСКОВ_2023'!Z377,IF('INHERENT MAP'!$B$5=2022,#REF!,IF('INHERENT MAP'!$B$5=2023,#REF!,IF('INHERENT MAP'!$B$5=2024,#REF!,#REF!))))</f>
        <v>0</v>
      </c>
      <c r="V337">
        <f>IF('INHERENT MAP'!$B$5=2021,'РЕЕСТР РИСКОВ_2023'!AA377,IF('INHERENT MAP'!$B$5=2022,#REF!,IF('INHERENT MAP'!$B$5=2023,#REF!,IF('INHERENT MAP'!$B$5=2024,#REF!,#REF!))))</f>
        <v>0</v>
      </c>
      <c r="W337">
        <f>IF('INHERENT MAP'!$B$5=2021,'РЕЕСТР РИСКОВ_2023'!AB377,IF('INHERENT MAP'!$B$5=2022,#REF!,IF('INHERENT MAP'!$B$5=2023,#REF!,IF('INHERENT MAP'!$B$5=2024,#REF!,#REF!))))</f>
        <v>0</v>
      </c>
      <c r="X337" s="94">
        <f>IF('INHERENT MAP'!$B$5=2021,'РЕЕСТР РИСКОВ_2023'!AC377,IF('INHERENT MAP'!$B$5=2022,#REF!,IF('INHERENT MAP'!$B$5=2023,#REF!,IF('INHERENT MAP'!$B$5=2024,#REF!,#REF!))))</f>
        <v>0</v>
      </c>
      <c r="Y337">
        <f>IF('INHERENT MAP'!$B$5=2021,'РЕЕСТР РИСКОВ_2023'!AD377,IF('INHERENT MAP'!$B$5=2022,#REF!,IF('INHERENT MAP'!$B$5=2023,#REF!,IF('INHERENT MAP'!$B$5=2024,#REF!,#REF!))))</f>
        <v>0</v>
      </c>
      <c r="Z337">
        <f>IF('INHERENT MAP'!$B$5=2021,'РЕЕСТР РИСКОВ_2023'!AE377,IF('INHERENT MAP'!$B$5=2022,#REF!,IF('INHERENT MAP'!$B$5=2023,#REF!,IF('INHERENT MAP'!$B$5=2024,#REF!,#REF!))))</f>
        <v>0</v>
      </c>
      <c r="AA337">
        <f>IF('INHERENT MAP'!$B$5=2021,'РЕЕСТР РИСКОВ_2023'!AF377,IF('INHERENT MAP'!$B$5=2022,#REF!,IF('INHERENT MAP'!$B$5=2023,#REF!,IF('INHERENT MAP'!$B$5=2024,#REF!,#REF!))))</f>
        <v>0</v>
      </c>
      <c r="AB337">
        <f>IF('INHERENT MAP'!$B$5=2021,'РЕЕСТР РИСКОВ_2023'!AG377,IF('INHERENT MAP'!$B$5=2022,#REF!,IF('INHERENT MAP'!$B$5=2023,#REF!,IF('INHERENT MAP'!$B$5=2024,#REF!,#REF!))))</f>
        <v>0</v>
      </c>
      <c r="AC337">
        <f>IF('INHERENT MAP'!$B$5=2021,'РЕЕСТР РИСКОВ_2023'!AH377,IF('INHERENT MAP'!$B$5=2022,#REF!,IF('INHERENT MAP'!$B$5=2023,#REF!,IF('INHERENT MAP'!$B$5=2024,#REF!,#REF!))))</f>
        <v>0</v>
      </c>
      <c r="AD337">
        <f>IF('INHERENT MAP'!$B$5=2021,'РЕЕСТР РИСКОВ_2023'!AI377,IF('INHERENT MAP'!$B$5=2022,#REF!,IF('INHERENT MAP'!$B$5=2023,#REF!,IF('INHERENT MAP'!$B$5=2024,#REF!,#REF!))))</f>
        <v>0</v>
      </c>
      <c r="AE337">
        <f>IF('INHERENT MAP'!$B$5=2021,'РЕЕСТР РИСКОВ_2023'!AK377,IF('INHERENT MAP'!$B$5=2022,#REF!,IF('INHERENT MAP'!$B$5=2023,#REF!,IF('INHERENT MAP'!$B$5=2024,#REF!,#REF!))))</f>
        <v>0</v>
      </c>
      <c r="AF337">
        <f>IF('INHERENT MAP'!$B$5=2021,'РЕЕСТР РИСКОВ_2023'!AL377,IF('INHERENT MAP'!$B$5=2022,#REF!,IF('INHERENT MAP'!$B$5=2023,#REF!,IF('INHERENT MAP'!$B$5=2024,#REF!,#REF!))))</f>
        <v>0</v>
      </c>
      <c r="AG337">
        <f>IF('INHERENT MAP'!$B$5=2021,'РЕЕСТР РИСКОВ_2023'!AM377,IF('INHERENT MAP'!$B$5=2022,#REF!,IF('INHERENT MAP'!$B$5=2023,#REF!,IF('INHERENT MAP'!$B$5=2024,#REF!,#REF!))))</f>
        <v>0</v>
      </c>
      <c r="AH337">
        <f>IF('INHERENT MAP'!$B$5=2021,'РЕЕСТР РИСКОВ_2023'!AN377,IF('INHERENT MAP'!$B$5=2022,#REF!,IF('INHERENT MAP'!$B$5=2023,#REF!,IF('INHERENT MAP'!$B$5=2024,#REF!,#REF!))))</f>
        <v>0</v>
      </c>
      <c r="AI337">
        <f>IF('INHERENT MAP'!$B$5=2021,'РЕЕСТР РИСКОВ_2023'!AO377,IF('INHERENT MAP'!$B$5=2022,#REF!,IF('INHERENT MAP'!$B$5=2023,#REF!,IF('INHERENT MAP'!$B$5=2024,#REF!,#REF!))))</f>
        <v>0</v>
      </c>
      <c r="AJ337">
        <f>IF('INHERENT MAP'!$B$5=2021,'РЕЕСТР РИСКОВ_2023'!AP377,IF('INHERENT MAP'!$B$5=2022,#REF!,IF('INHERENT MAP'!$B$5=2023,#REF!,IF('INHERENT MAP'!$B$5=2024,#REF!,#REF!))))</f>
        <v>0</v>
      </c>
      <c r="AK337">
        <f>IF('РЕЕСТР РИСКОВ_2023'!AQ377="",AK336,'РЕЕСТР РИСКОВ_2023'!AQ377)</f>
        <v>-216</v>
      </c>
      <c r="AL337">
        <f>IF('РЕЕСТР РИСКОВ_2023'!AR377="",AL336,'РЕЕСТР РИСКОВ_2023'!AR377)</f>
        <v>0.12</v>
      </c>
      <c r="AM337" t="str">
        <f>IF('РЕЕСТР РИСКОВ_2023'!AS377="",AM336,'РЕЕСТР РИСКОВ_2023'!AS377)</f>
        <v>стоп</v>
      </c>
      <c r="AN337" t="str">
        <f>IF('РЕЕСТР РИСКОВ_2023'!AT377="",AN336,'РЕЕСТР РИСКОВ_2023'!AT377)</f>
        <v>стоп</v>
      </c>
      <c r="AO337" t="e">
        <f>IF('РЕЕСТР РИСКОВ_2023'!AU377="",AO336,'РЕЕСТР РИСКОВ_2023'!AU377)</f>
        <v>#REF!</v>
      </c>
    </row>
    <row r="338" spans="2:41">
      <c r="B338" t="str">
        <f>IF('INHERENT MAP'!$B$5=2021,IF('РЕЕСТР РИСКОВ_2023'!F378="",B337,'РЕЕСТР РИСКОВ_2023'!F378),IF('INHERENT MAP'!$B$5=2022,IF(#REF!="",B337,#REF!),IF('INHERENT MAP'!$B$5=2023,IF(#REF!="",B337,#REF!),IF('INHERENT MAP'!$B$5=2024,IF(#REF!="",B337,#REF!),IF('РЕЕСТР РИСКОВ_2023'!F378="",B337,'РЕЕСТР РИСКОВ_2023'!F378)))))</f>
        <v>ПРОЦЕНТНЫЙ РИСК</v>
      </c>
      <c r="C338" t="e">
        <f>IF('INHERENT MAP'!$B$5=2021,IF('РЕЕСТР РИСКОВ_2023'!G378="",C337,'РЕЕСТР РИСКОВ_2023'!G378),IF('INHERENT MAP'!$B$5=2022,IF(#REF!="",C337,#REF!),IF('INHERENT MAP'!$B$5=2023,IF(#REF!="",C337,#REF!),IF('INHERENT MAP'!$B$5=2024,IF(#REF!="",C337,#REF!),IF('РЕЕСТР РИСКОВ_2023'!G378="",C337,'РЕЕСТР РИСКОВ_2023'!G378)))))</f>
        <v>#REF!</v>
      </c>
      <c r="D338" t="str">
        <f>IF('INHERENT MAP'!$B$5=2021,IF('РЕЕСТР РИСКОВ_2023'!H378="",D337,'РЕЕСТР РИСКОВ_2023'!H378),IF('INHERENT MAP'!$B$5=2022,IF(#REF!="",D337,#REF!),IF('INHERENT MAP'!$B$5=2023,IF(#REF!="",D337,#REF!),IF('INHERENT MAP'!$B$5=2024,IF(#REF!="",D337,#REF!),IF('РЕЕСТР РИСКОВ_2023'!H378="",D337,'РЕЕСТР РИСКОВ_2023'!H378)))))</f>
        <v>IRR-1</v>
      </c>
      <c r="E338" t="str">
        <f>IF('INHERENT MAP'!$B$5=2021,IF('РЕЕСТР РИСКОВ_2023'!I378="",E337,'РЕЕСТР РИСКОВ_2023'!I378),IF('INHERENT MAP'!$B$5=2022,IF(#REF!="",E337,#REF!),IF('INHERENT MAP'!$B$5=2023,IF(#REF!="",E337,#REF!),IF('INHERENT MAP'!$B$5=2024,IF(#REF!="",E337,#REF!),IF('РЕЕСТР РИСКОВ_2023'!I378="",E337,'РЕЕСТР РИСКОВ_2023'!I378)))))</f>
        <v>ЦЗФ</v>
      </c>
      <c r="F338" t="str">
        <f>IF('INHERENT MAP'!$B$5=2021,IF('РЕЕСТР РИСКОВ_2023'!J378="",F337,'РЕЕСТР РИСКОВ_2023'!J378),IF('INHERENT MAP'!$B$5=2022,IF(#REF!="",F337,#REF!),IF('INHERENT MAP'!$B$5=2023,IF(#REF!="",F337,#REF!),IF('INHERENT MAP'!$B$5=2024,IF(#REF!="",F337,#REF!),IF('РЕЕСТР РИСКОВ_2023'!J378="",F337,'РЕЕСТР РИСКОВ_2023'!J378)))))</f>
        <v>Цзайм</v>
      </c>
      <c r="G338" t="str">
        <f>IF('INHERENT MAP'!$B$5=2021,IF('РЕЕСТР РИСКОВ_2023'!K378="",G337,'РЕЕСТР РИСКОВ_2023'!K378),IF('INHERENT MAP'!$B$5=2022,IF(#REF!="",G337,#REF!),IF('INHERENT MAP'!$B$5=2023,IF(#REF!="",G337,#REF!),IF('INHERENT MAP'!$B$5=2024,IF(#REF!="",G337,#REF!),IF('РЕЕСТР РИСКОВ_2023'!K378="",G337,'РЕЕСТР РИСКОВ_2023'!K378)))))</f>
        <v>Увеличение расходов по процентам на новые займы, а также текущие займы (с плавающей ставкой) в тенге.</v>
      </c>
      <c r="H338">
        <f>IF('INHERENT MAP'!$B$5=2021,'РЕЕСТР РИСКОВ_2023'!L378,IF('INHERENT MAP'!$B$5=2022,#REF!,IF('INHERENT MAP'!$B$5=2023,#REF!,IF('INHERENT MAP'!$B$5=2024,#REF!,#REF!))))</f>
        <v>0</v>
      </c>
      <c r="I338">
        <f>IF('INHERENT MAP'!$B$5=2021,'РЕЕСТР РИСКОВ_2023'!M378,IF('INHERENT MAP'!$B$5=2022,#REF!,IF('INHERENT MAP'!$B$5=2023,#REF!,IF('INHERENT MAP'!$B$5=2024,#REF!,#REF!))))</f>
        <v>0</v>
      </c>
      <c r="J338">
        <f>IF('INHERENT MAP'!$B$5=2021,'РЕЕСТР РИСКОВ_2023'!N378,IF('INHERENT MAP'!$B$5=2022,#REF!,IF('INHERENT MAP'!$B$5=2023,#REF!,IF('INHERENT MAP'!$B$5=2024,#REF!,#REF!))))</f>
        <v>0</v>
      </c>
      <c r="K338">
        <f>IF('INHERENT MAP'!$B$5=2021,'РЕЕСТР РИСКОВ_2023'!O378,IF('INHERENT MAP'!$B$5=2022,#REF!,IF('INHERENT MAP'!$B$5=2023,#REF!,IF('INHERENT MAP'!$B$5=2024,#REF!,#REF!))))</f>
        <v>0</v>
      </c>
      <c r="L338">
        <f>IF('INHERENT MAP'!$B$5=2021,'РЕЕСТР РИСКОВ_2023'!P378,IF('INHERENT MAP'!$B$5=2022,#REF!,IF('INHERENT MAP'!$B$5=2023,#REF!,IF('INHERENT MAP'!$B$5=2024,#REF!,#REF!))))</f>
        <v>0</v>
      </c>
      <c r="M338" t="str">
        <f>IF('INHERENT MAP'!$B$5=2021,IF('РЕЕСТР РИСКОВ_2023'!Q378="",M337,'РЕЕСТР РИСКОВ_2023'!Q378),IF('INHERENT MAP'!$B$5=2022,IF(#REF!="",M337,#REF!),IF('INHERENT MAP'!$B$5=2023,IF(#REF!="",M337,#REF!),IF('INHERENT MAP'!$B$5=2024,IF(#REF!="",M337,#REF!),IF('РЕЕСТР РИСКОВ_2023'!Q378="",M337,'РЕЕСТР РИСКОВ_2023'!Q378)))))</f>
        <v>Увеличение базовой ставки Национального банка Республики Казахстан до 16%</v>
      </c>
      <c r="N338" t="str">
        <f>IF('INHERENT MAP'!$B$5=2021,IF('РЕЕСТР РИСКОВ_2023'!R378="",N337,'РЕЕСТР РИСКОВ_2023'!R378),IF('INHERENT MAP'!$B$5=2022,IF(#REF!="",N337,#REF!),IF('INHERENT MAP'!$B$5=2023,IF(#REF!="",N337,#REF!),IF('INHERENT MAP'!$B$5=2024,IF(#REF!="",N337,#REF!),IF('РЕЕСТР РИСКОВ_2023'!R378="",N337,'РЕЕСТР РИСКОВ_2023'!R378)))))</f>
        <v>Рецессия экономики европейских стран</v>
      </c>
      <c r="O338">
        <f>'РЕЕСТР РИСКОВ_2023'!T378</f>
        <v>0</v>
      </c>
      <c r="P338" t="e">
        <f>IF('РЕЕСТР РИСКОВ_2023'!U378="",P337,'РЕЕСТР РИСКОВ_2023'!U378)</f>
        <v>#REF!</v>
      </c>
      <c r="Q338" t="str">
        <f>IF('РЕЕСТР РИСКОВ_2023'!V378="",Q337,'РЕЕСТР РИСКОВ_2023'!V378)</f>
        <v>Угрозы</v>
      </c>
      <c r="R338" t="e">
        <f>IF('РЕЕСТР РИСКОВ_2023'!W378="",R337,'РЕЕСТР РИСКОВ_2023'!W378)</f>
        <v>#REF!</v>
      </c>
      <c r="S338">
        <f>'РЕЕСТР РИСКОВ_2023'!X378</f>
        <v>0</v>
      </c>
      <c r="T338" s="94">
        <f>IF('INHERENT MAP'!$B$5=2021,'РЕЕСТР РИСКОВ_2023'!Y378,IF('INHERENT MAP'!$B$5=2022,#REF!,IF('INHERENT MAP'!$B$5=2023,#REF!,IF('INHERENT MAP'!$B$5=2024,#REF!,#REF!))))</f>
        <v>0</v>
      </c>
      <c r="U338">
        <f>IF('INHERENT MAP'!$B$5=2021,'РЕЕСТР РИСКОВ_2023'!Z378,IF('INHERENT MAP'!$B$5=2022,#REF!,IF('INHERENT MAP'!$B$5=2023,#REF!,IF('INHERENT MAP'!$B$5=2024,#REF!,#REF!))))</f>
        <v>0</v>
      </c>
      <c r="V338">
        <f>IF('INHERENT MAP'!$B$5=2021,'РЕЕСТР РИСКОВ_2023'!AA378,IF('INHERENT MAP'!$B$5=2022,#REF!,IF('INHERENT MAP'!$B$5=2023,#REF!,IF('INHERENT MAP'!$B$5=2024,#REF!,#REF!))))</f>
        <v>0</v>
      </c>
      <c r="W338">
        <f>IF('INHERENT MAP'!$B$5=2021,'РЕЕСТР РИСКОВ_2023'!AB378,IF('INHERENT MAP'!$B$5=2022,#REF!,IF('INHERENT MAP'!$B$5=2023,#REF!,IF('INHERENT MAP'!$B$5=2024,#REF!,#REF!))))</f>
        <v>0</v>
      </c>
      <c r="X338" s="94">
        <f>IF('INHERENT MAP'!$B$5=2021,'РЕЕСТР РИСКОВ_2023'!AC378,IF('INHERENT MAP'!$B$5=2022,#REF!,IF('INHERENT MAP'!$B$5=2023,#REF!,IF('INHERENT MAP'!$B$5=2024,#REF!,#REF!))))</f>
        <v>0</v>
      </c>
      <c r="Y338">
        <f>IF('INHERENT MAP'!$B$5=2021,'РЕЕСТР РИСКОВ_2023'!AD378,IF('INHERENT MAP'!$B$5=2022,#REF!,IF('INHERENT MAP'!$B$5=2023,#REF!,IF('INHERENT MAP'!$B$5=2024,#REF!,#REF!))))</f>
        <v>0</v>
      </c>
      <c r="Z338">
        <f>IF('INHERENT MAP'!$B$5=2021,'РЕЕСТР РИСКОВ_2023'!AE378,IF('INHERENT MAP'!$B$5=2022,#REF!,IF('INHERENT MAP'!$B$5=2023,#REF!,IF('INHERENT MAP'!$B$5=2024,#REF!,#REF!))))</f>
        <v>0</v>
      </c>
      <c r="AA338">
        <f>IF('INHERENT MAP'!$B$5=2021,'РЕЕСТР РИСКОВ_2023'!AF378,IF('INHERENT MAP'!$B$5=2022,#REF!,IF('INHERENT MAP'!$B$5=2023,#REF!,IF('INHERENT MAP'!$B$5=2024,#REF!,#REF!))))</f>
        <v>0</v>
      </c>
      <c r="AB338">
        <f>IF('INHERENT MAP'!$B$5=2021,'РЕЕСТР РИСКОВ_2023'!AG378,IF('INHERENT MAP'!$B$5=2022,#REF!,IF('INHERENT MAP'!$B$5=2023,#REF!,IF('INHERENT MAP'!$B$5=2024,#REF!,#REF!))))</f>
        <v>0</v>
      </c>
      <c r="AC338">
        <f>IF('INHERENT MAP'!$B$5=2021,'РЕЕСТР РИСКОВ_2023'!AH378,IF('INHERENT MAP'!$B$5=2022,#REF!,IF('INHERENT MAP'!$B$5=2023,#REF!,IF('INHERENT MAP'!$B$5=2024,#REF!,#REF!))))</f>
        <v>0</v>
      </c>
      <c r="AD338">
        <f>IF('INHERENT MAP'!$B$5=2021,'РЕЕСТР РИСКОВ_2023'!AI378,IF('INHERENT MAP'!$B$5=2022,#REF!,IF('INHERENT MAP'!$B$5=2023,#REF!,IF('INHERENT MAP'!$B$5=2024,#REF!,#REF!))))</f>
        <v>0</v>
      </c>
      <c r="AE338">
        <f>IF('INHERENT MAP'!$B$5=2021,'РЕЕСТР РИСКОВ_2023'!AK378,IF('INHERENT MAP'!$B$5=2022,#REF!,IF('INHERENT MAP'!$B$5=2023,#REF!,IF('INHERENT MAP'!$B$5=2024,#REF!,#REF!))))</f>
        <v>0</v>
      </c>
      <c r="AF338">
        <f>IF('INHERENT MAP'!$B$5=2021,'РЕЕСТР РИСКОВ_2023'!AL378,IF('INHERENT MAP'!$B$5=2022,#REF!,IF('INHERENT MAP'!$B$5=2023,#REF!,IF('INHERENT MAP'!$B$5=2024,#REF!,#REF!))))</f>
        <v>0</v>
      </c>
      <c r="AG338">
        <f>IF('INHERENT MAP'!$B$5=2021,'РЕЕСТР РИСКОВ_2023'!AM378,IF('INHERENT MAP'!$B$5=2022,#REF!,IF('INHERENT MAP'!$B$5=2023,#REF!,IF('INHERENT MAP'!$B$5=2024,#REF!,#REF!))))</f>
        <v>0</v>
      </c>
      <c r="AH338">
        <f>IF('INHERENT MAP'!$B$5=2021,'РЕЕСТР РИСКОВ_2023'!AN378,IF('INHERENT MAP'!$B$5=2022,#REF!,IF('INHERENT MAP'!$B$5=2023,#REF!,IF('INHERENT MAP'!$B$5=2024,#REF!,#REF!))))</f>
        <v>0</v>
      </c>
      <c r="AI338">
        <f>IF('INHERENT MAP'!$B$5=2021,'РЕЕСТР РИСКОВ_2023'!AO378,IF('INHERENT MAP'!$B$5=2022,#REF!,IF('INHERENT MAP'!$B$5=2023,#REF!,IF('INHERENT MAP'!$B$5=2024,#REF!,#REF!))))</f>
        <v>0</v>
      </c>
      <c r="AJ338">
        <f>IF('INHERENT MAP'!$B$5=2021,'РЕЕСТР РИСКОВ_2023'!AP378,IF('INHERENT MAP'!$B$5=2022,#REF!,IF('INHERENT MAP'!$B$5=2023,#REF!,IF('INHERENT MAP'!$B$5=2024,#REF!,#REF!))))</f>
        <v>0</v>
      </c>
      <c r="AK338">
        <f>IF('РЕЕСТР РИСКОВ_2023'!AQ378="",AK337,'РЕЕСТР РИСКОВ_2023'!AQ378)</f>
        <v>-216</v>
      </c>
      <c r="AL338">
        <f>IF('РЕЕСТР РИСКОВ_2023'!AR378="",AL337,'РЕЕСТР РИСКОВ_2023'!AR378)</f>
        <v>0.12</v>
      </c>
      <c r="AM338" t="str">
        <f>IF('РЕЕСТР РИСКОВ_2023'!AS378="",AM337,'РЕЕСТР РИСКОВ_2023'!AS378)</f>
        <v>стоп</v>
      </c>
      <c r="AN338" t="str">
        <f>IF('РЕЕСТР РИСКОВ_2023'!AT378="",AN337,'РЕЕСТР РИСКОВ_2023'!AT378)</f>
        <v>стоп</v>
      </c>
      <c r="AO338" t="e">
        <f>IF('РЕЕСТР РИСКОВ_2023'!AU378="",AO337,'РЕЕСТР РИСКОВ_2023'!AU378)</f>
        <v>#REF!</v>
      </c>
    </row>
    <row r="339" spans="2:41">
      <c r="B339" t="str">
        <f>IF('INHERENT MAP'!$B$5=2021,IF('РЕЕСТР РИСКОВ_2023'!F379="",B338,'РЕЕСТР РИСКОВ_2023'!F379),IF('INHERENT MAP'!$B$5=2022,IF(#REF!="",B338,#REF!),IF('INHERENT MAP'!$B$5=2023,IF(#REF!="",B338,#REF!),IF('INHERENT MAP'!$B$5=2024,IF(#REF!="",B338,#REF!),IF('РЕЕСТР РИСКОВ_2023'!F379="",B338,'РЕЕСТР РИСКОВ_2023'!F379)))))</f>
        <v>ПРОЦЕНТНЫЙ РИСК</v>
      </c>
      <c r="C339" t="e">
        <f>IF('INHERENT MAP'!$B$5=2021,IF('РЕЕСТР РИСКОВ_2023'!G379="",C338,'РЕЕСТР РИСКОВ_2023'!G379),IF('INHERENT MAP'!$B$5=2022,IF(#REF!="",C338,#REF!),IF('INHERENT MAP'!$B$5=2023,IF(#REF!="",C338,#REF!),IF('INHERENT MAP'!$B$5=2024,IF(#REF!="",C338,#REF!),IF('РЕЕСТР РИСКОВ_2023'!G379="",C338,'РЕЕСТР РИСКОВ_2023'!G379)))))</f>
        <v>#REF!</v>
      </c>
      <c r="D339" t="str">
        <f>IF('INHERENT MAP'!$B$5=2021,IF('РЕЕСТР РИСКОВ_2023'!H379="",D338,'РЕЕСТР РИСКОВ_2023'!H379),IF('INHERENT MAP'!$B$5=2022,IF(#REF!="",D338,#REF!),IF('INHERENT MAP'!$B$5=2023,IF(#REF!="",D338,#REF!),IF('INHERENT MAP'!$B$5=2024,IF(#REF!="",D338,#REF!),IF('РЕЕСТР РИСКОВ_2023'!H379="",D338,'РЕЕСТР РИСКОВ_2023'!H379)))))</f>
        <v>IRR-1</v>
      </c>
      <c r="E339" t="str">
        <f>IF('INHERENT MAP'!$B$5=2021,IF('РЕЕСТР РИСКОВ_2023'!I379="",E338,'РЕЕСТР РИСКОВ_2023'!I379),IF('INHERENT MAP'!$B$5=2022,IF(#REF!="",E338,#REF!),IF('INHERENT MAP'!$B$5=2023,IF(#REF!="",E338,#REF!),IF('INHERENT MAP'!$B$5=2024,IF(#REF!="",E338,#REF!),IF('РЕЕСТР РИСКОВ_2023'!I379="",E338,'РЕЕСТР РИСКОВ_2023'!I379)))))</f>
        <v>ЦЗФ</v>
      </c>
      <c r="F339" t="str">
        <f>IF('INHERENT MAP'!$B$5=2021,IF('РЕЕСТР РИСКОВ_2023'!J379="",F338,'РЕЕСТР РИСКОВ_2023'!J379),IF('INHERENT MAP'!$B$5=2022,IF(#REF!="",F338,#REF!),IF('INHERENT MAP'!$B$5=2023,IF(#REF!="",F338,#REF!),IF('INHERENT MAP'!$B$5=2024,IF(#REF!="",F338,#REF!),IF('РЕЕСТР РИСКОВ_2023'!J379="",F338,'РЕЕСТР РИСКОВ_2023'!J379)))))</f>
        <v>Цзайм</v>
      </c>
      <c r="G339" t="str">
        <f>IF('INHERENT MAP'!$B$5=2021,IF('РЕЕСТР РИСКОВ_2023'!K379="",G338,'РЕЕСТР РИСКОВ_2023'!K379),IF('INHERENT MAP'!$B$5=2022,IF(#REF!="",G338,#REF!),IF('INHERENT MAP'!$B$5=2023,IF(#REF!="",G338,#REF!),IF('INHERENT MAP'!$B$5=2024,IF(#REF!="",G338,#REF!),IF('РЕЕСТР РИСКОВ_2023'!K379="",G338,'РЕЕСТР РИСКОВ_2023'!K379)))))</f>
        <v>Увеличение расходов по процентам на новые займы, а также текущие займы (с плавающей ставкой) в тенге.</v>
      </c>
      <c r="H339">
        <f>IF('INHERENT MAP'!$B$5=2021,'РЕЕСТР РИСКОВ_2023'!L379,IF('INHERENT MAP'!$B$5=2022,#REF!,IF('INHERENT MAP'!$B$5=2023,#REF!,IF('INHERENT MAP'!$B$5=2024,#REF!,#REF!))))</f>
        <v>0</v>
      </c>
      <c r="I339">
        <f>IF('INHERENT MAP'!$B$5=2021,'РЕЕСТР РИСКОВ_2023'!M379,IF('INHERENT MAP'!$B$5=2022,#REF!,IF('INHERENT MAP'!$B$5=2023,#REF!,IF('INHERENT MAP'!$B$5=2024,#REF!,#REF!))))</f>
        <v>0</v>
      </c>
      <c r="J339">
        <f>IF('INHERENT MAP'!$B$5=2021,'РЕЕСТР РИСКОВ_2023'!N379,IF('INHERENT MAP'!$B$5=2022,#REF!,IF('INHERENT MAP'!$B$5=2023,#REF!,IF('INHERENT MAP'!$B$5=2024,#REF!,#REF!))))</f>
        <v>0</v>
      </c>
      <c r="K339">
        <f>IF('INHERENT MAP'!$B$5=2021,'РЕЕСТР РИСКОВ_2023'!O379,IF('INHERENT MAP'!$B$5=2022,#REF!,IF('INHERENT MAP'!$B$5=2023,#REF!,IF('INHERENT MAP'!$B$5=2024,#REF!,#REF!))))</f>
        <v>0</v>
      </c>
      <c r="L339">
        <f>IF('INHERENT MAP'!$B$5=2021,'РЕЕСТР РИСКОВ_2023'!P379,IF('INHERENT MAP'!$B$5=2022,#REF!,IF('INHERENT MAP'!$B$5=2023,#REF!,IF('INHERENT MAP'!$B$5=2024,#REF!,#REF!))))</f>
        <v>0</v>
      </c>
      <c r="M339" t="str">
        <f>IF('INHERENT MAP'!$B$5=2021,IF('РЕЕСТР РИСКОВ_2023'!Q379="",M338,'РЕЕСТР РИСКОВ_2023'!Q379),IF('INHERENT MAP'!$B$5=2022,IF(#REF!="",M338,#REF!),IF('INHERENT MAP'!$B$5=2023,IF(#REF!="",M338,#REF!),IF('INHERENT MAP'!$B$5=2024,IF(#REF!="",M338,#REF!),IF('РЕЕСТР РИСКОВ_2023'!Q379="",M338,'РЕЕСТР РИСКОВ_2023'!Q379)))))</f>
        <v>Увеличение базовой ставки Национального банка Республики Казахстан до 16%</v>
      </c>
      <c r="N339" t="str">
        <f>IF('INHERENT MAP'!$B$5=2021,IF('РЕЕСТР РИСКОВ_2023'!R379="",N338,'РЕЕСТР РИСКОВ_2023'!R379),IF('INHERENT MAP'!$B$5=2022,IF(#REF!="",N338,#REF!),IF('INHERENT MAP'!$B$5=2023,IF(#REF!="",N338,#REF!),IF('INHERENT MAP'!$B$5=2024,IF(#REF!="",N338,#REF!),IF('РЕЕСТР РИСКОВ_2023'!R379="",N338,'РЕЕСТР РИСКОВ_2023'!R379)))))</f>
        <v>Рецессия экономики европейских стран</v>
      </c>
      <c r="O339">
        <f>'РЕЕСТР РИСКОВ_2023'!T379</f>
        <v>0</v>
      </c>
      <c r="P339" t="e">
        <f>IF('РЕЕСТР РИСКОВ_2023'!U379="",P338,'РЕЕСТР РИСКОВ_2023'!U379)</f>
        <v>#REF!</v>
      </c>
      <c r="Q339" t="str">
        <f>IF('РЕЕСТР РИСКОВ_2023'!V379="",Q338,'РЕЕСТР РИСКОВ_2023'!V379)</f>
        <v>Угрозы</v>
      </c>
      <c r="R339" t="e">
        <f>IF('РЕЕСТР РИСКОВ_2023'!W379="",R338,'РЕЕСТР РИСКОВ_2023'!W379)</f>
        <v>#REF!</v>
      </c>
      <c r="S339">
        <f>'РЕЕСТР РИСКОВ_2023'!X379</f>
        <v>0</v>
      </c>
      <c r="T339" s="94">
        <f>IF('INHERENT MAP'!$B$5=2021,'РЕЕСТР РИСКОВ_2023'!Y379,IF('INHERENT MAP'!$B$5=2022,#REF!,IF('INHERENT MAP'!$B$5=2023,#REF!,IF('INHERENT MAP'!$B$5=2024,#REF!,#REF!))))</f>
        <v>0</v>
      </c>
      <c r="U339">
        <f>IF('INHERENT MAP'!$B$5=2021,'РЕЕСТР РИСКОВ_2023'!Z379,IF('INHERENT MAP'!$B$5=2022,#REF!,IF('INHERENT MAP'!$B$5=2023,#REF!,IF('INHERENT MAP'!$B$5=2024,#REF!,#REF!))))</f>
        <v>0</v>
      </c>
      <c r="V339">
        <f>IF('INHERENT MAP'!$B$5=2021,'РЕЕСТР РИСКОВ_2023'!AA379,IF('INHERENT MAP'!$B$5=2022,#REF!,IF('INHERENT MAP'!$B$5=2023,#REF!,IF('INHERENT MAP'!$B$5=2024,#REF!,#REF!))))</f>
        <v>0</v>
      </c>
      <c r="W339">
        <f>IF('INHERENT MAP'!$B$5=2021,'РЕЕСТР РИСКОВ_2023'!AB379,IF('INHERENT MAP'!$B$5=2022,#REF!,IF('INHERENT MAP'!$B$5=2023,#REF!,IF('INHERENT MAP'!$B$5=2024,#REF!,#REF!))))</f>
        <v>0</v>
      </c>
      <c r="X339" s="94">
        <f>IF('INHERENT MAP'!$B$5=2021,'РЕЕСТР РИСКОВ_2023'!AC379,IF('INHERENT MAP'!$B$5=2022,#REF!,IF('INHERENT MAP'!$B$5=2023,#REF!,IF('INHERENT MAP'!$B$5=2024,#REF!,#REF!))))</f>
        <v>0</v>
      </c>
      <c r="Y339">
        <f>IF('INHERENT MAP'!$B$5=2021,'РЕЕСТР РИСКОВ_2023'!AD379,IF('INHERENT MAP'!$B$5=2022,#REF!,IF('INHERENT MAP'!$B$5=2023,#REF!,IF('INHERENT MAP'!$B$5=2024,#REF!,#REF!))))</f>
        <v>0</v>
      </c>
      <c r="Z339">
        <f>IF('INHERENT MAP'!$B$5=2021,'РЕЕСТР РИСКОВ_2023'!AE379,IF('INHERENT MAP'!$B$5=2022,#REF!,IF('INHERENT MAP'!$B$5=2023,#REF!,IF('INHERENT MAP'!$B$5=2024,#REF!,#REF!))))</f>
        <v>0</v>
      </c>
      <c r="AA339">
        <f>IF('INHERENT MAP'!$B$5=2021,'РЕЕСТР РИСКОВ_2023'!AF379,IF('INHERENT MAP'!$B$5=2022,#REF!,IF('INHERENT MAP'!$B$5=2023,#REF!,IF('INHERENT MAP'!$B$5=2024,#REF!,#REF!))))</f>
        <v>0</v>
      </c>
      <c r="AB339">
        <f>IF('INHERENT MAP'!$B$5=2021,'РЕЕСТР РИСКОВ_2023'!AG379,IF('INHERENT MAP'!$B$5=2022,#REF!,IF('INHERENT MAP'!$B$5=2023,#REF!,IF('INHERENT MAP'!$B$5=2024,#REF!,#REF!))))</f>
        <v>0</v>
      </c>
      <c r="AC339">
        <f>IF('INHERENT MAP'!$B$5=2021,'РЕЕСТР РИСКОВ_2023'!AH379,IF('INHERENT MAP'!$B$5=2022,#REF!,IF('INHERENT MAP'!$B$5=2023,#REF!,IF('INHERENT MAP'!$B$5=2024,#REF!,#REF!))))</f>
        <v>0</v>
      </c>
      <c r="AD339">
        <f>IF('INHERENT MAP'!$B$5=2021,'РЕЕСТР РИСКОВ_2023'!AI379,IF('INHERENT MAP'!$B$5=2022,#REF!,IF('INHERENT MAP'!$B$5=2023,#REF!,IF('INHERENT MAP'!$B$5=2024,#REF!,#REF!))))</f>
        <v>0</v>
      </c>
      <c r="AE339">
        <f>IF('INHERENT MAP'!$B$5=2021,'РЕЕСТР РИСКОВ_2023'!AK379,IF('INHERENT MAP'!$B$5=2022,#REF!,IF('INHERENT MAP'!$B$5=2023,#REF!,IF('INHERENT MAP'!$B$5=2024,#REF!,#REF!))))</f>
        <v>0</v>
      </c>
      <c r="AF339">
        <f>IF('INHERENT MAP'!$B$5=2021,'РЕЕСТР РИСКОВ_2023'!AL379,IF('INHERENT MAP'!$B$5=2022,#REF!,IF('INHERENT MAP'!$B$5=2023,#REF!,IF('INHERENT MAP'!$B$5=2024,#REF!,#REF!))))</f>
        <v>0</v>
      </c>
      <c r="AG339">
        <f>IF('INHERENT MAP'!$B$5=2021,'РЕЕСТР РИСКОВ_2023'!AM379,IF('INHERENT MAP'!$B$5=2022,#REF!,IF('INHERENT MAP'!$B$5=2023,#REF!,IF('INHERENT MAP'!$B$5=2024,#REF!,#REF!))))</f>
        <v>0</v>
      </c>
      <c r="AH339">
        <f>IF('INHERENT MAP'!$B$5=2021,'РЕЕСТР РИСКОВ_2023'!AN379,IF('INHERENT MAP'!$B$5=2022,#REF!,IF('INHERENT MAP'!$B$5=2023,#REF!,IF('INHERENT MAP'!$B$5=2024,#REF!,#REF!))))</f>
        <v>0</v>
      </c>
      <c r="AI339">
        <f>IF('INHERENT MAP'!$B$5=2021,'РЕЕСТР РИСКОВ_2023'!AO379,IF('INHERENT MAP'!$B$5=2022,#REF!,IF('INHERENT MAP'!$B$5=2023,#REF!,IF('INHERENT MAP'!$B$5=2024,#REF!,#REF!))))</f>
        <v>0</v>
      </c>
      <c r="AJ339">
        <f>IF('INHERENT MAP'!$B$5=2021,'РЕЕСТР РИСКОВ_2023'!AP379,IF('INHERENT MAP'!$B$5=2022,#REF!,IF('INHERENT MAP'!$B$5=2023,#REF!,IF('INHERENT MAP'!$B$5=2024,#REF!,#REF!))))</f>
        <v>0</v>
      </c>
      <c r="AK339">
        <f>IF('РЕЕСТР РИСКОВ_2023'!AQ379="",AK338,'РЕЕСТР РИСКОВ_2023'!AQ379)</f>
        <v>-216</v>
      </c>
      <c r="AL339">
        <f>IF('РЕЕСТР РИСКОВ_2023'!AR379="",AL338,'РЕЕСТР РИСКОВ_2023'!AR379)</f>
        <v>0.12</v>
      </c>
      <c r="AM339" t="str">
        <f>IF('РЕЕСТР РИСКОВ_2023'!AS379="",AM338,'РЕЕСТР РИСКОВ_2023'!AS379)</f>
        <v>стоп</v>
      </c>
      <c r="AN339" t="str">
        <f>IF('РЕЕСТР РИСКОВ_2023'!AT379="",AN338,'РЕЕСТР РИСКОВ_2023'!AT379)</f>
        <v>стоп</v>
      </c>
      <c r="AO339" t="e">
        <f>IF('РЕЕСТР РИСКОВ_2023'!AU379="",AO338,'РЕЕСТР РИСКОВ_2023'!AU379)</f>
        <v>#REF!</v>
      </c>
    </row>
    <row r="340" spans="2:41">
      <c r="B340" t="str">
        <f>IF('INHERENT MAP'!$B$5=2021,IF('РЕЕСТР РИСКОВ_2023'!F380="",B339,'РЕЕСТР РИСКОВ_2023'!F380),IF('INHERENT MAP'!$B$5=2022,IF(#REF!="",B339,#REF!),IF('INHERENT MAP'!$B$5=2023,IF(#REF!="",B339,#REF!),IF('INHERENT MAP'!$B$5=2024,IF(#REF!="",B339,#REF!),IF('РЕЕСТР РИСКОВ_2023'!F380="",B339,'РЕЕСТР РИСКОВ_2023'!F380)))))</f>
        <v>ПРОЦЕНТНЫЙ РИСК</v>
      </c>
      <c r="C340" t="e">
        <f>IF('INHERENT MAP'!$B$5=2021,IF('РЕЕСТР РИСКОВ_2023'!G380="",C339,'РЕЕСТР РИСКОВ_2023'!G380),IF('INHERENT MAP'!$B$5=2022,IF(#REF!="",C339,#REF!),IF('INHERENT MAP'!$B$5=2023,IF(#REF!="",C339,#REF!),IF('INHERENT MAP'!$B$5=2024,IF(#REF!="",C339,#REF!),IF('РЕЕСТР РИСКОВ_2023'!G380="",C339,'РЕЕСТР РИСКОВ_2023'!G380)))))</f>
        <v>#REF!</v>
      </c>
      <c r="D340" t="str">
        <f>IF('INHERENT MAP'!$B$5=2021,IF('РЕЕСТР РИСКОВ_2023'!H380="",D339,'РЕЕСТР РИСКОВ_2023'!H380),IF('INHERENT MAP'!$B$5=2022,IF(#REF!="",D339,#REF!),IF('INHERENT MAP'!$B$5=2023,IF(#REF!="",D339,#REF!),IF('INHERENT MAP'!$B$5=2024,IF(#REF!="",D339,#REF!),IF('РЕЕСТР РИСКОВ_2023'!H380="",D339,'РЕЕСТР РИСКОВ_2023'!H380)))))</f>
        <v>IRR-1</v>
      </c>
      <c r="E340" t="str">
        <f>IF('INHERENT MAP'!$B$5=2021,IF('РЕЕСТР РИСКОВ_2023'!I380="",E339,'РЕЕСТР РИСКОВ_2023'!I380),IF('INHERENT MAP'!$B$5=2022,IF(#REF!="",E339,#REF!),IF('INHERENT MAP'!$B$5=2023,IF(#REF!="",E339,#REF!),IF('INHERENT MAP'!$B$5=2024,IF(#REF!="",E339,#REF!),IF('РЕЕСТР РИСКОВ_2023'!I380="",E339,'РЕЕСТР РИСКОВ_2023'!I380)))))</f>
        <v>ЦЗФ</v>
      </c>
      <c r="F340" t="str">
        <f>IF('INHERENT MAP'!$B$5=2021,IF('РЕЕСТР РИСКОВ_2023'!J380="",F339,'РЕЕСТР РИСКОВ_2023'!J380),IF('INHERENT MAP'!$B$5=2022,IF(#REF!="",F339,#REF!),IF('INHERENT MAP'!$B$5=2023,IF(#REF!="",F339,#REF!),IF('INHERENT MAP'!$B$5=2024,IF(#REF!="",F339,#REF!),IF('РЕЕСТР РИСКОВ_2023'!J380="",F339,'РЕЕСТР РИСКОВ_2023'!J380)))))</f>
        <v>Цзайм</v>
      </c>
      <c r="G340" t="str">
        <f>IF('INHERENT MAP'!$B$5=2021,IF('РЕЕСТР РИСКОВ_2023'!K380="",G339,'РЕЕСТР РИСКОВ_2023'!K380),IF('INHERENT MAP'!$B$5=2022,IF(#REF!="",G339,#REF!),IF('INHERENT MAP'!$B$5=2023,IF(#REF!="",G339,#REF!),IF('INHERENT MAP'!$B$5=2024,IF(#REF!="",G339,#REF!),IF('РЕЕСТР РИСКОВ_2023'!K380="",G339,'РЕЕСТР РИСКОВ_2023'!K380)))))</f>
        <v>Увеличение расходов по процентам на новые займы, а также текущие займы (с плавающей ставкой) в тенге.</v>
      </c>
      <c r="H340">
        <f>IF('INHERENT MAP'!$B$5=2021,'РЕЕСТР РИСКОВ_2023'!L380,IF('INHERENT MAP'!$B$5=2022,#REF!,IF('INHERENT MAP'!$B$5=2023,#REF!,IF('INHERENT MAP'!$B$5=2024,#REF!,#REF!))))</f>
        <v>0</v>
      </c>
      <c r="I340">
        <f>IF('INHERENT MAP'!$B$5=2021,'РЕЕСТР РИСКОВ_2023'!M380,IF('INHERENT MAP'!$B$5=2022,#REF!,IF('INHERENT MAP'!$B$5=2023,#REF!,IF('INHERENT MAP'!$B$5=2024,#REF!,#REF!))))</f>
        <v>0</v>
      </c>
      <c r="J340">
        <f>IF('INHERENT MAP'!$B$5=2021,'РЕЕСТР РИСКОВ_2023'!N380,IF('INHERENT MAP'!$B$5=2022,#REF!,IF('INHERENT MAP'!$B$5=2023,#REF!,IF('INHERENT MAP'!$B$5=2024,#REF!,#REF!))))</f>
        <v>0</v>
      </c>
      <c r="K340">
        <f>IF('INHERENT MAP'!$B$5=2021,'РЕЕСТР РИСКОВ_2023'!O380,IF('INHERENT MAP'!$B$5=2022,#REF!,IF('INHERENT MAP'!$B$5=2023,#REF!,IF('INHERENT MAP'!$B$5=2024,#REF!,#REF!))))</f>
        <v>0</v>
      </c>
      <c r="L340">
        <f>IF('INHERENT MAP'!$B$5=2021,'РЕЕСТР РИСКОВ_2023'!P380,IF('INHERENT MAP'!$B$5=2022,#REF!,IF('INHERENT MAP'!$B$5=2023,#REF!,IF('INHERENT MAP'!$B$5=2024,#REF!,#REF!))))</f>
        <v>0</v>
      </c>
      <c r="M340" t="str">
        <f>IF('INHERENT MAP'!$B$5=2021,IF('РЕЕСТР РИСКОВ_2023'!Q380="",M339,'РЕЕСТР РИСКОВ_2023'!Q380),IF('INHERENT MAP'!$B$5=2022,IF(#REF!="",M339,#REF!),IF('INHERENT MAP'!$B$5=2023,IF(#REF!="",M339,#REF!),IF('INHERENT MAP'!$B$5=2024,IF(#REF!="",M339,#REF!),IF('РЕЕСТР РИСКОВ_2023'!Q380="",M339,'РЕЕСТР РИСКОВ_2023'!Q380)))))</f>
        <v>Увеличение базовой ставки Национального банка Республики Казахстан до 16%</v>
      </c>
      <c r="N340" t="str">
        <f>IF('INHERENT MAP'!$B$5=2021,IF('РЕЕСТР РИСКОВ_2023'!R380="",N339,'РЕЕСТР РИСКОВ_2023'!R380),IF('INHERENT MAP'!$B$5=2022,IF(#REF!="",N339,#REF!),IF('INHERENT MAP'!$B$5=2023,IF(#REF!="",N339,#REF!),IF('INHERENT MAP'!$B$5=2024,IF(#REF!="",N339,#REF!),IF('РЕЕСТР РИСКОВ_2023'!R380="",N339,'РЕЕСТР РИСКОВ_2023'!R380)))))</f>
        <v>Рецессия экономики европейских стран</v>
      </c>
      <c r="O340">
        <f>'РЕЕСТР РИСКОВ_2023'!T380</f>
        <v>0</v>
      </c>
      <c r="P340" t="e">
        <f>IF('РЕЕСТР РИСКОВ_2023'!U380="",P339,'РЕЕСТР РИСКОВ_2023'!U380)</f>
        <v>#REF!</v>
      </c>
      <c r="Q340" t="str">
        <f>IF('РЕЕСТР РИСКОВ_2023'!V380="",Q339,'РЕЕСТР РИСКОВ_2023'!V380)</f>
        <v>Угрозы</v>
      </c>
      <c r="R340" t="e">
        <f>IF('РЕЕСТР РИСКОВ_2023'!W380="",R339,'РЕЕСТР РИСКОВ_2023'!W380)</f>
        <v>#REF!</v>
      </c>
      <c r="S340">
        <f>'РЕЕСТР РИСКОВ_2023'!X380</f>
        <v>0</v>
      </c>
      <c r="T340" s="94">
        <f>IF('INHERENT MAP'!$B$5=2021,'РЕЕСТР РИСКОВ_2023'!Y380,IF('INHERENT MAP'!$B$5=2022,#REF!,IF('INHERENT MAP'!$B$5=2023,#REF!,IF('INHERENT MAP'!$B$5=2024,#REF!,#REF!))))</f>
        <v>0</v>
      </c>
      <c r="U340">
        <f>IF('INHERENT MAP'!$B$5=2021,'РЕЕСТР РИСКОВ_2023'!Z380,IF('INHERENT MAP'!$B$5=2022,#REF!,IF('INHERENT MAP'!$B$5=2023,#REF!,IF('INHERENT MAP'!$B$5=2024,#REF!,#REF!))))</f>
        <v>0</v>
      </c>
      <c r="V340">
        <f>IF('INHERENT MAP'!$B$5=2021,'РЕЕСТР РИСКОВ_2023'!AA380,IF('INHERENT MAP'!$B$5=2022,#REF!,IF('INHERENT MAP'!$B$5=2023,#REF!,IF('INHERENT MAP'!$B$5=2024,#REF!,#REF!))))</f>
        <v>0</v>
      </c>
      <c r="W340">
        <f>IF('INHERENT MAP'!$B$5=2021,'РЕЕСТР РИСКОВ_2023'!AB380,IF('INHERENT MAP'!$B$5=2022,#REF!,IF('INHERENT MAP'!$B$5=2023,#REF!,IF('INHERENT MAP'!$B$5=2024,#REF!,#REF!))))</f>
        <v>0</v>
      </c>
      <c r="X340" s="94">
        <f>IF('INHERENT MAP'!$B$5=2021,'РЕЕСТР РИСКОВ_2023'!AC380,IF('INHERENT MAP'!$B$5=2022,#REF!,IF('INHERENT MAP'!$B$5=2023,#REF!,IF('INHERENT MAP'!$B$5=2024,#REF!,#REF!))))</f>
        <v>0</v>
      </c>
      <c r="Y340">
        <f>IF('INHERENT MAP'!$B$5=2021,'РЕЕСТР РИСКОВ_2023'!AD380,IF('INHERENT MAP'!$B$5=2022,#REF!,IF('INHERENT MAP'!$B$5=2023,#REF!,IF('INHERENT MAP'!$B$5=2024,#REF!,#REF!))))</f>
        <v>0</v>
      </c>
      <c r="Z340">
        <f>IF('INHERENT MAP'!$B$5=2021,'РЕЕСТР РИСКОВ_2023'!AE380,IF('INHERENT MAP'!$B$5=2022,#REF!,IF('INHERENT MAP'!$B$5=2023,#REF!,IF('INHERENT MAP'!$B$5=2024,#REF!,#REF!))))</f>
        <v>0</v>
      </c>
      <c r="AA340">
        <f>IF('INHERENT MAP'!$B$5=2021,'РЕЕСТР РИСКОВ_2023'!AF380,IF('INHERENT MAP'!$B$5=2022,#REF!,IF('INHERENT MAP'!$B$5=2023,#REF!,IF('INHERENT MAP'!$B$5=2024,#REF!,#REF!))))</f>
        <v>0</v>
      </c>
      <c r="AB340">
        <f>IF('INHERENT MAP'!$B$5=2021,'РЕЕСТР РИСКОВ_2023'!AG380,IF('INHERENT MAP'!$B$5=2022,#REF!,IF('INHERENT MAP'!$B$5=2023,#REF!,IF('INHERENT MAP'!$B$5=2024,#REF!,#REF!))))</f>
        <v>0</v>
      </c>
      <c r="AC340">
        <f>IF('INHERENT MAP'!$B$5=2021,'РЕЕСТР РИСКОВ_2023'!AH380,IF('INHERENT MAP'!$B$5=2022,#REF!,IF('INHERENT MAP'!$B$5=2023,#REF!,IF('INHERENT MAP'!$B$5=2024,#REF!,#REF!))))</f>
        <v>0</v>
      </c>
      <c r="AD340">
        <f>IF('INHERENT MAP'!$B$5=2021,'РЕЕСТР РИСКОВ_2023'!AI380,IF('INHERENT MAP'!$B$5=2022,#REF!,IF('INHERENT MAP'!$B$5=2023,#REF!,IF('INHERENT MAP'!$B$5=2024,#REF!,#REF!))))</f>
        <v>0</v>
      </c>
      <c r="AE340">
        <f>IF('INHERENT MAP'!$B$5=2021,'РЕЕСТР РИСКОВ_2023'!AK380,IF('INHERENT MAP'!$B$5=2022,#REF!,IF('INHERENT MAP'!$B$5=2023,#REF!,IF('INHERENT MAP'!$B$5=2024,#REF!,#REF!))))</f>
        <v>0</v>
      </c>
      <c r="AF340">
        <f>IF('INHERENT MAP'!$B$5=2021,'РЕЕСТР РИСКОВ_2023'!AL380,IF('INHERENT MAP'!$B$5=2022,#REF!,IF('INHERENT MAP'!$B$5=2023,#REF!,IF('INHERENT MAP'!$B$5=2024,#REF!,#REF!))))</f>
        <v>0</v>
      </c>
      <c r="AG340">
        <f>IF('INHERENT MAP'!$B$5=2021,'РЕЕСТР РИСКОВ_2023'!AM380,IF('INHERENT MAP'!$B$5=2022,#REF!,IF('INHERENT MAP'!$B$5=2023,#REF!,IF('INHERENT MAP'!$B$5=2024,#REF!,#REF!))))</f>
        <v>0</v>
      </c>
      <c r="AH340">
        <f>IF('INHERENT MAP'!$B$5=2021,'РЕЕСТР РИСКОВ_2023'!AN380,IF('INHERENT MAP'!$B$5=2022,#REF!,IF('INHERENT MAP'!$B$5=2023,#REF!,IF('INHERENT MAP'!$B$5=2024,#REF!,#REF!))))</f>
        <v>0</v>
      </c>
      <c r="AI340">
        <f>IF('INHERENT MAP'!$B$5=2021,'РЕЕСТР РИСКОВ_2023'!AO380,IF('INHERENT MAP'!$B$5=2022,#REF!,IF('INHERENT MAP'!$B$5=2023,#REF!,IF('INHERENT MAP'!$B$5=2024,#REF!,#REF!))))</f>
        <v>0</v>
      </c>
      <c r="AJ340">
        <f>IF('INHERENT MAP'!$B$5=2021,'РЕЕСТР РИСКОВ_2023'!AP380,IF('INHERENT MAP'!$B$5=2022,#REF!,IF('INHERENT MAP'!$B$5=2023,#REF!,IF('INHERENT MAP'!$B$5=2024,#REF!,#REF!))))</f>
        <v>0</v>
      </c>
      <c r="AK340">
        <f>IF('РЕЕСТР РИСКОВ_2023'!AQ380="",AK339,'РЕЕСТР РИСКОВ_2023'!AQ380)</f>
        <v>-216</v>
      </c>
      <c r="AL340">
        <f>IF('РЕЕСТР РИСКОВ_2023'!AR380="",AL339,'РЕЕСТР РИСКОВ_2023'!AR380)</f>
        <v>0.12</v>
      </c>
      <c r="AM340" t="str">
        <f>IF('РЕЕСТР РИСКОВ_2023'!AS380="",AM339,'РЕЕСТР РИСКОВ_2023'!AS380)</f>
        <v>стоп</v>
      </c>
      <c r="AN340" t="str">
        <f>IF('РЕЕСТР РИСКОВ_2023'!AT380="",AN339,'РЕЕСТР РИСКОВ_2023'!AT380)</f>
        <v>стоп</v>
      </c>
      <c r="AO340" t="e">
        <f>IF('РЕЕСТР РИСКОВ_2023'!AU380="",AO339,'РЕЕСТР РИСКОВ_2023'!AU380)</f>
        <v>#REF!</v>
      </c>
    </row>
    <row r="341" spans="2:41">
      <c r="B341" t="str">
        <f>IF('INHERENT MAP'!$B$5=2021,IF('РЕЕСТР РИСКОВ_2023'!F381="",B340,'РЕЕСТР РИСКОВ_2023'!F381),IF('INHERENT MAP'!$B$5=2022,IF(#REF!="",B340,#REF!),IF('INHERENT MAP'!$B$5=2023,IF(#REF!="",B340,#REF!),IF('INHERENT MAP'!$B$5=2024,IF(#REF!="",B340,#REF!),IF('РЕЕСТР РИСКОВ_2023'!F381="",B340,'РЕЕСТР РИСКОВ_2023'!F381)))))</f>
        <v>ПРОЦЕНТНЫЙ РИСК</v>
      </c>
      <c r="C341" t="e">
        <f>IF('INHERENT MAP'!$B$5=2021,IF('РЕЕСТР РИСКОВ_2023'!G381="",C340,'РЕЕСТР РИСКОВ_2023'!G381),IF('INHERENT MAP'!$B$5=2022,IF(#REF!="",C340,#REF!),IF('INHERENT MAP'!$B$5=2023,IF(#REF!="",C340,#REF!),IF('INHERENT MAP'!$B$5=2024,IF(#REF!="",C340,#REF!),IF('РЕЕСТР РИСКОВ_2023'!G381="",C340,'РЕЕСТР РИСКОВ_2023'!G381)))))</f>
        <v>#REF!</v>
      </c>
      <c r="D341" t="str">
        <f>IF('INHERENT MAP'!$B$5=2021,IF('РЕЕСТР РИСКОВ_2023'!H381="",D340,'РЕЕСТР РИСКОВ_2023'!H381),IF('INHERENT MAP'!$B$5=2022,IF(#REF!="",D340,#REF!),IF('INHERENT MAP'!$B$5=2023,IF(#REF!="",D340,#REF!),IF('INHERENT MAP'!$B$5=2024,IF(#REF!="",D340,#REF!),IF('РЕЕСТР РИСКОВ_2023'!H381="",D340,'РЕЕСТР РИСКОВ_2023'!H381)))))</f>
        <v>IRR-1</v>
      </c>
      <c r="E341" t="str">
        <f>IF('INHERENT MAP'!$B$5=2021,IF('РЕЕСТР РИСКОВ_2023'!I381="",E340,'РЕЕСТР РИСКОВ_2023'!I381),IF('INHERENT MAP'!$B$5=2022,IF(#REF!="",E340,#REF!),IF('INHERENT MAP'!$B$5=2023,IF(#REF!="",E340,#REF!),IF('INHERENT MAP'!$B$5=2024,IF(#REF!="",E340,#REF!),IF('РЕЕСТР РИСКОВ_2023'!I381="",E340,'РЕЕСТР РИСКОВ_2023'!I381)))))</f>
        <v>ЦЗФ</v>
      </c>
      <c r="F341" t="str">
        <f>IF('INHERENT MAP'!$B$5=2021,IF('РЕЕСТР РИСКОВ_2023'!J381="",F340,'РЕЕСТР РИСКОВ_2023'!J381),IF('INHERENT MAP'!$B$5=2022,IF(#REF!="",F340,#REF!),IF('INHERENT MAP'!$B$5=2023,IF(#REF!="",F340,#REF!),IF('INHERENT MAP'!$B$5=2024,IF(#REF!="",F340,#REF!),IF('РЕЕСТР РИСКОВ_2023'!J381="",F340,'РЕЕСТР РИСКОВ_2023'!J381)))))</f>
        <v>Цзайм</v>
      </c>
      <c r="G341" t="str">
        <f>IF('INHERENT MAP'!$B$5=2021,IF('РЕЕСТР РИСКОВ_2023'!K381="",G340,'РЕЕСТР РИСКОВ_2023'!K381),IF('INHERENT MAP'!$B$5=2022,IF(#REF!="",G340,#REF!),IF('INHERENT MAP'!$B$5=2023,IF(#REF!="",G340,#REF!),IF('INHERENT MAP'!$B$5=2024,IF(#REF!="",G340,#REF!),IF('РЕЕСТР РИСКОВ_2023'!K381="",G340,'РЕЕСТР РИСКОВ_2023'!K381)))))</f>
        <v>Увеличение расходов по процентам на новые займы, а также текущие займы (с плавающей ставкой) в тенге.</v>
      </c>
      <c r="H341">
        <f>IF('INHERENT MAP'!$B$5=2021,'РЕЕСТР РИСКОВ_2023'!L381,IF('INHERENT MAP'!$B$5=2022,#REF!,IF('INHERENT MAP'!$B$5=2023,#REF!,IF('INHERENT MAP'!$B$5=2024,#REF!,#REF!))))</f>
        <v>0</v>
      </c>
      <c r="I341">
        <f>IF('INHERENT MAP'!$B$5=2021,'РЕЕСТР РИСКОВ_2023'!M381,IF('INHERENT MAP'!$B$5=2022,#REF!,IF('INHERENT MAP'!$B$5=2023,#REF!,IF('INHERENT MAP'!$B$5=2024,#REF!,#REF!))))</f>
        <v>0</v>
      </c>
      <c r="J341">
        <f>IF('INHERENT MAP'!$B$5=2021,'РЕЕСТР РИСКОВ_2023'!N381,IF('INHERENT MAP'!$B$5=2022,#REF!,IF('INHERENT MAP'!$B$5=2023,#REF!,IF('INHERENT MAP'!$B$5=2024,#REF!,#REF!))))</f>
        <v>0</v>
      </c>
      <c r="K341">
        <f>IF('INHERENT MAP'!$B$5=2021,'РЕЕСТР РИСКОВ_2023'!O381,IF('INHERENT MAP'!$B$5=2022,#REF!,IF('INHERENT MAP'!$B$5=2023,#REF!,IF('INHERENT MAP'!$B$5=2024,#REF!,#REF!))))</f>
        <v>0</v>
      </c>
      <c r="L341">
        <f>IF('INHERENT MAP'!$B$5=2021,'РЕЕСТР РИСКОВ_2023'!P381,IF('INHERENT MAP'!$B$5=2022,#REF!,IF('INHERENT MAP'!$B$5=2023,#REF!,IF('INHERENT MAP'!$B$5=2024,#REF!,#REF!))))</f>
        <v>0</v>
      </c>
      <c r="M341" t="str">
        <f>IF('INHERENT MAP'!$B$5=2021,IF('РЕЕСТР РИСКОВ_2023'!Q381="",M340,'РЕЕСТР РИСКОВ_2023'!Q381),IF('INHERENT MAP'!$B$5=2022,IF(#REF!="",M340,#REF!),IF('INHERENT MAP'!$B$5=2023,IF(#REF!="",M340,#REF!),IF('INHERENT MAP'!$B$5=2024,IF(#REF!="",M340,#REF!),IF('РЕЕСТР РИСКОВ_2023'!Q381="",M340,'РЕЕСТР РИСКОВ_2023'!Q381)))))</f>
        <v>Увеличение базовой ставки Национального банка Республики Казахстан до 16%</v>
      </c>
      <c r="N341" t="str">
        <f>IF('INHERENT MAP'!$B$5=2021,IF('РЕЕСТР РИСКОВ_2023'!R381="",N340,'РЕЕСТР РИСКОВ_2023'!R381),IF('INHERENT MAP'!$B$5=2022,IF(#REF!="",N340,#REF!),IF('INHERENT MAP'!$B$5=2023,IF(#REF!="",N340,#REF!),IF('INHERENT MAP'!$B$5=2024,IF(#REF!="",N340,#REF!),IF('РЕЕСТР РИСКОВ_2023'!R381="",N340,'РЕЕСТР РИСКОВ_2023'!R381)))))</f>
        <v>Рецессия экономики европейских стран</v>
      </c>
      <c r="O341">
        <f>'РЕЕСТР РИСКОВ_2023'!T381</f>
        <v>0</v>
      </c>
      <c r="P341" t="e">
        <f>IF('РЕЕСТР РИСКОВ_2023'!U381="",P340,'РЕЕСТР РИСКОВ_2023'!U381)</f>
        <v>#REF!</v>
      </c>
      <c r="Q341" t="str">
        <f>IF('РЕЕСТР РИСКОВ_2023'!V381="",Q340,'РЕЕСТР РИСКОВ_2023'!V381)</f>
        <v>Угрозы</v>
      </c>
      <c r="R341" t="e">
        <f>IF('РЕЕСТР РИСКОВ_2023'!W381="",R340,'РЕЕСТР РИСКОВ_2023'!W381)</f>
        <v>#REF!</v>
      </c>
      <c r="S341">
        <f>'РЕЕСТР РИСКОВ_2023'!X381</f>
        <v>0</v>
      </c>
      <c r="T341" s="94">
        <f>IF('INHERENT MAP'!$B$5=2021,'РЕЕСТР РИСКОВ_2023'!Y381,IF('INHERENT MAP'!$B$5=2022,#REF!,IF('INHERENT MAP'!$B$5=2023,#REF!,IF('INHERENT MAP'!$B$5=2024,#REF!,#REF!))))</f>
        <v>0</v>
      </c>
      <c r="U341">
        <f>IF('INHERENT MAP'!$B$5=2021,'РЕЕСТР РИСКОВ_2023'!Z381,IF('INHERENT MAP'!$B$5=2022,#REF!,IF('INHERENT MAP'!$B$5=2023,#REF!,IF('INHERENT MAP'!$B$5=2024,#REF!,#REF!))))</f>
        <v>0</v>
      </c>
      <c r="V341">
        <f>IF('INHERENT MAP'!$B$5=2021,'РЕЕСТР РИСКОВ_2023'!AA381,IF('INHERENT MAP'!$B$5=2022,#REF!,IF('INHERENT MAP'!$B$5=2023,#REF!,IF('INHERENT MAP'!$B$5=2024,#REF!,#REF!))))</f>
        <v>0</v>
      </c>
      <c r="W341">
        <f>IF('INHERENT MAP'!$B$5=2021,'РЕЕСТР РИСКОВ_2023'!AB381,IF('INHERENT MAP'!$B$5=2022,#REF!,IF('INHERENT MAP'!$B$5=2023,#REF!,IF('INHERENT MAP'!$B$5=2024,#REF!,#REF!))))</f>
        <v>0</v>
      </c>
      <c r="X341" s="94">
        <f>IF('INHERENT MAP'!$B$5=2021,'РЕЕСТР РИСКОВ_2023'!AC381,IF('INHERENT MAP'!$B$5=2022,#REF!,IF('INHERENT MAP'!$B$5=2023,#REF!,IF('INHERENT MAP'!$B$5=2024,#REF!,#REF!))))</f>
        <v>0</v>
      </c>
      <c r="Y341">
        <f>IF('INHERENT MAP'!$B$5=2021,'РЕЕСТР РИСКОВ_2023'!AD381,IF('INHERENT MAP'!$B$5=2022,#REF!,IF('INHERENT MAP'!$B$5=2023,#REF!,IF('INHERENT MAP'!$B$5=2024,#REF!,#REF!))))</f>
        <v>0</v>
      </c>
      <c r="Z341">
        <f>IF('INHERENT MAP'!$B$5=2021,'РЕЕСТР РИСКОВ_2023'!AE381,IF('INHERENT MAP'!$B$5=2022,#REF!,IF('INHERENT MAP'!$B$5=2023,#REF!,IF('INHERENT MAP'!$B$5=2024,#REF!,#REF!))))</f>
        <v>0</v>
      </c>
      <c r="AA341">
        <f>IF('INHERENT MAP'!$B$5=2021,'РЕЕСТР РИСКОВ_2023'!AF381,IF('INHERENT MAP'!$B$5=2022,#REF!,IF('INHERENT MAP'!$B$5=2023,#REF!,IF('INHERENT MAP'!$B$5=2024,#REF!,#REF!))))</f>
        <v>0</v>
      </c>
      <c r="AB341">
        <f>IF('INHERENT MAP'!$B$5=2021,'РЕЕСТР РИСКОВ_2023'!AG381,IF('INHERENT MAP'!$B$5=2022,#REF!,IF('INHERENT MAP'!$B$5=2023,#REF!,IF('INHERENT MAP'!$B$5=2024,#REF!,#REF!))))</f>
        <v>0</v>
      </c>
      <c r="AC341">
        <f>IF('INHERENT MAP'!$B$5=2021,'РЕЕСТР РИСКОВ_2023'!AH381,IF('INHERENT MAP'!$B$5=2022,#REF!,IF('INHERENT MAP'!$B$5=2023,#REF!,IF('INHERENT MAP'!$B$5=2024,#REF!,#REF!))))</f>
        <v>0</v>
      </c>
      <c r="AD341">
        <f>IF('INHERENT MAP'!$B$5=2021,'РЕЕСТР РИСКОВ_2023'!AI381,IF('INHERENT MAP'!$B$5=2022,#REF!,IF('INHERENT MAP'!$B$5=2023,#REF!,IF('INHERENT MAP'!$B$5=2024,#REF!,#REF!))))</f>
        <v>0</v>
      </c>
      <c r="AE341">
        <f>IF('INHERENT MAP'!$B$5=2021,'РЕЕСТР РИСКОВ_2023'!AK381,IF('INHERENT MAP'!$B$5=2022,#REF!,IF('INHERENT MAP'!$B$5=2023,#REF!,IF('INHERENT MAP'!$B$5=2024,#REF!,#REF!))))</f>
        <v>0</v>
      </c>
      <c r="AF341">
        <f>IF('INHERENT MAP'!$B$5=2021,'РЕЕСТР РИСКОВ_2023'!AL381,IF('INHERENT MAP'!$B$5=2022,#REF!,IF('INHERENT MAP'!$B$5=2023,#REF!,IF('INHERENT MAP'!$B$5=2024,#REF!,#REF!))))</f>
        <v>0</v>
      </c>
      <c r="AG341">
        <f>IF('INHERENT MAP'!$B$5=2021,'РЕЕСТР РИСКОВ_2023'!AM381,IF('INHERENT MAP'!$B$5=2022,#REF!,IF('INHERENT MAP'!$B$5=2023,#REF!,IF('INHERENT MAP'!$B$5=2024,#REF!,#REF!))))</f>
        <v>0</v>
      </c>
      <c r="AH341">
        <f>IF('INHERENT MAP'!$B$5=2021,'РЕЕСТР РИСКОВ_2023'!AN381,IF('INHERENT MAP'!$B$5=2022,#REF!,IF('INHERENT MAP'!$B$5=2023,#REF!,IF('INHERENT MAP'!$B$5=2024,#REF!,#REF!))))</f>
        <v>0</v>
      </c>
      <c r="AI341">
        <f>IF('INHERENT MAP'!$B$5=2021,'РЕЕСТР РИСКОВ_2023'!AO381,IF('INHERENT MAP'!$B$5=2022,#REF!,IF('INHERENT MAP'!$B$5=2023,#REF!,IF('INHERENT MAP'!$B$5=2024,#REF!,#REF!))))</f>
        <v>0</v>
      </c>
      <c r="AJ341">
        <f>IF('INHERENT MAP'!$B$5=2021,'РЕЕСТР РИСКОВ_2023'!AP381,IF('INHERENT MAP'!$B$5=2022,#REF!,IF('INHERENT MAP'!$B$5=2023,#REF!,IF('INHERENT MAP'!$B$5=2024,#REF!,#REF!))))</f>
        <v>0</v>
      </c>
      <c r="AK341">
        <f>IF('РЕЕСТР РИСКОВ_2023'!AQ381="",AK340,'РЕЕСТР РИСКОВ_2023'!AQ381)</f>
        <v>-216</v>
      </c>
      <c r="AL341">
        <f>IF('РЕЕСТР РИСКОВ_2023'!AR381="",AL340,'РЕЕСТР РИСКОВ_2023'!AR381)</f>
        <v>0.12</v>
      </c>
      <c r="AM341" t="str">
        <f>IF('РЕЕСТР РИСКОВ_2023'!AS381="",AM340,'РЕЕСТР РИСКОВ_2023'!AS381)</f>
        <v>стоп</v>
      </c>
      <c r="AN341" t="str">
        <f>IF('РЕЕСТР РИСКОВ_2023'!AT381="",AN340,'РЕЕСТР РИСКОВ_2023'!AT381)</f>
        <v>стоп</v>
      </c>
      <c r="AO341" t="e">
        <f>IF('РЕЕСТР РИСКОВ_2023'!AU381="",AO340,'РЕЕСТР РИСКОВ_2023'!AU381)</f>
        <v>#REF!</v>
      </c>
    </row>
    <row r="342" spans="2:41">
      <c r="B342" t="str">
        <f>IF('INHERENT MAP'!$B$5=2021,IF('РЕЕСТР РИСКОВ_2023'!F382="",B341,'РЕЕСТР РИСКОВ_2023'!F382),IF('INHERENT MAP'!$B$5=2022,IF(#REF!="",B341,#REF!),IF('INHERENT MAP'!$B$5=2023,IF(#REF!="",B341,#REF!),IF('INHERENT MAP'!$B$5=2024,IF(#REF!="",B341,#REF!),IF('РЕЕСТР РИСКОВ_2023'!F382="",B341,'РЕЕСТР РИСКОВ_2023'!F382)))))</f>
        <v>ПРОЦЕНТНЫЙ РИСК</v>
      </c>
      <c r="C342" t="e">
        <f>IF('INHERENT MAP'!$B$5=2021,IF('РЕЕСТР РИСКОВ_2023'!G382="",C341,'РЕЕСТР РИСКОВ_2023'!G382),IF('INHERENT MAP'!$B$5=2022,IF(#REF!="",C341,#REF!),IF('INHERENT MAP'!$B$5=2023,IF(#REF!="",C341,#REF!),IF('INHERENT MAP'!$B$5=2024,IF(#REF!="",C341,#REF!),IF('РЕЕСТР РИСКОВ_2023'!G382="",C341,'РЕЕСТР РИСКОВ_2023'!G382)))))</f>
        <v>#REF!</v>
      </c>
      <c r="D342" t="str">
        <f>IF('INHERENT MAP'!$B$5=2021,IF('РЕЕСТР РИСКОВ_2023'!H382="",D341,'РЕЕСТР РИСКОВ_2023'!H382),IF('INHERENT MAP'!$B$5=2022,IF(#REF!="",D341,#REF!),IF('INHERENT MAP'!$B$5=2023,IF(#REF!="",D341,#REF!),IF('INHERENT MAP'!$B$5=2024,IF(#REF!="",D341,#REF!),IF('РЕЕСТР РИСКОВ_2023'!H382="",D341,'РЕЕСТР РИСКОВ_2023'!H382)))))</f>
        <v>IRR-1</v>
      </c>
      <c r="E342" t="str">
        <f>IF('INHERENT MAP'!$B$5=2021,IF('РЕЕСТР РИСКОВ_2023'!I382="",E341,'РЕЕСТР РИСКОВ_2023'!I382),IF('INHERENT MAP'!$B$5=2022,IF(#REF!="",E341,#REF!),IF('INHERENT MAP'!$B$5=2023,IF(#REF!="",E341,#REF!),IF('INHERENT MAP'!$B$5=2024,IF(#REF!="",E341,#REF!),IF('РЕЕСТР РИСКОВ_2023'!I382="",E341,'РЕЕСТР РИСКОВ_2023'!I382)))))</f>
        <v>ЦЗФ</v>
      </c>
      <c r="F342" t="str">
        <f>IF('INHERENT MAP'!$B$5=2021,IF('РЕЕСТР РИСКОВ_2023'!J382="",F341,'РЕЕСТР РИСКОВ_2023'!J382),IF('INHERENT MAP'!$B$5=2022,IF(#REF!="",F341,#REF!),IF('INHERENT MAP'!$B$5=2023,IF(#REF!="",F341,#REF!),IF('INHERENT MAP'!$B$5=2024,IF(#REF!="",F341,#REF!),IF('РЕЕСТР РИСКОВ_2023'!J382="",F341,'РЕЕСТР РИСКОВ_2023'!J382)))))</f>
        <v>Цзайм</v>
      </c>
      <c r="G342" t="str">
        <f>IF('INHERENT MAP'!$B$5=2021,IF('РЕЕСТР РИСКОВ_2023'!K382="",G341,'РЕЕСТР РИСКОВ_2023'!K382),IF('INHERENT MAP'!$B$5=2022,IF(#REF!="",G341,#REF!),IF('INHERENT MAP'!$B$5=2023,IF(#REF!="",G341,#REF!),IF('INHERENT MAP'!$B$5=2024,IF(#REF!="",G341,#REF!),IF('РЕЕСТР РИСКОВ_2023'!K382="",G341,'РЕЕСТР РИСКОВ_2023'!K382)))))</f>
        <v>Увеличение расходов по процентам на новые займы, а также текущие займы (с плавающей ставкой) в тенге.</v>
      </c>
      <c r="H342">
        <f>IF('INHERENT MAP'!$B$5=2021,'РЕЕСТР РИСКОВ_2023'!L382,IF('INHERENT MAP'!$B$5=2022,#REF!,IF('INHERENT MAP'!$B$5=2023,#REF!,IF('INHERENT MAP'!$B$5=2024,#REF!,#REF!))))</f>
        <v>0</v>
      </c>
      <c r="I342">
        <f>IF('INHERENT MAP'!$B$5=2021,'РЕЕСТР РИСКОВ_2023'!M382,IF('INHERENT MAP'!$B$5=2022,#REF!,IF('INHERENT MAP'!$B$5=2023,#REF!,IF('INHERENT MAP'!$B$5=2024,#REF!,#REF!))))</f>
        <v>0</v>
      </c>
      <c r="J342">
        <f>IF('INHERENT MAP'!$B$5=2021,'РЕЕСТР РИСКОВ_2023'!N382,IF('INHERENT MAP'!$B$5=2022,#REF!,IF('INHERENT MAP'!$B$5=2023,#REF!,IF('INHERENT MAP'!$B$5=2024,#REF!,#REF!))))</f>
        <v>0</v>
      </c>
      <c r="K342">
        <f>IF('INHERENT MAP'!$B$5=2021,'РЕЕСТР РИСКОВ_2023'!O382,IF('INHERENT MAP'!$B$5=2022,#REF!,IF('INHERENT MAP'!$B$5=2023,#REF!,IF('INHERENT MAP'!$B$5=2024,#REF!,#REF!))))</f>
        <v>0</v>
      </c>
      <c r="L342">
        <f>IF('INHERENT MAP'!$B$5=2021,'РЕЕСТР РИСКОВ_2023'!P382,IF('INHERENT MAP'!$B$5=2022,#REF!,IF('INHERENT MAP'!$B$5=2023,#REF!,IF('INHERENT MAP'!$B$5=2024,#REF!,#REF!))))</f>
        <v>0</v>
      </c>
      <c r="M342" t="str">
        <f>IF('INHERENT MAP'!$B$5=2021,IF('РЕЕСТР РИСКОВ_2023'!Q382="",M341,'РЕЕСТР РИСКОВ_2023'!Q382),IF('INHERENT MAP'!$B$5=2022,IF(#REF!="",M341,#REF!),IF('INHERENT MAP'!$B$5=2023,IF(#REF!="",M341,#REF!),IF('INHERENT MAP'!$B$5=2024,IF(#REF!="",M341,#REF!),IF('РЕЕСТР РИСКОВ_2023'!Q382="",M341,'РЕЕСТР РИСКОВ_2023'!Q382)))))</f>
        <v>Увеличение базовой ставки Национального банка Республики Казахстан до 16%</v>
      </c>
      <c r="N342" t="str">
        <f>IF('INHERENT MAP'!$B$5=2021,IF('РЕЕСТР РИСКОВ_2023'!R382="",N341,'РЕЕСТР РИСКОВ_2023'!R382),IF('INHERENT MAP'!$B$5=2022,IF(#REF!="",N341,#REF!),IF('INHERENT MAP'!$B$5=2023,IF(#REF!="",N341,#REF!),IF('INHERENT MAP'!$B$5=2024,IF(#REF!="",N341,#REF!),IF('РЕЕСТР РИСКОВ_2023'!R382="",N341,'РЕЕСТР РИСКОВ_2023'!R382)))))</f>
        <v>Рецессия экономики европейских стран</v>
      </c>
      <c r="O342">
        <f>'РЕЕСТР РИСКОВ_2023'!T382</f>
        <v>0</v>
      </c>
      <c r="P342" t="e">
        <f>IF('РЕЕСТР РИСКОВ_2023'!U382="",P341,'РЕЕСТР РИСКОВ_2023'!U382)</f>
        <v>#REF!</v>
      </c>
      <c r="Q342" t="str">
        <f>IF('РЕЕСТР РИСКОВ_2023'!V382="",Q341,'РЕЕСТР РИСКОВ_2023'!V382)</f>
        <v>Угрозы</v>
      </c>
      <c r="R342" t="e">
        <f>IF('РЕЕСТР РИСКОВ_2023'!W382="",R341,'РЕЕСТР РИСКОВ_2023'!W382)</f>
        <v>#REF!</v>
      </c>
      <c r="S342">
        <f>'РЕЕСТР РИСКОВ_2023'!X382</f>
        <v>0</v>
      </c>
      <c r="T342" s="94">
        <f>IF('INHERENT MAP'!$B$5=2021,'РЕЕСТР РИСКОВ_2023'!Y382,IF('INHERENT MAP'!$B$5=2022,#REF!,IF('INHERENT MAP'!$B$5=2023,#REF!,IF('INHERENT MAP'!$B$5=2024,#REF!,#REF!))))</f>
        <v>0</v>
      </c>
      <c r="U342">
        <f>IF('INHERENT MAP'!$B$5=2021,'РЕЕСТР РИСКОВ_2023'!Z382,IF('INHERENT MAP'!$B$5=2022,#REF!,IF('INHERENT MAP'!$B$5=2023,#REF!,IF('INHERENT MAP'!$B$5=2024,#REF!,#REF!))))</f>
        <v>0</v>
      </c>
      <c r="V342">
        <f>IF('INHERENT MAP'!$B$5=2021,'РЕЕСТР РИСКОВ_2023'!AA382,IF('INHERENT MAP'!$B$5=2022,#REF!,IF('INHERENT MAP'!$B$5=2023,#REF!,IF('INHERENT MAP'!$B$5=2024,#REF!,#REF!))))</f>
        <v>0</v>
      </c>
      <c r="W342">
        <f>IF('INHERENT MAP'!$B$5=2021,'РЕЕСТР РИСКОВ_2023'!AB382,IF('INHERENT MAP'!$B$5=2022,#REF!,IF('INHERENT MAP'!$B$5=2023,#REF!,IF('INHERENT MAP'!$B$5=2024,#REF!,#REF!))))</f>
        <v>0</v>
      </c>
      <c r="X342" s="94">
        <f>IF('INHERENT MAP'!$B$5=2021,'РЕЕСТР РИСКОВ_2023'!AC382,IF('INHERENT MAP'!$B$5=2022,#REF!,IF('INHERENT MAP'!$B$5=2023,#REF!,IF('INHERENT MAP'!$B$5=2024,#REF!,#REF!))))</f>
        <v>0</v>
      </c>
      <c r="Y342">
        <f>IF('INHERENT MAP'!$B$5=2021,'РЕЕСТР РИСКОВ_2023'!AD382,IF('INHERENT MAP'!$B$5=2022,#REF!,IF('INHERENT MAP'!$B$5=2023,#REF!,IF('INHERENT MAP'!$B$5=2024,#REF!,#REF!))))</f>
        <v>0</v>
      </c>
      <c r="Z342">
        <f>IF('INHERENT MAP'!$B$5=2021,'РЕЕСТР РИСКОВ_2023'!AE382,IF('INHERENT MAP'!$B$5=2022,#REF!,IF('INHERENT MAP'!$B$5=2023,#REF!,IF('INHERENT MAP'!$B$5=2024,#REF!,#REF!))))</f>
        <v>0</v>
      </c>
      <c r="AA342">
        <f>IF('INHERENT MAP'!$B$5=2021,'РЕЕСТР РИСКОВ_2023'!AF382,IF('INHERENT MAP'!$B$5=2022,#REF!,IF('INHERENT MAP'!$B$5=2023,#REF!,IF('INHERENT MAP'!$B$5=2024,#REF!,#REF!))))</f>
        <v>0</v>
      </c>
      <c r="AB342">
        <f>IF('INHERENT MAP'!$B$5=2021,'РЕЕСТР РИСКОВ_2023'!AG382,IF('INHERENT MAP'!$B$5=2022,#REF!,IF('INHERENT MAP'!$B$5=2023,#REF!,IF('INHERENT MAP'!$B$5=2024,#REF!,#REF!))))</f>
        <v>0</v>
      </c>
      <c r="AC342">
        <f>IF('INHERENT MAP'!$B$5=2021,'РЕЕСТР РИСКОВ_2023'!AH382,IF('INHERENT MAP'!$B$5=2022,#REF!,IF('INHERENT MAP'!$B$5=2023,#REF!,IF('INHERENT MAP'!$B$5=2024,#REF!,#REF!))))</f>
        <v>0</v>
      </c>
      <c r="AD342">
        <f>IF('INHERENT MAP'!$B$5=2021,'РЕЕСТР РИСКОВ_2023'!AI382,IF('INHERENT MAP'!$B$5=2022,#REF!,IF('INHERENT MAP'!$B$5=2023,#REF!,IF('INHERENT MAP'!$B$5=2024,#REF!,#REF!))))</f>
        <v>0</v>
      </c>
      <c r="AE342">
        <f>IF('INHERENT MAP'!$B$5=2021,'РЕЕСТР РИСКОВ_2023'!AK382,IF('INHERENT MAP'!$B$5=2022,#REF!,IF('INHERENT MAP'!$B$5=2023,#REF!,IF('INHERENT MAP'!$B$5=2024,#REF!,#REF!))))</f>
        <v>0</v>
      </c>
      <c r="AF342">
        <f>IF('INHERENT MAP'!$B$5=2021,'РЕЕСТР РИСКОВ_2023'!AL382,IF('INHERENT MAP'!$B$5=2022,#REF!,IF('INHERENT MAP'!$B$5=2023,#REF!,IF('INHERENT MAP'!$B$5=2024,#REF!,#REF!))))</f>
        <v>0</v>
      </c>
      <c r="AG342">
        <f>IF('INHERENT MAP'!$B$5=2021,'РЕЕСТР РИСКОВ_2023'!AM382,IF('INHERENT MAP'!$B$5=2022,#REF!,IF('INHERENT MAP'!$B$5=2023,#REF!,IF('INHERENT MAP'!$B$5=2024,#REF!,#REF!))))</f>
        <v>0</v>
      </c>
      <c r="AH342">
        <f>IF('INHERENT MAP'!$B$5=2021,'РЕЕСТР РИСКОВ_2023'!AN382,IF('INHERENT MAP'!$B$5=2022,#REF!,IF('INHERENT MAP'!$B$5=2023,#REF!,IF('INHERENT MAP'!$B$5=2024,#REF!,#REF!))))</f>
        <v>0</v>
      </c>
      <c r="AI342">
        <f>IF('INHERENT MAP'!$B$5=2021,'РЕЕСТР РИСКОВ_2023'!AO382,IF('INHERENT MAP'!$B$5=2022,#REF!,IF('INHERENT MAP'!$B$5=2023,#REF!,IF('INHERENT MAP'!$B$5=2024,#REF!,#REF!))))</f>
        <v>0</v>
      </c>
      <c r="AJ342">
        <f>IF('INHERENT MAP'!$B$5=2021,'РЕЕСТР РИСКОВ_2023'!AP382,IF('INHERENT MAP'!$B$5=2022,#REF!,IF('INHERENT MAP'!$B$5=2023,#REF!,IF('INHERENT MAP'!$B$5=2024,#REF!,#REF!))))</f>
        <v>0</v>
      </c>
      <c r="AK342">
        <f>IF('РЕЕСТР РИСКОВ_2023'!AQ382="",AK341,'РЕЕСТР РИСКОВ_2023'!AQ382)</f>
        <v>-216</v>
      </c>
      <c r="AL342">
        <f>IF('РЕЕСТР РИСКОВ_2023'!AR382="",AL341,'РЕЕСТР РИСКОВ_2023'!AR382)</f>
        <v>0.12</v>
      </c>
      <c r="AM342" t="str">
        <f>IF('РЕЕСТР РИСКОВ_2023'!AS382="",AM341,'РЕЕСТР РИСКОВ_2023'!AS382)</f>
        <v>стоп</v>
      </c>
      <c r="AN342" t="str">
        <f>IF('РЕЕСТР РИСКОВ_2023'!AT382="",AN341,'РЕЕСТР РИСКОВ_2023'!AT382)</f>
        <v>стоп</v>
      </c>
      <c r="AO342" t="e">
        <f>IF('РЕЕСТР РИСКОВ_2023'!AU382="",AO341,'РЕЕСТР РИСКОВ_2023'!AU382)</f>
        <v>#REF!</v>
      </c>
    </row>
    <row r="343" spans="2:41">
      <c r="B343" t="str">
        <f>IF('INHERENT MAP'!$B$5=2021,IF('РЕЕСТР РИСКОВ_2023'!F383="",B342,'РЕЕСТР РИСКОВ_2023'!F383),IF('INHERENT MAP'!$B$5=2022,IF(#REF!="",B342,#REF!),IF('INHERENT MAP'!$B$5=2023,IF(#REF!="",B342,#REF!),IF('INHERENT MAP'!$B$5=2024,IF(#REF!="",B342,#REF!),IF('РЕЕСТР РИСКОВ_2023'!F383="",B342,'РЕЕСТР РИСКОВ_2023'!F383)))))</f>
        <v>ПРОЦЕНТНЫЙ РИСК</v>
      </c>
      <c r="C343" t="e">
        <f>IF('INHERENT MAP'!$B$5=2021,IF('РЕЕСТР РИСКОВ_2023'!G383="",C342,'РЕЕСТР РИСКОВ_2023'!G383),IF('INHERENT MAP'!$B$5=2022,IF(#REF!="",C342,#REF!),IF('INHERENT MAP'!$B$5=2023,IF(#REF!="",C342,#REF!),IF('INHERENT MAP'!$B$5=2024,IF(#REF!="",C342,#REF!),IF('РЕЕСТР РИСКОВ_2023'!G383="",C342,'РЕЕСТР РИСКОВ_2023'!G383)))))</f>
        <v>#REF!</v>
      </c>
      <c r="D343" t="str">
        <f>IF('INHERENT MAP'!$B$5=2021,IF('РЕЕСТР РИСКОВ_2023'!H383="",D342,'РЕЕСТР РИСКОВ_2023'!H383),IF('INHERENT MAP'!$B$5=2022,IF(#REF!="",D342,#REF!),IF('INHERENT MAP'!$B$5=2023,IF(#REF!="",D342,#REF!),IF('INHERENT MAP'!$B$5=2024,IF(#REF!="",D342,#REF!),IF('РЕЕСТР РИСКОВ_2023'!H383="",D342,'РЕЕСТР РИСКОВ_2023'!H383)))))</f>
        <v>IRR-1</v>
      </c>
      <c r="E343" t="str">
        <f>IF('INHERENT MAP'!$B$5=2021,IF('РЕЕСТР РИСКОВ_2023'!I383="",E342,'РЕЕСТР РИСКОВ_2023'!I383),IF('INHERENT MAP'!$B$5=2022,IF(#REF!="",E342,#REF!),IF('INHERENT MAP'!$B$5=2023,IF(#REF!="",E342,#REF!),IF('INHERENT MAP'!$B$5=2024,IF(#REF!="",E342,#REF!),IF('РЕЕСТР РИСКОВ_2023'!I383="",E342,'РЕЕСТР РИСКОВ_2023'!I383)))))</f>
        <v>ЦЗФ</v>
      </c>
      <c r="F343" t="str">
        <f>IF('INHERENT MAP'!$B$5=2021,IF('РЕЕСТР РИСКОВ_2023'!J383="",F342,'РЕЕСТР РИСКОВ_2023'!J383),IF('INHERENT MAP'!$B$5=2022,IF(#REF!="",F342,#REF!),IF('INHERENT MAP'!$B$5=2023,IF(#REF!="",F342,#REF!),IF('INHERENT MAP'!$B$5=2024,IF(#REF!="",F342,#REF!),IF('РЕЕСТР РИСКОВ_2023'!J383="",F342,'РЕЕСТР РИСКОВ_2023'!J383)))))</f>
        <v>Цзайм</v>
      </c>
      <c r="G343" t="str">
        <f>IF('INHERENT MAP'!$B$5=2021,IF('РЕЕСТР РИСКОВ_2023'!K383="",G342,'РЕЕСТР РИСКОВ_2023'!K383),IF('INHERENT MAP'!$B$5=2022,IF(#REF!="",G342,#REF!),IF('INHERENT MAP'!$B$5=2023,IF(#REF!="",G342,#REF!),IF('INHERENT MAP'!$B$5=2024,IF(#REF!="",G342,#REF!),IF('РЕЕСТР РИСКОВ_2023'!K383="",G342,'РЕЕСТР РИСКОВ_2023'!K383)))))</f>
        <v>Увеличение расходов по процентам на новые займы, а также текущие займы (с плавающей ставкой) в тенге.</v>
      </c>
      <c r="H343">
        <f>IF('INHERENT MAP'!$B$5=2021,'РЕЕСТР РИСКОВ_2023'!L383,IF('INHERENT MAP'!$B$5=2022,#REF!,IF('INHERENT MAP'!$B$5=2023,#REF!,IF('INHERENT MAP'!$B$5=2024,#REF!,#REF!))))</f>
        <v>0</v>
      </c>
      <c r="I343">
        <f>IF('INHERENT MAP'!$B$5=2021,'РЕЕСТР РИСКОВ_2023'!M383,IF('INHERENT MAP'!$B$5=2022,#REF!,IF('INHERENT MAP'!$B$5=2023,#REF!,IF('INHERENT MAP'!$B$5=2024,#REF!,#REF!))))</f>
        <v>0</v>
      </c>
      <c r="J343">
        <f>IF('INHERENT MAP'!$B$5=2021,'РЕЕСТР РИСКОВ_2023'!N383,IF('INHERENT MAP'!$B$5=2022,#REF!,IF('INHERENT MAP'!$B$5=2023,#REF!,IF('INHERENT MAP'!$B$5=2024,#REF!,#REF!))))</f>
        <v>0</v>
      </c>
      <c r="K343">
        <f>IF('INHERENT MAP'!$B$5=2021,'РЕЕСТР РИСКОВ_2023'!O383,IF('INHERENT MAP'!$B$5=2022,#REF!,IF('INHERENT MAP'!$B$5=2023,#REF!,IF('INHERENT MAP'!$B$5=2024,#REF!,#REF!))))</f>
        <v>0</v>
      </c>
      <c r="L343">
        <f>IF('INHERENT MAP'!$B$5=2021,'РЕЕСТР РИСКОВ_2023'!P383,IF('INHERENT MAP'!$B$5=2022,#REF!,IF('INHERENT MAP'!$B$5=2023,#REF!,IF('INHERENT MAP'!$B$5=2024,#REF!,#REF!))))</f>
        <v>0</v>
      </c>
      <c r="M343" t="str">
        <f>IF('INHERENT MAP'!$B$5=2021,IF('РЕЕСТР РИСКОВ_2023'!Q383="",M342,'РЕЕСТР РИСКОВ_2023'!Q383),IF('INHERENT MAP'!$B$5=2022,IF(#REF!="",M342,#REF!),IF('INHERENT MAP'!$B$5=2023,IF(#REF!="",M342,#REF!),IF('INHERENT MAP'!$B$5=2024,IF(#REF!="",M342,#REF!),IF('РЕЕСТР РИСКОВ_2023'!Q383="",M342,'РЕЕСТР РИСКОВ_2023'!Q383)))))</f>
        <v>Увеличение базовой ставки Национального банка Республики Казахстан до 16%</v>
      </c>
      <c r="N343" t="str">
        <f>IF('INHERENT MAP'!$B$5=2021,IF('РЕЕСТР РИСКОВ_2023'!R383="",N342,'РЕЕСТР РИСКОВ_2023'!R383),IF('INHERENT MAP'!$B$5=2022,IF(#REF!="",N342,#REF!),IF('INHERENT MAP'!$B$5=2023,IF(#REF!="",N342,#REF!),IF('INHERENT MAP'!$B$5=2024,IF(#REF!="",N342,#REF!),IF('РЕЕСТР РИСКОВ_2023'!R383="",N342,'РЕЕСТР РИСКОВ_2023'!R383)))))</f>
        <v>Рецессия экономики европейских стран</v>
      </c>
      <c r="O343">
        <f>'РЕЕСТР РИСКОВ_2023'!T383</f>
        <v>0</v>
      </c>
      <c r="P343" t="e">
        <f>IF('РЕЕСТР РИСКОВ_2023'!U383="",P342,'РЕЕСТР РИСКОВ_2023'!U383)</f>
        <v>#REF!</v>
      </c>
      <c r="Q343" t="str">
        <f>IF('РЕЕСТР РИСКОВ_2023'!V383="",Q342,'РЕЕСТР РИСКОВ_2023'!V383)</f>
        <v>Угрозы</v>
      </c>
      <c r="R343" t="e">
        <f>IF('РЕЕСТР РИСКОВ_2023'!W383="",R342,'РЕЕСТР РИСКОВ_2023'!W383)</f>
        <v>#REF!</v>
      </c>
      <c r="S343">
        <f>'РЕЕСТР РИСКОВ_2023'!X383</f>
        <v>0</v>
      </c>
      <c r="T343" s="94">
        <f>IF('INHERENT MAP'!$B$5=2021,'РЕЕСТР РИСКОВ_2023'!Y383,IF('INHERENT MAP'!$B$5=2022,#REF!,IF('INHERENT MAP'!$B$5=2023,#REF!,IF('INHERENT MAP'!$B$5=2024,#REF!,#REF!))))</f>
        <v>0</v>
      </c>
      <c r="U343">
        <f>IF('INHERENT MAP'!$B$5=2021,'РЕЕСТР РИСКОВ_2023'!Z383,IF('INHERENT MAP'!$B$5=2022,#REF!,IF('INHERENT MAP'!$B$5=2023,#REF!,IF('INHERENT MAP'!$B$5=2024,#REF!,#REF!))))</f>
        <v>0</v>
      </c>
      <c r="V343">
        <f>IF('INHERENT MAP'!$B$5=2021,'РЕЕСТР РИСКОВ_2023'!AA383,IF('INHERENT MAP'!$B$5=2022,#REF!,IF('INHERENT MAP'!$B$5=2023,#REF!,IF('INHERENT MAP'!$B$5=2024,#REF!,#REF!))))</f>
        <v>0</v>
      </c>
      <c r="W343">
        <f>IF('INHERENT MAP'!$B$5=2021,'РЕЕСТР РИСКОВ_2023'!AB383,IF('INHERENT MAP'!$B$5=2022,#REF!,IF('INHERENT MAP'!$B$5=2023,#REF!,IF('INHERENT MAP'!$B$5=2024,#REF!,#REF!))))</f>
        <v>0</v>
      </c>
      <c r="X343" s="94">
        <f>IF('INHERENT MAP'!$B$5=2021,'РЕЕСТР РИСКОВ_2023'!AC383,IF('INHERENT MAP'!$B$5=2022,#REF!,IF('INHERENT MAP'!$B$5=2023,#REF!,IF('INHERENT MAP'!$B$5=2024,#REF!,#REF!))))</f>
        <v>0</v>
      </c>
      <c r="Y343">
        <f>IF('INHERENT MAP'!$B$5=2021,'РЕЕСТР РИСКОВ_2023'!AD383,IF('INHERENT MAP'!$B$5=2022,#REF!,IF('INHERENT MAP'!$B$5=2023,#REF!,IF('INHERENT MAP'!$B$5=2024,#REF!,#REF!))))</f>
        <v>0</v>
      </c>
      <c r="Z343">
        <f>IF('INHERENT MAP'!$B$5=2021,'РЕЕСТР РИСКОВ_2023'!AE383,IF('INHERENT MAP'!$B$5=2022,#REF!,IF('INHERENT MAP'!$B$5=2023,#REF!,IF('INHERENT MAP'!$B$5=2024,#REF!,#REF!))))</f>
        <v>0</v>
      </c>
      <c r="AA343">
        <f>IF('INHERENT MAP'!$B$5=2021,'РЕЕСТР РИСКОВ_2023'!AF383,IF('INHERENT MAP'!$B$5=2022,#REF!,IF('INHERENT MAP'!$B$5=2023,#REF!,IF('INHERENT MAP'!$B$5=2024,#REF!,#REF!))))</f>
        <v>0</v>
      </c>
      <c r="AB343">
        <f>IF('INHERENT MAP'!$B$5=2021,'РЕЕСТР РИСКОВ_2023'!AG383,IF('INHERENT MAP'!$B$5=2022,#REF!,IF('INHERENT MAP'!$B$5=2023,#REF!,IF('INHERENT MAP'!$B$5=2024,#REF!,#REF!))))</f>
        <v>0</v>
      </c>
      <c r="AC343">
        <f>IF('INHERENT MAP'!$B$5=2021,'РЕЕСТР РИСКОВ_2023'!AH383,IF('INHERENT MAP'!$B$5=2022,#REF!,IF('INHERENT MAP'!$B$5=2023,#REF!,IF('INHERENT MAP'!$B$5=2024,#REF!,#REF!))))</f>
        <v>0</v>
      </c>
      <c r="AD343">
        <f>IF('INHERENT MAP'!$B$5=2021,'РЕЕСТР РИСКОВ_2023'!AI383,IF('INHERENT MAP'!$B$5=2022,#REF!,IF('INHERENT MAP'!$B$5=2023,#REF!,IF('INHERENT MAP'!$B$5=2024,#REF!,#REF!))))</f>
        <v>0</v>
      </c>
      <c r="AE343">
        <f>IF('INHERENT MAP'!$B$5=2021,'РЕЕСТР РИСКОВ_2023'!AK383,IF('INHERENT MAP'!$B$5=2022,#REF!,IF('INHERENT MAP'!$B$5=2023,#REF!,IF('INHERENT MAP'!$B$5=2024,#REF!,#REF!))))</f>
        <v>0</v>
      </c>
      <c r="AF343">
        <f>IF('INHERENT MAP'!$B$5=2021,'РЕЕСТР РИСКОВ_2023'!AL383,IF('INHERENT MAP'!$B$5=2022,#REF!,IF('INHERENT MAP'!$B$5=2023,#REF!,IF('INHERENT MAP'!$B$5=2024,#REF!,#REF!))))</f>
        <v>0</v>
      </c>
      <c r="AG343">
        <f>IF('INHERENT MAP'!$B$5=2021,'РЕЕСТР РИСКОВ_2023'!AM383,IF('INHERENT MAP'!$B$5=2022,#REF!,IF('INHERENT MAP'!$B$5=2023,#REF!,IF('INHERENT MAP'!$B$5=2024,#REF!,#REF!))))</f>
        <v>0</v>
      </c>
      <c r="AH343">
        <f>IF('INHERENT MAP'!$B$5=2021,'РЕЕСТР РИСКОВ_2023'!AN383,IF('INHERENT MAP'!$B$5=2022,#REF!,IF('INHERENT MAP'!$B$5=2023,#REF!,IF('INHERENT MAP'!$B$5=2024,#REF!,#REF!))))</f>
        <v>0</v>
      </c>
      <c r="AI343">
        <f>IF('INHERENT MAP'!$B$5=2021,'РЕЕСТР РИСКОВ_2023'!AO383,IF('INHERENT MAP'!$B$5=2022,#REF!,IF('INHERENT MAP'!$B$5=2023,#REF!,IF('INHERENT MAP'!$B$5=2024,#REF!,#REF!))))</f>
        <v>0</v>
      </c>
      <c r="AJ343">
        <f>IF('INHERENT MAP'!$B$5=2021,'РЕЕСТР РИСКОВ_2023'!AP383,IF('INHERENT MAP'!$B$5=2022,#REF!,IF('INHERENT MAP'!$B$5=2023,#REF!,IF('INHERENT MAP'!$B$5=2024,#REF!,#REF!))))</f>
        <v>0</v>
      </c>
      <c r="AK343">
        <f>IF('РЕЕСТР РИСКОВ_2023'!AQ383="",AK342,'РЕЕСТР РИСКОВ_2023'!AQ383)</f>
        <v>-216</v>
      </c>
      <c r="AL343">
        <f>IF('РЕЕСТР РИСКОВ_2023'!AR383="",AL342,'РЕЕСТР РИСКОВ_2023'!AR383)</f>
        <v>0.12</v>
      </c>
      <c r="AM343" t="str">
        <f>IF('РЕЕСТР РИСКОВ_2023'!AS383="",AM342,'РЕЕСТР РИСКОВ_2023'!AS383)</f>
        <v>стоп</v>
      </c>
      <c r="AN343" t="str">
        <f>IF('РЕЕСТР РИСКОВ_2023'!AT383="",AN342,'РЕЕСТР РИСКОВ_2023'!AT383)</f>
        <v>стоп</v>
      </c>
      <c r="AO343" t="e">
        <f>IF('РЕЕСТР РИСКОВ_2023'!AU383="",AO342,'РЕЕСТР РИСКОВ_2023'!AU383)</f>
        <v>#REF!</v>
      </c>
    </row>
    <row r="344" spans="2:41">
      <c r="B344" t="str">
        <f>IF('INHERENT MAP'!$B$5=2021,IF('РЕЕСТР РИСКОВ_2023'!F384="",B343,'РЕЕСТР РИСКОВ_2023'!F384),IF('INHERENT MAP'!$B$5=2022,IF(#REF!="",B343,#REF!),IF('INHERENT MAP'!$B$5=2023,IF(#REF!="",B343,#REF!),IF('INHERENT MAP'!$B$5=2024,IF(#REF!="",B343,#REF!),IF('РЕЕСТР РИСКОВ_2023'!F384="",B343,'РЕЕСТР РИСКОВ_2023'!F384)))))</f>
        <v>ПРОЦЕНТНЫЙ РИСК</v>
      </c>
      <c r="C344" t="e">
        <f>IF('INHERENT MAP'!$B$5=2021,IF('РЕЕСТР РИСКОВ_2023'!G384="",C343,'РЕЕСТР РИСКОВ_2023'!G384),IF('INHERENT MAP'!$B$5=2022,IF(#REF!="",C343,#REF!),IF('INHERENT MAP'!$B$5=2023,IF(#REF!="",C343,#REF!),IF('INHERENT MAP'!$B$5=2024,IF(#REF!="",C343,#REF!),IF('РЕЕСТР РИСКОВ_2023'!G384="",C343,'РЕЕСТР РИСКОВ_2023'!G384)))))</f>
        <v>#REF!</v>
      </c>
      <c r="D344" t="str">
        <f>IF('INHERENT MAP'!$B$5=2021,IF('РЕЕСТР РИСКОВ_2023'!H384="",D343,'РЕЕСТР РИСКОВ_2023'!H384),IF('INHERENT MAP'!$B$5=2022,IF(#REF!="",D343,#REF!),IF('INHERENT MAP'!$B$5=2023,IF(#REF!="",D343,#REF!),IF('INHERENT MAP'!$B$5=2024,IF(#REF!="",D343,#REF!),IF('РЕЕСТР РИСКОВ_2023'!H384="",D343,'РЕЕСТР РИСКОВ_2023'!H384)))))</f>
        <v>IRR-1</v>
      </c>
      <c r="E344" t="str">
        <f>IF('INHERENT MAP'!$B$5=2021,IF('РЕЕСТР РИСКОВ_2023'!I384="",E343,'РЕЕСТР РИСКОВ_2023'!I384),IF('INHERENT MAP'!$B$5=2022,IF(#REF!="",E343,#REF!),IF('INHERENT MAP'!$B$5=2023,IF(#REF!="",E343,#REF!),IF('INHERENT MAP'!$B$5=2024,IF(#REF!="",E343,#REF!),IF('РЕЕСТР РИСКОВ_2023'!I384="",E343,'РЕЕСТР РИСКОВ_2023'!I384)))))</f>
        <v>ЦЗФ</v>
      </c>
      <c r="F344" t="str">
        <f>IF('INHERENT MAP'!$B$5=2021,IF('РЕЕСТР РИСКОВ_2023'!J384="",F343,'РЕЕСТР РИСКОВ_2023'!J384),IF('INHERENT MAP'!$B$5=2022,IF(#REF!="",F343,#REF!),IF('INHERENT MAP'!$B$5=2023,IF(#REF!="",F343,#REF!),IF('INHERENT MAP'!$B$5=2024,IF(#REF!="",F343,#REF!),IF('РЕЕСТР РИСКОВ_2023'!J384="",F343,'РЕЕСТР РИСКОВ_2023'!J384)))))</f>
        <v>Цзайм</v>
      </c>
      <c r="G344" t="str">
        <f>IF('INHERENT MAP'!$B$5=2021,IF('РЕЕСТР РИСКОВ_2023'!K384="",G343,'РЕЕСТР РИСКОВ_2023'!K384),IF('INHERENT MAP'!$B$5=2022,IF(#REF!="",G343,#REF!),IF('INHERENT MAP'!$B$5=2023,IF(#REF!="",G343,#REF!),IF('INHERENT MAP'!$B$5=2024,IF(#REF!="",G343,#REF!),IF('РЕЕСТР РИСКОВ_2023'!K384="",G343,'РЕЕСТР РИСКОВ_2023'!K384)))))</f>
        <v>Увеличение расходов по процентам на новые займы, а также текущие займы (с плавающей ставкой) в тенге.</v>
      </c>
      <c r="H344">
        <f>IF('INHERENT MAP'!$B$5=2021,'РЕЕСТР РИСКОВ_2023'!L384,IF('INHERENT MAP'!$B$5=2022,#REF!,IF('INHERENT MAP'!$B$5=2023,#REF!,IF('INHERENT MAP'!$B$5=2024,#REF!,#REF!))))</f>
        <v>0</v>
      </c>
      <c r="I344">
        <f>IF('INHERENT MAP'!$B$5=2021,'РЕЕСТР РИСКОВ_2023'!M384,IF('INHERENT MAP'!$B$5=2022,#REF!,IF('INHERENT MAP'!$B$5=2023,#REF!,IF('INHERENT MAP'!$B$5=2024,#REF!,#REF!))))</f>
        <v>0</v>
      </c>
      <c r="J344">
        <f>IF('INHERENT MAP'!$B$5=2021,'РЕЕСТР РИСКОВ_2023'!N384,IF('INHERENT MAP'!$B$5=2022,#REF!,IF('INHERENT MAP'!$B$5=2023,#REF!,IF('INHERENT MAP'!$B$5=2024,#REF!,#REF!))))</f>
        <v>0</v>
      </c>
      <c r="K344">
        <f>IF('INHERENT MAP'!$B$5=2021,'РЕЕСТР РИСКОВ_2023'!O384,IF('INHERENT MAP'!$B$5=2022,#REF!,IF('INHERENT MAP'!$B$5=2023,#REF!,IF('INHERENT MAP'!$B$5=2024,#REF!,#REF!))))</f>
        <v>0</v>
      </c>
      <c r="L344">
        <f>IF('INHERENT MAP'!$B$5=2021,'РЕЕСТР РИСКОВ_2023'!P384,IF('INHERENT MAP'!$B$5=2022,#REF!,IF('INHERENT MAP'!$B$5=2023,#REF!,IF('INHERENT MAP'!$B$5=2024,#REF!,#REF!))))</f>
        <v>0</v>
      </c>
      <c r="M344" t="str">
        <f>IF('INHERENT MAP'!$B$5=2021,IF('РЕЕСТР РИСКОВ_2023'!Q384="",M343,'РЕЕСТР РИСКОВ_2023'!Q384),IF('INHERENT MAP'!$B$5=2022,IF(#REF!="",M343,#REF!),IF('INHERENT MAP'!$B$5=2023,IF(#REF!="",M343,#REF!),IF('INHERENT MAP'!$B$5=2024,IF(#REF!="",M343,#REF!),IF('РЕЕСТР РИСКОВ_2023'!Q384="",M343,'РЕЕСТР РИСКОВ_2023'!Q384)))))</f>
        <v>Увеличение базовой ставки Национального банка Республики Казахстан до 16%</v>
      </c>
      <c r="N344" t="str">
        <f>IF('INHERENT MAP'!$B$5=2021,IF('РЕЕСТР РИСКОВ_2023'!R384="",N343,'РЕЕСТР РИСКОВ_2023'!R384),IF('INHERENT MAP'!$B$5=2022,IF(#REF!="",N343,#REF!),IF('INHERENT MAP'!$B$5=2023,IF(#REF!="",N343,#REF!),IF('INHERENT MAP'!$B$5=2024,IF(#REF!="",N343,#REF!),IF('РЕЕСТР РИСКОВ_2023'!R384="",N343,'РЕЕСТР РИСКОВ_2023'!R384)))))</f>
        <v>Рецессия экономики европейских стран</v>
      </c>
      <c r="O344">
        <f>'РЕЕСТР РИСКОВ_2023'!T384</f>
        <v>0</v>
      </c>
      <c r="P344" t="e">
        <f>IF('РЕЕСТР РИСКОВ_2023'!U384="",P343,'РЕЕСТР РИСКОВ_2023'!U384)</f>
        <v>#REF!</v>
      </c>
      <c r="Q344" t="str">
        <f>IF('РЕЕСТР РИСКОВ_2023'!V384="",Q343,'РЕЕСТР РИСКОВ_2023'!V384)</f>
        <v>Угрозы</v>
      </c>
      <c r="R344" t="e">
        <f>IF('РЕЕСТР РИСКОВ_2023'!W384="",R343,'РЕЕСТР РИСКОВ_2023'!W384)</f>
        <v>#REF!</v>
      </c>
      <c r="S344">
        <f>'РЕЕСТР РИСКОВ_2023'!X384</f>
        <v>0</v>
      </c>
      <c r="T344" s="94">
        <f>IF('INHERENT MAP'!$B$5=2021,'РЕЕСТР РИСКОВ_2023'!Y384,IF('INHERENT MAP'!$B$5=2022,#REF!,IF('INHERENT MAP'!$B$5=2023,#REF!,IF('INHERENT MAP'!$B$5=2024,#REF!,#REF!))))</f>
        <v>0</v>
      </c>
      <c r="U344">
        <f>IF('INHERENT MAP'!$B$5=2021,'РЕЕСТР РИСКОВ_2023'!Z384,IF('INHERENT MAP'!$B$5=2022,#REF!,IF('INHERENT MAP'!$B$5=2023,#REF!,IF('INHERENT MAP'!$B$5=2024,#REF!,#REF!))))</f>
        <v>0</v>
      </c>
      <c r="V344">
        <f>IF('INHERENT MAP'!$B$5=2021,'РЕЕСТР РИСКОВ_2023'!AA384,IF('INHERENT MAP'!$B$5=2022,#REF!,IF('INHERENT MAP'!$B$5=2023,#REF!,IF('INHERENT MAP'!$B$5=2024,#REF!,#REF!))))</f>
        <v>0</v>
      </c>
      <c r="W344">
        <f>IF('INHERENT MAP'!$B$5=2021,'РЕЕСТР РИСКОВ_2023'!AB384,IF('INHERENT MAP'!$B$5=2022,#REF!,IF('INHERENT MAP'!$B$5=2023,#REF!,IF('INHERENT MAP'!$B$5=2024,#REF!,#REF!))))</f>
        <v>0</v>
      </c>
      <c r="X344" s="94">
        <f>IF('INHERENT MAP'!$B$5=2021,'РЕЕСТР РИСКОВ_2023'!AC384,IF('INHERENT MAP'!$B$5=2022,#REF!,IF('INHERENT MAP'!$B$5=2023,#REF!,IF('INHERENT MAP'!$B$5=2024,#REF!,#REF!))))</f>
        <v>0</v>
      </c>
      <c r="Y344">
        <f>IF('INHERENT MAP'!$B$5=2021,'РЕЕСТР РИСКОВ_2023'!AD384,IF('INHERENT MAP'!$B$5=2022,#REF!,IF('INHERENT MAP'!$B$5=2023,#REF!,IF('INHERENT MAP'!$B$5=2024,#REF!,#REF!))))</f>
        <v>0</v>
      </c>
      <c r="Z344">
        <f>IF('INHERENT MAP'!$B$5=2021,'РЕЕСТР РИСКОВ_2023'!AE384,IF('INHERENT MAP'!$B$5=2022,#REF!,IF('INHERENT MAP'!$B$5=2023,#REF!,IF('INHERENT MAP'!$B$5=2024,#REF!,#REF!))))</f>
        <v>0</v>
      </c>
      <c r="AA344">
        <f>IF('INHERENT MAP'!$B$5=2021,'РЕЕСТР РИСКОВ_2023'!AF384,IF('INHERENT MAP'!$B$5=2022,#REF!,IF('INHERENT MAP'!$B$5=2023,#REF!,IF('INHERENT MAP'!$B$5=2024,#REF!,#REF!))))</f>
        <v>0</v>
      </c>
      <c r="AB344">
        <f>IF('INHERENT MAP'!$B$5=2021,'РЕЕСТР РИСКОВ_2023'!AG384,IF('INHERENT MAP'!$B$5=2022,#REF!,IF('INHERENT MAP'!$B$5=2023,#REF!,IF('INHERENT MAP'!$B$5=2024,#REF!,#REF!))))</f>
        <v>0</v>
      </c>
      <c r="AC344">
        <f>IF('INHERENT MAP'!$B$5=2021,'РЕЕСТР РИСКОВ_2023'!AH384,IF('INHERENT MAP'!$B$5=2022,#REF!,IF('INHERENT MAP'!$B$5=2023,#REF!,IF('INHERENT MAP'!$B$5=2024,#REF!,#REF!))))</f>
        <v>0</v>
      </c>
      <c r="AD344">
        <f>IF('INHERENT MAP'!$B$5=2021,'РЕЕСТР РИСКОВ_2023'!AI384,IF('INHERENT MAP'!$B$5=2022,#REF!,IF('INHERENT MAP'!$B$5=2023,#REF!,IF('INHERENT MAP'!$B$5=2024,#REF!,#REF!))))</f>
        <v>0</v>
      </c>
      <c r="AE344">
        <f>IF('INHERENT MAP'!$B$5=2021,'РЕЕСТР РИСКОВ_2023'!AK384,IF('INHERENT MAP'!$B$5=2022,#REF!,IF('INHERENT MAP'!$B$5=2023,#REF!,IF('INHERENT MAP'!$B$5=2024,#REF!,#REF!))))</f>
        <v>0</v>
      </c>
      <c r="AF344">
        <f>IF('INHERENT MAP'!$B$5=2021,'РЕЕСТР РИСКОВ_2023'!AL384,IF('INHERENT MAP'!$B$5=2022,#REF!,IF('INHERENT MAP'!$B$5=2023,#REF!,IF('INHERENT MAP'!$B$5=2024,#REF!,#REF!))))</f>
        <v>0</v>
      </c>
      <c r="AG344">
        <f>IF('INHERENT MAP'!$B$5=2021,'РЕЕСТР РИСКОВ_2023'!AM384,IF('INHERENT MAP'!$B$5=2022,#REF!,IF('INHERENT MAP'!$B$5=2023,#REF!,IF('INHERENT MAP'!$B$5=2024,#REF!,#REF!))))</f>
        <v>0</v>
      </c>
      <c r="AH344">
        <f>IF('INHERENT MAP'!$B$5=2021,'РЕЕСТР РИСКОВ_2023'!AN384,IF('INHERENT MAP'!$B$5=2022,#REF!,IF('INHERENT MAP'!$B$5=2023,#REF!,IF('INHERENT MAP'!$B$5=2024,#REF!,#REF!))))</f>
        <v>0</v>
      </c>
      <c r="AI344">
        <f>IF('INHERENT MAP'!$B$5=2021,'РЕЕСТР РИСКОВ_2023'!AO384,IF('INHERENT MAP'!$B$5=2022,#REF!,IF('INHERENT MAP'!$B$5=2023,#REF!,IF('INHERENT MAP'!$B$5=2024,#REF!,#REF!))))</f>
        <v>0</v>
      </c>
      <c r="AJ344">
        <f>IF('INHERENT MAP'!$B$5=2021,'РЕЕСТР РИСКОВ_2023'!AP384,IF('INHERENT MAP'!$B$5=2022,#REF!,IF('INHERENT MAP'!$B$5=2023,#REF!,IF('INHERENT MAP'!$B$5=2024,#REF!,#REF!))))</f>
        <v>0</v>
      </c>
      <c r="AK344">
        <f>IF('РЕЕСТР РИСКОВ_2023'!AQ384="",AK343,'РЕЕСТР РИСКОВ_2023'!AQ384)</f>
        <v>-216</v>
      </c>
      <c r="AL344">
        <f>IF('РЕЕСТР РИСКОВ_2023'!AR384="",AL343,'РЕЕСТР РИСКОВ_2023'!AR384)</f>
        <v>0.12</v>
      </c>
      <c r="AM344" t="str">
        <f>IF('РЕЕСТР РИСКОВ_2023'!AS384="",AM343,'РЕЕСТР РИСКОВ_2023'!AS384)</f>
        <v>стоп</v>
      </c>
      <c r="AN344" t="str">
        <f>IF('РЕЕСТР РИСКОВ_2023'!AT384="",AN343,'РЕЕСТР РИСКОВ_2023'!AT384)</f>
        <v>стоп</v>
      </c>
      <c r="AO344" t="e">
        <f>IF('РЕЕСТР РИСКОВ_2023'!AU384="",AO343,'РЕЕСТР РИСКОВ_2023'!AU384)</f>
        <v>#REF!</v>
      </c>
    </row>
    <row r="345" spans="2:41">
      <c r="B345" t="str">
        <f>IF('INHERENT MAP'!$B$5=2021,IF('РЕЕСТР РИСКОВ_2023'!F385="",B344,'РЕЕСТР РИСКОВ_2023'!F385),IF('INHERENT MAP'!$B$5=2022,IF(#REF!="",B344,#REF!),IF('INHERENT MAP'!$B$5=2023,IF(#REF!="",B344,#REF!),IF('INHERENT MAP'!$B$5=2024,IF(#REF!="",B344,#REF!),IF('РЕЕСТР РИСКОВ_2023'!F385="",B344,'РЕЕСТР РИСКОВ_2023'!F385)))))</f>
        <v>ПРОЦЕНТНЫЙ РИСК</v>
      </c>
      <c r="C345" t="e">
        <f>IF('INHERENT MAP'!$B$5=2021,IF('РЕЕСТР РИСКОВ_2023'!G385="",C344,'РЕЕСТР РИСКОВ_2023'!G385),IF('INHERENT MAP'!$B$5=2022,IF(#REF!="",C344,#REF!),IF('INHERENT MAP'!$B$5=2023,IF(#REF!="",C344,#REF!),IF('INHERENT MAP'!$B$5=2024,IF(#REF!="",C344,#REF!),IF('РЕЕСТР РИСКОВ_2023'!G385="",C344,'РЕЕСТР РИСКОВ_2023'!G385)))))</f>
        <v>#REF!</v>
      </c>
      <c r="D345" t="str">
        <f>IF('INHERENT MAP'!$B$5=2021,IF('РЕЕСТР РИСКОВ_2023'!H385="",D344,'РЕЕСТР РИСКОВ_2023'!H385),IF('INHERENT MAP'!$B$5=2022,IF(#REF!="",D344,#REF!),IF('INHERENT MAP'!$B$5=2023,IF(#REF!="",D344,#REF!),IF('INHERENT MAP'!$B$5=2024,IF(#REF!="",D344,#REF!),IF('РЕЕСТР РИСКОВ_2023'!H385="",D344,'РЕЕСТР РИСКОВ_2023'!H385)))))</f>
        <v>IRR-1</v>
      </c>
      <c r="E345" t="str">
        <f>IF('INHERENT MAP'!$B$5=2021,IF('РЕЕСТР РИСКОВ_2023'!I385="",E344,'РЕЕСТР РИСКОВ_2023'!I385),IF('INHERENT MAP'!$B$5=2022,IF(#REF!="",E344,#REF!),IF('INHERENT MAP'!$B$5=2023,IF(#REF!="",E344,#REF!),IF('INHERENT MAP'!$B$5=2024,IF(#REF!="",E344,#REF!),IF('РЕЕСТР РИСКОВ_2023'!I385="",E344,'РЕЕСТР РИСКОВ_2023'!I385)))))</f>
        <v>ЦЗФ</v>
      </c>
      <c r="F345" t="str">
        <f>IF('INHERENT MAP'!$B$5=2021,IF('РЕЕСТР РИСКОВ_2023'!J385="",F344,'РЕЕСТР РИСКОВ_2023'!J385),IF('INHERENT MAP'!$B$5=2022,IF(#REF!="",F344,#REF!),IF('INHERENT MAP'!$B$5=2023,IF(#REF!="",F344,#REF!),IF('INHERENT MAP'!$B$5=2024,IF(#REF!="",F344,#REF!),IF('РЕЕСТР РИСКОВ_2023'!J385="",F344,'РЕЕСТР РИСКОВ_2023'!J385)))))</f>
        <v>Цзайм</v>
      </c>
      <c r="G345" t="str">
        <f>IF('INHERENT MAP'!$B$5=2021,IF('РЕЕСТР РИСКОВ_2023'!K385="",G344,'РЕЕСТР РИСКОВ_2023'!K385),IF('INHERENT MAP'!$B$5=2022,IF(#REF!="",G344,#REF!),IF('INHERENT MAP'!$B$5=2023,IF(#REF!="",G344,#REF!),IF('INHERENT MAP'!$B$5=2024,IF(#REF!="",G344,#REF!),IF('РЕЕСТР РИСКОВ_2023'!K385="",G344,'РЕЕСТР РИСКОВ_2023'!K385)))))</f>
        <v>Увеличение расходов по процентам на новые займы, а также текущие займы (с плавающей ставкой) в тенге.</v>
      </c>
      <c r="H345">
        <f>IF('INHERENT MAP'!$B$5=2021,'РЕЕСТР РИСКОВ_2023'!L385,IF('INHERENT MAP'!$B$5=2022,#REF!,IF('INHERENT MAP'!$B$5=2023,#REF!,IF('INHERENT MAP'!$B$5=2024,#REF!,#REF!))))</f>
        <v>0</v>
      </c>
      <c r="I345">
        <f>IF('INHERENT MAP'!$B$5=2021,'РЕЕСТР РИСКОВ_2023'!M385,IF('INHERENT MAP'!$B$5=2022,#REF!,IF('INHERENT MAP'!$B$5=2023,#REF!,IF('INHERENT MAP'!$B$5=2024,#REF!,#REF!))))</f>
        <v>0</v>
      </c>
      <c r="J345">
        <f>IF('INHERENT MAP'!$B$5=2021,'РЕЕСТР РИСКОВ_2023'!N385,IF('INHERENT MAP'!$B$5=2022,#REF!,IF('INHERENT MAP'!$B$5=2023,#REF!,IF('INHERENT MAP'!$B$5=2024,#REF!,#REF!))))</f>
        <v>0</v>
      </c>
      <c r="K345">
        <f>IF('INHERENT MAP'!$B$5=2021,'РЕЕСТР РИСКОВ_2023'!O385,IF('INHERENT MAP'!$B$5=2022,#REF!,IF('INHERENT MAP'!$B$5=2023,#REF!,IF('INHERENT MAP'!$B$5=2024,#REF!,#REF!))))</f>
        <v>0</v>
      </c>
      <c r="L345">
        <f>IF('INHERENT MAP'!$B$5=2021,'РЕЕСТР РИСКОВ_2023'!P385,IF('INHERENT MAP'!$B$5=2022,#REF!,IF('INHERENT MAP'!$B$5=2023,#REF!,IF('INHERENT MAP'!$B$5=2024,#REF!,#REF!))))</f>
        <v>0</v>
      </c>
      <c r="M345" t="str">
        <f>IF('INHERENT MAP'!$B$5=2021,IF('РЕЕСТР РИСКОВ_2023'!Q385="",M344,'РЕЕСТР РИСКОВ_2023'!Q385),IF('INHERENT MAP'!$B$5=2022,IF(#REF!="",M344,#REF!),IF('INHERENT MAP'!$B$5=2023,IF(#REF!="",M344,#REF!),IF('INHERENT MAP'!$B$5=2024,IF(#REF!="",M344,#REF!),IF('РЕЕСТР РИСКОВ_2023'!Q385="",M344,'РЕЕСТР РИСКОВ_2023'!Q385)))))</f>
        <v>Увеличение базовой ставки Национального банка Республики Казахстан до 16%</v>
      </c>
      <c r="N345" t="str">
        <f>IF('INHERENT MAP'!$B$5=2021,IF('РЕЕСТР РИСКОВ_2023'!R385="",N344,'РЕЕСТР РИСКОВ_2023'!R385),IF('INHERENT MAP'!$B$5=2022,IF(#REF!="",N344,#REF!),IF('INHERENT MAP'!$B$5=2023,IF(#REF!="",N344,#REF!),IF('INHERENT MAP'!$B$5=2024,IF(#REF!="",N344,#REF!),IF('РЕЕСТР РИСКОВ_2023'!R385="",N344,'РЕЕСТР РИСКОВ_2023'!R385)))))</f>
        <v>Рецессия экономики европейских стран</v>
      </c>
      <c r="O345">
        <f>'РЕЕСТР РИСКОВ_2023'!T385</f>
        <v>0</v>
      </c>
      <c r="P345" t="e">
        <f>IF('РЕЕСТР РИСКОВ_2023'!U385="",P344,'РЕЕСТР РИСКОВ_2023'!U385)</f>
        <v>#REF!</v>
      </c>
      <c r="Q345" t="str">
        <f>IF('РЕЕСТР РИСКОВ_2023'!V385="",Q344,'РЕЕСТР РИСКОВ_2023'!V385)</f>
        <v>Угрозы</v>
      </c>
      <c r="R345" t="e">
        <f>IF('РЕЕСТР РИСКОВ_2023'!W385="",R344,'РЕЕСТР РИСКОВ_2023'!W385)</f>
        <v>#REF!</v>
      </c>
      <c r="S345">
        <f>'РЕЕСТР РИСКОВ_2023'!X385</f>
        <v>0</v>
      </c>
      <c r="T345" s="94">
        <f>IF('INHERENT MAP'!$B$5=2021,'РЕЕСТР РИСКОВ_2023'!Y385,IF('INHERENT MAP'!$B$5=2022,#REF!,IF('INHERENT MAP'!$B$5=2023,#REF!,IF('INHERENT MAP'!$B$5=2024,#REF!,#REF!))))</f>
        <v>0</v>
      </c>
      <c r="U345">
        <f>IF('INHERENT MAP'!$B$5=2021,'РЕЕСТР РИСКОВ_2023'!Z385,IF('INHERENT MAP'!$B$5=2022,#REF!,IF('INHERENT MAP'!$B$5=2023,#REF!,IF('INHERENT MAP'!$B$5=2024,#REF!,#REF!))))</f>
        <v>0</v>
      </c>
      <c r="V345">
        <f>IF('INHERENT MAP'!$B$5=2021,'РЕЕСТР РИСКОВ_2023'!AA385,IF('INHERENT MAP'!$B$5=2022,#REF!,IF('INHERENT MAP'!$B$5=2023,#REF!,IF('INHERENT MAP'!$B$5=2024,#REF!,#REF!))))</f>
        <v>0</v>
      </c>
      <c r="W345">
        <f>IF('INHERENT MAP'!$B$5=2021,'РЕЕСТР РИСКОВ_2023'!AB385,IF('INHERENT MAP'!$B$5=2022,#REF!,IF('INHERENT MAP'!$B$5=2023,#REF!,IF('INHERENT MAP'!$B$5=2024,#REF!,#REF!))))</f>
        <v>0</v>
      </c>
      <c r="X345" s="94">
        <f>IF('INHERENT MAP'!$B$5=2021,'РЕЕСТР РИСКОВ_2023'!AC385,IF('INHERENT MAP'!$B$5=2022,#REF!,IF('INHERENT MAP'!$B$5=2023,#REF!,IF('INHERENT MAP'!$B$5=2024,#REF!,#REF!))))</f>
        <v>0</v>
      </c>
      <c r="Y345">
        <f>IF('INHERENT MAP'!$B$5=2021,'РЕЕСТР РИСКОВ_2023'!AD385,IF('INHERENT MAP'!$B$5=2022,#REF!,IF('INHERENT MAP'!$B$5=2023,#REF!,IF('INHERENT MAP'!$B$5=2024,#REF!,#REF!))))</f>
        <v>0</v>
      </c>
      <c r="Z345">
        <f>IF('INHERENT MAP'!$B$5=2021,'РЕЕСТР РИСКОВ_2023'!AE385,IF('INHERENT MAP'!$B$5=2022,#REF!,IF('INHERENT MAP'!$B$5=2023,#REF!,IF('INHERENT MAP'!$B$5=2024,#REF!,#REF!))))</f>
        <v>0</v>
      </c>
      <c r="AA345">
        <f>IF('INHERENT MAP'!$B$5=2021,'РЕЕСТР РИСКОВ_2023'!AF385,IF('INHERENT MAP'!$B$5=2022,#REF!,IF('INHERENT MAP'!$B$5=2023,#REF!,IF('INHERENT MAP'!$B$5=2024,#REF!,#REF!))))</f>
        <v>0</v>
      </c>
      <c r="AB345">
        <f>IF('INHERENT MAP'!$B$5=2021,'РЕЕСТР РИСКОВ_2023'!AG385,IF('INHERENT MAP'!$B$5=2022,#REF!,IF('INHERENT MAP'!$B$5=2023,#REF!,IF('INHERENT MAP'!$B$5=2024,#REF!,#REF!))))</f>
        <v>0</v>
      </c>
      <c r="AC345">
        <f>IF('INHERENT MAP'!$B$5=2021,'РЕЕСТР РИСКОВ_2023'!AH385,IF('INHERENT MAP'!$B$5=2022,#REF!,IF('INHERENT MAP'!$B$5=2023,#REF!,IF('INHERENT MAP'!$B$5=2024,#REF!,#REF!))))</f>
        <v>0</v>
      </c>
      <c r="AD345">
        <f>IF('INHERENT MAP'!$B$5=2021,'РЕЕСТР РИСКОВ_2023'!AI385,IF('INHERENT MAP'!$B$5=2022,#REF!,IF('INHERENT MAP'!$B$5=2023,#REF!,IF('INHERENT MAP'!$B$5=2024,#REF!,#REF!))))</f>
        <v>0</v>
      </c>
      <c r="AE345">
        <f>IF('INHERENT MAP'!$B$5=2021,'РЕЕСТР РИСКОВ_2023'!AK385,IF('INHERENT MAP'!$B$5=2022,#REF!,IF('INHERENT MAP'!$B$5=2023,#REF!,IF('INHERENT MAP'!$B$5=2024,#REF!,#REF!))))</f>
        <v>0</v>
      </c>
      <c r="AF345">
        <f>IF('INHERENT MAP'!$B$5=2021,'РЕЕСТР РИСКОВ_2023'!AL385,IF('INHERENT MAP'!$B$5=2022,#REF!,IF('INHERENT MAP'!$B$5=2023,#REF!,IF('INHERENT MAP'!$B$5=2024,#REF!,#REF!))))</f>
        <v>0</v>
      </c>
      <c r="AG345">
        <f>IF('INHERENT MAP'!$B$5=2021,'РЕЕСТР РИСКОВ_2023'!AM385,IF('INHERENT MAP'!$B$5=2022,#REF!,IF('INHERENT MAP'!$B$5=2023,#REF!,IF('INHERENT MAP'!$B$5=2024,#REF!,#REF!))))</f>
        <v>0</v>
      </c>
      <c r="AH345">
        <f>IF('INHERENT MAP'!$B$5=2021,'РЕЕСТР РИСКОВ_2023'!AN385,IF('INHERENT MAP'!$B$5=2022,#REF!,IF('INHERENT MAP'!$B$5=2023,#REF!,IF('INHERENT MAP'!$B$5=2024,#REF!,#REF!))))</f>
        <v>0</v>
      </c>
      <c r="AI345">
        <f>IF('INHERENT MAP'!$B$5=2021,'РЕЕСТР РИСКОВ_2023'!AO385,IF('INHERENT MAP'!$B$5=2022,#REF!,IF('INHERENT MAP'!$B$5=2023,#REF!,IF('INHERENT MAP'!$B$5=2024,#REF!,#REF!))))</f>
        <v>0</v>
      </c>
      <c r="AJ345">
        <f>IF('INHERENT MAP'!$B$5=2021,'РЕЕСТР РИСКОВ_2023'!AP385,IF('INHERENT MAP'!$B$5=2022,#REF!,IF('INHERENT MAP'!$B$5=2023,#REF!,IF('INHERENT MAP'!$B$5=2024,#REF!,#REF!))))</f>
        <v>0</v>
      </c>
      <c r="AK345">
        <f>IF('РЕЕСТР РИСКОВ_2023'!AQ385="",AK344,'РЕЕСТР РИСКОВ_2023'!AQ385)</f>
        <v>-216</v>
      </c>
      <c r="AL345">
        <f>IF('РЕЕСТР РИСКОВ_2023'!AR385="",AL344,'РЕЕСТР РИСКОВ_2023'!AR385)</f>
        <v>0.12</v>
      </c>
      <c r="AM345" t="str">
        <f>IF('РЕЕСТР РИСКОВ_2023'!AS385="",AM344,'РЕЕСТР РИСКОВ_2023'!AS385)</f>
        <v>стоп</v>
      </c>
      <c r="AN345" t="str">
        <f>IF('РЕЕСТР РИСКОВ_2023'!AT385="",AN344,'РЕЕСТР РИСКОВ_2023'!AT385)</f>
        <v>стоп</v>
      </c>
      <c r="AO345" t="e">
        <f>IF('РЕЕСТР РИСКОВ_2023'!AU385="",AO344,'РЕЕСТР РИСКОВ_2023'!AU385)</f>
        <v>#REF!</v>
      </c>
    </row>
    <row r="346" spans="2:41">
      <c r="B346" t="str">
        <f>IF('INHERENT MAP'!$B$5=2021,IF('РЕЕСТР РИСКОВ_2023'!F386="",B345,'РЕЕСТР РИСКОВ_2023'!F386),IF('INHERENT MAP'!$B$5=2022,IF(#REF!="",B345,#REF!),IF('INHERENT MAP'!$B$5=2023,IF(#REF!="",B345,#REF!),IF('INHERENT MAP'!$B$5=2024,IF(#REF!="",B345,#REF!),IF('РЕЕСТР РИСКОВ_2023'!F386="",B345,'РЕЕСТР РИСКОВ_2023'!F386)))))</f>
        <v>ПРОЦЕНТНЫЙ РИСК</v>
      </c>
      <c r="C346" t="e">
        <f>IF('INHERENT MAP'!$B$5=2021,IF('РЕЕСТР РИСКОВ_2023'!G386="",C345,'РЕЕСТР РИСКОВ_2023'!G386),IF('INHERENT MAP'!$B$5=2022,IF(#REF!="",C345,#REF!),IF('INHERENT MAP'!$B$5=2023,IF(#REF!="",C345,#REF!),IF('INHERENT MAP'!$B$5=2024,IF(#REF!="",C345,#REF!),IF('РЕЕСТР РИСКОВ_2023'!G386="",C345,'РЕЕСТР РИСКОВ_2023'!G386)))))</f>
        <v>#REF!</v>
      </c>
      <c r="D346" t="str">
        <f>IF('INHERENT MAP'!$B$5=2021,IF('РЕЕСТР РИСКОВ_2023'!H386="",D345,'РЕЕСТР РИСКОВ_2023'!H386),IF('INHERENT MAP'!$B$5=2022,IF(#REF!="",D345,#REF!),IF('INHERENT MAP'!$B$5=2023,IF(#REF!="",D345,#REF!),IF('INHERENT MAP'!$B$5=2024,IF(#REF!="",D345,#REF!),IF('РЕЕСТР РИСКОВ_2023'!H386="",D345,'РЕЕСТР РИСКОВ_2023'!H386)))))</f>
        <v>IRR-1</v>
      </c>
      <c r="E346" t="str">
        <f>IF('INHERENT MAP'!$B$5=2021,IF('РЕЕСТР РИСКОВ_2023'!I386="",E345,'РЕЕСТР РИСКОВ_2023'!I386),IF('INHERENT MAP'!$B$5=2022,IF(#REF!="",E345,#REF!),IF('INHERENT MAP'!$B$5=2023,IF(#REF!="",E345,#REF!),IF('INHERENT MAP'!$B$5=2024,IF(#REF!="",E345,#REF!),IF('РЕЕСТР РИСКОВ_2023'!I386="",E345,'РЕЕСТР РИСКОВ_2023'!I386)))))</f>
        <v>ЦЗФ</v>
      </c>
      <c r="F346" t="str">
        <f>IF('INHERENT MAP'!$B$5=2021,IF('РЕЕСТР РИСКОВ_2023'!J386="",F345,'РЕЕСТР РИСКОВ_2023'!J386),IF('INHERENT MAP'!$B$5=2022,IF(#REF!="",F345,#REF!),IF('INHERENT MAP'!$B$5=2023,IF(#REF!="",F345,#REF!),IF('INHERENT MAP'!$B$5=2024,IF(#REF!="",F345,#REF!),IF('РЕЕСТР РИСКОВ_2023'!J386="",F345,'РЕЕСТР РИСКОВ_2023'!J386)))))</f>
        <v>Цзайм</v>
      </c>
      <c r="G346" t="str">
        <f>IF('INHERENT MAP'!$B$5=2021,IF('РЕЕСТР РИСКОВ_2023'!K386="",G345,'РЕЕСТР РИСКОВ_2023'!K386),IF('INHERENT MAP'!$B$5=2022,IF(#REF!="",G345,#REF!),IF('INHERENT MAP'!$B$5=2023,IF(#REF!="",G345,#REF!),IF('INHERENT MAP'!$B$5=2024,IF(#REF!="",G345,#REF!),IF('РЕЕСТР РИСКОВ_2023'!K386="",G345,'РЕЕСТР РИСКОВ_2023'!K386)))))</f>
        <v>Увеличение расходов по процентам на новые займы, а также текущие займы (с плавающей ставкой) в тенге.</v>
      </c>
      <c r="H346">
        <f>IF('INHERENT MAP'!$B$5=2021,'РЕЕСТР РИСКОВ_2023'!L386,IF('INHERENT MAP'!$B$5=2022,#REF!,IF('INHERENT MAP'!$B$5=2023,#REF!,IF('INHERENT MAP'!$B$5=2024,#REF!,#REF!))))</f>
        <v>0</v>
      </c>
      <c r="I346">
        <f>IF('INHERENT MAP'!$B$5=2021,'РЕЕСТР РИСКОВ_2023'!M386,IF('INHERENT MAP'!$B$5=2022,#REF!,IF('INHERENT MAP'!$B$5=2023,#REF!,IF('INHERENT MAP'!$B$5=2024,#REF!,#REF!))))</f>
        <v>0</v>
      </c>
      <c r="J346">
        <f>IF('INHERENT MAP'!$B$5=2021,'РЕЕСТР РИСКОВ_2023'!N386,IF('INHERENT MAP'!$B$5=2022,#REF!,IF('INHERENT MAP'!$B$5=2023,#REF!,IF('INHERENT MAP'!$B$5=2024,#REF!,#REF!))))</f>
        <v>0</v>
      </c>
      <c r="K346">
        <f>IF('INHERENT MAP'!$B$5=2021,'РЕЕСТР РИСКОВ_2023'!O386,IF('INHERENT MAP'!$B$5=2022,#REF!,IF('INHERENT MAP'!$B$5=2023,#REF!,IF('INHERENT MAP'!$B$5=2024,#REF!,#REF!))))</f>
        <v>0</v>
      </c>
      <c r="L346">
        <f>IF('INHERENT MAP'!$B$5=2021,'РЕЕСТР РИСКОВ_2023'!P386,IF('INHERENT MAP'!$B$5=2022,#REF!,IF('INHERENT MAP'!$B$5=2023,#REF!,IF('INHERENT MAP'!$B$5=2024,#REF!,#REF!))))</f>
        <v>0</v>
      </c>
      <c r="M346" t="str">
        <f>IF('INHERENT MAP'!$B$5=2021,IF('РЕЕСТР РИСКОВ_2023'!Q386="",M345,'РЕЕСТР РИСКОВ_2023'!Q386),IF('INHERENT MAP'!$B$5=2022,IF(#REF!="",M345,#REF!),IF('INHERENT MAP'!$B$5=2023,IF(#REF!="",M345,#REF!),IF('INHERENT MAP'!$B$5=2024,IF(#REF!="",M345,#REF!),IF('РЕЕСТР РИСКОВ_2023'!Q386="",M345,'РЕЕСТР РИСКОВ_2023'!Q386)))))</f>
        <v>Увеличение базовой ставки Национального банка Республики Казахстан до 16%</v>
      </c>
      <c r="N346" t="str">
        <f>IF('INHERENT MAP'!$B$5=2021,IF('РЕЕСТР РИСКОВ_2023'!R386="",N345,'РЕЕСТР РИСКОВ_2023'!R386),IF('INHERENT MAP'!$B$5=2022,IF(#REF!="",N345,#REF!),IF('INHERENT MAP'!$B$5=2023,IF(#REF!="",N345,#REF!),IF('INHERENT MAP'!$B$5=2024,IF(#REF!="",N345,#REF!),IF('РЕЕСТР РИСКОВ_2023'!R386="",N345,'РЕЕСТР РИСКОВ_2023'!R386)))))</f>
        <v>Рецессия экономики европейских стран</v>
      </c>
      <c r="O346">
        <f>'РЕЕСТР РИСКОВ_2023'!T386</f>
        <v>0</v>
      </c>
      <c r="P346" t="e">
        <f>IF('РЕЕСТР РИСКОВ_2023'!U386="",P345,'РЕЕСТР РИСКОВ_2023'!U386)</f>
        <v>#REF!</v>
      </c>
      <c r="Q346" t="str">
        <f>IF('РЕЕСТР РИСКОВ_2023'!V386="",Q345,'РЕЕСТР РИСКОВ_2023'!V386)</f>
        <v>Угрозы</v>
      </c>
      <c r="R346" t="e">
        <f>IF('РЕЕСТР РИСКОВ_2023'!W386="",R345,'РЕЕСТР РИСКОВ_2023'!W386)</f>
        <v>#REF!</v>
      </c>
      <c r="S346">
        <f>'РЕЕСТР РИСКОВ_2023'!X386</f>
        <v>0</v>
      </c>
      <c r="T346" s="94">
        <f>IF('INHERENT MAP'!$B$5=2021,'РЕЕСТР РИСКОВ_2023'!Y386,IF('INHERENT MAP'!$B$5=2022,#REF!,IF('INHERENT MAP'!$B$5=2023,#REF!,IF('INHERENT MAP'!$B$5=2024,#REF!,#REF!))))</f>
        <v>0</v>
      </c>
      <c r="U346">
        <f>IF('INHERENT MAP'!$B$5=2021,'РЕЕСТР РИСКОВ_2023'!Z386,IF('INHERENT MAP'!$B$5=2022,#REF!,IF('INHERENT MAP'!$B$5=2023,#REF!,IF('INHERENT MAP'!$B$5=2024,#REF!,#REF!))))</f>
        <v>0</v>
      </c>
      <c r="V346">
        <f>IF('INHERENT MAP'!$B$5=2021,'РЕЕСТР РИСКОВ_2023'!AA386,IF('INHERENT MAP'!$B$5=2022,#REF!,IF('INHERENT MAP'!$B$5=2023,#REF!,IF('INHERENT MAP'!$B$5=2024,#REF!,#REF!))))</f>
        <v>0</v>
      </c>
      <c r="W346">
        <f>IF('INHERENT MAP'!$B$5=2021,'РЕЕСТР РИСКОВ_2023'!AB386,IF('INHERENT MAP'!$B$5=2022,#REF!,IF('INHERENT MAP'!$B$5=2023,#REF!,IF('INHERENT MAP'!$B$5=2024,#REF!,#REF!))))</f>
        <v>0</v>
      </c>
      <c r="X346" s="94">
        <f>IF('INHERENT MAP'!$B$5=2021,'РЕЕСТР РИСКОВ_2023'!AC386,IF('INHERENT MAP'!$B$5=2022,#REF!,IF('INHERENT MAP'!$B$5=2023,#REF!,IF('INHERENT MAP'!$B$5=2024,#REF!,#REF!))))</f>
        <v>0</v>
      </c>
      <c r="Y346">
        <f>IF('INHERENT MAP'!$B$5=2021,'РЕЕСТР РИСКОВ_2023'!AD386,IF('INHERENT MAP'!$B$5=2022,#REF!,IF('INHERENT MAP'!$B$5=2023,#REF!,IF('INHERENT MAP'!$B$5=2024,#REF!,#REF!))))</f>
        <v>0</v>
      </c>
      <c r="Z346">
        <f>IF('INHERENT MAP'!$B$5=2021,'РЕЕСТР РИСКОВ_2023'!AE386,IF('INHERENT MAP'!$B$5=2022,#REF!,IF('INHERENT MAP'!$B$5=2023,#REF!,IF('INHERENT MAP'!$B$5=2024,#REF!,#REF!))))</f>
        <v>0</v>
      </c>
      <c r="AA346">
        <f>IF('INHERENT MAP'!$B$5=2021,'РЕЕСТР РИСКОВ_2023'!AF386,IF('INHERENT MAP'!$B$5=2022,#REF!,IF('INHERENT MAP'!$B$5=2023,#REF!,IF('INHERENT MAP'!$B$5=2024,#REF!,#REF!))))</f>
        <v>0</v>
      </c>
      <c r="AB346">
        <f>IF('INHERENT MAP'!$B$5=2021,'РЕЕСТР РИСКОВ_2023'!AG386,IF('INHERENT MAP'!$B$5=2022,#REF!,IF('INHERENT MAP'!$B$5=2023,#REF!,IF('INHERENT MAP'!$B$5=2024,#REF!,#REF!))))</f>
        <v>0</v>
      </c>
      <c r="AC346">
        <f>IF('INHERENT MAP'!$B$5=2021,'РЕЕСТР РИСКОВ_2023'!AH386,IF('INHERENT MAP'!$B$5=2022,#REF!,IF('INHERENT MAP'!$B$5=2023,#REF!,IF('INHERENT MAP'!$B$5=2024,#REF!,#REF!))))</f>
        <v>0</v>
      </c>
      <c r="AD346">
        <f>IF('INHERENT MAP'!$B$5=2021,'РЕЕСТР РИСКОВ_2023'!AI386,IF('INHERENT MAP'!$B$5=2022,#REF!,IF('INHERENT MAP'!$B$5=2023,#REF!,IF('INHERENT MAP'!$B$5=2024,#REF!,#REF!))))</f>
        <v>0</v>
      </c>
      <c r="AE346">
        <f>IF('INHERENT MAP'!$B$5=2021,'РЕЕСТР РИСКОВ_2023'!AK386,IF('INHERENT MAP'!$B$5=2022,#REF!,IF('INHERENT MAP'!$B$5=2023,#REF!,IF('INHERENT MAP'!$B$5=2024,#REF!,#REF!))))</f>
        <v>0</v>
      </c>
      <c r="AF346">
        <f>IF('INHERENT MAP'!$B$5=2021,'РЕЕСТР РИСКОВ_2023'!AL386,IF('INHERENT MAP'!$B$5=2022,#REF!,IF('INHERENT MAP'!$B$5=2023,#REF!,IF('INHERENT MAP'!$B$5=2024,#REF!,#REF!))))</f>
        <v>0</v>
      </c>
      <c r="AG346">
        <f>IF('INHERENT MAP'!$B$5=2021,'РЕЕСТР РИСКОВ_2023'!AM386,IF('INHERENT MAP'!$B$5=2022,#REF!,IF('INHERENT MAP'!$B$5=2023,#REF!,IF('INHERENT MAP'!$B$5=2024,#REF!,#REF!))))</f>
        <v>0</v>
      </c>
      <c r="AH346">
        <f>IF('INHERENT MAP'!$B$5=2021,'РЕЕСТР РИСКОВ_2023'!AN386,IF('INHERENT MAP'!$B$5=2022,#REF!,IF('INHERENT MAP'!$B$5=2023,#REF!,IF('INHERENT MAP'!$B$5=2024,#REF!,#REF!))))</f>
        <v>0</v>
      </c>
      <c r="AI346">
        <f>IF('INHERENT MAP'!$B$5=2021,'РЕЕСТР РИСКОВ_2023'!AO386,IF('INHERENT MAP'!$B$5=2022,#REF!,IF('INHERENT MAP'!$B$5=2023,#REF!,IF('INHERENT MAP'!$B$5=2024,#REF!,#REF!))))</f>
        <v>0</v>
      </c>
      <c r="AJ346">
        <f>IF('INHERENT MAP'!$B$5=2021,'РЕЕСТР РИСКОВ_2023'!AP386,IF('INHERENT MAP'!$B$5=2022,#REF!,IF('INHERENT MAP'!$B$5=2023,#REF!,IF('INHERENT MAP'!$B$5=2024,#REF!,#REF!))))</f>
        <v>0</v>
      </c>
      <c r="AK346">
        <f>IF('РЕЕСТР РИСКОВ_2023'!AQ386="",AK345,'РЕЕСТР РИСКОВ_2023'!AQ386)</f>
        <v>-216</v>
      </c>
      <c r="AL346">
        <f>IF('РЕЕСТР РИСКОВ_2023'!AR386="",AL345,'РЕЕСТР РИСКОВ_2023'!AR386)</f>
        <v>0.12</v>
      </c>
      <c r="AM346" t="str">
        <f>IF('РЕЕСТР РИСКОВ_2023'!AS386="",AM345,'РЕЕСТР РИСКОВ_2023'!AS386)</f>
        <v>стоп</v>
      </c>
      <c r="AN346" t="str">
        <f>IF('РЕЕСТР РИСКОВ_2023'!AT386="",AN345,'РЕЕСТР РИСКОВ_2023'!AT386)</f>
        <v>стоп</v>
      </c>
      <c r="AO346" t="e">
        <f>IF('РЕЕСТР РИСКОВ_2023'!AU386="",AO345,'РЕЕСТР РИСКОВ_2023'!AU386)</f>
        <v>#REF!</v>
      </c>
    </row>
    <row r="347" spans="2:41">
      <c r="B347" t="str">
        <f>IF('INHERENT MAP'!$B$5=2021,IF('РЕЕСТР РИСКОВ_2023'!F387="",B346,'РЕЕСТР РИСКОВ_2023'!F387),IF('INHERENT MAP'!$B$5=2022,IF(#REF!="",B346,#REF!),IF('INHERENT MAP'!$B$5=2023,IF(#REF!="",B346,#REF!),IF('INHERENT MAP'!$B$5=2024,IF(#REF!="",B346,#REF!),IF('РЕЕСТР РИСКОВ_2023'!F387="",B346,'РЕЕСТР РИСКОВ_2023'!F387)))))</f>
        <v>ПРОЦЕНТНЫЙ РИСК</v>
      </c>
      <c r="C347" t="e">
        <f>IF('INHERENT MAP'!$B$5=2021,IF('РЕЕСТР РИСКОВ_2023'!G387="",C346,'РЕЕСТР РИСКОВ_2023'!G387),IF('INHERENT MAP'!$B$5=2022,IF(#REF!="",C346,#REF!),IF('INHERENT MAP'!$B$5=2023,IF(#REF!="",C346,#REF!),IF('INHERENT MAP'!$B$5=2024,IF(#REF!="",C346,#REF!),IF('РЕЕСТР РИСКОВ_2023'!G387="",C346,'РЕЕСТР РИСКОВ_2023'!G387)))))</f>
        <v>#REF!</v>
      </c>
      <c r="D347" t="str">
        <f>IF('INHERENT MAP'!$B$5=2021,IF('РЕЕСТР РИСКОВ_2023'!H387="",D346,'РЕЕСТР РИСКОВ_2023'!H387),IF('INHERENT MAP'!$B$5=2022,IF(#REF!="",D346,#REF!),IF('INHERENT MAP'!$B$5=2023,IF(#REF!="",D346,#REF!),IF('INHERENT MAP'!$B$5=2024,IF(#REF!="",D346,#REF!),IF('РЕЕСТР РИСКОВ_2023'!H387="",D346,'РЕЕСТР РИСКОВ_2023'!H387)))))</f>
        <v>IRR-1</v>
      </c>
      <c r="E347" t="str">
        <f>IF('INHERENT MAP'!$B$5=2021,IF('РЕЕСТР РИСКОВ_2023'!I387="",E346,'РЕЕСТР РИСКОВ_2023'!I387),IF('INHERENT MAP'!$B$5=2022,IF(#REF!="",E346,#REF!),IF('INHERENT MAP'!$B$5=2023,IF(#REF!="",E346,#REF!),IF('INHERENT MAP'!$B$5=2024,IF(#REF!="",E346,#REF!),IF('РЕЕСТР РИСКОВ_2023'!I387="",E346,'РЕЕСТР РИСКОВ_2023'!I387)))))</f>
        <v>ЦЗФ</v>
      </c>
      <c r="F347" t="str">
        <f>IF('INHERENT MAP'!$B$5=2021,IF('РЕЕСТР РИСКОВ_2023'!J387="",F346,'РЕЕСТР РИСКОВ_2023'!J387),IF('INHERENT MAP'!$B$5=2022,IF(#REF!="",F346,#REF!),IF('INHERENT MAP'!$B$5=2023,IF(#REF!="",F346,#REF!),IF('INHERENT MAP'!$B$5=2024,IF(#REF!="",F346,#REF!),IF('РЕЕСТР РИСКОВ_2023'!J387="",F346,'РЕЕСТР РИСКОВ_2023'!J387)))))</f>
        <v>Цзайм</v>
      </c>
      <c r="G347" t="str">
        <f>IF('INHERENT MAP'!$B$5=2021,IF('РЕЕСТР РИСКОВ_2023'!K387="",G346,'РЕЕСТР РИСКОВ_2023'!K387),IF('INHERENT MAP'!$B$5=2022,IF(#REF!="",G346,#REF!),IF('INHERENT MAP'!$B$5=2023,IF(#REF!="",G346,#REF!),IF('INHERENT MAP'!$B$5=2024,IF(#REF!="",G346,#REF!),IF('РЕЕСТР РИСКОВ_2023'!K387="",G346,'РЕЕСТР РИСКОВ_2023'!K387)))))</f>
        <v>Увеличение расходов по процентам на новые займы, а также текущие займы (с плавающей ставкой) в тенге.</v>
      </c>
      <c r="H347">
        <f>IF('INHERENT MAP'!$B$5=2021,'РЕЕСТР РИСКОВ_2023'!L387,IF('INHERENT MAP'!$B$5=2022,#REF!,IF('INHERENT MAP'!$B$5=2023,#REF!,IF('INHERENT MAP'!$B$5=2024,#REF!,#REF!))))</f>
        <v>0</v>
      </c>
      <c r="I347">
        <f>IF('INHERENT MAP'!$B$5=2021,'РЕЕСТР РИСКОВ_2023'!M387,IF('INHERENT MAP'!$B$5=2022,#REF!,IF('INHERENT MAP'!$B$5=2023,#REF!,IF('INHERENT MAP'!$B$5=2024,#REF!,#REF!))))</f>
        <v>0</v>
      </c>
      <c r="J347">
        <f>IF('INHERENT MAP'!$B$5=2021,'РЕЕСТР РИСКОВ_2023'!N387,IF('INHERENT MAP'!$B$5=2022,#REF!,IF('INHERENT MAP'!$B$5=2023,#REF!,IF('INHERENT MAP'!$B$5=2024,#REF!,#REF!))))</f>
        <v>0</v>
      </c>
      <c r="K347">
        <f>IF('INHERENT MAP'!$B$5=2021,'РЕЕСТР РИСКОВ_2023'!O387,IF('INHERENT MAP'!$B$5=2022,#REF!,IF('INHERENT MAP'!$B$5=2023,#REF!,IF('INHERENT MAP'!$B$5=2024,#REF!,#REF!))))</f>
        <v>0</v>
      </c>
      <c r="L347">
        <f>IF('INHERENT MAP'!$B$5=2021,'РЕЕСТР РИСКОВ_2023'!P387,IF('INHERENT MAP'!$B$5=2022,#REF!,IF('INHERENT MAP'!$B$5=2023,#REF!,IF('INHERENT MAP'!$B$5=2024,#REF!,#REF!))))</f>
        <v>0</v>
      </c>
      <c r="M347" t="str">
        <f>IF('INHERENT MAP'!$B$5=2021,IF('РЕЕСТР РИСКОВ_2023'!Q387="",M346,'РЕЕСТР РИСКОВ_2023'!Q387),IF('INHERENT MAP'!$B$5=2022,IF(#REF!="",M346,#REF!),IF('INHERENT MAP'!$B$5=2023,IF(#REF!="",M346,#REF!),IF('INHERENT MAP'!$B$5=2024,IF(#REF!="",M346,#REF!),IF('РЕЕСТР РИСКОВ_2023'!Q387="",M346,'РЕЕСТР РИСКОВ_2023'!Q387)))))</f>
        <v>Увеличение базовой ставки Национального банка Республики Казахстан до 16%</v>
      </c>
      <c r="N347" t="str">
        <f>IF('INHERENT MAP'!$B$5=2021,IF('РЕЕСТР РИСКОВ_2023'!R387="",N346,'РЕЕСТР РИСКОВ_2023'!R387),IF('INHERENT MAP'!$B$5=2022,IF(#REF!="",N346,#REF!),IF('INHERENT MAP'!$B$5=2023,IF(#REF!="",N346,#REF!),IF('INHERENT MAP'!$B$5=2024,IF(#REF!="",N346,#REF!),IF('РЕЕСТР РИСКОВ_2023'!R387="",N346,'РЕЕСТР РИСКОВ_2023'!R387)))))</f>
        <v>Рецессия экономики европейских стран</v>
      </c>
      <c r="O347">
        <f>'РЕЕСТР РИСКОВ_2023'!T387</f>
        <v>0</v>
      </c>
      <c r="P347" t="e">
        <f>IF('РЕЕСТР РИСКОВ_2023'!U387="",P346,'РЕЕСТР РИСКОВ_2023'!U387)</f>
        <v>#REF!</v>
      </c>
      <c r="Q347" t="str">
        <f>IF('РЕЕСТР РИСКОВ_2023'!V387="",Q346,'РЕЕСТР РИСКОВ_2023'!V387)</f>
        <v>Угрозы</v>
      </c>
      <c r="R347" t="e">
        <f>IF('РЕЕСТР РИСКОВ_2023'!W387="",R346,'РЕЕСТР РИСКОВ_2023'!W387)</f>
        <v>#REF!</v>
      </c>
      <c r="S347">
        <f>'РЕЕСТР РИСКОВ_2023'!X387</f>
        <v>0</v>
      </c>
      <c r="T347" s="94">
        <f>IF('INHERENT MAP'!$B$5=2021,'РЕЕСТР РИСКОВ_2023'!Y387,IF('INHERENT MAP'!$B$5=2022,#REF!,IF('INHERENT MAP'!$B$5=2023,#REF!,IF('INHERENT MAP'!$B$5=2024,#REF!,#REF!))))</f>
        <v>0</v>
      </c>
      <c r="U347">
        <f>IF('INHERENT MAP'!$B$5=2021,'РЕЕСТР РИСКОВ_2023'!Z387,IF('INHERENT MAP'!$B$5=2022,#REF!,IF('INHERENT MAP'!$B$5=2023,#REF!,IF('INHERENT MAP'!$B$5=2024,#REF!,#REF!))))</f>
        <v>0</v>
      </c>
      <c r="V347">
        <f>IF('INHERENT MAP'!$B$5=2021,'РЕЕСТР РИСКОВ_2023'!AA387,IF('INHERENT MAP'!$B$5=2022,#REF!,IF('INHERENT MAP'!$B$5=2023,#REF!,IF('INHERENT MAP'!$B$5=2024,#REF!,#REF!))))</f>
        <v>0</v>
      </c>
      <c r="W347">
        <f>IF('INHERENT MAP'!$B$5=2021,'РЕЕСТР РИСКОВ_2023'!AB387,IF('INHERENT MAP'!$B$5=2022,#REF!,IF('INHERENT MAP'!$B$5=2023,#REF!,IF('INHERENT MAP'!$B$5=2024,#REF!,#REF!))))</f>
        <v>0</v>
      </c>
      <c r="X347" s="94">
        <f>IF('INHERENT MAP'!$B$5=2021,'РЕЕСТР РИСКОВ_2023'!AC387,IF('INHERENT MAP'!$B$5=2022,#REF!,IF('INHERENT MAP'!$B$5=2023,#REF!,IF('INHERENT MAP'!$B$5=2024,#REF!,#REF!))))</f>
        <v>0</v>
      </c>
      <c r="Y347">
        <f>IF('INHERENT MAP'!$B$5=2021,'РЕЕСТР РИСКОВ_2023'!AD387,IF('INHERENT MAP'!$B$5=2022,#REF!,IF('INHERENT MAP'!$B$5=2023,#REF!,IF('INHERENT MAP'!$B$5=2024,#REF!,#REF!))))</f>
        <v>0</v>
      </c>
      <c r="Z347">
        <f>IF('INHERENT MAP'!$B$5=2021,'РЕЕСТР РИСКОВ_2023'!AE387,IF('INHERENT MAP'!$B$5=2022,#REF!,IF('INHERENT MAP'!$B$5=2023,#REF!,IF('INHERENT MAP'!$B$5=2024,#REF!,#REF!))))</f>
        <v>0</v>
      </c>
      <c r="AA347">
        <f>IF('INHERENT MAP'!$B$5=2021,'РЕЕСТР РИСКОВ_2023'!AF387,IF('INHERENT MAP'!$B$5=2022,#REF!,IF('INHERENT MAP'!$B$5=2023,#REF!,IF('INHERENT MAP'!$B$5=2024,#REF!,#REF!))))</f>
        <v>0</v>
      </c>
      <c r="AB347">
        <f>IF('INHERENT MAP'!$B$5=2021,'РЕЕСТР РИСКОВ_2023'!AG387,IF('INHERENT MAP'!$B$5=2022,#REF!,IF('INHERENT MAP'!$B$5=2023,#REF!,IF('INHERENT MAP'!$B$5=2024,#REF!,#REF!))))</f>
        <v>0</v>
      </c>
      <c r="AC347">
        <f>IF('INHERENT MAP'!$B$5=2021,'РЕЕСТР РИСКОВ_2023'!AH387,IF('INHERENT MAP'!$B$5=2022,#REF!,IF('INHERENT MAP'!$B$5=2023,#REF!,IF('INHERENT MAP'!$B$5=2024,#REF!,#REF!))))</f>
        <v>0</v>
      </c>
      <c r="AD347">
        <f>IF('INHERENT MAP'!$B$5=2021,'РЕЕСТР РИСКОВ_2023'!AI387,IF('INHERENT MAP'!$B$5=2022,#REF!,IF('INHERENT MAP'!$B$5=2023,#REF!,IF('INHERENT MAP'!$B$5=2024,#REF!,#REF!))))</f>
        <v>0</v>
      </c>
      <c r="AE347">
        <f>IF('INHERENT MAP'!$B$5=2021,'РЕЕСТР РИСКОВ_2023'!AK387,IF('INHERENT MAP'!$B$5=2022,#REF!,IF('INHERENT MAP'!$B$5=2023,#REF!,IF('INHERENT MAP'!$B$5=2024,#REF!,#REF!))))</f>
        <v>0</v>
      </c>
      <c r="AF347">
        <f>IF('INHERENT MAP'!$B$5=2021,'РЕЕСТР РИСКОВ_2023'!AL387,IF('INHERENT MAP'!$B$5=2022,#REF!,IF('INHERENT MAP'!$B$5=2023,#REF!,IF('INHERENT MAP'!$B$5=2024,#REF!,#REF!))))</f>
        <v>0</v>
      </c>
      <c r="AG347">
        <f>IF('INHERENT MAP'!$B$5=2021,'РЕЕСТР РИСКОВ_2023'!AM387,IF('INHERENT MAP'!$B$5=2022,#REF!,IF('INHERENT MAP'!$B$5=2023,#REF!,IF('INHERENT MAP'!$B$5=2024,#REF!,#REF!))))</f>
        <v>0</v>
      </c>
      <c r="AH347">
        <f>IF('INHERENT MAP'!$B$5=2021,'РЕЕСТР РИСКОВ_2023'!AN387,IF('INHERENT MAP'!$B$5=2022,#REF!,IF('INHERENT MAP'!$B$5=2023,#REF!,IF('INHERENT MAP'!$B$5=2024,#REF!,#REF!))))</f>
        <v>0</v>
      </c>
      <c r="AI347">
        <f>IF('INHERENT MAP'!$B$5=2021,'РЕЕСТР РИСКОВ_2023'!AO387,IF('INHERENT MAP'!$B$5=2022,#REF!,IF('INHERENT MAP'!$B$5=2023,#REF!,IF('INHERENT MAP'!$B$5=2024,#REF!,#REF!))))</f>
        <v>0</v>
      </c>
      <c r="AJ347">
        <f>IF('INHERENT MAP'!$B$5=2021,'РЕЕСТР РИСКОВ_2023'!AP387,IF('INHERENT MAP'!$B$5=2022,#REF!,IF('INHERENT MAP'!$B$5=2023,#REF!,IF('INHERENT MAP'!$B$5=2024,#REF!,#REF!))))</f>
        <v>0</v>
      </c>
      <c r="AK347">
        <f>IF('РЕЕСТР РИСКОВ_2023'!AQ387="",AK346,'РЕЕСТР РИСКОВ_2023'!AQ387)</f>
        <v>-216</v>
      </c>
      <c r="AL347">
        <f>IF('РЕЕСТР РИСКОВ_2023'!AR387="",AL346,'РЕЕСТР РИСКОВ_2023'!AR387)</f>
        <v>0.12</v>
      </c>
      <c r="AM347" t="str">
        <f>IF('РЕЕСТР РИСКОВ_2023'!AS387="",AM346,'РЕЕСТР РИСКОВ_2023'!AS387)</f>
        <v>стоп</v>
      </c>
      <c r="AN347" t="str">
        <f>IF('РЕЕСТР РИСКОВ_2023'!AT387="",AN346,'РЕЕСТР РИСКОВ_2023'!AT387)</f>
        <v>стоп</v>
      </c>
      <c r="AO347" t="e">
        <f>IF('РЕЕСТР РИСКОВ_2023'!AU387="",AO346,'РЕЕСТР РИСКОВ_2023'!AU387)</f>
        <v>#REF!</v>
      </c>
    </row>
    <row r="348" spans="2:41">
      <c r="B348" t="str">
        <f>IF('INHERENT MAP'!$B$5=2021,IF('РЕЕСТР РИСКОВ_2023'!F388="",B347,'РЕЕСТР РИСКОВ_2023'!F388),IF('INHERENT MAP'!$B$5=2022,IF(#REF!="",B347,#REF!),IF('INHERENT MAP'!$B$5=2023,IF(#REF!="",B347,#REF!),IF('INHERENT MAP'!$B$5=2024,IF(#REF!="",B347,#REF!),IF('РЕЕСТР РИСКОВ_2023'!F388="",B347,'РЕЕСТР РИСКОВ_2023'!F388)))))</f>
        <v>ПРОЦЕНТНЫЙ РИСК</v>
      </c>
      <c r="C348" t="e">
        <f>IF('INHERENT MAP'!$B$5=2021,IF('РЕЕСТР РИСКОВ_2023'!G388="",C347,'РЕЕСТР РИСКОВ_2023'!G388),IF('INHERENT MAP'!$B$5=2022,IF(#REF!="",C347,#REF!),IF('INHERENT MAP'!$B$5=2023,IF(#REF!="",C347,#REF!),IF('INHERENT MAP'!$B$5=2024,IF(#REF!="",C347,#REF!),IF('РЕЕСТР РИСКОВ_2023'!G388="",C347,'РЕЕСТР РИСКОВ_2023'!G388)))))</f>
        <v>#REF!</v>
      </c>
      <c r="D348" t="str">
        <f>IF('INHERENT MAP'!$B$5=2021,IF('РЕЕСТР РИСКОВ_2023'!H388="",D347,'РЕЕСТР РИСКОВ_2023'!H388),IF('INHERENT MAP'!$B$5=2022,IF(#REF!="",D347,#REF!),IF('INHERENT MAP'!$B$5=2023,IF(#REF!="",D347,#REF!),IF('INHERENT MAP'!$B$5=2024,IF(#REF!="",D347,#REF!),IF('РЕЕСТР РИСКОВ_2023'!H388="",D347,'РЕЕСТР РИСКОВ_2023'!H388)))))</f>
        <v>IRR-1</v>
      </c>
      <c r="E348" t="str">
        <f>IF('INHERENT MAP'!$B$5=2021,IF('РЕЕСТР РИСКОВ_2023'!I388="",E347,'РЕЕСТР РИСКОВ_2023'!I388),IF('INHERENT MAP'!$B$5=2022,IF(#REF!="",E347,#REF!),IF('INHERENT MAP'!$B$5=2023,IF(#REF!="",E347,#REF!),IF('INHERENT MAP'!$B$5=2024,IF(#REF!="",E347,#REF!),IF('РЕЕСТР РИСКОВ_2023'!I388="",E347,'РЕЕСТР РИСКОВ_2023'!I388)))))</f>
        <v>ЦЗФ</v>
      </c>
      <c r="F348" t="str">
        <f>IF('INHERENT MAP'!$B$5=2021,IF('РЕЕСТР РИСКОВ_2023'!J388="",F347,'РЕЕСТР РИСКОВ_2023'!J388),IF('INHERENT MAP'!$B$5=2022,IF(#REF!="",F347,#REF!),IF('INHERENT MAP'!$B$5=2023,IF(#REF!="",F347,#REF!),IF('INHERENT MAP'!$B$5=2024,IF(#REF!="",F347,#REF!),IF('РЕЕСТР РИСКОВ_2023'!J388="",F347,'РЕЕСТР РИСКОВ_2023'!J388)))))</f>
        <v>Цзайм</v>
      </c>
      <c r="G348" t="str">
        <f>IF('INHERENT MAP'!$B$5=2021,IF('РЕЕСТР РИСКОВ_2023'!K388="",G347,'РЕЕСТР РИСКОВ_2023'!K388),IF('INHERENT MAP'!$B$5=2022,IF(#REF!="",G347,#REF!),IF('INHERENT MAP'!$B$5=2023,IF(#REF!="",G347,#REF!),IF('INHERENT MAP'!$B$5=2024,IF(#REF!="",G347,#REF!),IF('РЕЕСТР РИСКОВ_2023'!K388="",G347,'РЕЕСТР РИСКОВ_2023'!K388)))))</f>
        <v>Увеличение расходов по процентам на новые займы, а также текущие займы (с плавающей ставкой) в тенге.</v>
      </c>
      <c r="H348">
        <f>IF('INHERENT MAP'!$B$5=2021,'РЕЕСТР РИСКОВ_2023'!L388,IF('INHERENT MAP'!$B$5=2022,#REF!,IF('INHERENT MAP'!$B$5=2023,#REF!,IF('INHERENT MAP'!$B$5=2024,#REF!,#REF!))))</f>
        <v>0</v>
      </c>
      <c r="I348">
        <f>IF('INHERENT MAP'!$B$5=2021,'РЕЕСТР РИСКОВ_2023'!M388,IF('INHERENT MAP'!$B$5=2022,#REF!,IF('INHERENT MAP'!$B$5=2023,#REF!,IF('INHERENT MAP'!$B$5=2024,#REF!,#REF!))))</f>
        <v>0</v>
      </c>
      <c r="J348">
        <f>IF('INHERENT MAP'!$B$5=2021,'РЕЕСТР РИСКОВ_2023'!N388,IF('INHERENT MAP'!$B$5=2022,#REF!,IF('INHERENT MAP'!$B$5=2023,#REF!,IF('INHERENT MAP'!$B$5=2024,#REF!,#REF!))))</f>
        <v>0</v>
      </c>
      <c r="K348">
        <f>IF('INHERENT MAP'!$B$5=2021,'РЕЕСТР РИСКОВ_2023'!O388,IF('INHERENT MAP'!$B$5=2022,#REF!,IF('INHERENT MAP'!$B$5=2023,#REF!,IF('INHERENT MAP'!$B$5=2024,#REF!,#REF!))))</f>
        <v>0</v>
      </c>
      <c r="L348">
        <f>IF('INHERENT MAP'!$B$5=2021,'РЕЕСТР РИСКОВ_2023'!P388,IF('INHERENT MAP'!$B$5=2022,#REF!,IF('INHERENT MAP'!$B$5=2023,#REF!,IF('INHERENT MAP'!$B$5=2024,#REF!,#REF!))))</f>
        <v>0</v>
      </c>
      <c r="M348" t="str">
        <f>IF('INHERENT MAP'!$B$5=2021,IF('РЕЕСТР РИСКОВ_2023'!Q388="",M347,'РЕЕСТР РИСКОВ_2023'!Q388),IF('INHERENT MAP'!$B$5=2022,IF(#REF!="",M347,#REF!),IF('INHERENT MAP'!$B$5=2023,IF(#REF!="",M347,#REF!),IF('INHERENT MAP'!$B$5=2024,IF(#REF!="",M347,#REF!),IF('РЕЕСТР РИСКОВ_2023'!Q388="",M347,'РЕЕСТР РИСКОВ_2023'!Q388)))))</f>
        <v>Увеличение базовой ставки Национального банка Республики Казахстан до 16%</v>
      </c>
      <c r="N348" t="str">
        <f>IF('INHERENT MAP'!$B$5=2021,IF('РЕЕСТР РИСКОВ_2023'!R388="",N347,'РЕЕСТР РИСКОВ_2023'!R388),IF('INHERENT MAP'!$B$5=2022,IF(#REF!="",N347,#REF!),IF('INHERENT MAP'!$B$5=2023,IF(#REF!="",N347,#REF!),IF('INHERENT MAP'!$B$5=2024,IF(#REF!="",N347,#REF!),IF('РЕЕСТР РИСКОВ_2023'!R388="",N347,'РЕЕСТР РИСКОВ_2023'!R388)))))</f>
        <v>Рецессия экономики европейских стран</v>
      </c>
      <c r="O348">
        <f>'РЕЕСТР РИСКОВ_2023'!T388</f>
        <v>0</v>
      </c>
      <c r="P348" t="e">
        <f>IF('РЕЕСТР РИСКОВ_2023'!U388="",P347,'РЕЕСТР РИСКОВ_2023'!U388)</f>
        <v>#REF!</v>
      </c>
      <c r="Q348" t="str">
        <f>IF('РЕЕСТР РИСКОВ_2023'!V388="",Q347,'РЕЕСТР РИСКОВ_2023'!V388)</f>
        <v>Угрозы</v>
      </c>
      <c r="R348" t="e">
        <f>IF('РЕЕСТР РИСКОВ_2023'!W388="",R347,'РЕЕСТР РИСКОВ_2023'!W388)</f>
        <v>#REF!</v>
      </c>
      <c r="S348">
        <f>'РЕЕСТР РИСКОВ_2023'!X388</f>
        <v>0</v>
      </c>
      <c r="T348" s="94">
        <f>IF('INHERENT MAP'!$B$5=2021,'РЕЕСТР РИСКОВ_2023'!Y388,IF('INHERENT MAP'!$B$5=2022,#REF!,IF('INHERENT MAP'!$B$5=2023,#REF!,IF('INHERENT MAP'!$B$5=2024,#REF!,#REF!))))</f>
        <v>0</v>
      </c>
      <c r="U348">
        <f>IF('INHERENT MAP'!$B$5=2021,'РЕЕСТР РИСКОВ_2023'!Z388,IF('INHERENT MAP'!$B$5=2022,#REF!,IF('INHERENT MAP'!$B$5=2023,#REF!,IF('INHERENT MAP'!$B$5=2024,#REF!,#REF!))))</f>
        <v>0</v>
      </c>
      <c r="V348">
        <f>IF('INHERENT MAP'!$B$5=2021,'РЕЕСТР РИСКОВ_2023'!AA388,IF('INHERENT MAP'!$B$5=2022,#REF!,IF('INHERENT MAP'!$B$5=2023,#REF!,IF('INHERENT MAP'!$B$5=2024,#REF!,#REF!))))</f>
        <v>0</v>
      </c>
      <c r="W348">
        <f>IF('INHERENT MAP'!$B$5=2021,'РЕЕСТР РИСКОВ_2023'!AB388,IF('INHERENT MAP'!$B$5=2022,#REF!,IF('INHERENT MAP'!$B$5=2023,#REF!,IF('INHERENT MAP'!$B$5=2024,#REF!,#REF!))))</f>
        <v>0</v>
      </c>
      <c r="X348" s="94">
        <f>IF('INHERENT MAP'!$B$5=2021,'РЕЕСТР РИСКОВ_2023'!AC388,IF('INHERENT MAP'!$B$5=2022,#REF!,IF('INHERENT MAP'!$B$5=2023,#REF!,IF('INHERENT MAP'!$B$5=2024,#REF!,#REF!))))</f>
        <v>0</v>
      </c>
      <c r="Y348">
        <f>IF('INHERENT MAP'!$B$5=2021,'РЕЕСТР РИСКОВ_2023'!AD388,IF('INHERENT MAP'!$B$5=2022,#REF!,IF('INHERENT MAP'!$B$5=2023,#REF!,IF('INHERENT MAP'!$B$5=2024,#REF!,#REF!))))</f>
        <v>0</v>
      </c>
      <c r="Z348">
        <f>IF('INHERENT MAP'!$B$5=2021,'РЕЕСТР РИСКОВ_2023'!AE388,IF('INHERENT MAP'!$B$5=2022,#REF!,IF('INHERENT MAP'!$B$5=2023,#REF!,IF('INHERENT MAP'!$B$5=2024,#REF!,#REF!))))</f>
        <v>0</v>
      </c>
      <c r="AA348">
        <f>IF('INHERENT MAP'!$B$5=2021,'РЕЕСТР РИСКОВ_2023'!AF388,IF('INHERENT MAP'!$B$5=2022,#REF!,IF('INHERENT MAP'!$B$5=2023,#REF!,IF('INHERENT MAP'!$B$5=2024,#REF!,#REF!))))</f>
        <v>0</v>
      </c>
      <c r="AB348">
        <f>IF('INHERENT MAP'!$B$5=2021,'РЕЕСТР РИСКОВ_2023'!AG388,IF('INHERENT MAP'!$B$5=2022,#REF!,IF('INHERENT MAP'!$B$5=2023,#REF!,IF('INHERENT MAP'!$B$5=2024,#REF!,#REF!))))</f>
        <v>0</v>
      </c>
      <c r="AC348">
        <f>IF('INHERENT MAP'!$B$5=2021,'РЕЕСТР РИСКОВ_2023'!AH388,IF('INHERENT MAP'!$B$5=2022,#REF!,IF('INHERENT MAP'!$B$5=2023,#REF!,IF('INHERENT MAP'!$B$5=2024,#REF!,#REF!))))</f>
        <v>0</v>
      </c>
      <c r="AD348">
        <f>IF('INHERENT MAP'!$B$5=2021,'РЕЕСТР РИСКОВ_2023'!AI388,IF('INHERENT MAP'!$B$5=2022,#REF!,IF('INHERENT MAP'!$B$5=2023,#REF!,IF('INHERENT MAP'!$B$5=2024,#REF!,#REF!))))</f>
        <v>0</v>
      </c>
      <c r="AE348">
        <f>IF('INHERENT MAP'!$B$5=2021,'РЕЕСТР РИСКОВ_2023'!AK388,IF('INHERENT MAP'!$B$5=2022,#REF!,IF('INHERENT MAP'!$B$5=2023,#REF!,IF('INHERENT MAP'!$B$5=2024,#REF!,#REF!))))</f>
        <v>0</v>
      </c>
      <c r="AF348">
        <f>IF('INHERENT MAP'!$B$5=2021,'РЕЕСТР РИСКОВ_2023'!AL388,IF('INHERENT MAP'!$B$5=2022,#REF!,IF('INHERENT MAP'!$B$5=2023,#REF!,IF('INHERENT MAP'!$B$5=2024,#REF!,#REF!))))</f>
        <v>0</v>
      </c>
      <c r="AG348">
        <f>IF('INHERENT MAP'!$B$5=2021,'РЕЕСТР РИСКОВ_2023'!AM388,IF('INHERENT MAP'!$B$5=2022,#REF!,IF('INHERENT MAP'!$B$5=2023,#REF!,IF('INHERENT MAP'!$B$5=2024,#REF!,#REF!))))</f>
        <v>0</v>
      </c>
      <c r="AH348">
        <f>IF('INHERENT MAP'!$B$5=2021,'РЕЕСТР РИСКОВ_2023'!AN388,IF('INHERENT MAP'!$B$5=2022,#REF!,IF('INHERENT MAP'!$B$5=2023,#REF!,IF('INHERENT MAP'!$B$5=2024,#REF!,#REF!))))</f>
        <v>0</v>
      </c>
      <c r="AI348">
        <f>IF('INHERENT MAP'!$B$5=2021,'РЕЕСТР РИСКОВ_2023'!AO388,IF('INHERENT MAP'!$B$5=2022,#REF!,IF('INHERENT MAP'!$B$5=2023,#REF!,IF('INHERENT MAP'!$B$5=2024,#REF!,#REF!))))</f>
        <v>0</v>
      </c>
      <c r="AJ348">
        <f>IF('INHERENT MAP'!$B$5=2021,'РЕЕСТР РИСКОВ_2023'!AP388,IF('INHERENT MAP'!$B$5=2022,#REF!,IF('INHERENT MAP'!$B$5=2023,#REF!,IF('INHERENT MAP'!$B$5=2024,#REF!,#REF!))))</f>
        <v>0</v>
      </c>
      <c r="AK348">
        <f>IF('РЕЕСТР РИСКОВ_2023'!AQ388="",AK347,'РЕЕСТР РИСКОВ_2023'!AQ388)</f>
        <v>-216</v>
      </c>
      <c r="AL348">
        <f>IF('РЕЕСТР РИСКОВ_2023'!AR388="",AL347,'РЕЕСТР РИСКОВ_2023'!AR388)</f>
        <v>0.12</v>
      </c>
      <c r="AM348" t="str">
        <f>IF('РЕЕСТР РИСКОВ_2023'!AS388="",AM347,'РЕЕСТР РИСКОВ_2023'!AS388)</f>
        <v>стоп</v>
      </c>
      <c r="AN348" t="str">
        <f>IF('РЕЕСТР РИСКОВ_2023'!AT388="",AN347,'РЕЕСТР РИСКОВ_2023'!AT388)</f>
        <v>стоп</v>
      </c>
      <c r="AO348" t="e">
        <f>IF('РЕЕСТР РИСКОВ_2023'!AU388="",AO347,'РЕЕСТР РИСКОВ_2023'!AU388)</f>
        <v>#REF!</v>
      </c>
    </row>
    <row r="349" spans="2:41">
      <c r="B349" t="str">
        <f>IF('INHERENT MAP'!$B$5=2021,IF('РЕЕСТР РИСКОВ_2023'!F389="",B348,'РЕЕСТР РИСКОВ_2023'!F389),IF('INHERENT MAP'!$B$5=2022,IF(#REF!="",B348,#REF!),IF('INHERENT MAP'!$B$5=2023,IF(#REF!="",B348,#REF!),IF('INHERENT MAP'!$B$5=2024,IF(#REF!="",B348,#REF!),IF('РЕЕСТР РИСКОВ_2023'!F389="",B348,'РЕЕСТР РИСКОВ_2023'!F389)))))</f>
        <v>ПРОЦЕНТНЫЙ РИСК</v>
      </c>
      <c r="C349" t="e">
        <f>IF('INHERENT MAP'!$B$5=2021,IF('РЕЕСТР РИСКОВ_2023'!G389="",C348,'РЕЕСТР РИСКОВ_2023'!G389),IF('INHERENT MAP'!$B$5=2022,IF(#REF!="",C348,#REF!),IF('INHERENT MAP'!$B$5=2023,IF(#REF!="",C348,#REF!),IF('INHERENT MAP'!$B$5=2024,IF(#REF!="",C348,#REF!),IF('РЕЕСТР РИСКОВ_2023'!G389="",C348,'РЕЕСТР РИСКОВ_2023'!G389)))))</f>
        <v>#REF!</v>
      </c>
      <c r="D349" t="str">
        <f>IF('INHERENT MAP'!$B$5=2021,IF('РЕЕСТР РИСКОВ_2023'!H389="",D348,'РЕЕСТР РИСКОВ_2023'!H389),IF('INHERENT MAP'!$B$5=2022,IF(#REF!="",D348,#REF!),IF('INHERENT MAP'!$B$5=2023,IF(#REF!="",D348,#REF!),IF('INHERENT MAP'!$B$5=2024,IF(#REF!="",D348,#REF!),IF('РЕЕСТР РИСКОВ_2023'!H389="",D348,'РЕЕСТР РИСКОВ_2023'!H389)))))</f>
        <v>IRR-1</v>
      </c>
      <c r="E349" t="str">
        <f>IF('INHERENT MAP'!$B$5=2021,IF('РЕЕСТР РИСКОВ_2023'!I389="",E348,'РЕЕСТР РИСКОВ_2023'!I389),IF('INHERENT MAP'!$B$5=2022,IF(#REF!="",E348,#REF!),IF('INHERENT MAP'!$B$5=2023,IF(#REF!="",E348,#REF!),IF('INHERENT MAP'!$B$5=2024,IF(#REF!="",E348,#REF!),IF('РЕЕСТР РИСКОВ_2023'!I389="",E348,'РЕЕСТР РИСКОВ_2023'!I389)))))</f>
        <v>ЦЗФ</v>
      </c>
      <c r="F349" t="str">
        <f>IF('INHERENT MAP'!$B$5=2021,IF('РЕЕСТР РИСКОВ_2023'!J389="",F348,'РЕЕСТР РИСКОВ_2023'!J389),IF('INHERENT MAP'!$B$5=2022,IF(#REF!="",F348,#REF!),IF('INHERENT MAP'!$B$5=2023,IF(#REF!="",F348,#REF!),IF('INHERENT MAP'!$B$5=2024,IF(#REF!="",F348,#REF!),IF('РЕЕСТР РИСКОВ_2023'!J389="",F348,'РЕЕСТР РИСКОВ_2023'!J389)))))</f>
        <v>Цзайм</v>
      </c>
      <c r="G349" t="str">
        <f>IF('INHERENT MAP'!$B$5=2021,IF('РЕЕСТР РИСКОВ_2023'!K389="",G348,'РЕЕСТР РИСКОВ_2023'!K389),IF('INHERENT MAP'!$B$5=2022,IF(#REF!="",G348,#REF!),IF('INHERENT MAP'!$B$5=2023,IF(#REF!="",G348,#REF!),IF('INHERENT MAP'!$B$5=2024,IF(#REF!="",G348,#REF!),IF('РЕЕСТР РИСКОВ_2023'!K389="",G348,'РЕЕСТР РИСКОВ_2023'!K389)))))</f>
        <v>Увеличение расходов по процентам на новые займы, а также текущие займы (с плавающей ставкой) в тенге.</v>
      </c>
      <c r="H349">
        <f>IF('INHERENT MAP'!$B$5=2021,'РЕЕСТР РИСКОВ_2023'!L389,IF('INHERENT MAP'!$B$5=2022,#REF!,IF('INHERENT MAP'!$B$5=2023,#REF!,IF('INHERENT MAP'!$B$5=2024,#REF!,#REF!))))</f>
        <v>0</v>
      </c>
      <c r="I349">
        <f>IF('INHERENT MAP'!$B$5=2021,'РЕЕСТР РИСКОВ_2023'!M389,IF('INHERENT MAP'!$B$5=2022,#REF!,IF('INHERENT MAP'!$B$5=2023,#REF!,IF('INHERENT MAP'!$B$5=2024,#REF!,#REF!))))</f>
        <v>0</v>
      </c>
      <c r="J349">
        <f>IF('INHERENT MAP'!$B$5=2021,'РЕЕСТР РИСКОВ_2023'!N389,IF('INHERENT MAP'!$B$5=2022,#REF!,IF('INHERENT MAP'!$B$5=2023,#REF!,IF('INHERENT MAP'!$B$5=2024,#REF!,#REF!))))</f>
        <v>0</v>
      </c>
      <c r="K349">
        <f>IF('INHERENT MAP'!$B$5=2021,'РЕЕСТР РИСКОВ_2023'!O389,IF('INHERENT MAP'!$B$5=2022,#REF!,IF('INHERENT MAP'!$B$5=2023,#REF!,IF('INHERENT MAP'!$B$5=2024,#REF!,#REF!))))</f>
        <v>0</v>
      </c>
      <c r="L349">
        <f>IF('INHERENT MAP'!$B$5=2021,'РЕЕСТР РИСКОВ_2023'!P389,IF('INHERENT MAP'!$B$5=2022,#REF!,IF('INHERENT MAP'!$B$5=2023,#REF!,IF('INHERENT MAP'!$B$5=2024,#REF!,#REF!))))</f>
        <v>0</v>
      </c>
      <c r="M349" t="str">
        <f>IF('INHERENT MAP'!$B$5=2021,IF('РЕЕСТР РИСКОВ_2023'!Q389="",M348,'РЕЕСТР РИСКОВ_2023'!Q389),IF('INHERENT MAP'!$B$5=2022,IF(#REF!="",M348,#REF!),IF('INHERENT MAP'!$B$5=2023,IF(#REF!="",M348,#REF!),IF('INHERENT MAP'!$B$5=2024,IF(#REF!="",M348,#REF!),IF('РЕЕСТР РИСКОВ_2023'!Q389="",M348,'РЕЕСТР РИСКОВ_2023'!Q389)))))</f>
        <v>Увеличение базовой ставки Национального банка Республики Казахстан до 16%</v>
      </c>
      <c r="N349" t="str">
        <f>IF('INHERENT MAP'!$B$5=2021,IF('РЕЕСТР РИСКОВ_2023'!R389="",N348,'РЕЕСТР РИСКОВ_2023'!R389),IF('INHERENT MAP'!$B$5=2022,IF(#REF!="",N348,#REF!),IF('INHERENT MAP'!$B$5=2023,IF(#REF!="",N348,#REF!),IF('INHERENT MAP'!$B$5=2024,IF(#REF!="",N348,#REF!),IF('РЕЕСТР РИСКОВ_2023'!R389="",N348,'РЕЕСТР РИСКОВ_2023'!R389)))))</f>
        <v>Рецессия экономики европейских стран</v>
      </c>
      <c r="O349">
        <f>'РЕЕСТР РИСКОВ_2023'!T389</f>
        <v>0</v>
      </c>
      <c r="P349" t="e">
        <f>IF('РЕЕСТР РИСКОВ_2023'!U389="",P348,'РЕЕСТР РИСКОВ_2023'!U389)</f>
        <v>#REF!</v>
      </c>
      <c r="Q349" t="str">
        <f>IF('РЕЕСТР РИСКОВ_2023'!V389="",Q348,'РЕЕСТР РИСКОВ_2023'!V389)</f>
        <v>Угрозы</v>
      </c>
      <c r="R349" t="e">
        <f>IF('РЕЕСТР РИСКОВ_2023'!W389="",R348,'РЕЕСТР РИСКОВ_2023'!W389)</f>
        <v>#REF!</v>
      </c>
      <c r="S349">
        <f>'РЕЕСТР РИСКОВ_2023'!X389</f>
        <v>0</v>
      </c>
      <c r="T349" s="94">
        <f>IF('INHERENT MAP'!$B$5=2021,'РЕЕСТР РИСКОВ_2023'!Y389,IF('INHERENT MAP'!$B$5=2022,#REF!,IF('INHERENT MAP'!$B$5=2023,#REF!,IF('INHERENT MAP'!$B$5=2024,#REF!,#REF!))))</f>
        <v>0</v>
      </c>
      <c r="U349">
        <f>IF('INHERENT MAP'!$B$5=2021,'РЕЕСТР РИСКОВ_2023'!Z389,IF('INHERENT MAP'!$B$5=2022,#REF!,IF('INHERENT MAP'!$B$5=2023,#REF!,IF('INHERENT MAP'!$B$5=2024,#REF!,#REF!))))</f>
        <v>0</v>
      </c>
      <c r="V349">
        <f>IF('INHERENT MAP'!$B$5=2021,'РЕЕСТР РИСКОВ_2023'!AA389,IF('INHERENT MAP'!$B$5=2022,#REF!,IF('INHERENT MAP'!$B$5=2023,#REF!,IF('INHERENT MAP'!$B$5=2024,#REF!,#REF!))))</f>
        <v>0</v>
      </c>
      <c r="W349">
        <f>IF('INHERENT MAP'!$B$5=2021,'РЕЕСТР РИСКОВ_2023'!AB389,IF('INHERENT MAP'!$B$5=2022,#REF!,IF('INHERENT MAP'!$B$5=2023,#REF!,IF('INHERENT MAP'!$B$5=2024,#REF!,#REF!))))</f>
        <v>0</v>
      </c>
      <c r="X349" s="94">
        <f>IF('INHERENT MAP'!$B$5=2021,'РЕЕСТР РИСКОВ_2023'!AC389,IF('INHERENT MAP'!$B$5=2022,#REF!,IF('INHERENT MAP'!$B$5=2023,#REF!,IF('INHERENT MAP'!$B$5=2024,#REF!,#REF!))))</f>
        <v>0</v>
      </c>
      <c r="Y349">
        <f>IF('INHERENT MAP'!$B$5=2021,'РЕЕСТР РИСКОВ_2023'!AD389,IF('INHERENT MAP'!$B$5=2022,#REF!,IF('INHERENT MAP'!$B$5=2023,#REF!,IF('INHERENT MAP'!$B$5=2024,#REF!,#REF!))))</f>
        <v>0</v>
      </c>
      <c r="Z349">
        <f>IF('INHERENT MAP'!$B$5=2021,'РЕЕСТР РИСКОВ_2023'!AE389,IF('INHERENT MAP'!$B$5=2022,#REF!,IF('INHERENT MAP'!$B$5=2023,#REF!,IF('INHERENT MAP'!$B$5=2024,#REF!,#REF!))))</f>
        <v>0</v>
      </c>
      <c r="AA349">
        <f>IF('INHERENT MAP'!$B$5=2021,'РЕЕСТР РИСКОВ_2023'!AF389,IF('INHERENT MAP'!$B$5=2022,#REF!,IF('INHERENT MAP'!$B$5=2023,#REF!,IF('INHERENT MAP'!$B$5=2024,#REF!,#REF!))))</f>
        <v>0</v>
      </c>
      <c r="AB349">
        <f>IF('INHERENT MAP'!$B$5=2021,'РЕЕСТР РИСКОВ_2023'!AG389,IF('INHERENT MAP'!$B$5=2022,#REF!,IF('INHERENT MAP'!$B$5=2023,#REF!,IF('INHERENT MAP'!$B$5=2024,#REF!,#REF!))))</f>
        <v>0</v>
      </c>
      <c r="AC349">
        <f>IF('INHERENT MAP'!$B$5=2021,'РЕЕСТР РИСКОВ_2023'!AH389,IF('INHERENT MAP'!$B$5=2022,#REF!,IF('INHERENT MAP'!$B$5=2023,#REF!,IF('INHERENT MAP'!$B$5=2024,#REF!,#REF!))))</f>
        <v>0</v>
      </c>
      <c r="AD349">
        <f>IF('INHERENT MAP'!$B$5=2021,'РЕЕСТР РИСКОВ_2023'!AI389,IF('INHERENT MAP'!$B$5=2022,#REF!,IF('INHERENT MAP'!$B$5=2023,#REF!,IF('INHERENT MAP'!$B$5=2024,#REF!,#REF!))))</f>
        <v>0</v>
      </c>
      <c r="AE349">
        <f>IF('INHERENT MAP'!$B$5=2021,'РЕЕСТР РИСКОВ_2023'!AK389,IF('INHERENT MAP'!$B$5=2022,#REF!,IF('INHERENT MAP'!$B$5=2023,#REF!,IF('INHERENT MAP'!$B$5=2024,#REF!,#REF!))))</f>
        <v>0</v>
      </c>
      <c r="AF349">
        <f>IF('INHERENT MAP'!$B$5=2021,'РЕЕСТР РИСКОВ_2023'!AL389,IF('INHERENT MAP'!$B$5=2022,#REF!,IF('INHERENT MAP'!$B$5=2023,#REF!,IF('INHERENT MAP'!$B$5=2024,#REF!,#REF!))))</f>
        <v>0</v>
      </c>
      <c r="AG349">
        <f>IF('INHERENT MAP'!$B$5=2021,'РЕЕСТР РИСКОВ_2023'!AM389,IF('INHERENT MAP'!$B$5=2022,#REF!,IF('INHERENT MAP'!$B$5=2023,#REF!,IF('INHERENT MAP'!$B$5=2024,#REF!,#REF!))))</f>
        <v>0</v>
      </c>
      <c r="AH349">
        <f>IF('INHERENT MAP'!$B$5=2021,'РЕЕСТР РИСКОВ_2023'!AN389,IF('INHERENT MAP'!$B$5=2022,#REF!,IF('INHERENT MAP'!$B$5=2023,#REF!,IF('INHERENT MAP'!$B$5=2024,#REF!,#REF!))))</f>
        <v>0</v>
      </c>
      <c r="AI349">
        <f>IF('INHERENT MAP'!$B$5=2021,'РЕЕСТР РИСКОВ_2023'!AO389,IF('INHERENT MAP'!$B$5=2022,#REF!,IF('INHERENT MAP'!$B$5=2023,#REF!,IF('INHERENT MAP'!$B$5=2024,#REF!,#REF!))))</f>
        <v>0</v>
      </c>
      <c r="AJ349">
        <f>IF('INHERENT MAP'!$B$5=2021,'РЕЕСТР РИСКОВ_2023'!AP389,IF('INHERENT MAP'!$B$5=2022,#REF!,IF('INHERENT MAP'!$B$5=2023,#REF!,IF('INHERENT MAP'!$B$5=2024,#REF!,#REF!))))</f>
        <v>0</v>
      </c>
      <c r="AK349">
        <f>IF('РЕЕСТР РИСКОВ_2023'!AQ389="",AK348,'РЕЕСТР РИСКОВ_2023'!AQ389)</f>
        <v>-216</v>
      </c>
      <c r="AL349">
        <f>IF('РЕЕСТР РИСКОВ_2023'!AR389="",AL348,'РЕЕСТР РИСКОВ_2023'!AR389)</f>
        <v>0.12</v>
      </c>
      <c r="AM349" t="str">
        <f>IF('РЕЕСТР РИСКОВ_2023'!AS389="",AM348,'РЕЕСТР РИСКОВ_2023'!AS389)</f>
        <v>стоп</v>
      </c>
      <c r="AN349" t="str">
        <f>IF('РЕЕСТР РИСКОВ_2023'!AT389="",AN348,'РЕЕСТР РИСКОВ_2023'!AT389)</f>
        <v>стоп</v>
      </c>
      <c r="AO349" t="e">
        <f>IF('РЕЕСТР РИСКОВ_2023'!AU389="",AO348,'РЕЕСТР РИСКОВ_2023'!AU389)</f>
        <v>#REF!</v>
      </c>
    </row>
    <row r="350" spans="2:41">
      <c r="B350" t="str">
        <f>IF('INHERENT MAP'!$B$5=2021,IF('РЕЕСТР РИСКОВ_2023'!F390="",B349,'РЕЕСТР РИСКОВ_2023'!F390),IF('INHERENT MAP'!$B$5=2022,IF(#REF!="",B349,#REF!),IF('INHERENT MAP'!$B$5=2023,IF(#REF!="",B349,#REF!),IF('INHERENT MAP'!$B$5=2024,IF(#REF!="",B349,#REF!),IF('РЕЕСТР РИСКОВ_2023'!F390="",B349,'РЕЕСТР РИСКОВ_2023'!F390)))))</f>
        <v>ПРОЦЕНТНЫЙ РИСК</v>
      </c>
      <c r="C350" t="e">
        <f>IF('INHERENT MAP'!$B$5=2021,IF('РЕЕСТР РИСКОВ_2023'!G390="",C349,'РЕЕСТР РИСКОВ_2023'!G390),IF('INHERENT MAP'!$B$5=2022,IF(#REF!="",C349,#REF!),IF('INHERENT MAP'!$B$5=2023,IF(#REF!="",C349,#REF!),IF('INHERENT MAP'!$B$5=2024,IF(#REF!="",C349,#REF!),IF('РЕЕСТР РИСКОВ_2023'!G390="",C349,'РЕЕСТР РИСКОВ_2023'!G390)))))</f>
        <v>#REF!</v>
      </c>
      <c r="D350" t="str">
        <f>IF('INHERENT MAP'!$B$5=2021,IF('РЕЕСТР РИСКОВ_2023'!H390="",D349,'РЕЕСТР РИСКОВ_2023'!H390),IF('INHERENT MAP'!$B$5=2022,IF(#REF!="",D349,#REF!),IF('INHERENT MAP'!$B$5=2023,IF(#REF!="",D349,#REF!),IF('INHERENT MAP'!$B$5=2024,IF(#REF!="",D349,#REF!),IF('РЕЕСТР РИСКОВ_2023'!H390="",D349,'РЕЕСТР РИСКОВ_2023'!H390)))))</f>
        <v>IRR-1</v>
      </c>
      <c r="E350" t="str">
        <f>IF('INHERENT MAP'!$B$5=2021,IF('РЕЕСТР РИСКОВ_2023'!I390="",E349,'РЕЕСТР РИСКОВ_2023'!I390),IF('INHERENT MAP'!$B$5=2022,IF(#REF!="",E349,#REF!),IF('INHERENT MAP'!$B$5=2023,IF(#REF!="",E349,#REF!),IF('INHERENT MAP'!$B$5=2024,IF(#REF!="",E349,#REF!),IF('РЕЕСТР РИСКОВ_2023'!I390="",E349,'РЕЕСТР РИСКОВ_2023'!I390)))))</f>
        <v>ЦЗФ</v>
      </c>
      <c r="F350" t="str">
        <f>IF('INHERENT MAP'!$B$5=2021,IF('РЕЕСТР РИСКОВ_2023'!J390="",F349,'РЕЕСТР РИСКОВ_2023'!J390),IF('INHERENT MAP'!$B$5=2022,IF(#REF!="",F349,#REF!),IF('INHERENT MAP'!$B$5=2023,IF(#REF!="",F349,#REF!),IF('INHERENT MAP'!$B$5=2024,IF(#REF!="",F349,#REF!),IF('РЕЕСТР РИСКОВ_2023'!J390="",F349,'РЕЕСТР РИСКОВ_2023'!J390)))))</f>
        <v>Цзайм</v>
      </c>
      <c r="G350" t="str">
        <f>IF('INHERENT MAP'!$B$5=2021,IF('РЕЕСТР РИСКОВ_2023'!K390="",G349,'РЕЕСТР РИСКОВ_2023'!K390),IF('INHERENT MAP'!$B$5=2022,IF(#REF!="",G349,#REF!),IF('INHERENT MAP'!$B$5=2023,IF(#REF!="",G349,#REF!),IF('INHERENT MAP'!$B$5=2024,IF(#REF!="",G349,#REF!),IF('РЕЕСТР РИСКОВ_2023'!K390="",G349,'РЕЕСТР РИСКОВ_2023'!K390)))))</f>
        <v>Увеличение расходов по процентам на новые займы, а также текущие займы (с плавающей ставкой) в тенге.</v>
      </c>
      <c r="H350">
        <f>IF('INHERENT MAP'!$B$5=2021,'РЕЕСТР РИСКОВ_2023'!L390,IF('INHERENT MAP'!$B$5=2022,#REF!,IF('INHERENT MAP'!$B$5=2023,#REF!,IF('INHERENT MAP'!$B$5=2024,#REF!,#REF!))))</f>
        <v>0</v>
      </c>
      <c r="I350">
        <f>IF('INHERENT MAP'!$B$5=2021,'РЕЕСТР РИСКОВ_2023'!M390,IF('INHERENT MAP'!$B$5=2022,#REF!,IF('INHERENT MAP'!$B$5=2023,#REF!,IF('INHERENT MAP'!$B$5=2024,#REF!,#REF!))))</f>
        <v>0</v>
      </c>
      <c r="J350">
        <f>IF('INHERENT MAP'!$B$5=2021,'РЕЕСТР РИСКОВ_2023'!N390,IF('INHERENT MAP'!$B$5=2022,#REF!,IF('INHERENT MAP'!$B$5=2023,#REF!,IF('INHERENT MAP'!$B$5=2024,#REF!,#REF!))))</f>
        <v>0</v>
      </c>
      <c r="K350">
        <f>IF('INHERENT MAP'!$B$5=2021,'РЕЕСТР РИСКОВ_2023'!O390,IF('INHERENT MAP'!$B$5=2022,#REF!,IF('INHERENT MAP'!$B$5=2023,#REF!,IF('INHERENT MAP'!$B$5=2024,#REF!,#REF!))))</f>
        <v>0</v>
      </c>
      <c r="L350">
        <f>IF('INHERENT MAP'!$B$5=2021,'РЕЕСТР РИСКОВ_2023'!P390,IF('INHERENT MAP'!$B$5=2022,#REF!,IF('INHERENT MAP'!$B$5=2023,#REF!,IF('INHERENT MAP'!$B$5=2024,#REF!,#REF!))))</f>
        <v>0</v>
      </c>
      <c r="M350" t="str">
        <f>IF('INHERENT MAP'!$B$5=2021,IF('РЕЕСТР РИСКОВ_2023'!Q390="",M349,'РЕЕСТР РИСКОВ_2023'!Q390),IF('INHERENT MAP'!$B$5=2022,IF(#REF!="",M349,#REF!),IF('INHERENT MAP'!$B$5=2023,IF(#REF!="",M349,#REF!),IF('INHERENT MAP'!$B$5=2024,IF(#REF!="",M349,#REF!),IF('РЕЕСТР РИСКОВ_2023'!Q390="",M349,'РЕЕСТР РИСКОВ_2023'!Q390)))))</f>
        <v>Увеличение базовой ставки Национального банка Республики Казахстан до 16%</v>
      </c>
      <c r="N350" t="str">
        <f>IF('INHERENT MAP'!$B$5=2021,IF('РЕЕСТР РИСКОВ_2023'!R390="",N349,'РЕЕСТР РИСКОВ_2023'!R390),IF('INHERENT MAP'!$B$5=2022,IF(#REF!="",N349,#REF!),IF('INHERENT MAP'!$B$5=2023,IF(#REF!="",N349,#REF!),IF('INHERENT MAP'!$B$5=2024,IF(#REF!="",N349,#REF!),IF('РЕЕСТР РИСКОВ_2023'!R390="",N349,'РЕЕСТР РИСКОВ_2023'!R390)))))</f>
        <v>Рецессия экономики европейских стран</v>
      </c>
      <c r="O350">
        <f>'РЕЕСТР РИСКОВ_2023'!T390</f>
        <v>0</v>
      </c>
      <c r="P350" t="e">
        <f>IF('РЕЕСТР РИСКОВ_2023'!U390="",P349,'РЕЕСТР РИСКОВ_2023'!U390)</f>
        <v>#REF!</v>
      </c>
      <c r="Q350" t="str">
        <f>IF('РЕЕСТР РИСКОВ_2023'!V390="",Q349,'РЕЕСТР РИСКОВ_2023'!V390)</f>
        <v>Угрозы</v>
      </c>
      <c r="R350" t="e">
        <f>IF('РЕЕСТР РИСКОВ_2023'!W390="",R349,'РЕЕСТР РИСКОВ_2023'!W390)</f>
        <v>#REF!</v>
      </c>
      <c r="S350">
        <f>'РЕЕСТР РИСКОВ_2023'!X390</f>
        <v>0</v>
      </c>
      <c r="T350" s="94">
        <f>IF('INHERENT MAP'!$B$5=2021,'РЕЕСТР РИСКОВ_2023'!Y390,IF('INHERENT MAP'!$B$5=2022,#REF!,IF('INHERENT MAP'!$B$5=2023,#REF!,IF('INHERENT MAP'!$B$5=2024,#REF!,#REF!))))</f>
        <v>0</v>
      </c>
      <c r="U350">
        <f>IF('INHERENT MAP'!$B$5=2021,'РЕЕСТР РИСКОВ_2023'!Z390,IF('INHERENT MAP'!$B$5=2022,#REF!,IF('INHERENT MAP'!$B$5=2023,#REF!,IF('INHERENT MAP'!$B$5=2024,#REF!,#REF!))))</f>
        <v>0</v>
      </c>
      <c r="V350">
        <f>IF('INHERENT MAP'!$B$5=2021,'РЕЕСТР РИСКОВ_2023'!AA390,IF('INHERENT MAP'!$B$5=2022,#REF!,IF('INHERENT MAP'!$B$5=2023,#REF!,IF('INHERENT MAP'!$B$5=2024,#REF!,#REF!))))</f>
        <v>0</v>
      </c>
      <c r="W350">
        <f>IF('INHERENT MAP'!$B$5=2021,'РЕЕСТР РИСКОВ_2023'!AB390,IF('INHERENT MAP'!$B$5=2022,#REF!,IF('INHERENT MAP'!$B$5=2023,#REF!,IF('INHERENT MAP'!$B$5=2024,#REF!,#REF!))))</f>
        <v>0</v>
      </c>
      <c r="X350" s="94">
        <f>IF('INHERENT MAP'!$B$5=2021,'РЕЕСТР РИСКОВ_2023'!AC390,IF('INHERENT MAP'!$B$5=2022,#REF!,IF('INHERENT MAP'!$B$5=2023,#REF!,IF('INHERENT MAP'!$B$5=2024,#REF!,#REF!))))</f>
        <v>0</v>
      </c>
      <c r="Y350">
        <f>IF('INHERENT MAP'!$B$5=2021,'РЕЕСТР РИСКОВ_2023'!AD390,IF('INHERENT MAP'!$B$5=2022,#REF!,IF('INHERENT MAP'!$B$5=2023,#REF!,IF('INHERENT MAP'!$B$5=2024,#REF!,#REF!))))</f>
        <v>0</v>
      </c>
      <c r="Z350">
        <f>IF('INHERENT MAP'!$B$5=2021,'РЕЕСТР РИСКОВ_2023'!AE390,IF('INHERENT MAP'!$B$5=2022,#REF!,IF('INHERENT MAP'!$B$5=2023,#REF!,IF('INHERENT MAP'!$B$5=2024,#REF!,#REF!))))</f>
        <v>0</v>
      </c>
      <c r="AA350">
        <f>IF('INHERENT MAP'!$B$5=2021,'РЕЕСТР РИСКОВ_2023'!AF390,IF('INHERENT MAP'!$B$5=2022,#REF!,IF('INHERENT MAP'!$B$5=2023,#REF!,IF('INHERENT MAP'!$B$5=2024,#REF!,#REF!))))</f>
        <v>0</v>
      </c>
      <c r="AB350">
        <f>IF('INHERENT MAP'!$B$5=2021,'РЕЕСТР РИСКОВ_2023'!AG390,IF('INHERENT MAP'!$B$5=2022,#REF!,IF('INHERENT MAP'!$B$5=2023,#REF!,IF('INHERENT MAP'!$B$5=2024,#REF!,#REF!))))</f>
        <v>0</v>
      </c>
      <c r="AC350">
        <f>IF('INHERENT MAP'!$B$5=2021,'РЕЕСТР РИСКОВ_2023'!AH390,IF('INHERENT MAP'!$B$5=2022,#REF!,IF('INHERENT MAP'!$B$5=2023,#REF!,IF('INHERENT MAP'!$B$5=2024,#REF!,#REF!))))</f>
        <v>0</v>
      </c>
      <c r="AD350">
        <f>IF('INHERENT MAP'!$B$5=2021,'РЕЕСТР РИСКОВ_2023'!AI390,IF('INHERENT MAP'!$B$5=2022,#REF!,IF('INHERENT MAP'!$B$5=2023,#REF!,IF('INHERENT MAP'!$B$5=2024,#REF!,#REF!))))</f>
        <v>0</v>
      </c>
      <c r="AE350">
        <f>IF('INHERENT MAP'!$B$5=2021,'РЕЕСТР РИСКОВ_2023'!AK390,IF('INHERENT MAP'!$B$5=2022,#REF!,IF('INHERENT MAP'!$B$5=2023,#REF!,IF('INHERENT MAP'!$B$5=2024,#REF!,#REF!))))</f>
        <v>0</v>
      </c>
      <c r="AF350">
        <f>IF('INHERENT MAP'!$B$5=2021,'РЕЕСТР РИСКОВ_2023'!AL390,IF('INHERENT MAP'!$B$5=2022,#REF!,IF('INHERENT MAP'!$B$5=2023,#REF!,IF('INHERENT MAP'!$B$5=2024,#REF!,#REF!))))</f>
        <v>0</v>
      </c>
      <c r="AG350">
        <f>IF('INHERENT MAP'!$B$5=2021,'РЕЕСТР РИСКОВ_2023'!AM390,IF('INHERENT MAP'!$B$5=2022,#REF!,IF('INHERENT MAP'!$B$5=2023,#REF!,IF('INHERENT MAP'!$B$5=2024,#REF!,#REF!))))</f>
        <v>0</v>
      </c>
      <c r="AH350">
        <f>IF('INHERENT MAP'!$B$5=2021,'РЕЕСТР РИСКОВ_2023'!AN390,IF('INHERENT MAP'!$B$5=2022,#REF!,IF('INHERENT MAP'!$B$5=2023,#REF!,IF('INHERENT MAP'!$B$5=2024,#REF!,#REF!))))</f>
        <v>0</v>
      </c>
      <c r="AI350">
        <f>IF('INHERENT MAP'!$B$5=2021,'РЕЕСТР РИСКОВ_2023'!AO390,IF('INHERENT MAP'!$B$5=2022,#REF!,IF('INHERENT MAP'!$B$5=2023,#REF!,IF('INHERENT MAP'!$B$5=2024,#REF!,#REF!))))</f>
        <v>0</v>
      </c>
      <c r="AJ350">
        <f>IF('INHERENT MAP'!$B$5=2021,'РЕЕСТР РИСКОВ_2023'!AP390,IF('INHERENT MAP'!$B$5=2022,#REF!,IF('INHERENT MAP'!$B$5=2023,#REF!,IF('INHERENT MAP'!$B$5=2024,#REF!,#REF!))))</f>
        <v>0</v>
      </c>
      <c r="AK350">
        <f>IF('РЕЕСТР РИСКОВ_2023'!AQ390="",AK349,'РЕЕСТР РИСКОВ_2023'!AQ390)</f>
        <v>-216</v>
      </c>
      <c r="AL350">
        <f>IF('РЕЕСТР РИСКОВ_2023'!AR390="",AL349,'РЕЕСТР РИСКОВ_2023'!AR390)</f>
        <v>0.12</v>
      </c>
      <c r="AM350" t="str">
        <f>IF('РЕЕСТР РИСКОВ_2023'!AS390="",AM349,'РЕЕСТР РИСКОВ_2023'!AS390)</f>
        <v>стоп</v>
      </c>
      <c r="AN350" t="str">
        <f>IF('РЕЕСТР РИСКОВ_2023'!AT390="",AN349,'РЕЕСТР РИСКОВ_2023'!AT390)</f>
        <v>стоп</v>
      </c>
      <c r="AO350" t="e">
        <f>IF('РЕЕСТР РИСКОВ_2023'!AU390="",AO349,'РЕЕСТР РИСКОВ_2023'!AU390)</f>
        <v>#REF!</v>
      </c>
    </row>
    <row r="351" spans="2:41">
      <c r="B351" t="str">
        <f>IF('INHERENT MAP'!$B$5=2021,IF('РЕЕСТР РИСКОВ_2023'!F391="",B350,'РЕЕСТР РИСКОВ_2023'!F391),IF('INHERENT MAP'!$B$5=2022,IF(#REF!="",B350,#REF!),IF('INHERENT MAP'!$B$5=2023,IF(#REF!="",B350,#REF!),IF('INHERENT MAP'!$B$5=2024,IF(#REF!="",B350,#REF!),IF('РЕЕСТР РИСКОВ_2023'!F391="",B350,'РЕЕСТР РИСКОВ_2023'!F391)))))</f>
        <v>ПРОЦЕНТНЫЙ РИСК</v>
      </c>
      <c r="C351" t="e">
        <f>IF('INHERENT MAP'!$B$5=2021,IF('РЕЕСТР РИСКОВ_2023'!G391="",C350,'РЕЕСТР РИСКОВ_2023'!G391),IF('INHERENT MAP'!$B$5=2022,IF(#REF!="",C350,#REF!),IF('INHERENT MAP'!$B$5=2023,IF(#REF!="",C350,#REF!),IF('INHERENT MAP'!$B$5=2024,IF(#REF!="",C350,#REF!),IF('РЕЕСТР РИСКОВ_2023'!G391="",C350,'РЕЕСТР РИСКОВ_2023'!G391)))))</f>
        <v>#REF!</v>
      </c>
      <c r="D351" t="str">
        <f>IF('INHERENT MAP'!$B$5=2021,IF('РЕЕСТР РИСКОВ_2023'!H391="",D350,'РЕЕСТР РИСКОВ_2023'!H391),IF('INHERENT MAP'!$B$5=2022,IF(#REF!="",D350,#REF!),IF('INHERENT MAP'!$B$5=2023,IF(#REF!="",D350,#REF!),IF('INHERENT MAP'!$B$5=2024,IF(#REF!="",D350,#REF!),IF('РЕЕСТР РИСКОВ_2023'!H391="",D350,'РЕЕСТР РИСКОВ_2023'!H391)))))</f>
        <v>IRR-1</v>
      </c>
      <c r="E351" t="str">
        <f>IF('INHERENT MAP'!$B$5=2021,IF('РЕЕСТР РИСКОВ_2023'!I391="",E350,'РЕЕСТР РИСКОВ_2023'!I391),IF('INHERENT MAP'!$B$5=2022,IF(#REF!="",E350,#REF!),IF('INHERENT MAP'!$B$5=2023,IF(#REF!="",E350,#REF!),IF('INHERENT MAP'!$B$5=2024,IF(#REF!="",E350,#REF!),IF('РЕЕСТР РИСКОВ_2023'!I391="",E350,'РЕЕСТР РИСКОВ_2023'!I391)))))</f>
        <v>ЦЗФ</v>
      </c>
      <c r="F351" t="str">
        <f>IF('INHERENT MAP'!$B$5=2021,IF('РЕЕСТР РИСКОВ_2023'!J391="",F350,'РЕЕСТР РИСКОВ_2023'!J391),IF('INHERENT MAP'!$B$5=2022,IF(#REF!="",F350,#REF!),IF('INHERENT MAP'!$B$5=2023,IF(#REF!="",F350,#REF!),IF('INHERENT MAP'!$B$5=2024,IF(#REF!="",F350,#REF!),IF('РЕЕСТР РИСКОВ_2023'!J391="",F350,'РЕЕСТР РИСКОВ_2023'!J391)))))</f>
        <v>Цзайм</v>
      </c>
      <c r="G351" t="str">
        <f>IF('INHERENT MAP'!$B$5=2021,IF('РЕЕСТР РИСКОВ_2023'!K391="",G350,'РЕЕСТР РИСКОВ_2023'!K391),IF('INHERENT MAP'!$B$5=2022,IF(#REF!="",G350,#REF!),IF('INHERENT MAP'!$B$5=2023,IF(#REF!="",G350,#REF!),IF('INHERENT MAP'!$B$5=2024,IF(#REF!="",G350,#REF!),IF('РЕЕСТР РИСКОВ_2023'!K391="",G350,'РЕЕСТР РИСКОВ_2023'!K391)))))</f>
        <v>Увеличение расходов по процентам на новые займы, а также текущие займы (с плавающей ставкой) в тенге.</v>
      </c>
      <c r="H351">
        <f>IF('INHERENT MAP'!$B$5=2021,'РЕЕСТР РИСКОВ_2023'!L391,IF('INHERENT MAP'!$B$5=2022,#REF!,IF('INHERENT MAP'!$B$5=2023,#REF!,IF('INHERENT MAP'!$B$5=2024,#REF!,#REF!))))</f>
        <v>0</v>
      </c>
      <c r="I351">
        <f>IF('INHERENT MAP'!$B$5=2021,'РЕЕСТР РИСКОВ_2023'!M391,IF('INHERENT MAP'!$B$5=2022,#REF!,IF('INHERENT MAP'!$B$5=2023,#REF!,IF('INHERENT MAP'!$B$5=2024,#REF!,#REF!))))</f>
        <v>0</v>
      </c>
      <c r="J351">
        <f>IF('INHERENT MAP'!$B$5=2021,'РЕЕСТР РИСКОВ_2023'!N391,IF('INHERENT MAP'!$B$5=2022,#REF!,IF('INHERENT MAP'!$B$5=2023,#REF!,IF('INHERENT MAP'!$B$5=2024,#REF!,#REF!))))</f>
        <v>0</v>
      </c>
      <c r="K351">
        <f>IF('INHERENT MAP'!$B$5=2021,'РЕЕСТР РИСКОВ_2023'!O391,IF('INHERENT MAP'!$B$5=2022,#REF!,IF('INHERENT MAP'!$B$5=2023,#REF!,IF('INHERENT MAP'!$B$5=2024,#REF!,#REF!))))</f>
        <v>0</v>
      </c>
      <c r="L351">
        <f>IF('INHERENT MAP'!$B$5=2021,'РЕЕСТР РИСКОВ_2023'!P391,IF('INHERENT MAP'!$B$5=2022,#REF!,IF('INHERENT MAP'!$B$5=2023,#REF!,IF('INHERENT MAP'!$B$5=2024,#REF!,#REF!))))</f>
        <v>0</v>
      </c>
      <c r="M351" t="str">
        <f>IF('INHERENT MAP'!$B$5=2021,IF('РЕЕСТР РИСКОВ_2023'!Q391="",M350,'РЕЕСТР РИСКОВ_2023'!Q391),IF('INHERENT MAP'!$B$5=2022,IF(#REF!="",M350,#REF!),IF('INHERENT MAP'!$B$5=2023,IF(#REF!="",M350,#REF!),IF('INHERENT MAP'!$B$5=2024,IF(#REF!="",M350,#REF!),IF('РЕЕСТР РИСКОВ_2023'!Q391="",M350,'РЕЕСТР РИСКОВ_2023'!Q391)))))</f>
        <v>Увеличение базовой ставки Национального банка Республики Казахстан до 16%</v>
      </c>
      <c r="N351" t="str">
        <f>IF('INHERENT MAP'!$B$5=2021,IF('РЕЕСТР РИСКОВ_2023'!R391="",N350,'РЕЕСТР РИСКОВ_2023'!R391),IF('INHERENT MAP'!$B$5=2022,IF(#REF!="",N350,#REF!),IF('INHERENT MAP'!$B$5=2023,IF(#REF!="",N350,#REF!),IF('INHERENT MAP'!$B$5=2024,IF(#REF!="",N350,#REF!),IF('РЕЕСТР РИСКОВ_2023'!R391="",N350,'РЕЕСТР РИСКОВ_2023'!R391)))))</f>
        <v>Рецессия экономики европейских стран</v>
      </c>
      <c r="O351">
        <f>'РЕЕСТР РИСКОВ_2023'!T391</f>
        <v>0</v>
      </c>
      <c r="P351" t="e">
        <f>IF('РЕЕСТР РИСКОВ_2023'!U391="",P350,'РЕЕСТР РИСКОВ_2023'!U391)</f>
        <v>#REF!</v>
      </c>
      <c r="Q351" t="str">
        <f>IF('РЕЕСТР РИСКОВ_2023'!V391="",Q350,'РЕЕСТР РИСКОВ_2023'!V391)</f>
        <v>Угрозы</v>
      </c>
      <c r="R351" t="e">
        <f>IF('РЕЕСТР РИСКОВ_2023'!W391="",R350,'РЕЕСТР РИСКОВ_2023'!W391)</f>
        <v>#REF!</v>
      </c>
      <c r="S351">
        <f>'РЕЕСТР РИСКОВ_2023'!X391</f>
        <v>0</v>
      </c>
      <c r="T351" s="94">
        <f>IF('INHERENT MAP'!$B$5=2021,'РЕЕСТР РИСКОВ_2023'!Y391,IF('INHERENT MAP'!$B$5=2022,#REF!,IF('INHERENT MAP'!$B$5=2023,#REF!,IF('INHERENT MAP'!$B$5=2024,#REF!,#REF!))))</f>
        <v>0</v>
      </c>
      <c r="U351">
        <f>IF('INHERENT MAP'!$B$5=2021,'РЕЕСТР РИСКОВ_2023'!Z391,IF('INHERENT MAP'!$B$5=2022,#REF!,IF('INHERENT MAP'!$B$5=2023,#REF!,IF('INHERENT MAP'!$B$5=2024,#REF!,#REF!))))</f>
        <v>0</v>
      </c>
      <c r="V351">
        <f>IF('INHERENT MAP'!$B$5=2021,'РЕЕСТР РИСКОВ_2023'!AA391,IF('INHERENT MAP'!$B$5=2022,#REF!,IF('INHERENT MAP'!$B$5=2023,#REF!,IF('INHERENT MAP'!$B$5=2024,#REF!,#REF!))))</f>
        <v>0</v>
      </c>
      <c r="W351">
        <f>IF('INHERENT MAP'!$B$5=2021,'РЕЕСТР РИСКОВ_2023'!AB391,IF('INHERENT MAP'!$B$5=2022,#REF!,IF('INHERENT MAP'!$B$5=2023,#REF!,IF('INHERENT MAP'!$B$5=2024,#REF!,#REF!))))</f>
        <v>0</v>
      </c>
      <c r="X351" s="94">
        <f>IF('INHERENT MAP'!$B$5=2021,'РЕЕСТР РИСКОВ_2023'!AC391,IF('INHERENT MAP'!$B$5=2022,#REF!,IF('INHERENT MAP'!$B$5=2023,#REF!,IF('INHERENT MAP'!$B$5=2024,#REF!,#REF!))))</f>
        <v>0</v>
      </c>
      <c r="Y351">
        <f>IF('INHERENT MAP'!$B$5=2021,'РЕЕСТР РИСКОВ_2023'!AD391,IF('INHERENT MAP'!$B$5=2022,#REF!,IF('INHERENT MAP'!$B$5=2023,#REF!,IF('INHERENT MAP'!$B$5=2024,#REF!,#REF!))))</f>
        <v>0</v>
      </c>
      <c r="Z351">
        <f>IF('INHERENT MAP'!$B$5=2021,'РЕЕСТР РИСКОВ_2023'!AE391,IF('INHERENT MAP'!$B$5=2022,#REF!,IF('INHERENT MAP'!$B$5=2023,#REF!,IF('INHERENT MAP'!$B$5=2024,#REF!,#REF!))))</f>
        <v>0</v>
      </c>
      <c r="AA351">
        <f>IF('INHERENT MAP'!$B$5=2021,'РЕЕСТР РИСКОВ_2023'!AF391,IF('INHERENT MAP'!$B$5=2022,#REF!,IF('INHERENT MAP'!$B$5=2023,#REF!,IF('INHERENT MAP'!$B$5=2024,#REF!,#REF!))))</f>
        <v>0</v>
      </c>
      <c r="AB351">
        <f>IF('INHERENT MAP'!$B$5=2021,'РЕЕСТР РИСКОВ_2023'!AG391,IF('INHERENT MAP'!$B$5=2022,#REF!,IF('INHERENT MAP'!$B$5=2023,#REF!,IF('INHERENT MAP'!$B$5=2024,#REF!,#REF!))))</f>
        <v>0</v>
      </c>
      <c r="AC351">
        <f>IF('INHERENT MAP'!$B$5=2021,'РЕЕСТР РИСКОВ_2023'!AH391,IF('INHERENT MAP'!$B$5=2022,#REF!,IF('INHERENT MAP'!$B$5=2023,#REF!,IF('INHERENT MAP'!$B$5=2024,#REF!,#REF!))))</f>
        <v>0</v>
      </c>
      <c r="AD351">
        <f>IF('INHERENT MAP'!$B$5=2021,'РЕЕСТР РИСКОВ_2023'!AI391,IF('INHERENT MAP'!$B$5=2022,#REF!,IF('INHERENT MAP'!$B$5=2023,#REF!,IF('INHERENT MAP'!$B$5=2024,#REF!,#REF!))))</f>
        <v>0</v>
      </c>
      <c r="AE351">
        <f>IF('INHERENT MAP'!$B$5=2021,'РЕЕСТР РИСКОВ_2023'!AK391,IF('INHERENT MAP'!$B$5=2022,#REF!,IF('INHERENT MAP'!$B$5=2023,#REF!,IF('INHERENT MAP'!$B$5=2024,#REF!,#REF!))))</f>
        <v>0</v>
      </c>
      <c r="AF351">
        <f>IF('INHERENT MAP'!$B$5=2021,'РЕЕСТР РИСКОВ_2023'!AL391,IF('INHERENT MAP'!$B$5=2022,#REF!,IF('INHERENT MAP'!$B$5=2023,#REF!,IF('INHERENT MAP'!$B$5=2024,#REF!,#REF!))))</f>
        <v>0</v>
      </c>
      <c r="AG351">
        <f>IF('INHERENT MAP'!$B$5=2021,'РЕЕСТР РИСКОВ_2023'!AM391,IF('INHERENT MAP'!$B$5=2022,#REF!,IF('INHERENT MAP'!$B$5=2023,#REF!,IF('INHERENT MAP'!$B$5=2024,#REF!,#REF!))))</f>
        <v>0</v>
      </c>
      <c r="AH351">
        <f>IF('INHERENT MAP'!$B$5=2021,'РЕЕСТР РИСКОВ_2023'!AN391,IF('INHERENT MAP'!$B$5=2022,#REF!,IF('INHERENT MAP'!$B$5=2023,#REF!,IF('INHERENT MAP'!$B$5=2024,#REF!,#REF!))))</f>
        <v>0</v>
      </c>
      <c r="AI351">
        <f>IF('INHERENT MAP'!$B$5=2021,'РЕЕСТР РИСКОВ_2023'!AO391,IF('INHERENT MAP'!$B$5=2022,#REF!,IF('INHERENT MAP'!$B$5=2023,#REF!,IF('INHERENT MAP'!$B$5=2024,#REF!,#REF!))))</f>
        <v>0</v>
      </c>
      <c r="AJ351">
        <f>IF('INHERENT MAP'!$B$5=2021,'РЕЕСТР РИСКОВ_2023'!AP391,IF('INHERENT MAP'!$B$5=2022,#REF!,IF('INHERENT MAP'!$B$5=2023,#REF!,IF('INHERENT MAP'!$B$5=2024,#REF!,#REF!))))</f>
        <v>0</v>
      </c>
      <c r="AK351">
        <f>IF('РЕЕСТР РИСКОВ_2023'!AQ391="",AK350,'РЕЕСТР РИСКОВ_2023'!AQ391)</f>
        <v>-216</v>
      </c>
      <c r="AL351">
        <f>IF('РЕЕСТР РИСКОВ_2023'!AR391="",AL350,'РЕЕСТР РИСКОВ_2023'!AR391)</f>
        <v>0.12</v>
      </c>
      <c r="AM351" t="str">
        <f>IF('РЕЕСТР РИСКОВ_2023'!AS391="",AM350,'РЕЕСТР РИСКОВ_2023'!AS391)</f>
        <v>стоп</v>
      </c>
      <c r="AN351" t="str">
        <f>IF('РЕЕСТР РИСКОВ_2023'!AT391="",AN350,'РЕЕСТР РИСКОВ_2023'!AT391)</f>
        <v>стоп</v>
      </c>
      <c r="AO351" t="e">
        <f>IF('РЕЕСТР РИСКОВ_2023'!AU391="",AO350,'РЕЕСТР РИСКОВ_2023'!AU391)</f>
        <v>#REF!</v>
      </c>
    </row>
    <row r="352" spans="2:41">
      <c r="B352" t="str">
        <f>IF('INHERENT MAP'!$B$5=2021,IF('РЕЕСТР РИСКОВ_2023'!F392="",B351,'РЕЕСТР РИСКОВ_2023'!F392),IF('INHERENT MAP'!$B$5=2022,IF(#REF!="",B351,#REF!),IF('INHERENT MAP'!$B$5=2023,IF(#REF!="",B351,#REF!),IF('INHERENT MAP'!$B$5=2024,IF(#REF!="",B351,#REF!),IF('РЕЕСТР РИСКОВ_2023'!F392="",B351,'РЕЕСТР РИСКОВ_2023'!F392)))))</f>
        <v>ПРОЦЕНТНЫЙ РИСК</v>
      </c>
      <c r="C352" t="e">
        <f>IF('INHERENT MAP'!$B$5=2021,IF('РЕЕСТР РИСКОВ_2023'!G392="",C351,'РЕЕСТР РИСКОВ_2023'!G392),IF('INHERENT MAP'!$B$5=2022,IF(#REF!="",C351,#REF!),IF('INHERENT MAP'!$B$5=2023,IF(#REF!="",C351,#REF!),IF('INHERENT MAP'!$B$5=2024,IF(#REF!="",C351,#REF!),IF('РЕЕСТР РИСКОВ_2023'!G392="",C351,'РЕЕСТР РИСКОВ_2023'!G392)))))</f>
        <v>#REF!</v>
      </c>
      <c r="D352" t="str">
        <f>IF('INHERENT MAP'!$B$5=2021,IF('РЕЕСТР РИСКОВ_2023'!H392="",D351,'РЕЕСТР РИСКОВ_2023'!H392),IF('INHERENT MAP'!$B$5=2022,IF(#REF!="",D351,#REF!),IF('INHERENT MAP'!$B$5=2023,IF(#REF!="",D351,#REF!),IF('INHERENT MAP'!$B$5=2024,IF(#REF!="",D351,#REF!),IF('РЕЕСТР РИСКОВ_2023'!H392="",D351,'РЕЕСТР РИСКОВ_2023'!H392)))))</f>
        <v>IRR-1</v>
      </c>
      <c r="E352" t="str">
        <f>IF('INHERENT MAP'!$B$5=2021,IF('РЕЕСТР РИСКОВ_2023'!I392="",E351,'РЕЕСТР РИСКОВ_2023'!I392),IF('INHERENT MAP'!$B$5=2022,IF(#REF!="",E351,#REF!),IF('INHERENT MAP'!$B$5=2023,IF(#REF!="",E351,#REF!),IF('INHERENT MAP'!$B$5=2024,IF(#REF!="",E351,#REF!),IF('РЕЕСТР РИСКОВ_2023'!I392="",E351,'РЕЕСТР РИСКОВ_2023'!I392)))))</f>
        <v>ЦЗФ</v>
      </c>
      <c r="F352" t="str">
        <f>IF('INHERENT MAP'!$B$5=2021,IF('РЕЕСТР РИСКОВ_2023'!J392="",F351,'РЕЕСТР РИСКОВ_2023'!J392),IF('INHERENT MAP'!$B$5=2022,IF(#REF!="",F351,#REF!),IF('INHERENT MAP'!$B$5=2023,IF(#REF!="",F351,#REF!),IF('INHERENT MAP'!$B$5=2024,IF(#REF!="",F351,#REF!),IF('РЕЕСТР РИСКОВ_2023'!J392="",F351,'РЕЕСТР РИСКОВ_2023'!J392)))))</f>
        <v>Цзайм</v>
      </c>
      <c r="G352" t="str">
        <f>IF('INHERENT MAP'!$B$5=2021,IF('РЕЕСТР РИСКОВ_2023'!K392="",G351,'РЕЕСТР РИСКОВ_2023'!K392),IF('INHERENT MAP'!$B$5=2022,IF(#REF!="",G351,#REF!),IF('INHERENT MAP'!$B$5=2023,IF(#REF!="",G351,#REF!),IF('INHERENT MAP'!$B$5=2024,IF(#REF!="",G351,#REF!),IF('РЕЕСТР РИСКОВ_2023'!K392="",G351,'РЕЕСТР РИСКОВ_2023'!K392)))))</f>
        <v>Увеличение расходов по процентам на новые займы, а также текущие займы (с плавающей ставкой) в тенге.</v>
      </c>
      <c r="H352">
        <f>IF('INHERENT MAP'!$B$5=2021,'РЕЕСТР РИСКОВ_2023'!L392,IF('INHERENT MAP'!$B$5=2022,#REF!,IF('INHERENT MAP'!$B$5=2023,#REF!,IF('INHERENT MAP'!$B$5=2024,#REF!,#REF!))))</f>
        <v>0</v>
      </c>
      <c r="I352">
        <f>IF('INHERENT MAP'!$B$5=2021,'РЕЕСТР РИСКОВ_2023'!M392,IF('INHERENT MAP'!$B$5=2022,#REF!,IF('INHERENT MAP'!$B$5=2023,#REF!,IF('INHERENT MAP'!$B$5=2024,#REF!,#REF!))))</f>
        <v>0</v>
      </c>
      <c r="J352">
        <f>IF('INHERENT MAP'!$B$5=2021,'РЕЕСТР РИСКОВ_2023'!N392,IF('INHERENT MAP'!$B$5=2022,#REF!,IF('INHERENT MAP'!$B$5=2023,#REF!,IF('INHERENT MAP'!$B$5=2024,#REF!,#REF!))))</f>
        <v>0</v>
      </c>
      <c r="K352">
        <f>IF('INHERENT MAP'!$B$5=2021,'РЕЕСТР РИСКОВ_2023'!O392,IF('INHERENT MAP'!$B$5=2022,#REF!,IF('INHERENT MAP'!$B$5=2023,#REF!,IF('INHERENT MAP'!$B$5=2024,#REF!,#REF!))))</f>
        <v>0</v>
      </c>
      <c r="L352">
        <f>IF('INHERENT MAP'!$B$5=2021,'РЕЕСТР РИСКОВ_2023'!P392,IF('INHERENT MAP'!$B$5=2022,#REF!,IF('INHERENT MAP'!$B$5=2023,#REF!,IF('INHERENT MAP'!$B$5=2024,#REF!,#REF!))))</f>
        <v>0</v>
      </c>
      <c r="M352" t="str">
        <f>IF('INHERENT MAP'!$B$5=2021,IF('РЕЕСТР РИСКОВ_2023'!Q392="",M351,'РЕЕСТР РИСКОВ_2023'!Q392),IF('INHERENT MAP'!$B$5=2022,IF(#REF!="",M351,#REF!),IF('INHERENT MAP'!$B$5=2023,IF(#REF!="",M351,#REF!),IF('INHERENT MAP'!$B$5=2024,IF(#REF!="",M351,#REF!),IF('РЕЕСТР РИСКОВ_2023'!Q392="",M351,'РЕЕСТР РИСКОВ_2023'!Q392)))))</f>
        <v>Увеличение базовой ставки Национального банка Республики Казахстан до 16%</v>
      </c>
      <c r="N352" t="str">
        <f>IF('INHERENT MAP'!$B$5=2021,IF('РЕЕСТР РИСКОВ_2023'!R392="",N351,'РЕЕСТР РИСКОВ_2023'!R392),IF('INHERENT MAP'!$B$5=2022,IF(#REF!="",N351,#REF!),IF('INHERENT MAP'!$B$5=2023,IF(#REF!="",N351,#REF!),IF('INHERENT MAP'!$B$5=2024,IF(#REF!="",N351,#REF!),IF('РЕЕСТР РИСКОВ_2023'!R392="",N351,'РЕЕСТР РИСКОВ_2023'!R392)))))</f>
        <v>Рецессия экономики европейских стран</v>
      </c>
      <c r="O352">
        <f>'РЕЕСТР РИСКОВ_2023'!T392</f>
        <v>0</v>
      </c>
      <c r="P352" t="e">
        <f>IF('РЕЕСТР РИСКОВ_2023'!U392="",P351,'РЕЕСТР РИСКОВ_2023'!U392)</f>
        <v>#REF!</v>
      </c>
      <c r="Q352" t="str">
        <f>IF('РЕЕСТР РИСКОВ_2023'!V392="",Q351,'РЕЕСТР РИСКОВ_2023'!V392)</f>
        <v>Угрозы</v>
      </c>
      <c r="R352" t="e">
        <f>IF('РЕЕСТР РИСКОВ_2023'!W392="",R351,'РЕЕСТР РИСКОВ_2023'!W392)</f>
        <v>#REF!</v>
      </c>
      <c r="S352">
        <f>'РЕЕСТР РИСКОВ_2023'!X392</f>
        <v>0</v>
      </c>
      <c r="T352" s="94">
        <f>IF('INHERENT MAP'!$B$5=2021,'РЕЕСТР РИСКОВ_2023'!Y392,IF('INHERENT MAP'!$B$5=2022,#REF!,IF('INHERENT MAP'!$B$5=2023,#REF!,IF('INHERENT MAP'!$B$5=2024,#REF!,#REF!))))</f>
        <v>0</v>
      </c>
      <c r="U352">
        <f>IF('INHERENT MAP'!$B$5=2021,'РЕЕСТР РИСКОВ_2023'!Z392,IF('INHERENT MAP'!$B$5=2022,#REF!,IF('INHERENT MAP'!$B$5=2023,#REF!,IF('INHERENT MAP'!$B$5=2024,#REF!,#REF!))))</f>
        <v>0</v>
      </c>
      <c r="V352">
        <f>IF('INHERENT MAP'!$B$5=2021,'РЕЕСТР РИСКОВ_2023'!AA392,IF('INHERENT MAP'!$B$5=2022,#REF!,IF('INHERENT MAP'!$B$5=2023,#REF!,IF('INHERENT MAP'!$B$5=2024,#REF!,#REF!))))</f>
        <v>0</v>
      </c>
      <c r="W352">
        <f>IF('INHERENT MAP'!$B$5=2021,'РЕЕСТР РИСКОВ_2023'!AB392,IF('INHERENT MAP'!$B$5=2022,#REF!,IF('INHERENT MAP'!$B$5=2023,#REF!,IF('INHERENT MAP'!$B$5=2024,#REF!,#REF!))))</f>
        <v>0</v>
      </c>
      <c r="X352" s="94">
        <f>IF('INHERENT MAP'!$B$5=2021,'РЕЕСТР РИСКОВ_2023'!AC392,IF('INHERENT MAP'!$B$5=2022,#REF!,IF('INHERENT MAP'!$B$5=2023,#REF!,IF('INHERENT MAP'!$B$5=2024,#REF!,#REF!))))</f>
        <v>0</v>
      </c>
      <c r="Y352">
        <f>IF('INHERENT MAP'!$B$5=2021,'РЕЕСТР РИСКОВ_2023'!AD392,IF('INHERENT MAP'!$B$5=2022,#REF!,IF('INHERENT MAP'!$B$5=2023,#REF!,IF('INHERENT MAP'!$B$5=2024,#REF!,#REF!))))</f>
        <v>0</v>
      </c>
      <c r="Z352">
        <f>IF('INHERENT MAP'!$B$5=2021,'РЕЕСТР РИСКОВ_2023'!AE392,IF('INHERENT MAP'!$B$5=2022,#REF!,IF('INHERENT MAP'!$B$5=2023,#REF!,IF('INHERENT MAP'!$B$5=2024,#REF!,#REF!))))</f>
        <v>0</v>
      </c>
      <c r="AA352">
        <f>IF('INHERENT MAP'!$B$5=2021,'РЕЕСТР РИСКОВ_2023'!AF392,IF('INHERENT MAP'!$B$5=2022,#REF!,IF('INHERENT MAP'!$B$5=2023,#REF!,IF('INHERENT MAP'!$B$5=2024,#REF!,#REF!))))</f>
        <v>0</v>
      </c>
      <c r="AB352">
        <f>IF('INHERENT MAP'!$B$5=2021,'РЕЕСТР РИСКОВ_2023'!AG392,IF('INHERENT MAP'!$B$5=2022,#REF!,IF('INHERENT MAP'!$B$5=2023,#REF!,IF('INHERENT MAP'!$B$5=2024,#REF!,#REF!))))</f>
        <v>0</v>
      </c>
      <c r="AC352">
        <f>IF('INHERENT MAP'!$B$5=2021,'РЕЕСТР РИСКОВ_2023'!AH392,IF('INHERENT MAP'!$B$5=2022,#REF!,IF('INHERENT MAP'!$B$5=2023,#REF!,IF('INHERENT MAP'!$B$5=2024,#REF!,#REF!))))</f>
        <v>0</v>
      </c>
      <c r="AD352">
        <f>IF('INHERENT MAP'!$B$5=2021,'РЕЕСТР РИСКОВ_2023'!AI392,IF('INHERENT MAP'!$B$5=2022,#REF!,IF('INHERENT MAP'!$B$5=2023,#REF!,IF('INHERENT MAP'!$B$5=2024,#REF!,#REF!))))</f>
        <v>0</v>
      </c>
      <c r="AE352">
        <f>IF('INHERENT MAP'!$B$5=2021,'РЕЕСТР РИСКОВ_2023'!AK392,IF('INHERENT MAP'!$B$5=2022,#REF!,IF('INHERENT MAP'!$B$5=2023,#REF!,IF('INHERENT MAP'!$B$5=2024,#REF!,#REF!))))</f>
        <v>0</v>
      </c>
      <c r="AF352">
        <f>IF('INHERENT MAP'!$B$5=2021,'РЕЕСТР РИСКОВ_2023'!AL392,IF('INHERENT MAP'!$B$5=2022,#REF!,IF('INHERENT MAP'!$B$5=2023,#REF!,IF('INHERENT MAP'!$B$5=2024,#REF!,#REF!))))</f>
        <v>0</v>
      </c>
      <c r="AG352">
        <f>IF('INHERENT MAP'!$B$5=2021,'РЕЕСТР РИСКОВ_2023'!AM392,IF('INHERENT MAP'!$B$5=2022,#REF!,IF('INHERENT MAP'!$B$5=2023,#REF!,IF('INHERENT MAP'!$B$5=2024,#REF!,#REF!))))</f>
        <v>0</v>
      </c>
      <c r="AH352">
        <f>IF('INHERENT MAP'!$B$5=2021,'РЕЕСТР РИСКОВ_2023'!AN392,IF('INHERENT MAP'!$B$5=2022,#REF!,IF('INHERENT MAP'!$B$5=2023,#REF!,IF('INHERENT MAP'!$B$5=2024,#REF!,#REF!))))</f>
        <v>0</v>
      </c>
      <c r="AI352">
        <f>IF('INHERENT MAP'!$B$5=2021,'РЕЕСТР РИСКОВ_2023'!AO392,IF('INHERENT MAP'!$B$5=2022,#REF!,IF('INHERENT MAP'!$B$5=2023,#REF!,IF('INHERENT MAP'!$B$5=2024,#REF!,#REF!))))</f>
        <v>0</v>
      </c>
      <c r="AJ352">
        <f>IF('INHERENT MAP'!$B$5=2021,'РЕЕСТР РИСКОВ_2023'!AP392,IF('INHERENT MAP'!$B$5=2022,#REF!,IF('INHERENT MAP'!$B$5=2023,#REF!,IF('INHERENT MAP'!$B$5=2024,#REF!,#REF!))))</f>
        <v>0</v>
      </c>
      <c r="AK352">
        <f>IF('РЕЕСТР РИСКОВ_2023'!AQ392="",AK351,'РЕЕСТР РИСКОВ_2023'!AQ392)</f>
        <v>-216</v>
      </c>
      <c r="AL352">
        <f>IF('РЕЕСТР РИСКОВ_2023'!AR392="",AL351,'РЕЕСТР РИСКОВ_2023'!AR392)</f>
        <v>0.12</v>
      </c>
      <c r="AM352" t="str">
        <f>IF('РЕЕСТР РИСКОВ_2023'!AS392="",AM351,'РЕЕСТР РИСКОВ_2023'!AS392)</f>
        <v>стоп</v>
      </c>
      <c r="AN352" t="str">
        <f>IF('РЕЕСТР РИСКОВ_2023'!AT392="",AN351,'РЕЕСТР РИСКОВ_2023'!AT392)</f>
        <v>стоп</v>
      </c>
      <c r="AO352" t="e">
        <f>IF('РЕЕСТР РИСКОВ_2023'!AU392="",AO351,'РЕЕСТР РИСКОВ_2023'!AU392)</f>
        <v>#REF!</v>
      </c>
    </row>
    <row r="353" spans="2:41">
      <c r="B353" t="str">
        <f>IF('INHERENT MAP'!$B$5=2021,IF('РЕЕСТР РИСКОВ_2023'!F393="",B352,'РЕЕСТР РИСКОВ_2023'!F393),IF('INHERENT MAP'!$B$5=2022,IF(#REF!="",B352,#REF!),IF('INHERENT MAP'!$B$5=2023,IF(#REF!="",B352,#REF!),IF('INHERENT MAP'!$B$5=2024,IF(#REF!="",B352,#REF!),IF('РЕЕСТР РИСКОВ_2023'!F393="",B352,'РЕЕСТР РИСКОВ_2023'!F393)))))</f>
        <v>ПРОЦЕНТНЫЙ РИСК</v>
      </c>
      <c r="C353" t="e">
        <f>IF('INHERENT MAP'!$B$5=2021,IF('РЕЕСТР РИСКОВ_2023'!G393="",C352,'РЕЕСТР РИСКОВ_2023'!G393),IF('INHERENT MAP'!$B$5=2022,IF(#REF!="",C352,#REF!),IF('INHERENT MAP'!$B$5=2023,IF(#REF!="",C352,#REF!),IF('INHERENT MAP'!$B$5=2024,IF(#REF!="",C352,#REF!),IF('РЕЕСТР РИСКОВ_2023'!G393="",C352,'РЕЕСТР РИСКОВ_2023'!G393)))))</f>
        <v>#REF!</v>
      </c>
      <c r="D353" t="str">
        <f>IF('INHERENT MAP'!$B$5=2021,IF('РЕЕСТР РИСКОВ_2023'!H393="",D352,'РЕЕСТР РИСКОВ_2023'!H393),IF('INHERENT MAP'!$B$5=2022,IF(#REF!="",D352,#REF!),IF('INHERENT MAP'!$B$5=2023,IF(#REF!="",D352,#REF!),IF('INHERENT MAP'!$B$5=2024,IF(#REF!="",D352,#REF!),IF('РЕЕСТР РИСКОВ_2023'!H393="",D352,'РЕЕСТР РИСКОВ_2023'!H393)))))</f>
        <v>IRR-1</v>
      </c>
      <c r="E353" t="str">
        <f>IF('INHERENT MAP'!$B$5=2021,IF('РЕЕСТР РИСКОВ_2023'!I393="",E352,'РЕЕСТР РИСКОВ_2023'!I393),IF('INHERENT MAP'!$B$5=2022,IF(#REF!="",E352,#REF!),IF('INHERENT MAP'!$B$5=2023,IF(#REF!="",E352,#REF!),IF('INHERENT MAP'!$B$5=2024,IF(#REF!="",E352,#REF!),IF('РЕЕСТР РИСКОВ_2023'!I393="",E352,'РЕЕСТР РИСКОВ_2023'!I393)))))</f>
        <v>ЦЗФ</v>
      </c>
      <c r="F353" t="str">
        <f>IF('INHERENT MAP'!$B$5=2021,IF('РЕЕСТР РИСКОВ_2023'!J393="",F352,'РЕЕСТР РИСКОВ_2023'!J393),IF('INHERENT MAP'!$B$5=2022,IF(#REF!="",F352,#REF!),IF('INHERENT MAP'!$B$5=2023,IF(#REF!="",F352,#REF!),IF('INHERENT MAP'!$B$5=2024,IF(#REF!="",F352,#REF!),IF('РЕЕСТР РИСКОВ_2023'!J393="",F352,'РЕЕСТР РИСКОВ_2023'!J393)))))</f>
        <v>Цзайм</v>
      </c>
      <c r="G353" t="str">
        <f>IF('INHERENT MAP'!$B$5=2021,IF('РЕЕСТР РИСКОВ_2023'!K393="",G352,'РЕЕСТР РИСКОВ_2023'!K393),IF('INHERENT MAP'!$B$5=2022,IF(#REF!="",G352,#REF!),IF('INHERENT MAP'!$B$5=2023,IF(#REF!="",G352,#REF!),IF('INHERENT MAP'!$B$5=2024,IF(#REF!="",G352,#REF!),IF('РЕЕСТР РИСКОВ_2023'!K393="",G352,'РЕЕСТР РИСКОВ_2023'!K393)))))</f>
        <v>Увеличение расходов по процентам на новые займы, а также текущие займы (с плавающей ставкой) в тенге.</v>
      </c>
      <c r="H353">
        <f>IF('INHERENT MAP'!$B$5=2021,'РЕЕСТР РИСКОВ_2023'!L393,IF('INHERENT MAP'!$B$5=2022,#REF!,IF('INHERENT MAP'!$B$5=2023,#REF!,IF('INHERENT MAP'!$B$5=2024,#REF!,#REF!))))</f>
        <v>0</v>
      </c>
      <c r="I353">
        <f>IF('INHERENT MAP'!$B$5=2021,'РЕЕСТР РИСКОВ_2023'!M393,IF('INHERENT MAP'!$B$5=2022,#REF!,IF('INHERENT MAP'!$B$5=2023,#REF!,IF('INHERENT MAP'!$B$5=2024,#REF!,#REF!))))</f>
        <v>0</v>
      </c>
      <c r="J353">
        <f>IF('INHERENT MAP'!$B$5=2021,'РЕЕСТР РИСКОВ_2023'!N393,IF('INHERENT MAP'!$B$5=2022,#REF!,IF('INHERENT MAP'!$B$5=2023,#REF!,IF('INHERENT MAP'!$B$5=2024,#REF!,#REF!))))</f>
        <v>0</v>
      </c>
      <c r="K353">
        <f>IF('INHERENT MAP'!$B$5=2021,'РЕЕСТР РИСКОВ_2023'!O393,IF('INHERENT MAP'!$B$5=2022,#REF!,IF('INHERENT MAP'!$B$5=2023,#REF!,IF('INHERENT MAP'!$B$5=2024,#REF!,#REF!))))</f>
        <v>0</v>
      </c>
      <c r="L353">
        <f>IF('INHERENT MAP'!$B$5=2021,'РЕЕСТР РИСКОВ_2023'!P393,IF('INHERENT MAP'!$B$5=2022,#REF!,IF('INHERENT MAP'!$B$5=2023,#REF!,IF('INHERENT MAP'!$B$5=2024,#REF!,#REF!))))</f>
        <v>0</v>
      </c>
      <c r="M353" t="str">
        <f>IF('INHERENT MAP'!$B$5=2021,IF('РЕЕСТР РИСКОВ_2023'!Q393="",M352,'РЕЕСТР РИСКОВ_2023'!Q393),IF('INHERENT MAP'!$B$5=2022,IF(#REF!="",M352,#REF!),IF('INHERENT MAP'!$B$5=2023,IF(#REF!="",M352,#REF!),IF('INHERENT MAP'!$B$5=2024,IF(#REF!="",M352,#REF!),IF('РЕЕСТР РИСКОВ_2023'!Q393="",M352,'РЕЕСТР РИСКОВ_2023'!Q393)))))</f>
        <v>Увеличение базовой ставки Национального банка Республики Казахстан до 16%</v>
      </c>
      <c r="N353" t="str">
        <f>IF('INHERENT MAP'!$B$5=2021,IF('РЕЕСТР РИСКОВ_2023'!R393="",N352,'РЕЕСТР РИСКОВ_2023'!R393),IF('INHERENT MAP'!$B$5=2022,IF(#REF!="",N352,#REF!),IF('INHERENT MAP'!$B$5=2023,IF(#REF!="",N352,#REF!),IF('INHERENT MAP'!$B$5=2024,IF(#REF!="",N352,#REF!),IF('РЕЕСТР РИСКОВ_2023'!R393="",N352,'РЕЕСТР РИСКОВ_2023'!R393)))))</f>
        <v>Рецессия экономики европейских стран</v>
      </c>
      <c r="O353">
        <f>'РЕЕСТР РИСКОВ_2023'!T393</f>
        <v>0</v>
      </c>
      <c r="P353" t="e">
        <f>IF('РЕЕСТР РИСКОВ_2023'!U393="",P352,'РЕЕСТР РИСКОВ_2023'!U393)</f>
        <v>#REF!</v>
      </c>
      <c r="Q353" t="str">
        <f>IF('РЕЕСТР РИСКОВ_2023'!V393="",Q352,'РЕЕСТР РИСКОВ_2023'!V393)</f>
        <v>Угрозы</v>
      </c>
      <c r="R353" t="e">
        <f>IF('РЕЕСТР РИСКОВ_2023'!W393="",R352,'РЕЕСТР РИСКОВ_2023'!W393)</f>
        <v>#REF!</v>
      </c>
      <c r="S353">
        <f>'РЕЕСТР РИСКОВ_2023'!X393</f>
        <v>0</v>
      </c>
      <c r="T353" s="94">
        <f>IF('INHERENT MAP'!$B$5=2021,'РЕЕСТР РИСКОВ_2023'!Y393,IF('INHERENT MAP'!$B$5=2022,#REF!,IF('INHERENT MAP'!$B$5=2023,#REF!,IF('INHERENT MAP'!$B$5=2024,#REF!,#REF!))))</f>
        <v>0</v>
      </c>
      <c r="U353">
        <f>IF('INHERENT MAP'!$B$5=2021,'РЕЕСТР РИСКОВ_2023'!Z393,IF('INHERENT MAP'!$B$5=2022,#REF!,IF('INHERENT MAP'!$B$5=2023,#REF!,IF('INHERENT MAP'!$B$5=2024,#REF!,#REF!))))</f>
        <v>0</v>
      </c>
      <c r="V353">
        <f>IF('INHERENT MAP'!$B$5=2021,'РЕЕСТР РИСКОВ_2023'!AA393,IF('INHERENT MAP'!$B$5=2022,#REF!,IF('INHERENT MAP'!$B$5=2023,#REF!,IF('INHERENT MAP'!$B$5=2024,#REF!,#REF!))))</f>
        <v>0</v>
      </c>
      <c r="W353">
        <f>IF('INHERENT MAP'!$B$5=2021,'РЕЕСТР РИСКОВ_2023'!AB393,IF('INHERENT MAP'!$B$5=2022,#REF!,IF('INHERENT MAP'!$B$5=2023,#REF!,IF('INHERENT MAP'!$B$5=2024,#REF!,#REF!))))</f>
        <v>0</v>
      </c>
      <c r="X353" s="94">
        <f>IF('INHERENT MAP'!$B$5=2021,'РЕЕСТР РИСКОВ_2023'!AC393,IF('INHERENT MAP'!$B$5=2022,#REF!,IF('INHERENT MAP'!$B$5=2023,#REF!,IF('INHERENT MAP'!$B$5=2024,#REF!,#REF!))))</f>
        <v>0</v>
      </c>
      <c r="Y353">
        <f>IF('INHERENT MAP'!$B$5=2021,'РЕЕСТР РИСКОВ_2023'!AD393,IF('INHERENT MAP'!$B$5=2022,#REF!,IF('INHERENT MAP'!$B$5=2023,#REF!,IF('INHERENT MAP'!$B$5=2024,#REF!,#REF!))))</f>
        <v>0</v>
      </c>
      <c r="Z353">
        <f>IF('INHERENT MAP'!$B$5=2021,'РЕЕСТР РИСКОВ_2023'!AE393,IF('INHERENT MAP'!$B$5=2022,#REF!,IF('INHERENT MAP'!$B$5=2023,#REF!,IF('INHERENT MAP'!$B$5=2024,#REF!,#REF!))))</f>
        <v>0</v>
      </c>
      <c r="AA353">
        <f>IF('INHERENT MAP'!$B$5=2021,'РЕЕСТР РИСКОВ_2023'!AF393,IF('INHERENT MAP'!$B$5=2022,#REF!,IF('INHERENT MAP'!$B$5=2023,#REF!,IF('INHERENT MAP'!$B$5=2024,#REF!,#REF!))))</f>
        <v>0</v>
      </c>
      <c r="AB353">
        <f>IF('INHERENT MAP'!$B$5=2021,'РЕЕСТР РИСКОВ_2023'!AG393,IF('INHERENT MAP'!$B$5=2022,#REF!,IF('INHERENT MAP'!$B$5=2023,#REF!,IF('INHERENT MAP'!$B$5=2024,#REF!,#REF!))))</f>
        <v>0</v>
      </c>
      <c r="AC353">
        <f>IF('INHERENT MAP'!$B$5=2021,'РЕЕСТР РИСКОВ_2023'!AH393,IF('INHERENT MAP'!$B$5=2022,#REF!,IF('INHERENT MAP'!$B$5=2023,#REF!,IF('INHERENT MAP'!$B$5=2024,#REF!,#REF!))))</f>
        <v>0</v>
      </c>
      <c r="AD353">
        <f>IF('INHERENT MAP'!$B$5=2021,'РЕЕСТР РИСКОВ_2023'!AI393,IF('INHERENT MAP'!$B$5=2022,#REF!,IF('INHERENT MAP'!$B$5=2023,#REF!,IF('INHERENT MAP'!$B$5=2024,#REF!,#REF!))))</f>
        <v>0</v>
      </c>
      <c r="AE353">
        <f>IF('INHERENT MAP'!$B$5=2021,'РЕЕСТР РИСКОВ_2023'!AK393,IF('INHERENT MAP'!$B$5=2022,#REF!,IF('INHERENT MAP'!$B$5=2023,#REF!,IF('INHERENT MAP'!$B$5=2024,#REF!,#REF!))))</f>
        <v>0</v>
      </c>
      <c r="AF353">
        <f>IF('INHERENT MAP'!$B$5=2021,'РЕЕСТР РИСКОВ_2023'!AL393,IF('INHERENT MAP'!$B$5=2022,#REF!,IF('INHERENT MAP'!$B$5=2023,#REF!,IF('INHERENT MAP'!$B$5=2024,#REF!,#REF!))))</f>
        <v>0</v>
      </c>
      <c r="AG353">
        <f>IF('INHERENT MAP'!$B$5=2021,'РЕЕСТР РИСКОВ_2023'!AM393,IF('INHERENT MAP'!$B$5=2022,#REF!,IF('INHERENT MAP'!$B$5=2023,#REF!,IF('INHERENT MAP'!$B$5=2024,#REF!,#REF!))))</f>
        <v>0</v>
      </c>
      <c r="AH353">
        <f>IF('INHERENT MAP'!$B$5=2021,'РЕЕСТР РИСКОВ_2023'!AN393,IF('INHERENT MAP'!$B$5=2022,#REF!,IF('INHERENT MAP'!$B$5=2023,#REF!,IF('INHERENT MAP'!$B$5=2024,#REF!,#REF!))))</f>
        <v>0</v>
      </c>
      <c r="AI353">
        <f>IF('INHERENT MAP'!$B$5=2021,'РЕЕСТР РИСКОВ_2023'!AO393,IF('INHERENT MAP'!$B$5=2022,#REF!,IF('INHERENT MAP'!$B$5=2023,#REF!,IF('INHERENT MAP'!$B$5=2024,#REF!,#REF!))))</f>
        <v>0</v>
      </c>
      <c r="AJ353">
        <f>IF('INHERENT MAP'!$B$5=2021,'РЕЕСТР РИСКОВ_2023'!AP393,IF('INHERENT MAP'!$B$5=2022,#REF!,IF('INHERENT MAP'!$B$5=2023,#REF!,IF('INHERENT MAP'!$B$5=2024,#REF!,#REF!))))</f>
        <v>0</v>
      </c>
      <c r="AK353">
        <f>IF('РЕЕСТР РИСКОВ_2023'!AQ393="",AK352,'РЕЕСТР РИСКОВ_2023'!AQ393)</f>
        <v>-216</v>
      </c>
      <c r="AL353">
        <f>IF('РЕЕСТР РИСКОВ_2023'!AR393="",AL352,'РЕЕСТР РИСКОВ_2023'!AR393)</f>
        <v>0.12</v>
      </c>
      <c r="AM353" t="str">
        <f>IF('РЕЕСТР РИСКОВ_2023'!AS393="",AM352,'РЕЕСТР РИСКОВ_2023'!AS393)</f>
        <v>стоп</v>
      </c>
      <c r="AN353" t="str">
        <f>IF('РЕЕСТР РИСКОВ_2023'!AT393="",AN352,'РЕЕСТР РИСКОВ_2023'!AT393)</f>
        <v>стоп</v>
      </c>
      <c r="AO353" t="e">
        <f>IF('РЕЕСТР РИСКОВ_2023'!AU393="",AO352,'РЕЕСТР РИСКОВ_2023'!AU393)</f>
        <v>#REF!</v>
      </c>
    </row>
    <row r="354" spans="2:41">
      <c r="B354" t="str">
        <f>IF('INHERENT MAP'!$B$5=2021,IF('РЕЕСТР РИСКОВ_2023'!F394="",B353,'РЕЕСТР РИСКОВ_2023'!F394),IF('INHERENT MAP'!$B$5=2022,IF(#REF!="",B353,#REF!),IF('INHERENT MAP'!$B$5=2023,IF(#REF!="",B353,#REF!),IF('INHERENT MAP'!$B$5=2024,IF(#REF!="",B353,#REF!),IF('РЕЕСТР РИСКОВ_2023'!F394="",B353,'РЕЕСТР РИСКОВ_2023'!F394)))))</f>
        <v>ПРОЦЕНТНЫЙ РИСК</v>
      </c>
      <c r="C354" t="e">
        <f>IF('INHERENT MAP'!$B$5=2021,IF('РЕЕСТР РИСКОВ_2023'!G394="",C353,'РЕЕСТР РИСКОВ_2023'!G394),IF('INHERENT MAP'!$B$5=2022,IF(#REF!="",C353,#REF!),IF('INHERENT MAP'!$B$5=2023,IF(#REF!="",C353,#REF!),IF('INHERENT MAP'!$B$5=2024,IF(#REF!="",C353,#REF!),IF('РЕЕСТР РИСКОВ_2023'!G394="",C353,'РЕЕСТР РИСКОВ_2023'!G394)))))</f>
        <v>#REF!</v>
      </c>
      <c r="D354" t="str">
        <f>IF('INHERENT MAP'!$B$5=2021,IF('РЕЕСТР РИСКОВ_2023'!H394="",D353,'РЕЕСТР РИСКОВ_2023'!H394),IF('INHERENT MAP'!$B$5=2022,IF(#REF!="",D353,#REF!),IF('INHERENT MAP'!$B$5=2023,IF(#REF!="",D353,#REF!),IF('INHERENT MAP'!$B$5=2024,IF(#REF!="",D353,#REF!),IF('РЕЕСТР РИСКОВ_2023'!H394="",D353,'РЕЕСТР РИСКОВ_2023'!H394)))))</f>
        <v>IRR-1</v>
      </c>
      <c r="E354" t="str">
        <f>IF('INHERENT MAP'!$B$5=2021,IF('РЕЕСТР РИСКОВ_2023'!I394="",E353,'РЕЕСТР РИСКОВ_2023'!I394),IF('INHERENT MAP'!$B$5=2022,IF(#REF!="",E353,#REF!),IF('INHERENT MAP'!$B$5=2023,IF(#REF!="",E353,#REF!),IF('INHERENT MAP'!$B$5=2024,IF(#REF!="",E353,#REF!),IF('РЕЕСТР РИСКОВ_2023'!I394="",E353,'РЕЕСТР РИСКОВ_2023'!I394)))))</f>
        <v>ЦЗФ</v>
      </c>
      <c r="F354" t="str">
        <f>IF('INHERENT MAP'!$B$5=2021,IF('РЕЕСТР РИСКОВ_2023'!J394="",F353,'РЕЕСТР РИСКОВ_2023'!J394),IF('INHERENT MAP'!$B$5=2022,IF(#REF!="",F353,#REF!),IF('INHERENT MAP'!$B$5=2023,IF(#REF!="",F353,#REF!),IF('INHERENT MAP'!$B$5=2024,IF(#REF!="",F353,#REF!),IF('РЕЕСТР РИСКОВ_2023'!J394="",F353,'РЕЕСТР РИСКОВ_2023'!J394)))))</f>
        <v>Цзайм</v>
      </c>
      <c r="G354" t="str">
        <f>IF('INHERENT MAP'!$B$5=2021,IF('РЕЕСТР РИСКОВ_2023'!K394="",G353,'РЕЕСТР РИСКОВ_2023'!K394),IF('INHERENT MAP'!$B$5=2022,IF(#REF!="",G353,#REF!),IF('INHERENT MAP'!$B$5=2023,IF(#REF!="",G353,#REF!),IF('INHERENT MAP'!$B$5=2024,IF(#REF!="",G353,#REF!),IF('РЕЕСТР РИСКОВ_2023'!K394="",G353,'РЕЕСТР РИСКОВ_2023'!K394)))))</f>
        <v>Увеличение расходов по процентам на новые займы, а также текущие займы (с плавающей ставкой) в тенге.</v>
      </c>
      <c r="H354">
        <f>IF('INHERENT MAP'!$B$5=2021,'РЕЕСТР РИСКОВ_2023'!L394,IF('INHERENT MAP'!$B$5=2022,#REF!,IF('INHERENT MAP'!$B$5=2023,#REF!,IF('INHERENT MAP'!$B$5=2024,#REF!,#REF!))))</f>
        <v>0</v>
      </c>
      <c r="I354">
        <f>IF('INHERENT MAP'!$B$5=2021,'РЕЕСТР РИСКОВ_2023'!M394,IF('INHERENT MAP'!$B$5=2022,#REF!,IF('INHERENT MAP'!$B$5=2023,#REF!,IF('INHERENT MAP'!$B$5=2024,#REF!,#REF!))))</f>
        <v>0</v>
      </c>
      <c r="J354">
        <f>IF('INHERENT MAP'!$B$5=2021,'РЕЕСТР РИСКОВ_2023'!N394,IF('INHERENT MAP'!$B$5=2022,#REF!,IF('INHERENT MAP'!$B$5=2023,#REF!,IF('INHERENT MAP'!$B$5=2024,#REF!,#REF!))))</f>
        <v>0</v>
      </c>
      <c r="K354">
        <f>IF('INHERENT MAP'!$B$5=2021,'РЕЕСТР РИСКОВ_2023'!O394,IF('INHERENT MAP'!$B$5=2022,#REF!,IF('INHERENT MAP'!$B$5=2023,#REF!,IF('INHERENT MAP'!$B$5=2024,#REF!,#REF!))))</f>
        <v>0</v>
      </c>
      <c r="L354">
        <f>IF('INHERENT MAP'!$B$5=2021,'РЕЕСТР РИСКОВ_2023'!P394,IF('INHERENT MAP'!$B$5=2022,#REF!,IF('INHERENT MAP'!$B$5=2023,#REF!,IF('INHERENT MAP'!$B$5=2024,#REF!,#REF!))))</f>
        <v>0</v>
      </c>
      <c r="M354" t="str">
        <f>IF('INHERENT MAP'!$B$5=2021,IF('РЕЕСТР РИСКОВ_2023'!Q394="",M353,'РЕЕСТР РИСКОВ_2023'!Q394),IF('INHERENT MAP'!$B$5=2022,IF(#REF!="",M353,#REF!),IF('INHERENT MAP'!$B$5=2023,IF(#REF!="",M353,#REF!),IF('INHERENT MAP'!$B$5=2024,IF(#REF!="",M353,#REF!),IF('РЕЕСТР РИСКОВ_2023'!Q394="",M353,'РЕЕСТР РИСКОВ_2023'!Q394)))))</f>
        <v>Увеличение базовой ставки Национального банка Республики Казахстан до 16%</v>
      </c>
      <c r="N354" t="str">
        <f>IF('INHERENT MAP'!$B$5=2021,IF('РЕЕСТР РИСКОВ_2023'!R394="",N353,'РЕЕСТР РИСКОВ_2023'!R394),IF('INHERENT MAP'!$B$5=2022,IF(#REF!="",N353,#REF!),IF('INHERENT MAP'!$B$5=2023,IF(#REF!="",N353,#REF!),IF('INHERENT MAP'!$B$5=2024,IF(#REF!="",N353,#REF!),IF('РЕЕСТР РИСКОВ_2023'!R394="",N353,'РЕЕСТР РИСКОВ_2023'!R394)))))</f>
        <v>Рецессия экономики европейских стран</v>
      </c>
      <c r="O354">
        <f>'РЕЕСТР РИСКОВ_2023'!T394</f>
        <v>0</v>
      </c>
      <c r="P354" t="e">
        <f>IF('РЕЕСТР РИСКОВ_2023'!U394="",P353,'РЕЕСТР РИСКОВ_2023'!U394)</f>
        <v>#REF!</v>
      </c>
      <c r="Q354" t="str">
        <f>IF('РЕЕСТР РИСКОВ_2023'!V394="",Q353,'РЕЕСТР РИСКОВ_2023'!V394)</f>
        <v>Угрозы</v>
      </c>
      <c r="R354" t="e">
        <f>IF('РЕЕСТР РИСКОВ_2023'!W394="",R353,'РЕЕСТР РИСКОВ_2023'!W394)</f>
        <v>#REF!</v>
      </c>
      <c r="S354">
        <f>'РЕЕСТР РИСКОВ_2023'!X394</f>
        <v>0</v>
      </c>
      <c r="T354" s="94">
        <f>IF('INHERENT MAP'!$B$5=2021,'РЕЕСТР РИСКОВ_2023'!Y394,IF('INHERENT MAP'!$B$5=2022,#REF!,IF('INHERENT MAP'!$B$5=2023,#REF!,IF('INHERENT MAP'!$B$5=2024,#REF!,#REF!))))</f>
        <v>0</v>
      </c>
      <c r="U354">
        <f>IF('INHERENT MAP'!$B$5=2021,'РЕЕСТР РИСКОВ_2023'!Z394,IF('INHERENT MAP'!$B$5=2022,#REF!,IF('INHERENT MAP'!$B$5=2023,#REF!,IF('INHERENT MAP'!$B$5=2024,#REF!,#REF!))))</f>
        <v>0</v>
      </c>
      <c r="V354">
        <f>IF('INHERENT MAP'!$B$5=2021,'РЕЕСТР РИСКОВ_2023'!AA394,IF('INHERENT MAP'!$B$5=2022,#REF!,IF('INHERENT MAP'!$B$5=2023,#REF!,IF('INHERENT MAP'!$B$5=2024,#REF!,#REF!))))</f>
        <v>0</v>
      </c>
      <c r="W354">
        <f>IF('INHERENT MAP'!$B$5=2021,'РЕЕСТР РИСКОВ_2023'!AB394,IF('INHERENT MAP'!$B$5=2022,#REF!,IF('INHERENT MAP'!$B$5=2023,#REF!,IF('INHERENT MAP'!$B$5=2024,#REF!,#REF!))))</f>
        <v>0</v>
      </c>
      <c r="X354" s="94">
        <f>IF('INHERENT MAP'!$B$5=2021,'РЕЕСТР РИСКОВ_2023'!AC394,IF('INHERENT MAP'!$B$5=2022,#REF!,IF('INHERENT MAP'!$B$5=2023,#REF!,IF('INHERENT MAP'!$B$5=2024,#REF!,#REF!))))</f>
        <v>0</v>
      </c>
      <c r="Y354">
        <f>IF('INHERENT MAP'!$B$5=2021,'РЕЕСТР РИСКОВ_2023'!AD394,IF('INHERENT MAP'!$B$5=2022,#REF!,IF('INHERENT MAP'!$B$5=2023,#REF!,IF('INHERENT MAP'!$B$5=2024,#REF!,#REF!))))</f>
        <v>0</v>
      </c>
      <c r="Z354">
        <f>IF('INHERENT MAP'!$B$5=2021,'РЕЕСТР РИСКОВ_2023'!AE394,IF('INHERENT MAP'!$B$5=2022,#REF!,IF('INHERENT MAP'!$B$5=2023,#REF!,IF('INHERENT MAP'!$B$5=2024,#REF!,#REF!))))</f>
        <v>0</v>
      </c>
      <c r="AA354">
        <f>IF('INHERENT MAP'!$B$5=2021,'РЕЕСТР РИСКОВ_2023'!AF394,IF('INHERENT MAP'!$B$5=2022,#REF!,IF('INHERENT MAP'!$B$5=2023,#REF!,IF('INHERENT MAP'!$B$5=2024,#REF!,#REF!))))</f>
        <v>0</v>
      </c>
      <c r="AB354">
        <f>IF('INHERENT MAP'!$B$5=2021,'РЕЕСТР РИСКОВ_2023'!AG394,IF('INHERENT MAP'!$B$5=2022,#REF!,IF('INHERENT MAP'!$B$5=2023,#REF!,IF('INHERENT MAP'!$B$5=2024,#REF!,#REF!))))</f>
        <v>0</v>
      </c>
      <c r="AC354">
        <f>IF('INHERENT MAP'!$B$5=2021,'РЕЕСТР РИСКОВ_2023'!AH394,IF('INHERENT MAP'!$B$5=2022,#REF!,IF('INHERENT MAP'!$B$5=2023,#REF!,IF('INHERENT MAP'!$B$5=2024,#REF!,#REF!))))</f>
        <v>0</v>
      </c>
      <c r="AD354">
        <f>IF('INHERENT MAP'!$B$5=2021,'РЕЕСТР РИСКОВ_2023'!AI394,IF('INHERENT MAP'!$B$5=2022,#REF!,IF('INHERENT MAP'!$B$5=2023,#REF!,IF('INHERENT MAP'!$B$5=2024,#REF!,#REF!))))</f>
        <v>0</v>
      </c>
      <c r="AE354">
        <f>IF('INHERENT MAP'!$B$5=2021,'РЕЕСТР РИСКОВ_2023'!AK394,IF('INHERENT MAP'!$B$5=2022,#REF!,IF('INHERENT MAP'!$B$5=2023,#REF!,IF('INHERENT MAP'!$B$5=2024,#REF!,#REF!))))</f>
        <v>0</v>
      </c>
      <c r="AF354">
        <f>IF('INHERENT MAP'!$B$5=2021,'РЕЕСТР РИСКОВ_2023'!AL394,IF('INHERENT MAP'!$B$5=2022,#REF!,IF('INHERENT MAP'!$B$5=2023,#REF!,IF('INHERENT MAP'!$B$5=2024,#REF!,#REF!))))</f>
        <v>0</v>
      </c>
      <c r="AG354">
        <f>IF('INHERENT MAP'!$B$5=2021,'РЕЕСТР РИСКОВ_2023'!AM394,IF('INHERENT MAP'!$B$5=2022,#REF!,IF('INHERENT MAP'!$B$5=2023,#REF!,IF('INHERENT MAP'!$B$5=2024,#REF!,#REF!))))</f>
        <v>0</v>
      </c>
      <c r="AH354">
        <f>IF('INHERENT MAP'!$B$5=2021,'РЕЕСТР РИСКОВ_2023'!AN394,IF('INHERENT MAP'!$B$5=2022,#REF!,IF('INHERENT MAP'!$B$5=2023,#REF!,IF('INHERENT MAP'!$B$5=2024,#REF!,#REF!))))</f>
        <v>0</v>
      </c>
      <c r="AI354">
        <f>IF('INHERENT MAP'!$B$5=2021,'РЕЕСТР РИСКОВ_2023'!AO394,IF('INHERENT MAP'!$B$5=2022,#REF!,IF('INHERENT MAP'!$B$5=2023,#REF!,IF('INHERENT MAP'!$B$5=2024,#REF!,#REF!))))</f>
        <v>0</v>
      </c>
      <c r="AJ354">
        <f>IF('INHERENT MAP'!$B$5=2021,'РЕЕСТР РИСКОВ_2023'!AP394,IF('INHERENT MAP'!$B$5=2022,#REF!,IF('INHERENT MAP'!$B$5=2023,#REF!,IF('INHERENT MAP'!$B$5=2024,#REF!,#REF!))))</f>
        <v>0</v>
      </c>
      <c r="AK354">
        <f>IF('РЕЕСТР РИСКОВ_2023'!AQ394="",AK353,'РЕЕСТР РИСКОВ_2023'!AQ394)</f>
        <v>-216</v>
      </c>
      <c r="AL354">
        <f>IF('РЕЕСТР РИСКОВ_2023'!AR394="",AL353,'РЕЕСТР РИСКОВ_2023'!AR394)</f>
        <v>0.12</v>
      </c>
      <c r="AM354" t="str">
        <f>IF('РЕЕСТР РИСКОВ_2023'!AS394="",AM353,'РЕЕСТР РИСКОВ_2023'!AS394)</f>
        <v>стоп</v>
      </c>
      <c r="AN354" t="str">
        <f>IF('РЕЕСТР РИСКОВ_2023'!AT394="",AN353,'РЕЕСТР РИСКОВ_2023'!AT394)</f>
        <v>стоп</v>
      </c>
      <c r="AO354" t="e">
        <f>IF('РЕЕСТР РИСКОВ_2023'!AU394="",AO353,'РЕЕСТР РИСКОВ_2023'!AU394)</f>
        <v>#REF!</v>
      </c>
    </row>
    <row r="355" spans="2:41">
      <c r="B355" t="str">
        <f>IF('INHERENT MAP'!$B$5=2021,IF('РЕЕСТР РИСКОВ_2023'!F395="",B354,'РЕЕСТР РИСКОВ_2023'!F395),IF('INHERENT MAP'!$B$5=2022,IF(#REF!="",B354,#REF!),IF('INHERENT MAP'!$B$5=2023,IF(#REF!="",B354,#REF!),IF('INHERENT MAP'!$B$5=2024,IF(#REF!="",B354,#REF!),IF('РЕЕСТР РИСКОВ_2023'!F395="",B354,'РЕЕСТР РИСКОВ_2023'!F395)))))</f>
        <v>ПРОЦЕНТНЫЙ РИСК</v>
      </c>
      <c r="C355" t="e">
        <f>IF('INHERENT MAP'!$B$5=2021,IF('РЕЕСТР РИСКОВ_2023'!G395="",C354,'РЕЕСТР РИСКОВ_2023'!G395),IF('INHERENT MAP'!$B$5=2022,IF(#REF!="",C354,#REF!),IF('INHERENT MAP'!$B$5=2023,IF(#REF!="",C354,#REF!),IF('INHERENT MAP'!$B$5=2024,IF(#REF!="",C354,#REF!),IF('РЕЕСТР РИСКОВ_2023'!G395="",C354,'РЕЕСТР РИСКОВ_2023'!G395)))))</f>
        <v>#REF!</v>
      </c>
      <c r="D355" t="str">
        <f>IF('INHERENT MAP'!$B$5=2021,IF('РЕЕСТР РИСКОВ_2023'!H395="",D354,'РЕЕСТР РИСКОВ_2023'!H395),IF('INHERENT MAP'!$B$5=2022,IF(#REF!="",D354,#REF!),IF('INHERENT MAP'!$B$5=2023,IF(#REF!="",D354,#REF!),IF('INHERENT MAP'!$B$5=2024,IF(#REF!="",D354,#REF!),IF('РЕЕСТР РИСКОВ_2023'!H395="",D354,'РЕЕСТР РИСКОВ_2023'!H395)))))</f>
        <v>IRR-1</v>
      </c>
      <c r="E355" t="str">
        <f>IF('INHERENT MAP'!$B$5=2021,IF('РЕЕСТР РИСКОВ_2023'!I395="",E354,'РЕЕСТР РИСКОВ_2023'!I395),IF('INHERENT MAP'!$B$5=2022,IF(#REF!="",E354,#REF!),IF('INHERENT MAP'!$B$5=2023,IF(#REF!="",E354,#REF!),IF('INHERENT MAP'!$B$5=2024,IF(#REF!="",E354,#REF!),IF('РЕЕСТР РИСКОВ_2023'!I395="",E354,'РЕЕСТР РИСКОВ_2023'!I395)))))</f>
        <v>ЦЗФ</v>
      </c>
      <c r="F355" t="str">
        <f>IF('INHERENT MAP'!$B$5=2021,IF('РЕЕСТР РИСКОВ_2023'!J395="",F354,'РЕЕСТР РИСКОВ_2023'!J395),IF('INHERENT MAP'!$B$5=2022,IF(#REF!="",F354,#REF!),IF('INHERENT MAP'!$B$5=2023,IF(#REF!="",F354,#REF!),IF('INHERENT MAP'!$B$5=2024,IF(#REF!="",F354,#REF!),IF('РЕЕСТР РИСКОВ_2023'!J395="",F354,'РЕЕСТР РИСКОВ_2023'!J395)))))</f>
        <v>Цзайм</v>
      </c>
      <c r="G355" t="str">
        <f>IF('INHERENT MAP'!$B$5=2021,IF('РЕЕСТР РИСКОВ_2023'!K395="",G354,'РЕЕСТР РИСКОВ_2023'!K395),IF('INHERENT MAP'!$B$5=2022,IF(#REF!="",G354,#REF!),IF('INHERENT MAP'!$B$5=2023,IF(#REF!="",G354,#REF!),IF('INHERENT MAP'!$B$5=2024,IF(#REF!="",G354,#REF!),IF('РЕЕСТР РИСКОВ_2023'!K395="",G354,'РЕЕСТР РИСКОВ_2023'!K395)))))</f>
        <v>Увеличение расходов по процентам на новые займы, а также текущие займы (с плавающей ставкой) в тенге.</v>
      </c>
      <c r="H355">
        <f>IF('INHERENT MAP'!$B$5=2021,'РЕЕСТР РИСКОВ_2023'!L395,IF('INHERENT MAP'!$B$5=2022,#REF!,IF('INHERENT MAP'!$B$5=2023,#REF!,IF('INHERENT MAP'!$B$5=2024,#REF!,#REF!))))</f>
        <v>0</v>
      </c>
      <c r="I355">
        <f>IF('INHERENT MAP'!$B$5=2021,'РЕЕСТР РИСКОВ_2023'!M395,IF('INHERENT MAP'!$B$5=2022,#REF!,IF('INHERENT MAP'!$B$5=2023,#REF!,IF('INHERENT MAP'!$B$5=2024,#REF!,#REF!))))</f>
        <v>0</v>
      </c>
      <c r="J355">
        <f>IF('INHERENT MAP'!$B$5=2021,'РЕЕСТР РИСКОВ_2023'!N395,IF('INHERENT MAP'!$B$5=2022,#REF!,IF('INHERENT MAP'!$B$5=2023,#REF!,IF('INHERENT MAP'!$B$5=2024,#REF!,#REF!))))</f>
        <v>0</v>
      </c>
      <c r="K355">
        <f>IF('INHERENT MAP'!$B$5=2021,'РЕЕСТР РИСКОВ_2023'!O395,IF('INHERENT MAP'!$B$5=2022,#REF!,IF('INHERENT MAP'!$B$5=2023,#REF!,IF('INHERENT MAP'!$B$5=2024,#REF!,#REF!))))</f>
        <v>0</v>
      </c>
      <c r="L355">
        <f>IF('INHERENT MAP'!$B$5=2021,'РЕЕСТР РИСКОВ_2023'!P395,IF('INHERENT MAP'!$B$5=2022,#REF!,IF('INHERENT MAP'!$B$5=2023,#REF!,IF('INHERENT MAP'!$B$5=2024,#REF!,#REF!))))</f>
        <v>0</v>
      </c>
      <c r="M355" t="str">
        <f>IF('INHERENT MAP'!$B$5=2021,IF('РЕЕСТР РИСКОВ_2023'!Q395="",M354,'РЕЕСТР РИСКОВ_2023'!Q395),IF('INHERENT MAP'!$B$5=2022,IF(#REF!="",M354,#REF!),IF('INHERENT MAP'!$B$5=2023,IF(#REF!="",M354,#REF!),IF('INHERENT MAP'!$B$5=2024,IF(#REF!="",M354,#REF!),IF('РЕЕСТР РИСКОВ_2023'!Q395="",M354,'РЕЕСТР РИСКОВ_2023'!Q395)))))</f>
        <v>Увеличение базовой ставки Национального банка Республики Казахстан до 16%</v>
      </c>
      <c r="N355" t="str">
        <f>IF('INHERENT MAP'!$B$5=2021,IF('РЕЕСТР РИСКОВ_2023'!R395="",N354,'РЕЕСТР РИСКОВ_2023'!R395),IF('INHERENT MAP'!$B$5=2022,IF(#REF!="",N354,#REF!),IF('INHERENT MAP'!$B$5=2023,IF(#REF!="",N354,#REF!),IF('INHERENT MAP'!$B$5=2024,IF(#REF!="",N354,#REF!),IF('РЕЕСТР РИСКОВ_2023'!R395="",N354,'РЕЕСТР РИСКОВ_2023'!R395)))))</f>
        <v>Рецессия экономики европейских стран</v>
      </c>
      <c r="O355">
        <f>'РЕЕСТР РИСКОВ_2023'!T395</f>
        <v>0</v>
      </c>
      <c r="P355" t="e">
        <f>IF('РЕЕСТР РИСКОВ_2023'!U395="",P354,'РЕЕСТР РИСКОВ_2023'!U395)</f>
        <v>#REF!</v>
      </c>
      <c r="Q355" t="str">
        <f>IF('РЕЕСТР РИСКОВ_2023'!V395="",Q354,'РЕЕСТР РИСКОВ_2023'!V395)</f>
        <v>Угрозы</v>
      </c>
      <c r="R355" t="e">
        <f>IF('РЕЕСТР РИСКОВ_2023'!W395="",R354,'РЕЕСТР РИСКОВ_2023'!W395)</f>
        <v>#REF!</v>
      </c>
      <c r="S355">
        <f>'РЕЕСТР РИСКОВ_2023'!X395</f>
        <v>0</v>
      </c>
      <c r="T355" s="94">
        <f>IF('INHERENT MAP'!$B$5=2021,'РЕЕСТР РИСКОВ_2023'!Y395,IF('INHERENT MAP'!$B$5=2022,#REF!,IF('INHERENT MAP'!$B$5=2023,#REF!,IF('INHERENT MAP'!$B$5=2024,#REF!,#REF!))))</f>
        <v>0</v>
      </c>
      <c r="U355">
        <f>IF('INHERENT MAP'!$B$5=2021,'РЕЕСТР РИСКОВ_2023'!Z395,IF('INHERENT MAP'!$B$5=2022,#REF!,IF('INHERENT MAP'!$B$5=2023,#REF!,IF('INHERENT MAP'!$B$5=2024,#REF!,#REF!))))</f>
        <v>0</v>
      </c>
      <c r="V355">
        <f>IF('INHERENT MAP'!$B$5=2021,'РЕЕСТР РИСКОВ_2023'!AA395,IF('INHERENT MAP'!$B$5=2022,#REF!,IF('INHERENT MAP'!$B$5=2023,#REF!,IF('INHERENT MAP'!$B$5=2024,#REF!,#REF!))))</f>
        <v>0</v>
      </c>
      <c r="W355">
        <f>IF('INHERENT MAP'!$B$5=2021,'РЕЕСТР РИСКОВ_2023'!AB395,IF('INHERENT MAP'!$B$5=2022,#REF!,IF('INHERENT MAP'!$B$5=2023,#REF!,IF('INHERENT MAP'!$B$5=2024,#REF!,#REF!))))</f>
        <v>0</v>
      </c>
      <c r="X355" s="94">
        <f>IF('INHERENT MAP'!$B$5=2021,'РЕЕСТР РИСКОВ_2023'!AC395,IF('INHERENT MAP'!$B$5=2022,#REF!,IF('INHERENT MAP'!$B$5=2023,#REF!,IF('INHERENT MAP'!$B$5=2024,#REF!,#REF!))))</f>
        <v>0</v>
      </c>
      <c r="Y355">
        <f>IF('INHERENT MAP'!$B$5=2021,'РЕЕСТР РИСКОВ_2023'!AD395,IF('INHERENT MAP'!$B$5=2022,#REF!,IF('INHERENT MAP'!$B$5=2023,#REF!,IF('INHERENT MAP'!$B$5=2024,#REF!,#REF!))))</f>
        <v>0</v>
      </c>
      <c r="Z355">
        <f>IF('INHERENT MAP'!$B$5=2021,'РЕЕСТР РИСКОВ_2023'!AE395,IF('INHERENT MAP'!$B$5=2022,#REF!,IF('INHERENT MAP'!$B$5=2023,#REF!,IF('INHERENT MAP'!$B$5=2024,#REF!,#REF!))))</f>
        <v>0</v>
      </c>
      <c r="AA355">
        <f>IF('INHERENT MAP'!$B$5=2021,'РЕЕСТР РИСКОВ_2023'!AF395,IF('INHERENT MAP'!$B$5=2022,#REF!,IF('INHERENT MAP'!$B$5=2023,#REF!,IF('INHERENT MAP'!$B$5=2024,#REF!,#REF!))))</f>
        <v>0</v>
      </c>
      <c r="AB355">
        <f>IF('INHERENT MAP'!$B$5=2021,'РЕЕСТР РИСКОВ_2023'!AG395,IF('INHERENT MAP'!$B$5=2022,#REF!,IF('INHERENT MAP'!$B$5=2023,#REF!,IF('INHERENT MAP'!$B$5=2024,#REF!,#REF!))))</f>
        <v>0</v>
      </c>
      <c r="AC355">
        <f>IF('INHERENT MAP'!$B$5=2021,'РЕЕСТР РИСКОВ_2023'!AH395,IF('INHERENT MAP'!$B$5=2022,#REF!,IF('INHERENT MAP'!$B$5=2023,#REF!,IF('INHERENT MAP'!$B$5=2024,#REF!,#REF!))))</f>
        <v>0</v>
      </c>
      <c r="AD355">
        <f>IF('INHERENT MAP'!$B$5=2021,'РЕЕСТР РИСКОВ_2023'!AI395,IF('INHERENT MAP'!$B$5=2022,#REF!,IF('INHERENT MAP'!$B$5=2023,#REF!,IF('INHERENT MAP'!$B$5=2024,#REF!,#REF!))))</f>
        <v>0</v>
      </c>
      <c r="AE355">
        <f>IF('INHERENT MAP'!$B$5=2021,'РЕЕСТР РИСКОВ_2023'!AK395,IF('INHERENT MAP'!$B$5=2022,#REF!,IF('INHERENT MAP'!$B$5=2023,#REF!,IF('INHERENT MAP'!$B$5=2024,#REF!,#REF!))))</f>
        <v>0</v>
      </c>
      <c r="AF355">
        <f>IF('INHERENT MAP'!$B$5=2021,'РЕЕСТР РИСКОВ_2023'!AL395,IF('INHERENT MAP'!$B$5=2022,#REF!,IF('INHERENT MAP'!$B$5=2023,#REF!,IF('INHERENT MAP'!$B$5=2024,#REF!,#REF!))))</f>
        <v>0</v>
      </c>
      <c r="AG355">
        <f>IF('INHERENT MAP'!$B$5=2021,'РЕЕСТР РИСКОВ_2023'!AM395,IF('INHERENT MAP'!$B$5=2022,#REF!,IF('INHERENT MAP'!$B$5=2023,#REF!,IF('INHERENT MAP'!$B$5=2024,#REF!,#REF!))))</f>
        <v>0</v>
      </c>
      <c r="AH355">
        <f>IF('INHERENT MAP'!$B$5=2021,'РЕЕСТР РИСКОВ_2023'!AN395,IF('INHERENT MAP'!$B$5=2022,#REF!,IF('INHERENT MAP'!$B$5=2023,#REF!,IF('INHERENT MAP'!$B$5=2024,#REF!,#REF!))))</f>
        <v>0</v>
      </c>
      <c r="AI355">
        <f>IF('INHERENT MAP'!$B$5=2021,'РЕЕСТР РИСКОВ_2023'!AO395,IF('INHERENT MAP'!$B$5=2022,#REF!,IF('INHERENT MAP'!$B$5=2023,#REF!,IF('INHERENT MAP'!$B$5=2024,#REF!,#REF!))))</f>
        <v>0</v>
      </c>
      <c r="AJ355">
        <f>IF('INHERENT MAP'!$B$5=2021,'РЕЕСТР РИСКОВ_2023'!AP395,IF('INHERENT MAP'!$B$5=2022,#REF!,IF('INHERENT MAP'!$B$5=2023,#REF!,IF('INHERENT MAP'!$B$5=2024,#REF!,#REF!))))</f>
        <v>0</v>
      </c>
      <c r="AK355">
        <f>IF('РЕЕСТР РИСКОВ_2023'!AQ395="",AK354,'РЕЕСТР РИСКОВ_2023'!AQ395)</f>
        <v>-216</v>
      </c>
      <c r="AL355">
        <f>IF('РЕЕСТР РИСКОВ_2023'!AR395="",AL354,'РЕЕСТР РИСКОВ_2023'!AR395)</f>
        <v>0.12</v>
      </c>
      <c r="AM355" t="str">
        <f>IF('РЕЕСТР РИСКОВ_2023'!AS395="",AM354,'РЕЕСТР РИСКОВ_2023'!AS395)</f>
        <v>стоп</v>
      </c>
      <c r="AN355" t="str">
        <f>IF('РЕЕСТР РИСКОВ_2023'!AT395="",AN354,'РЕЕСТР РИСКОВ_2023'!AT395)</f>
        <v>стоп</v>
      </c>
      <c r="AO355" t="e">
        <f>IF('РЕЕСТР РИСКОВ_2023'!AU395="",AO354,'РЕЕСТР РИСКОВ_2023'!AU395)</f>
        <v>#REF!</v>
      </c>
    </row>
    <row r="356" spans="2:41">
      <c r="B356" t="str">
        <f>IF('INHERENT MAP'!$B$5=2021,IF('РЕЕСТР РИСКОВ_2023'!F396="",B355,'РЕЕСТР РИСКОВ_2023'!F396),IF('INHERENT MAP'!$B$5=2022,IF(#REF!="",B355,#REF!),IF('INHERENT MAP'!$B$5=2023,IF(#REF!="",B355,#REF!),IF('INHERENT MAP'!$B$5=2024,IF(#REF!="",B355,#REF!),IF('РЕЕСТР РИСКОВ_2023'!F396="",B355,'РЕЕСТР РИСКОВ_2023'!F396)))))</f>
        <v>ПРОЦЕНТНЫЙ РИСК</v>
      </c>
      <c r="C356" t="e">
        <f>IF('INHERENT MAP'!$B$5=2021,IF('РЕЕСТР РИСКОВ_2023'!G396="",C355,'РЕЕСТР РИСКОВ_2023'!G396),IF('INHERENT MAP'!$B$5=2022,IF(#REF!="",C355,#REF!),IF('INHERENT MAP'!$B$5=2023,IF(#REF!="",C355,#REF!),IF('INHERENT MAP'!$B$5=2024,IF(#REF!="",C355,#REF!),IF('РЕЕСТР РИСКОВ_2023'!G396="",C355,'РЕЕСТР РИСКОВ_2023'!G396)))))</f>
        <v>#REF!</v>
      </c>
      <c r="D356" t="str">
        <f>IF('INHERENT MAP'!$B$5=2021,IF('РЕЕСТР РИСКОВ_2023'!H396="",D355,'РЕЕСТР РИСКОВ_2023'!H396),IF('INHERENT MAP'!$B$5=2022,IF(#REF!="",D355,#REF!),IF('INHERENT MAP'!$B$5=2023,IF(#REF!="",D355,#REF!),IF('INHERENT MAP'!$B$5=2024,IF(#REF!="",D355,#REF!),IF('РЕЕСТР РИСКОВ_2023'!H396="",D355,'РЕЕСТР РИСКОВ_2023'!H396)))))</f>
        <v>IRR-1</v>
      </c>
      <c r="E356" t="str">
        <f>IF('INHERENT MAP'!$B$5=2021,IF('РЕЕСТР РИСКОВ_2023'!I396="",E355,'РЕЕСТР РИСКОВ_2023'!I396),IF('INHERENT MAP'!$B$5=2022,IF(#REF!="",E355,#REF!),IF('INHERENT MAP'!$B$5=2023,IF(#REF!="",E355,#REF!),IF('INHERENT MAP'!$B$5=2024,IF(#REF!="",E355,#REF!),IF('РЕЕСТР РИСКОВ_2023'!I396="",E355,'РЕЕСТР РИСКОВ_2023'!I396)))))</f>
        <v>ЦЗФ</v>
      </c>
      <c r="F356" t="str">
        <f>IF('INHERENT MAP'!$B$5=2021,IF('РЕЕСТР РИСКОВ_2023'!J396="",F355,'РЕЕСТР РИСКОВ_2023'!J396),IF('INHERENT MAP'!$B$5=2022,IF(#REF!="",F355,#REF!),IF('INHERENT MAP'!$B$5=2023,IF(#REF!="",F355,#REF!),IF('INHERENT MAP'!$B$5=2024,IF(#REF!="",F355,#REF!),IF('РЕЕСТР РИСКОВ_2023'!J396="",F355,'РЕЕСТР РИСКОВ_2023'!J396)))))</f>
        <v>Цзайм</v>
      </c>
      <c r="G356" t="str">
        <f>IF('INHERENT MAP'!$B$5=2021,IF('РЕЕСТР РИСКОВ_2023'!K396="",G355,'РЕЕСТР РИСКОВ_2023'!K396),IF('INHERENT MAP'!$B$5=2022,IF(#REF!="",G355,#REF!),IF('INHERENT MAP'!$B$5=2023,IF(#REF!="",G355,#REF!),IF('INHERENT MAP'!$B$5=2024,IF(#REF!="",G355,#REF!),IF('РЕЕСТР РИСКОВ_2023'!K396="",G355,'РЕЕСТР РИСКОВ_2023'!K396)))))</f>
        <v>Увеличение расходов по процентам на новые займы, а также текущие займы (с плавающей ставкой) в тенге.</v>
      </c>
      <c r="H356">
        <f>IF('INHERENT MAP'!$B$5=2021,'РЕЕСТР РИСКОВ_2023'!L396,IF('INHERENT MAP'!$B$5=2022,#REF!,IF('INHERENT MAP'!$B$5=2023,#REF!,IF('INHERENT MAP'!$B$5=2024,#REF!,#REF!))))</f>
        <v>0</v>
      </c>
      <c r="I356">
        <f>IF('INHERENT MAP'!$B$5=2021,'РЕЕСТР РИСКОВ_2023'!M396,IF('INHERENT MAP'!$B$5=2022,#REF!,IF('INHERENT MAP'!$B$5=2023,#REF!,IF('INHERENT MAP'!$B$5=2024,#REF!,#REF!))))</f>
        <v>0</v>
      </c>
      <c r="J356">
        <f>IF('INHERENT MAP'!$B$5=2021,'РЕЕСТР РИСКОВ_2023'!N396,IF('INHERENT MAP'!$B$5=2022,#REF!,IF('INHERENT MAP'!$B$5=2023,#REF!,IF('INHERENT MAP'!$B$5=2024,#REF!,#REF!))))</f>
        <v>0</v>
      </c>
      <c r="K356">
        <f>IF('INHERENT MAP'!$B$5=2021,'РЕЕСТР РИСКОВ_2023'!O396,IF('INHERENT MAP'!$B$5=2022,#REF!,IF('INHERENT MAP'!$B$5=2023,#REF!,IF('INHERENT MAP'!$B$5=2024,#REF!,#REF!))))</f>
        <v>0</v>
      </c>
      <c r="L356">
        <f>IF('INHERENT MAP'!$B$5=2021,'РЕЕСТР РИСКОВ_2023'!P396,IF('INHERENT MAP'!$B$5=2022,#REF!,IF('INHERENT MAP'!$B$5=2023,#REF!,IF('INHERENT MAP'!$B$5=2024,#REF!,#REF!))))</f>
        <v>0</v>
      </c>
      <c r="M356" t="str">
        <f>IF('INHERENT MAP'!$B$5=2021,IF('РЕЕСТР РИСКОВ_2023'!Q396="",M355,'РЕЕСТР РИСКОВ_2023'!Q396),IF('INHERENT MAP'!$B$5=2022,IF(#REF!="",M355,#REF!),IF('INHERENT MAP'!$B$5=2023,IF(#REF!="",M355,#REF!),IF('INHERENT MAP'!$B$5=2024,IF(#REF!="",M355,#REF!),IF('РЕЕСТР РИСКОВ_2023'!Q396="",M355,'РЕЕСТР РИСКОВ_2023'!Q396)))))</f>
        <v>Увеличение базовой ставки Национального банка Республики Казахстан до 16%</v>
      </c>
      <c r="N356" t="str">
        <f>IF('INHERENT MAP'!$B$5=2021,IF('РЕЕСТР РИСКОВ_2023'!R396="",N355,'РЕЕСТР РИСКОВ_2023'!R396),IF('INHERENT MAP'!$B$5=2022,IF(#REF!="",N355,#REF!),IF('INHERENT MAP'!$B$5=2023,IF(#REF!="",N355,#REF!),IF('INHERENT MAP'!$B$5=2024,IF(#REF!="",N355,#REF!),IF('РЕЕСТР РИСКОВ_2023'!R396="",N355,'РЕЕСТР РИСКОВ_2023'!R396)))))</f>
        <v>Рецессия экономики европейских стран</v>
      </c>
      <c r="O356">
        <f>'РЕЕСТР РИСКОВ_2023'!T396</f>
        <v>0</v>
      </c>
      <c r="P356" t="e">
        <f>IF('РЕЕСТР РИСКОВ_2023'!U396="",P355,'РЕЕСТР РИСКОВ_2023'!U396)</f>
        <v>#REF!</v>
      </c>
      <c r="Q356" t="str">
        <f>IF('РЕЕСТР РИСКОВ_2023'!V396="",Q355,'РЕЕСТР РИСКОВ_2023'!V396)</f>
        <v>Угрозы</v>
      </c>
      <c r="R356" t="e">
        <f>IF('РЕЕСТР РИСКОВ_2023'!W396="",R355,'РЕЕСТР РИСКОВ_2023'!W396)</f>
        <v>#REF!</v>
      </c>
      <c r="S356">
        <f>'РЕЕСТР РИСКОВ_2023'!X396</f>
        <v>0</v>
      </c>
      <c r="T356" s="94">
        <f>IF('INHERENT MAP'!$B$5=2021,'РЕЕСТР РИСКОВ_2023'!Y396,IF('INHERENT MAP'!$B$5=2022,#REF!,IF('INHERENT MAP'!$B$5=2023,#REF!,IF('INHERENT MAP'!$B$5=2024,#REF!,#REF!))))</f>
        <v>0</v>
      </c>
      <c r="U356">
        <f>IF('INHERENT MAP'!$B$5=2021,'РЕЕСТР РИСКОВ_2023'!Z396,IF('INHERENT MAP'!$B$5=2022,#REF!,IF('INHERENT MAP'!$B$5=2023,#REF!,IF('INHERENT MAP'!$B$5=2024,#REF!,#REF!))))</f>
        <v>0</v>
      </c>
      <c r="V356">
        <f>IF('INHERENT MAP'!$B$5=2021,'РЕЕСТР РИСКОВ_2023'!AA396,IF('INHERENT MAP'!$B$5=2022,#REF!,IF('INHERENT MAP'!$B$5=2023,#REF!,IF('INHERENT MAP'!$B$5=2024,#REF!,#REF!))))</f>
        <v>0</v>
      </c>
      <c r="W356">
        <f>IF('INHERENT MAP'!$B$5=2021,'РЕЕСТР РИСКОВ_2023'!AB396,IF('INHERENT MAP'!$B$5=2022,#REF!,IF('INHERENT MAP'!$B$5=2023,#REF!,IF('INHERENT MAP'!$B$5=2024,#REF!,#REF!))))</f>
        <v>0</v>
      </c>
      <c r="X356" s="94">
        <f>IF('INHERENT MAP'!$B$5=2021,'РЕЕСТР РИСКОВ_2023'!AC396,IF('INHERENT MAP'!$B$5=2022,#REF!,IF('INHERENT MAP'!$B$5=2023,#REF!,IF('INHERENT MAP'!$B$5=2024,#REF!,#REF!))))</f>
        <v>0</v>
      </c>
      <c r="Y356">
        <f>IF('INHERENT MAP'!$B$5=2021,'РЕЕСТР РИСКОВ_2023'!AD396,IF('INHERENT MAP'!$B$5=2022,#REF!,IF('INHERENT MAP'!$B$5=2023,#REF!,IF('INHERENT MAP'!$B$5=2024,#REF!,#REF!))))</f>
        <v>0</v>
      </c>
      <c r="Z356">
        <f>IF('INHERENT MAP'!$B$5=2021,'РЕЕСТР РИСКОВ_2023'!AE396,IF('INHERENT MAP'!$B$5=2022,#REF!,IF('INHERENT MAP'!$B$5=2023,#REF!,IF('INHERENT MAP'!$B$5=2024,#REF!,#REF!))))</f>
        <v>0</v>
      </c>
      <c r="AA356">
        <f>IF('INHERENT MAP'!$B$5=2021,'РЕЕСТР РИСКОВ_2023'!AF396,IF('INHERENT MAP'!$B$5=2022,#REF!,IF('INHERENT MAP'!$B$5=2023,#REF!,IF('INHERENT MAP'!$B$5=2024,#REF!,#REF!))))</f>
        <v>0</v>
      </c>
      <c r="AB356">
        <f>IF('INHERENT MAP'!$B$5=2021,'РЕЕСТР РИСКОВ_2023'!AG396,IF('INHERENT MAP'!$B$5=2022,#REF!,IF('INHERENT MAP'!$B$5=2023,#REF!,IF('INHERENT MAP'!$B$5=2024,#REF!,#REF!))))</f>
        <v>0</v>
      </c>
      <c r="AC356">
        <f>IF('INHERENT MAP'!$B$5=2021,'РЕЕСТР РИСКОВ_2023'!AH396,IF('INHERENT MAP'!$B$5=2022,#REF!,IF('INHERENT MAP'!$B$5=2023,#REF!,IF('INHERENT MAP'!$B$5=2024,#REF!,#REF!))))</f>
        <v>0</v>
      </c>
      <c r="AD356">
        <f>IF('INHERENT MAP'!$B$5=2021,'РЕЕСТР РИСКОВ_2023'!AI396,IF('INHERENT MAP'!$B$5=2022,#REF!,IF('INHERENT MAP'!$B$5=2023,#REF!,IF('INHERENT MAP'!$B$5=2024,#REF!,#REF!))))</f>
        <v>0</v>
      </c>
      <c r="AE356">
        <f>IF('INHERENT MAP'!$B$5=2021,'РЕЕСТР РИСКОВ_2023'!AK396,IF('INHERENT MAP'!$B$5=2022,#REF!,IF('INHERENT MAP'!$B$5=2023,#REF!,IF('INHERENT MAP'!$B$5=2024,#REF!,#REF!))))</f>
        <v>0</v>
      </c>
      <c r="AF356">
        <f>IF('INHERENT MAP'!$B$5=2021,'РЕЕСТР РИСКОВ_2023'!AL396,IF('INHERENT MAP'!$B$5=2022,#REF!,IF('INHERENT MAP'!$B$5=2023,#REF!,IF('INHERENT MAP'!$B$5=2024,#REF!,#REF!))))</f>
        <v>0</v>
      </c>
      <c r="AG356">
        <f>IF('INHERENT MAP'!$B$5=2021,'РЕЕСТР РИСКОВ_2023'!AM396,IF('INHERENT MAP'!$B$5=2022,#REF!,IF('INHERENT MAP'!$B$5=2023,#REF!,IF('INHERENT MAP'!$B$5=2024,#REF!,#REF!))))</f>
        <v>0</v>
      </c>
      <c r="AH356">
        <f>IF('INHERENT MAP'!$B$5=2021,'РЕЕСТР РИСКОВ_2023'!AN396,IF('INHERENT MAP'!$B$5=2022,#REF!,IF('INHERENT MAP'!$B$5=2023,#REF!,IF('INHERENT MAP'!$B$5=2024,#REF!,#REF!))))</f>
        <v>0</v>
      </c>
      <c r="AI356">
        <f>IF('INHERENT MAP'!$B$5=2021,'РЕЕСТР РИСКОВ_2023'!AO396,IF('INHERENT MAP'!$B$5=2022,#REF!,IF('INHERENT MAP'!$B$5=2023,#REF!,IF('INHERENT MAP'!$B$5=2024,#REF!,#REF!))))</f>
        <v>0</v>
      </c>
      <c r="AJ356">
        <f>IF('INHERENT MAP'!$B$5=2021,'РЕЕСТР РИСКОВ_2023'!AP396,IF('INHERENT MAP'!$B$5=2022,#REF!,IF('INHERENT MAP'!$B$5=2023,#REF!,IF('INHERENT MAP'!$B$5=2024,#REF!,#REF!))))</f>
        <v>0</v>
      </c>
      <c r="AK356">
        <f>IF('РЕЕСТР РИСКОВ_2023'!AQ396="",AK355,'РЕЕСТР РИСКОВ_2023'!AQ396)</f>
        <v>-216</v>
      </c>
      <c r="AL356">
        <f>IF('РЕЕСТР РИСКОВ_2023'!AR396="",AL355,'РЕЕСТР РИСКОВ_2023'!AR396)</f>
        <v>0.12</v>
      </c>
      <c r="AM356" t="str">
        <f>IF('РЕЕСТР РИСКОВ_2023'!AS396="",AM355,'РЕЕСТР РИСКОВ_2023'!AS396)</f>
        <v>стоп</v>
      </c>
      <c r="AN356" t="str">
        <f>IF('РЕЕСТР РИСКОВ_2023'!AT396="",AN355,'РЕЕСТР РИСКОВ_2023'!AT396)</f>
        <v>стоп</v>
      </c>
      <c r="AO356" t="e">
        <f>IF('РЕЕСТР РИСКОВ_2023'!AU396="",AO355,'РЕЕСТР РИСКОВ_2023'!AU396)</f>
        <v>#REF!</v>
      </c>
    </row>
    <row r="357" spans="2:41">
      <c r="B357" t="str">
        <f>IF('INHERENT MAP'!$B$5=2021,IF('РЕЕСТР РИСКОВ_2023'!F397="",B356,'РЕЕСТР РИСКОВ_2023'!F397),IF('INHERENT MAP'!$B$5=2022,IF(#REF!="",B356,#REF!),IF('INHERENT MAP'!$B$5=2023,IF(#REF!="",B356,#REF!),IF('INHERENT MAP'!$B$5=2024,IF(#REF!="",B356,#REF!),IF('РЕЕСТР РИСКОВ_2023'!F397="",B356,'РЕЕСТР РИСКОВ_2023'!F397)))))</f>
        <v>ПРОЦЕНТНЫЙ РИСК</v>
      </c>
      <c r="C357" t="e">
        <f>IF('INHERENT MAP'!$B$5=2021,IF('РЕЕСТР РИСКОВ_2023'!G397="",C356,'РЕЕСТР РИСКОВ_2023'!G397),IF('INHERENT MAP'!$B$5=2022,IF(#REF!="",C356,#REF!),IF('INHERENT MAP'!$B$5=2023,IF(#REF!="",C356,#REF!),IF('INHERENT MAP'!$B$5=2024,IF(#REF!="",C356,#REF!),IF('РЕЕСТР РИСКОВ_2023'!G397="",C356,'РЕЕСТР РИСКОВ_2023'!G397)))))</f>
        <v>#REF!</v>
      </c>
      <c r="D357" t="str">
        <f>IF('INHERENT MAP'!$B$5=2021,IF('РЕЕСТР РИСКОВ_2023'!H397="",D356,'РЕЕСТР РИСКОВ_2023'!H397),IF('INHERENT MAP'!$B$5=2022,IF(#REF!="",D356,#REF!),IF('INHERENT MAP'!$B$5=2023,IF(#REF!="",D356,#REF!),IF('INHERENT MAP'!$B$5=2024,IF(#REF!="",D356,#REF!),IF('РЕЕСТР РИСКОВ_2023'!H397="",D356,'РЕЕСТР РИСКОВ_2023'!H397)))))</f>
        <v>IRR-1</v>
      </c>
      <c r="E357" t="str">
        <f>IF('INHERENT MAP'!$B$5=2021,IF('РЕЕСТР РИСКОВ_2023'!I397="",E356,'РЕЕСТР РИСКОВ_2023'!I397),IF('INHERENT MAP'!$B$5=2022,IF(#REF!="",E356,#REF!),IF('INHERENT MAP'!$B$5=2023,IF(#REF!="",E356,#REF!),IF('INHERENT MAP'!$B$5=2024,IF(#REF!="",E356,#REF!),IF('РЕЕСТР РИСКОВ_2023'!I397="",E356,'РЕЕСТР РИСКОВ_2023'!I397)))))</f>
        <v>ЦЗФ</v>
      </c>
      <c r="F357" t="str">
        <f>IF('INHERENT MAP'!$B$5=2021,IF('РЕЕСТР РИСКОВ_2023'!J397="",F356,'РЕЕСТР РИСКОВ_2023'!J397),IF('INHERENT MAP'!$B$5=2022,IF(#REF!="",F356,#REF!),IF('INHERENT MAP'!$B$5=2023,IF(#REF!="",F356,#REF!),IF('INHERENT MAP'!$B$5=2024,IF(#REF!="",F356,#REF!),IF('РЕЕСТР РИСКОВ_2023'!J397="",F356,'РЕЕСТР РИСКОВ_2023'!J397)))))</f>
        <v>Цзайм</v>
      </c>
      <c r="G357" t="str">
        <f>IF('INHERENT MAP'!$B$5=2021,IF('РЕЕСТР РИСКОВ_2023'!K397="",G356,'РЕЕСТР РИСКОВ_2023'!K397),IF('INHERENT MAP'!$B$5=2022,IF(#REF!="",G356,#REF!),IF('INHERENT MAP'!$B$5=2023,IF(#REF!="",G356,#REF!),IF('INHERENT MAP'!$B$5=2024,IF(#REF!="",G356,#REF!),IF('РЕЕСТР РИСКОВ_2023'!K397="",G356,'РЕЕСТР РИСКОВ_2023'!K397)))))</f>
        <v>Увеличение расходов по процентам на новые займы, а также текущие займы (с плавающей ставкой) в тенге.</v>
      </c>
      <c r="H357">
        <f>IF('INHERENT MAP'!$B$5=2021,'РЕЕСТР РИСКОВ_2023'!L397,IF('INHERENT MAP'!$B$5=2022,#REF!,IF('INHERENT MAP'!$B$5=2023,#REF!,IF('INHERENT MAP'!$B$5=2024,#REF!,#REF!))))</f>
        <v>0</v>
      </c>
      <c r="I357">
        <f>IF('INHERENT MAP'!$B$5=2021,'РЕЕСТР РИСКОВ_2023'!M397,IF('INHERENT MAP'!$B$5=2022,#REF!,IF('INHERENT MAP'!$B$5=2023,#REF!,IF('INHERENT MAP'!$B$5=2024,#REF!,#REF!))))</f>
        <v>0</v>
      </c>
      <c r="J357">
        <f>IF('INHERENT MAP'!$B$5=2021,'РЕЕСТР РИСКОВ_2023'!N397,IF('INHERENT MAP'!$B$5=2022,#REF!,IF('INHERENT MAP'!$B$5=2023,#REF!,IF('INHERENT MAP'!$B$5=2024,#REF!,#REF!))))</f>
        <v>0</v>
      </c>
      <c r="K357">
        <f>IF('INHERENT MAP'!$B$5=2021,'РЕЕСТР РИСКОВ_2023'!O397,IF('INHERENT MAP'!$B$5=2022,#REF!,IF('INHERENT MAP'!$B$5=2023,#REF!,IF('INHERENT MAP'!$B$5=2024,#REF!,#REF!))))</f>
        <v>0</v>
      </c>
      <c r="L357">
        <f>IF('INHERENT MAP'!$B$5=2021,'РЕЕСТР РИСКОВ_2023'!P397,IF('INHERENT MAP'!$B$5=2022,#REF!,IF('INHERENT MAP'!$B$5=2023,#REF!,IF('INHERENT MAP'!$B$5=2024,#REF!,#REF!))))</f>
        <v>0</v>
      </c>
      <c r="M357" t="str">
        <f>IF('INHERENT MAP'!$B$5=2021,IF('РЕЕСТР РИСКОВ_2023'!Q397="",M356,'РЕЕСТР РИСКОВ_2023'!Q397),IF('INHERENT MAP'!$B$5=2022,IF(#REF!="",M356,#REF!),IF('INHERENT MAP'!$B$5=2023,IF(#REF!="",M356,#REF!),IF('INHERENT MAP'!$B$5=2024,IF(#REF!="",M356,#REF!),IF('РЕЕСТР РИСКОВ_2023'!Q397="",M356,'РЕЕСТР РИСКОВ_2023'!Q397)))))</f>
        <v>Увеличение базовой ставки Национального банка Республики Казахстан до 16%</v>
      </c>
      <c r="N357" t="str">
        <f>IF('INHERENT MAP'!$B$5=2021,IF('РЕЕСТР РИСКОВ_2023'!R397="",N356,'РЕЕСТР РИСКОВ_2023'!R397),IF('INHERENT MAP'!$B$5=2022,IF(#REF!="",N356,#REF!),IF('INHERENT MAP'!$B$5=2023,IF(#REF!="",N356,#REF!),IF('INHERENT MAP'!$B$5=2024,IF(#REF!="",N356,#REF!),IF('РЕЕСТР РИСКОВ_2023'!R397="",N356,'РЕЕСТР РИСКОВ_2023'!R397)))))</f>
        <v>Рецессия экономики европейских стран</v>
      </c>
      <c r="O357">
        <f>'РЕЕСТР РИСКОВ_2023'!T397</f>
        <v>0</v>
      </c>
      <c r="P357" t="e">
        <f>IF('РЕЕСТР РИСКОВ_2023'!U397="",P356,'РЕЕСТР РИСКОВ_2023'!U397)</f>
        <v>#REF!</v>
      </c>
      <c r="Q357" t="str">
        <f>IF('РЕЕСТР РИСКОВ_2023'!V397="",Q356,'РЕЕСТР РИСКОВ_2023'!V397)</f>
        <v>Угрозы</v>
      </c>
      <c r="R357" t="e">
        <f>IF('РЕЕСТР РИСКОВ_2023'!W397="",R356,'РЕЕСТР РИСКОВ_2023'!W397)</f>
        <v>#REF!</v>
      </c>
      <c r="S357">
        <f>'РЕЕСТР РИСКОВ_2023'!X397</f>
        <v>0</v>
      </c>
      <c r="T357" s="94">
        <f>IF('INHERENT MAP'!$B$5=2021,'РЕЕСТР РИСКОВ_2023'!Y397,IF('INHERENT MAP'!$B$5=2022,#REF!,IF('INHERENT MAP'!$B$5=2023,#REF!,IF('INHERENT MAP'!$B$5=2024,#REF!,#REF!))))</f>
        <v>0</v>
      </c>
      <c r="U357">
        <f>IF('INHERENT MAP'!$B$5=2021,'РЕЕСТР РИСКОВ_2023'!Z397,IF('INHERENT MAP'!$B$5=2022,#REF!,IF('INHERENT MAP'!$B$5=2023,#REF!,IF('INHERENT MAP'!$B$5=2024,#REF!,#REF!))))</f>
        <v>0</v>
      </c>
      <c r="V357">
        <f>IF('INHERENT MAP'!$B$5=2021,'РЕЕСТР РИСКОВ_2023'!AA397,IF('INHERENT MAP'!$B$5=2022,#REF!,IF('INHERENT MAP'!$B$5=2023,#REF!,IF('INHERENT MAP'!$B$5=2024,#REF!,#REF!))))</f>
        <v>0</v>
      </c>
      <c r="W357">
        <f>IF('INHERENT MAP'!$B$5=2021,'РЕЕСТР РИСКОВ_2023'!AB397,IF('INHERENT MAP'!$B$5=2022,#REF!,IF('INHERENT MAP'!$B$5=2023,#REF!,IF('INHERENT MAP'!$B$5=2024,#REF!,#REF!))))</f>
        <v>0</v>
      </c>
      <c r="X357" s="94">
        <f>IF('INHERENT MAP'!$B$5=2021,'РЕЕСТР РИСКОВ_2023'!AC397,IF('INHERENT MAP'!$B$5=2022,#REF!,IF('INHERENT MAP'!$B$5=2023,#REF!,IF('INHERENT MAP'!$B$5=2024,#REF!,#REF!))))</f>
        <v>0</v>
      </c>
      <c r="Y357">
        <f>IF('INHERENT MAP'!$B$5=2021,'РЕЕСТР РИСКОВ_2023'!AD397,IF('INHERENT MAP'!$B$5=2022,#REF!,IF('INHERENT MAP'!$B$5=2023,#REF!,IF('INHERENT MAP'!$B$5=2024,#REF!,#REF!))))</f>
        <v>0</v>
      </c>
      <c r="Z357">
        <f>IF('INHERENT MAP'!$B$5=2021,'РЕЕСТР РИСКОВ_2023'!AE397,IF('INHERENT MAP'!$B$5=2022,#REF!,IF('INHERENT MAP'!$B$5=2023,#REF!,IF('INHERENT MAP'!$B$5=2024,#REF!,#REF!))))</f>
        <v>0</v>
      </c>
      <c r="AA357">
        <f>IF('INHERENT MAP'!$B$5=2021,'РЕЕСТР РИСКОВ_2023'!AF397,IF('INHERENT MAP'!$B$5=2022,#REF!,IF('INHERENT MAP'!$B$5=2023,#REF!,IF('INHERENT MAP'!$B$5=2024,#REF!,#REF!))))</f>
        <v>0</v>
      </c>
      <c r="AB357">
        <f>IF('INHERENT MAP'!$B$5=2021,'РЕЕСТР РИСКОВ_2023'!AG397,IF('INHERENT MAP'!$B$5=2022,#REF!,IF('INHERENT MAP'!$B$5=2023,#REF!,IF('INHERENT MAP'!$B$5=2024,#REF!,#REF!))))</f>
        <v>0</v>
      </c>
      <c r="AC357">
        <f>IF('INHERENT MAP'!$B$5=2021,'РЕЕСТР РИСКОВ_2023'!AH397,IF('INHERENT MAP'!$B$5=2022,#REF!,IF('INHERENT MAP'!$B$5=2023,#REF!,IF('INHERENT MAP'!$B$5=2024,#REF!,#REF!))))</f>
        <v>0</v>
      </c>
      <c r="AD357">
        <f>IF('INHERENT MAP'!$B$5=2021,'РЕЕСТР РИСКОВ_2023'!AI397,IF('INHERENT MAP'!$B$5=2022,#REF!,IF('INHERENT MAP'!$B$5=2023,#REF!,IF('INHERENT MAP'!$B$5=2024,#REF!,#REF!))))</f>
        <v>0</v>
      </c>
      <c r="AE357">
        <f>IF('INHERENT MAP'!$B$5=2021,'РЕЕСТР РИСКОВ_2023'!AK397,IF('INHERENT MAP'!$B$5=2022,#REF!,IF('INHERENT MAP'!$B$5=2023,#REF!,IF('INHERENT MAP'!$B$5=2024,#REF!,#REF!))))</f>
        <v>0</v>
      </c>
      <c r="AF357">
        <f>IF('INHERENT MAP'!$B$5=2021,'РЕЕСТР РИСКОВ_2023'!AL397,IF('INHERENT MAP'!$B$5=2022,#REF!,IF('INHERENT MAP'!$B$5=2023,#REF!,IF('INHERENT MAP'!$B$5=2024,#REF!,#REF!))))</f>
        <v>0</v>
      </c>
      <c r="AG357">
        <f>IF('INHERENT MAP'!$B$5=2021,'РЕЕСТР РИСКОВ_2023'!AM397,IF('INHERENT MAP'!$B$5=2022,#REF!,IF('INHERENT MAP'!$B$5=2023,#REF!,IF('INHERENT MAP'!$B$5=2024,#REF!,#REF!))))</f>
        <v>0</v>
      </c>
      <c r="AH357">
        <f>IF('INHERENT MAP'!$B$5=2021,'РЕЕСТР РИСКОВ_2023'!AN397,IF('INHERENT MAP'!$B$5=2022,#REF!,IF('INHERENT MAP'!$B$5=2023,#REF!,IF('INHERENT MAP'!$B$5=2024,#REF!,#REF!))))</f>
        <v>0</v>
      </c>
      <c r="AI357">
        <f>IF('INHERENT MAP'!$B$5=2021,'РЕЕСТР РИСКОВ_2023'!AO397,IF('INHERENT MAP'!$B$5=2022,#REF!,IF('INHERENT MAP'!$B$5=2023,#REF!,IF('INHERENT MAP'!$B$5=2024,#REF!,#REF!))))</f>
        <v>0</v>
      </c>
      <c r="AJ357">
        <f>IF('INHERENT MAP'!$B$5=2021,'РЕЕСТР РИСКОВ_2023'!AP397,IF('INHERENT MAP'!$B$5=2022,#REF!,IF('INHERENT MAP'!$B$5=2023,#REF!,IF('INHERENT MAP'!$B$5=2024,#REF!,#REF!))))</f>
        <v>0</v>
      </c>
      <c r="AK357">
        <f>IF('РЕЕСТР РИСКОВ_2023'!AQ397="",AK356,'РЕЕСТР РИСКОВ_2023'!AQ397)</f>
        <v>-216</v>
      </c>
      <c r="AL357">
        <f>IF('РЕЕСТР РИСКОВ_2023'!AR397="",AL356,'РЕЕСТР РИСКОВ_2023'!AR397)</f>
        <v>0.12</v>
      </c>
      <c r="AM357" t="str">
        <f>IF('РЕЕСТР РИСКОВ_2023'!AS397="",AM356,'РЕЕСТР РИСКОВ_2023'!AS397)</f>
        <v>стоп</v>
      </c>
      <c r="AN357" t="str">
        <f>IF('РЕЕСТР РИСКОВ_2023'!AT397="",AN356,'РЕЕСТР РИСКОВ_2023'!AT397)</f>
        <v>стоп</v>
      </c>
      <c r="AO357" t="e">
        <f>IF('РЕЕСТР РИСКОВ_2023'!AU397="",AO356,'РЕЕСТР РИСКОВ_2023'!AU397)</f>
        <v>#REF!</v>
      </c>
    </row>
    <row r="358" spans="2:41">
      <c r="B358" t="str">
        <f>IF('INHERENT MAP'!$B$5=2021,IF('РЕЕСТР РИСКОВ_2023'!F398="",B357,'РЕЕСТР РИСКОВ_2023'!F398),IF('INHERENT MAP'!$B$5=2022,IF(#REF!="",B357,#REF!),IF('INHERENT MAP'!$B$5=2023,IF(#REF!="",B357,#REF!),IF('INHERENT MAP'!$B$5=2024,IF(#REF!="",B357,#REF!),IF('РЕЕСТР РИСКОВ_2023'!F398="",B357,'РЕЕСТР РИСКОВ_2023'!F398)))))</f>
        <v>ПРОЦЕНТНЫЙ РИСК</v>
      </c>
      <c r="C358" t="e">
        <f>IF('INHERENT MAP'!$B$5=2021,IF('РЕЕСТР РИСКОВ_2023'!G398="",C357,'РЕЕСТР РИСКОВ_2023'!G398),IF('INHERENT MAP'!$B$5=2022,IF(#REF!="",C357,#REF!),IF('INHERENT MAP'!$B$5=2023,IF(#REF!="",C357,#REF!),IF('INHERENT MAP'!$B$5=2024,IF(#REF!="",C357,#REF!),IF('РЕЕСТР РИСКОВ_2023'!G398="",C357,'РЕЕСТР РИСКОВ_2023'!G398)))))</f>
        <v>#REF!</v>
      </c>
      <c r="D358" t="str">
        <f>IF('INHERENT MAP'!$B$5=2021,IF('РЕЕСТР РИСКОВ_2023'!H398="",D357,'РЕЕСТР РИСКОВ_2023'!H398),IF('INHERENT MAP'!$B$5=2022,IF(#REF!="",D357,#REF!),IF('INHERENT MAP'!$B$5=2023,IF(#REF!="",D357,#REF!),IF('INHERENT MAP'!$B$5=2024,IF(#REF!="",D357,#REF!),IF('РЕЕСТР РИСКОВ_2023'!H398="",D357,'РЕЕСТР РИСКОВ_2023'!H398)))))</f>
        <v>IRR-1</v>
      </c>
      <c r="E358" t="str">
        <f>IF('INHERENT MAP'!$B$5=2021,IF('РЕЕСТР РИСКОВ_2023'!I398="",E357,'РЕЕСТР РИСКОВ_2023'!I398),IF('INHERENT MAP'!$B$5=2022,IF(#REF!="",E357,#REF!),IF('INHERENT MAP'!$B$5=2023,IF(#REF!="",E357,#REF!),IF('INHERENT MAP'!$B$5=2024,IF(#REF!="",E357,#REF!),IF('РЕЕСТР РИСКОВ_2023'!I398="",E357,'РЕЕСТР РИСКОВ_2023'!I398)))))</f>
        <v>ЦЗФ</v>
      </c>
      <c r="F358" t="str">
        <f>IF('INHERENT MAP'!$B$5=2021,IF('РЕЕСТР РИСКОВ_2023'!J398="",F357,'РЕЕСТР РИСКОВ_2023'!J398),IF('INHERENT MAP'!$B$5=2022,IF(#REF!="",F357,#REF!),IF('INHERENT MAP'!$B$5=2023,IF(#REF!="",F357,#REF!),IF('INHERENT MAP'!$B$5=2024,IF(#REF!="",F357,#REF!),IF('РЕЕСТР РИСКОВ_2023'!J398="",F357,'РЕЕСТР РИСКОВ_2023'!J398)))))</f>
        <v>Цзайм</v>
      </c>
      <c r="G358" t="str">
        <f>IF('INHERENT MAP'!$B$5=2021,IF('РЕЕСТР РИСКОВ_2023'!K398="",G357,'РЕЕСТР РИСКОВ_2023'!K398),IF('INHERENT MAP'!$B$5=2022,IF(#REF!="",G357,#REF!),IF('INHERENT MAP'!$B$5=2023,IF(#REF!="",G357,#REF!),IF('INHERENT MAP'!$B$5=2024,IF(#REF!="",G357,#REF!),IF('РЕЕСТР РИСКОВ_2023'!K398="",G357,'РЕЕСТР РИСКОВ_2023'!K398)))))</f>
        <v>Увеличение расходов по процентам на новые займы, а также текущие займы (с плавающей ставкой) в тенге.</v>
      </c>
      <c r="H358">
        <f>IF('INHERENT MAP'!$B$5=2021,'РЕЕСТР РИСКОВ_2023'!L398,IF('INHERENT MAP'!$B$5=2022,#REF!,IF('INHERENT MAP'!$B$5=2023,#REF!,IF('INHERENT MAP'!$B$5=2024,#REF!,#REF!))))</f>
        <v>0</v>
      </c>
      <c r="I358">
        <f>IF('INHERENT MAP'!$B$5=2021,'РЕЕСТР РИСКОВ_2023'!M398,IF('INHERENT MAP'!$B$5=2022,#REF!,IF('INHERENT MAP'!$B$5=2023,#REF!,IF('INHERENT MAP'!$B$5=2024,#REF!,#REF!))))</f>
        <v>0</v>
      </c>
      <c r="J358">
        <f>IF('INHERENT MAP'!$B$5=2021,'РЕЕСТР РИСКОВ_2023'!N398,IF('INHERENT MAP'!$B$5=2022,#REF!,IF('INHERENT MAP'!$B$5=2023,#REF!,IF('INHERENT MAP'!$B$5=2024,#REF!,#REF!))))</f>
        <v>0</v>
      </c>
      <c r="K358">
        <f>IF('INHERENT MAP'!$B$5=2021,'РЕЕСТР РИСКОВ_2023'!O398,IF('INHERENT MAP'!$B$5=2022,#REF!,IF('INHERENT MAP'!$B$5=2023,#REF!,IF('INHERENT MAP'!$B$5=2024,#REF!,#REF!))))</f>
        <v>0</v>
      </c>
      <c r="L358">
        <f>IF('INHERENT MAP'!$B$5=2021,'РЕЕСТР РИСКОВ_2023'!P398,IF('INHERENT MAP'!$B$5=2022,#REF!,IF('INHERENT MAP'!$B$5=2023,#REF!,IF('INHERENT MAP'!$B$5=2024,#REF!,#REF!))))</f>
        <v>0</v>
      </c>
      <c r="M358" t="str">
        <f>IF('INHERENT MAP'!$B$5=2021,IF('РЕЕСТР РИСКОВ_2023'!Q398="",M357,'РЕЕСТР РИСКОВ_2023'!Q398),IF('INHERENT MAP'!$B$5=2022,IF(#REF!="",M357,#REF!),IF('INHERENT MAP'!$B$5=2023,IF(#REF!="",M357,#REF!),IF('INHERENT MAP'!$B$5=2024,IF(#REF!="",M357,#REF!),IF('РЕЕСТР РИСКОВ_2023'!Q398="",M357,'РЕЕСТР РИСКОВ_2023'!Q398)))))</f>
        <v>Увеличение базовой ставки Национального банка Республики Казахстан до 16%</v>
      </c>
      <c r="N358" t="str">
        <f>IF('INHERENT MAP'!$B$5=2021,IF('РЕЕСТР РИСКОВ_2023'!R398="",N357,'РЕЕСТР РИСКОВ_2023'!R398),IF('INHERENT MAP'!$B$5=2022,IF(#REF!="",N357,#REF!),IF('INHERENT MAP'!$B$5=2023,IF(#REF!="",N357,#REF!),IF('INHERENT MAP'!$B$5=2024,IF(#REF!="",N357,#REF!),IF('РЕЕСТР РИСКОВ_2023'!R398="",N357,'РЕЕСТР РИСКОВ_2023'!R398)))))</f>
        <v>Рецессия экономики европейских стран</v>
      </c>
      <c r="O358">
        <f>'РЕЕСТР РИСКОВ_2023'!T398</f>
        <v>0</v>
      </c>
      <c r="P358" t="e">
        <f>IF('РЕЕСТР РИСКОВ_2023'!U398="",P357,'РЕЕСТР РИСКОВ_2023'!U398)</f>
        <v>#REF!</v>
      </c>
      <c r="Q358" t="str">
        <f>IF('РЕЕСТР РИСКОВ_2023'!V398="",Q357,'РЕЕСТР РИСКОВ_2023'!V398)</f>
        <v>Угрозы</v>
      </c>
      <c r="R358" t="e">
        <f>IF('РЕЕСТР РИСКОВ_2023'!W398="",R357,'РЕЕСТР РИСКОВ_2023'!W398)</f>
        <v>#REF!</v>
      </c>
      <c r="S358">
        <f>'РЕЕСТР РИСКОВ_2023'!X398</f>
        <v>0</v>
      </c>
      <c r="T358" s="94">
        <f>IF('INHERENT MAP'!$B$5=2021,'РЕЕСТР РИСКОВ_2023'!Y398,IF('INHERENT MAP'!$B$5=2022,#REF!,IF('INHERENT MAP'!$B$5=2023,#REF!,IF('INHERENT MAP'!$B$5=2024,#REF!,#REF!))))</f>
        <v>0</v>
      </c>
      <c r="U358">
        <f>IF('INHERENT MAP'!$B$5=2021,'РЕЕСТР РИСКОВ_2023'!Z398,IF('INHERENT MAP'!$B$5=2022,#REF!,IF('INHERENT MAP'!$B$5=2023,#REF!,IF('INHERENT MAP'!$B$5=2024,#REF!,#REF!))))</f>
        <v>0</v>
      </c>
      <c r="V358">
        <f>IF('INHERENT MAP'!$B$5=2021,'РЕЕСТР РИСКОВ_2023'!AA398,IF('INHERENT MAP'!$B$5=2022,#REF!,IF('INHERENT MAP'!$B$5=2023,#REF!,IF('INHERENT MAP'!$B$5=2024,#REF!,#REF!))))</f>
        <v>0</v>
      </c>
      <c r="W358">
        <f>IF('INHERENT MAP'!$B$5=2021,'РЕЕСТР РИСКОВ_2023'!AB398,IF('INHERENT MAP'!$B$5=2022,#REF!,IF('INHERENT MAP'!$B$5=2023,#REF!,IF('INHERENT MAP'!$B$5=2024,#REF!,#REF!))))</f>
        <v>0</v>
      </c>
      <c r="X358" s="94">
        <f>IF('INHERENT MAP'!$B$5=2021,'РЕЕСТР РИСКОВ_2023'!AC398,IF('INHERENT MAP'!$B$5=2022,#REF!,IF('INHERENT MAP'!$B$5=2023,#REF!,IF('INHERENT MAP'!$B$5=2024,#REF!,#REF!))))</f>
        <v>0</v>
      </c>
      <c r="Y358">
        <f>IF('INHERENT MAP'!$B$5=2021,'РЕЕСТР РИСКОВ_2023'!AD398,IF('INHERENT MAP'!$B$5=2022,#REF!,IF('INHERENT MAP'!$B$5=2023,#REF!,IF('INHERENT MAP'!$B$5=2024,#REF!,#REF!))))</f>
        <v>0</v>
      </c>
      <c r="Z358">
        <f>IF('INHERENT MAP'!$B$5=2021,'РЕЕСТР РИСКОВ_2023'!AE398,IF('INHERENT MAP'!$B$5=2022,#REF!,IF('INHERENT MAP'!$B$5=2023,#REF!,IF('INHERENT MAP'!$B$5=2024,#REF!,#REF!))))</f>
        <v>0</v>
      </c>
      <c r="AA358">
        <f>IF('INHERENT MAP'!$B$5=2021,'РЕЕСТР РИСКОВ_2023'!AF398,IF('INHERENT MAP'!$B$5=2022,#REF!,IF('INHERENT MAP'!$B$5=2023,#REF!,IF('INHERENT MAP'!$B$5=2024,#REF!,#REF!))))</f>
        <v>0</v>
      </c>
      <c r="AB358">
        <f>IF('INHERENT MAP'!$B$5=2021,'РЕЕСТР РИСКОВ_2023'!AG398,IF('INHERENT MAP'!$B$5=2022,#REF!,IF('INHERENT MAP'!$B$5=2023,#REF!,IF('INHERENT MAP'!$B$5=2024,#REF!,#REF!))))</f>
        <v>0</v>
      </c>
      <c r="AC358">
        <f>IF('INHERENT MAP'!$B$5=2021,'РЕЕСТР РИСКОВ_2023'!AH398,IF('INHERENT MAP'!$B$5=2022,#REF!,IF('INHERENT MAP'!$B$5=2023,#REF!,IF('INHERENT MAP'!$B$5=2024,#REF!,#REF!))))</f>
        <v>0</v>
      </c>
      <c r="AD358">
        <f>IF('INHERENT MAP'!$B$5=2021,'РЕЕСТР РИСКОВ_2023'!AI398,IF('INHERENT MAP'!$B$5=2022,#REF!,IF('INHERENT MAP'!$B$5=2023,#REF!,IF('INHERENT MAP'!$B$5=2024,#REF!,#REF!))))</f>
        <v>0</v>
      </c>
      <c r="AE358">
        <f>IF('INHERENT MAP'!$B$5=2021,'РЕЕСТР РИСКОВ_2023'!AK398,IF('INHERENT MAP'!$B$5=2022,#REF!,IF('INHERENT MAP'!$B$5=2023,#REF!,IF('INHERENT MAP'!$B$5=2024,#REF!,#REF!))))</f>
        <v>0</v>
      </c>
      <c r="AF358">
        <f>IF('INHERENT MAP'!$B$5=2021,'РЕЕСТР РИСКОВ_2023'!AL398,IF('INHERENT MAP'!$B$5=2022,#REF!,IF('INHERENT MAP'!$B$5=2023,#REF!,IF('INHERENT MAP'!$B$5=2024,#REF!,#REF!))))</f>
        <v>0</v>
      </c>
      <c r="AG358">
        <f>IF('INHERENT MAP'!$B$5=2021,'РЕЕСТР РИСКОВ_2023'!AM398,IF('INHERENT MAP'!$B$5=2022,#REF!,IF('INHERENT MAP'!$B$5=2023,#REF!,IF('INHERENT MAP'!$B$5=2024,#REF!,#REF!))))</f>
        <v>0</v>
      </c>
      <c r="AH358">
        <f>IF('INHERENT MAP'!$B$5=2021,'РЕЕСТР РИСКОВ_2023'!AN398,IF('INHERENT MAP'!$B$5=2022,#REF!,IF('INHERENT MAP'!$B$5=2023,#REF!,IF('INHERENT MAP'!$B$5=2024,#REF!,#REF!))))</f>
        <v>0</v>
      </c>
      <c r="AI358">
        <f>IF('INHERENT MAP'!$B$5=2021,'РЕЕСТР РИСКОВ_2023'!AO398,IF('INHERENT MAP'!$B$5=2022,#REF!,IF('INHERENT MAP'!$B$5=2023,#REF!,IF('INHERENT MAP'!$B$5=2024,#REF!,#REF!))))</f>
        <v>0</v>
      </c>
      <c r="AJ358">
        <f>IF('INHERENT MAP'!$B$5=2021,'РЕЕСТР РИСКОВ_2023'!AP398,IF('INHERENT MAP'!$B$5=2022,#REF!,IF('INHERENT MAP'!$B$5=2023,#REF!,IF('INHERENT MAP'!$B$5=2024,#REF!,#REF!))))</f>
        <v>0</v>
      </c>
      <c r="AK358">
        <f>IF('РЕЕСТР РИСКОВ_2023'!AQ398="",AK357,'РЕЕСТР РИСКОВ_2023'!AQ398)</f>
        <v>-216</v>
      </c>
      <c r="AL358">
        <f>IF('РЕЕСТР РИСКОВ_2023'!AR398="",AL357,'РЕЕСТР РИСКОВ_2023'!AR398)</f>
        <v>0.12</v>
      </c>
      <c r="AM358" t="str">
        <f>IF('РЕЕСТР РИСКОВ_2023'!AS398="",AM357,'РЕЕСТР РИСКОВ_2023'!AS398)</f>
        <v>стоп</v>
      </c>
      <c r="AN358" t="str">
        <f>IF('РЕЕСТР РИСКОВ_2023'!AT398="",AN357,'РЕЕСТР РИСКОВ_2023'!AT398)</f>
        <v>стоп</v>
      </c>
      <c r="AO358" t="e">
        <f>IF('РЕЕСТР РИСКОВ_2023'!AU398="",AO357,'РЕЕСТР РИСКОВ_2023'!AU398)</f>
        <v>#REF!</v>
      </c>
    </row>
    <row r="359" spans="2:41">
      <c r="B359" t="str">
        <f>IF('INHERENT MAP'!$B$5=2021,IF('РЕЕСТР РИСКОВ_2023'!F399="",B358,'РЕЕСТР РИСКОВ_2023'!F399),IF('INHERENT MAP'!$B$5=2022,IF(#REF!="",B358,#REF!),IF('INHERENT MAP'!$B$5=2023,IF(#REF!="",B358,#REF!),IF('INHERENT MAP'!$B$5=2024,IF(#REF!="",B358,#REF!),IF('РЕЕСТР РИСКОВ_2023'!F399="",B358,'РЕЕСТР РИСКОВ_2023'!F399)))))</f>
        <v>ПРОЦЕНТНЫЙ РИСК</v>
      </c>
      <c r="C359" t="e">
        <f>IF('INHERENT MAP'!$B$5=2021,IF('РЕЕСТР РИСКОВ_2023'!G399="",C358,'РЕЕСТР РИСКОВ_2023'!G399),IF('INHERENT MAP'!$B$5=2022,IF(#REF!="",C358,#REF!),IF('INHERENT MAP'!$B$5=2023,IF(#REF!="",C358,#REF!),IF('INHERENT MAP'!$B$5=2024,IF(#REF!="",C358,#REF!),IF('РЕЕСТР РИСКОВ_2023'!G399="",C358,'РЕЕСТР РИСКОВ_2023'!G399)))))</f>
        <v>#REF!</v>
      </c>
      <c r="D359" t="str">
        <f>IF('INHERENT MAP'!$B$5=2021,IF('РЕЕСТР РИСКОВ_2023'!H399="",D358,'РЕЕСТР РИСКОВ_2023'!H399),IF('INHERENT MAP'!$B$5=2022,IF(#REF!="",D358,#REF!),IF('INHERENT MAP'!$B$5=2023,IF(#REF!="",D358,#REF!),IF('INHERENT MAP'!$B$5=2024,IF(#REF!="",D358,#REF!),IF('РЕЕСТР РИСКОВ_2023'!H399="",D358,'РЕЕСТР РИСКОВ_2023'!H399)))))</f>
        <v>IRR-1</v>
      </c>
      <c r="E359" t="str">
        <f>IF('INHERENT MAP'!$B$5=2021,IF('РЕЕСТР РИСКОВ_2023'!I399="",E358,'РЕЕСТР РИСКОВ_2023'!I399),IF('INHERENT MAP'!$B$5=2022,IF(#REF!="",E358,#REF!),IF('INHERENT MAP'!$B$5=2023,IF(#REF!="",E358,#REF!),IF('INHERENT MAP'!$B$5=2024,IF(#REF!="",E358,#REF!),IF('РЕЕСТР РИСКОВ_2023'!I399="",E358,'РЕЕСТР РИСКОВ_2023'!I399)))))</f>
        <v>ЦЗФ</v>
      </c>
      <c r="F359" t="str">
        <f>IF('INHERENT MAP'!$B$5=2021,IF('РЕЕСТР РИСКОВ_2023'!J399="",F358,'РЕЕСТР РИСКОВ_2023'!J399),IF('INHERENT MAP'!$B$5=2022,IF(#REF!="",F358,#REF!),IF('INHERENT MAP'!$B$5=2023,IF(#REF!="",F358,#REF!),IF('INHERENT MAP'!$B$5=2024,IF(#REF!="",F358,#REF!),IF('РЕЕСТР РИСКОВ_2023'!J399="",F358,'РЕЕСТР РИСКОВ_2023'!J399)))))</f>
        <v>Цзайм</v>
      </c>
      <c r="G359" t="str">
        <f>IF('INHERENT MAP'!$B$5=2021,IF('РЕЕСТР РИСКОВ_2023'!K399="",G358,'РЕЕСТР РИСКОВ_2023'!K399),IF('INHERENT MAP'!$B$5=2022,IF(#REF!="",G358,#REF!),IF('INHERENT MAP'!$B$5=2023,IF(#REF!="",G358,#REF!),IF('INHERENT MAP'!$B$5=2024,IF(#REF!="",G358,#REF!),IF('РЕЕСТР РИСКОВ_2023'!K399="",G358,'РЕЕСТР РИСКОВ_2023'!K399)))))</f>
        <v>Увеличение расходов по процентам на новые займы, а также текущие займы (с плавающей ставкой) в тенге.</v>
      </c>
      <c r="H359">
        <f>IF('INHERENT MAP'!$B$5=2021,'РЕЕСТР РИСКОВ_2023'!L399,IF('INHERENT MAP'!$B$5=2022,#REF!,IF('INHERENT MAP'!$B$5=2023,#REF!,IF('INHERENT MAP'!$B$5=2024,#REF!,#REF!))))</f>
        <v>0</v>
      </c>
      <c r="I359">
        <f>IF('INHERENT MAP'!$B$5=2021,'РЕЕСТР РИСКОВ_2023'!M399,IF('INHERENT MAP'!$B$5=2022,#REF!,IF('INHERENT MAP'!$B$5=2023,#REF!,IF('INHERENT MAP'!$B$5=2024,#REF!,#REF!))))</f>
        <v>0</v>
      </c>
      <c r="J359">
        <f>IF('INHERENT MAP'!$B$5=2021,'РЕЕСТР РИСКОВ_2023'!N399,IF('INHERENT MAP'!$B$5=2022,#REF!,IF('INHERENT MAP'!$B$5=2023,#REF!,IF('INHERENT MAP'!$B$5=2024,#REF!,#REF!))))</f>
        <v>0</v>
      </c>
      <c r="K359">
        <f>IF('INHERENT MAP'!$B$5=2021,'РЕЕСТР РИСКОВ_2023'!O399,IF('INHERENT MAP'!$B$5=2022,#REF!,IF('INHERENT MAP'!$B$5=2023,#REF!,IF('INHERENT MAP'!$B$5=2024,#REF!,#REF!))))</f>
        <v>0</v>
      </c>
      <c r="L359">
        <f>IF('INHERENT MAP'!$B$5=2021,'РЕЕСТР РИСКОВ_2023'!P399,IF('INHERENT MAP'!$B$5=2022,#REF!,IF('INHERENT MAP'!$B$5=2023,#REF!,IF('INHERENT MAP'!$B$5=2024,#REF!,#REF!))))</f>
        <v>0</v>
      </c>
      <c r="M359" t="str">
        <f>IF('INHERENT MAP'!$B$5=2021,IF('РЕЕСТР РИСКОВ_2023'!Q399="",M358,'РЕЕСТР РИСКОВ_2023'!Q399),IF('INHERENT MAP'!$B$5=2022,IF(#REF!="",M358,#REF!),IF('INHERENT MAP'!$B$5=2023,IF(#REF!="",M358,#REF!),IF('INHERENT MAP'!$B$5=2024,IF(#REF!="",M358,#REF!),IF('РЕЕСТР РИСКОВ_2023'!Q399="",M358,'РЕЕСТР РИСКОВ_2023'!Q399)))))</f>
        <v>Увеличение базовой ставки Национального банка Республики Казахстан до 16%</v>
      </c>
      <c r="N359" t="str">
        <f>IF('INHERENT MAP'!$B$5=2021,IF('РЕЕСТР РИСКОВ_2023'!R399="",N358,'РЕЕСТР РИСКОВ_2023'!R399),IF('INHERENT MAP'!$B$5=2022,IF(#REF!="",N358,#REF!),IF('INHERENT MAP'!$B$5=2023,IF(#REF!="",N358,#REF!),IF('INHERENT MAP'!$B$5=2024,IF(#REF!="",N358,#REF!),IF('РЕЕСТР РИСКОВ_2023'!R399="",N358,'РЕЕСТР РИСКОВ_2023'!R399)))))</f>
        <v>Рецессия экономики европейских стран</v>
      </c>
      <c r="O359">
        <f>'РЕЕСТР РИСКОВ_2023'!T399</f>
        <v>0</v>
      </c>
      <c r="P359" t="e">
        <f>IF('РЕЕСТР РИСКОВ_2023'!U399="",P358,'РЕЕСТР РИСКОВ_2023'!U399)</f>
        <v>#REF!</v>
      </c>
      <c r="Q359" t="str">
        <f>IF('РЕЕСТР РИСКОВ_2023'!V399="",Q358,'РЕЕСТР РИСКОВ_2023'!V399)</f>
        <v>Угрозы</v>
      </c>
      <c r="R359" t="e">
        <f>IF('РЕЕСТР РИСКОВ_2023'!W399="",R358,'РЕЕСТР РИСКОВ_2023'!W399)</f>
        <v>#REF!</v>
      </c>
      <c r="S359">
        <f>'РЕЕСТР РИСКОВ_2023'!X399</f>
        <v>0</v>
      </c>
      <c r="T359" s="94">
        <f>IF('INHERENT MAP'!$B$5=2021,'РЕЕСТР РИСКОВ_2023'!Y399,IF('INHERENT MAP'!$B$5=2022,#REF!,IF('INHERENT MAP'!$B$5=2023,#REF!,IF('INHERENT MAP'!$B$5=2024,#REF!,#REF!))))</f>
        <v>0</v>
      </c>
      <c r="U359">
        <f>IF('INHERENT MAP'!$B$5=2021,'РЕЕСТР РИСКОВ_2023'!Z399,IF('INHERENT MAP'!$B$5=2022,#REF!,IF('INHERENT MAP'!$B$5=2023,#REF!,IF('INHERENT MAP'!$B$5=2024,#REF!,#REF!))))</f>
        <v>0</v>
      </c>
      <c r="V359">
        <f>IF('INHERENT MAP'!$B$5=2021,'РЕЕСТР РИСКОВ_2023'!AA399,IF('INHERENT MAP'!$B$5=2022,#REF!,IF('INHERENT MAP'!$B$5=2023,#REF!,IF('INHERENT MAP'!$B$5=2024,#REF!,#REF!))))</f>
        <v>0</v>
      </c>
      <c r="W359">
        <f>IF('INHERENT MAP'!$B$5=2021,'РЕЕСТР РИСКОВ_2023'!AB399,IF('INHERENT MAP'!$B$5=2022,#REF!,IF('INHERENT MAP'!$B$5=2023,#REF!,IF('INHERENT MAP'!$B$5=2024,#REF!,#REF!))))</f>
        <v>0</v>
      </c>
      <c r="X359" s="94">
        <f>IF('INHERENT MAP'!$B$5=2021,'РЕЕСТР РИСКОВ_2023'!AC399,IF('INHERENT MAP'!$B$5=2022,#REF!,IF('INHERENT MAP'!$B$5=2023,#REF!,IF('INHERENT MAP'!$B$5=2024,#REF!,#REF!))))</f>
        <v>0</v>
      </c>
      <c r="Y359">
        <f>IF('INHERENT MAP'!$B$5=2021,'РЕЕСТР РИСКОВ_2023'!AD399,IF('INHERENT MAP'!$B$5=2022,#REF!,IF('INHERENT MAP'!$B$5=2023,#REF!,IF('INHERENT MAP'!$B$5=2024,#REF!,#REF!))))</f>
        <v>0</v>
      </c>
      <c r="Z359">
        <f>IF('INHERENT MAP'!$B$5=2021,'РЕЕСТР РИСКОВ_2023'!AE399,IF('INHERENT MAP'!$B$5=2022,#REF!,IF('INHERENT MAP'!$B$5=2023,#REF!,IF('INHERENT MAP'!$B$5=2024,#REF!,#REF!))))</f>
        <v>0</v>
      </c>
      <c r="AA359">
        <f>IF('INHERENT MAP'!$B$5=2021,'РЕЕСТР РИСКОВ_2023'!AF399,IF('INHERENT MAP'!$B$5=2022,#REF!,IF('INHERENT MAP'!$B$5=2023,#REF!,IF('INHERENT MAP'!$B$5=2024,#REF!,#REF!))))</f>
        <v>0</v>
      </c>
      <c r="AB359">
        <f>IF('INHERENT MAP'!$B$5=2021,'РЕЕСТР РИСКОВ_2023'!AG399,IF('INHERENT MAP'!$B$5=2022,#REF!,IF('INHERENT MAP'!$B$5=2023,#REF!,IF('INHERENT MAP'!$B$5=2024,#REF!,#REF!))))</f>
        <v>0</v>
      </c>
      <c r="AC359">
        <f>IF('INHERENT MAP'!$B$5=2021,'РЕЕСТР РИСКОВ_2023'!AH399,IF('INHERENT MAP'!$B$5=2022,#REF!,IF('INHERENT MAP'!$B$5=2023,#REF!,IF('INHERENT MAP'!$B$5=2024,#REF!,#REF!))))</f>
        <v>0</v>
      </c>
      <c r="AD359">
        <f>IF('INHERENT MAP'!$B$5=2021,'РЕЕСТР РИСКОВ_2023'!AI399,IF('INHERENT MAP'!$B$5=2022,#REF!,IF('INHERENT MAP'!$B$5=2023,#REF!,IF('INHERENT MAP'!$B$5=2024,#REF!,#REF!))))</f>
        <v>0</v>
      </c>
      <c r="AE359">
        <f>IF('INHERENT MAP'!$B$5=2021,'РЕЕСТР РИСКОВ_2023'!AK399,IF('INHERENT MAP'!$B$5=2022,#REF!,IF('INHERENT MAP'!$B$5=2023,#REF!,IF('INHERENT MAP'!$B$5=2024,#REF!,#REF!))))</f>
        <v>0</v>
      </c>
      <c r="AF359">
        <f>IF('INHERENT MAP'!$B$5=2021,'РЕЕСТР РИСКОВ_2023'!AL399,IF('INHERENT MAP'!$B$5=2022,#REF!,IF('INHERENT MAP'!$B$5=2023,#REF!,IF('INHERENT MAP'!$B$5=2024,#REF!,#REF!))))</f>
        <v>0</v>
      </c>
      <c r="AG359">
        <f>IF('INHERENT MAP'!$B$5=2021,'РЕЕСТР РИСКОВ_2023'!AM399,IF('INHERENT MAP'!$B$5=2022,#REF!,IF('INHERENT MAP'!$B$5=2023,#REF!,IF('INHERENT MAP'!$B$5=2024,#REF!,#REF!))))</f>
        <v>0</v>
      </c>
      <c r="AH359">
        <f>IF('INHERENT MAP'!$B$5=2021,'РЕЕСТР РИСКОВ_2023'!AN399,IF('INHERENT MAP'!$B$5=2022,#REF!,IF('INHERENT MAP'!$B$5=2023,#REF!,IF('INHERENT MAP'!$B$5=2024,#REF!,#REF!))))</f>
        <v>0</v>
      </c>
      <c r="AI359">
        <f>IF('INHERENT MAP'!$B$5=2021,'РЕЕСТР РИСКОВ_2023'!AO399,IF('INHERENT MAP'!$B$5=2022,#REF!,IF('INHERENT MAP'!$B$5=2023,#REF!,IF('INHERENT MAP'!$B$5=2024,#REF!,#REF!))))</f>
        <v>0</v>
      </c>
      <c r="AJ359">
        <f>IF('INHERENT MAP'!$B$5=2021,'РЕЕСТР РИСКОВ_2023'!AP399,IF('INHERENT MAP'!$B$5=2022,#REF!,IF('INHERENT MAP'!$B$5=2023,#REF!,IF('INHERENT MAP'!$B$5=2024,#REF!,#REF!))))</f>
        <v>0</v>
      </c>
      <c r="AK359">
        <f>IF('РЕЕСТР РИСКОВ_2023'!AQ399="",AK358,'РЕЕСТР РИСКОВ_2023'!AQ399)</f>
        <v>-216</v>
      </c>
      <c r="AL359">
        <f>IF('РЕЕСТР РИСКОВ_2023'!AR399="",AL358,'РЕЕСТР РИСКОВ_2023'!AR399)</f>
        <v>0.12</v>
      </c>
      <c r="AM359" t="str">
        <f>IF('РЕЕСТР РИСКОВ_2023'!AS399="",AM358,'РЕЕСТР РИСКОВ_2023'!AS399)</f>
        <v>стоп</v>
      </c>
      <c r="AN359" t="str">
        <f>IF('РЕЕСТР РИСКОВ_2023'!AT399="",AN358,'РЕЕСТР РИСКОВ_2023'!AT399)</f>
        <v>стоп</v>
      </c>
      <c r="AO359" t="e">
        <f>IF('РЕЕСТР РИСКОВ_2023'!AU399="",AO358,'РЕЕСТР РИСКОВ_2023'!AU399)</f>
        <v>#REF!</v>
      </c>
    </row>
    <row r="360" spans="2:41">
      <c r="B360" t="str">
        <f>IF('INHERENT MAP'!$B$5=2021,IF('РЕЕСТР РИСКОВ_2023'!F400="",B359,'РЕЕСТР РИСКОВ_2023'!F400),IF('INHERENT MAP'!$B$5=2022,IF(#REF!="",B359,#REF!),IF('INHERENT MAP'!$B$5=2023,IF(#REF!="",B359,#REF!),IF('INHERENT MAP'!$B$5=2024,IF(#REF!="",B359,#REF!),IF('РЕЕСТР РИСКОВ_2023'!F400="",B359,'РЕЕСТР РИСКОВ_2023'!F400)))))</f>
        <v>ПРОЦЕНТНЫЙ РИСК</v>
      </c>
      <c r="C360" t="e">
        <f>IF('INHERENT MAP'!$B$5=2021,IF('РЕЕСТР РИСКОВ_2023'!G400="",C359,'РЕЕСТР РИСКОВ_2023'!G400),IF('INHERENT MAP'!$B$5=2022,IF(#REF!="",C359,#REF!),IF('INHERENT MAP'!$B$5=2023,IF(#REF!="",C359,#REF!),IF('INHERENT MAP'!$B$5=2024,IF(#REF!="",C359,#REF!),IF('РЕЕСТР РИСКОВ_2023'!G400="",C359,'РЕЕСТР РИСКОВ_2023'!G400)))))</f>
        <v>#REF!</v>
      </c>
      <c r="D360" t="str">
        <f>IF('INHERENT MAP'!$B$5=2021,IF('РЕЕСТР РИСКОВ_2023'!H400="",D359,'РЕЕСТР РИСКОВ_2023'!H400),IF('INHERENT MAP'!$B$5=2022,IF(#REF!="",D359,#REF!),IF('INHERENT MAP'!$B$5=2023,IF(#REF!="",D359,#REF!),IF('INHERENT MAP'!$B$5=2024,IF(#REF!="",D359,#REF!),IF('РЕЕСТР РИСКОВ_2023'!H400="",D359,'РЕЕСТР РИСКОВ_2023'!H400)))))</f>
        <v>IRR-1</v>
      </c>
      <c r="E360" t="str">
        <f>IF('INHERENT MAP'!$B$5=2021,IF('РЕЕСТР РИСКОВ_2023'!I400="",E359,'РЕЕСТР РИСКОВ_2023'!I400),IF('INHERENT MAP'!$B$5=2022,IF(#REF!="",E359,#REF!),IF('INHERENT MAP'!$B$5=2023,IF(#REF!="",E359,#REF!),IF('INHERENT MAP'!$B$5=2024,IF(#REF!="",E359,#REF!),IF('РЕЕСТР РИСКОВ_2023'!I400="",E359,'РЕЕСТР РИСКОВ_2023'!I400)))))</f>
        <v>ЦЗФ</v>
      </c>
      <c r="F360" t="str">
        <f>IF('INHERENT MAP'!$B$5=2021,IF('РЕЕСТР РИСКОВ_2023'!J400="",F359,'РЕЕСТР РИСКОВ_2023'!J400),IF('INHERENT MAP'!$B$5=2022,IF(#REF!="",F359,#REF!),IF('INHERENT MAP'!$B$5=2023,IF(#REF!="",F359,#REF!),IF('INHERENT MAP'!$B$5=2024,IF(#REF!="",F359,#REF!),IF('РЕЕСТР РИСКОВ_2023'!J400="",F359,'РЕЕСТР РИСКОВ_2023'!J400)))))</f>
        <v>Цзайм</v>
      </c>
      <c r="G360" t="str">
        <f>IF('INHERENT MAP'!$B$5=2021,IF('РЕЕСТР РИСКОВ_2023'!K400="",G359,'РЕЕСТР РИСКОВ_2023'!K400),IF('INHERENT MAP'!$B$5=2022,IF(#REF!="",G359,#REF!),IF('INHERENT MAP'!$B$5=2023,IF(#REF!="",G359,#REF!),IF('INHERENT MAP'!$B$5=2024,IF(#REF!="",G359,#REF!),IF('РЕЕСТР РИСКОВ_2023'!K400="",G359,'РЕЕСТР РИСКОВ_2023'!K400)))))</f>
        <v>Увеличение расходов по процентам на новые займы, а также текущие займы (с плавающей ставкой) в тенге.</v>
      </c>
      <c r="H360">
        <f>IF('INHERENT MAP'!$B$5=2021,'РЕЕСТР РИСКОВ_2023'!L400,IF('INHERENT MAP'!$B$5=2022,#REF!,IF('INHERENT MAP'!$B$5=2023,#REF!,IF('INHERENT MAP'!$B$5=2024,#REF!,#REF!))))</f>
        <v>0</v>
      </c>
      <c r="I360">
        <f>IF('INHERENT MAP'!$B$5=2021,'РЕЕСТР РИСКОВ_2023'!M400,IF('INHERENT MAP'!$B$5=2022,#REF!,IF('INHERENT MAP'!$B$5=2023,#REF!,IF('INHERENT MAP'!$B$5=2024,#REF!,#REF!))))</f>
        <v>0</v>
      </c>
      <c r="J360">
        <f>IF('INHERENT MAP'!$B$5=2021,'РЕЕСТР РИСКОВ_2023'!N400,IF('INHERENT MAP'!$B$5=2022,#REF!,IF('INHERENT MAP'!$B$5=2023,#REF!,IF('INHERENT MAP'!$B$5=2024,#REF!,#REF!))))</f>
        <v>0</v>
      </c>
      <c r="K360">
        <f>IF('INHERENT MAP'!$B$5=2021,'РЕЕСТР РИСКОВ_2023'!O400,IF('INHERENT MAP'!$B$5=2022,#REF!,IF('INHERENT MAP'!$B$5=2023,#REF!,IF('INHERENT MAP'!$B$5=2024,#REF!,#REF!))))</f>
        <v>0</v>
      </c>
      <c r="L360">
        <f>IF('INHERENT MAP'!$B$5=2021,'РЕЕСТР РИСКОВ_2023'!P400,IF('INHERENT MAP'!$B$5=2022,#REF!,IF('INHERENT MAP'!$B$5=2023,#REF!,IF('INHERENT MAP'!$B$5=2024,#REF!,#REF!))))</f>
        <v>0</v>
      </c>
      <c r="M360" t="str">
        <f>IF('INHERENT MAP'!$B$5=2021,IF('РЕЕСТР РИСКОВ_2023'!Q400="",M359,'РЕЕСТР РИСКОВ_2023'!Q400),IF('INHERENT MAP'!$B$5=2022,IF(#REF!="",M359,#REF!),IF('INHERENT MAP'!$B$5=2023,IF(#REF!="",M359,#REF!),IF('INHERENT MAP'!$B$5=2024,IF(#REF!="",M359,#REF!),IF('РЕЕСТР РИСКОВ_2023'!Q400="",M359,'РЕЕСТР РИСКОВ_2023'!Q400)))))</f>
        <v>Увеличение базовой ставки Национального банка Республики Казахстан до 16%</v>
      </c>
      <c r="N360" t="str">
        <f>IF('INHERENT MAP'!$B$5=2021,IF('РЕЕСТР РИСКОВ_2023'!R400="",N359,'РЕЕСТР РИСКОВ_2023'!R400),IF('INHERENT MAP'!$B$5=2022,IF(#REF!="",N359,#REF!),IF('INHERENT MAP'!$B$5=2023,IF(#REF!="",N359,#REF!),IF('INHERENT MAP'!$B$5=2024,IF(#REF!="",N359,#REF!),IF('РЕЕСТР РИСКОВ_2023'!R400="",N359,'РЕЕСТР РИСКОВ_2023'!R400)))))</f>
        <v>Рецессия экономики европейских стран</v>
      </c>
      <c r="O360">
        <f>'РЕЕСТР РИСКОВ_2023'!T400</f>
        <v>0</v>
      </c>
      <c r="P360" t="e">
        <f>IF('РЕЕСТР РИСКОВ_2023'!U400="",P359,'РЕЕСТР РИСКОВ_2023'!U400)</f>
        <v>#REF!</v>
      </c>
      <c r="Q360" t="str">
        <f>IF('РЕЕСТР РИСКОВ_2023'!V400="",Q359,'РЕЕСТР РИСКОВ_2023'!V400)</f>
        <v>Угрозы</v>
      </c>
      <c r="R360" t="e">
        <f>IF('РЕЕСТР РИСКОВ_2023'!W400="",R359,'РЕЕСТР РИСКОВ_2023'!W400)</f>
        <v>#REF!</v>
      </c>
      <c r="S360">
        <f>'РЕЕСТР РИСКОВ_2023'!X400</f>
        <v>0</v>
      </c>
      <c r="T360" s="94">
        <f>IF('INHERENT MAP'!$B$5=2021,'РЕЕСТР РИСКОВ_2023'!Y400,IF('INHERENT MAP'!$B$5=2022,#REF!,IF('INHERENT MAP'!$B$5=2023,#REF!,IF('INHERENT MAP'!$B$5=2024,#REF!,#REF!))))</f>
        <v>0</v>
      </c>
      <c r="U360">
        <f>IF('INHERENT MAP'!$B$5=2021,'РЕЕСТР РИСКОВ_2023'!Z400,IF('INHERENT MAP'!$B$5=2022,#REF!,IF('INHERENT MAP'!$B$5=2023,#REF!,IF('INHERENT MAP'!$B$5=2024,#REF!,#REF!))))</f>
        <v>0</v>
      </c>
      <c r="V360">
        <f>IF('INHERENT MAP'!$B$5=2021,'РЕЕСТР РИСКОВ_2023'!AA400,IF('INHERENT MAP'!$B$5=2022,#REF!,IF('INHERENT MAP'!$B$5=2023,#REF!,IF('INHERENT MAP'!$B$5=2024,#REF!,#REF!))))</f>
        <v>0</v>
      </c>
      <c r="W360">
        <f>IF('INHERENT MAP'!$B$5=2021,'РЕЕСТР РИСКОВ_2023'!AB400,IF('INHERENT MAP'!$B$5=2022,#REF!,IF('INHERENT MAP'!$B$5=2023,#REF!,IF('INHERENT MAP'!$B$5=2024,#REF!,#REF!))))</f>
        <v>0</v>
      </c>
      <c r="X360" s="94">
        <f>IF('INHERENT MAP'!$B$5=2021,'РЕЕСТР РИСКОВ_2023'!AC400,IF('INHERENT MAP'!$B$5=2022,#REF!,IF('INHERENT MAP'!$B$5=2023,#REF!,IF('INHERENT MAP'!$B$5=2024,#REF!,#REF!))))</f>
        <v>0</v>
      </c>
      <c r="Y360">
        <f>IF('INHERENT MAP'!$B$5=2021,'РЕЕСТР РИСКОВ_2023'!AD400,IF('INHERENT MAP'!$B$5=2022,#REF!,IF('INHERENT MAP'!$B$5=2023,#REF!,IF('INHERENT MAP'!$B$5=2024,#REF!,#REF!))))</f>
        <v>0</v>
      </c>
      <c r="Z360">
        <f>IF('INHERENT MAP'!$B$5=2021,'РЕЕСТР РИСКОВ_2023'!AE400,IF('INHERENT MAP'!$B$5=2022,#REF!,IF('INHERENT MAP'!$B$5=2023,#REF!,IF('INHERENT MAP'!$B$5=2024,#REF!,#REF!))))</f>
        <v>0</v>
      </c>
      <c r="AA360">
        <f>IF('INHERENT MAP'!$B$5=2021,'РЕЕСТР РИСКОВ_2023'!AF400,IF('INHERENT MAP'!$B$5=2022,#REF!,IF('INHERENT MAP'!$B$5=2023,#REF!,IF('INHERENT MAP'!$B$5=2024,#REF!,#REF!))))</f>
        <v>0</v>
      </c>
      <c r="AB360">
        <f>IF('INHERENT MAP'!$B$5=2021,'РЕЕСТР РИСКОВ_2023'!AG400,IF('INHERENT MAP'!$B$5=2022,#REF!,IF('INHERENT MAP'!$B$5=2023,#REF!,IF('INHERENT MAP'!$B$5=2024,#REF!,#REF!))))</f>
        <v>0</v>
      </c>
      <c r="AC360">
        <f>IF('INHERENT MAP'!$B$5=2021,'РЕЕСТР РИСКОВ_2023'!AH400,IF('INHERENT MAP'!$B$5=2022,#REF!,IF('INHERENT MAP'!$B$5=2023,#REF!,IF('INHERENT MAP'!$B$5=2024,#REF!,#REF!))))</f>
        <v>0</v>
      </c>
      <c r="AD360">
        <f>IF('INHERENT MAP'!$B$5=2021,'РЕЕСТР РИСКОВ_2023'!AI400,IF('INHERENT MAP'!$B$5=2022,#REF!,IF('INHERENT MAP'!$B$5=2023,#REF!,IF('INHERENT MAP'!$B$5=2024,#REF!,#REF!))))</f>
        <v>0</v>
      </c>
      <c r="AE360">
        <f>IF('INHERENT MAP'!$B$5=2021,'РЕЕСТР РИСКОВ_2023'!AK400,IF('INHERENT MAP'!$B$5=2022,#REF!,IF('INHERENT MAP'!$B$5=2023,#REF!,IF('INHERENT MAP'!$B$5=2024,#REF!,#REF!))))</f>
        <v>0</v>
      </c>
      <c r="AF360">
        <f>IF('INHERENT MAP'!$B$5=2021,'РЕЕСТР РИСКОВ_2023'!AL400,IF('INHERENT MAP'!$B$5=2022,#REF!,IF('INHERENT MAP'!$B$5=2023,#REF!,IF('INHERENT MAP'!$B$5=2024,#REF!,#REF!))))</f>
        <v>0</v>
      </c>
      <c r="AG360">
        <f>IF('INHERENT MAP'!$B$5=2021,'РЕЕСТР РИСКОВ_2023'!AM400,IF('INHERENT MAP'!$B$5=2022,#REF!,IF('INHERENT MAP'!$B$5=2023,#REF!,IF('INHERENT MAP'!$B$5=2024,#REF!,#REF!))))</f>
        <v>0</v>
      </c>
      <c r="AH360">
        <f>IF('INHERENT MAP'!$B$5=2021,'РЕЕСТР РИСКОВ_2023'!AN400,IF('INHERENT MAP'!$B$5=2022,#REF!,IF('INHERENT MAP'!$B$5=2023,#REF!,IF('INHERENT MAP'!$B$5=2024,#REF!,#REF!))))</f>
        <v>0</v>
      </c>
      <c r="AI360">
        <f>IF('INHERENT MAP'!$B$5=2021,'РЕЕСТР РИСКОВ_2023'!AO400,IF('INHERENT MAP'!$B$5=2022,#REF!,IF('INHERENT MAP'!$B$5=2023,#REF!,IF('INHERENT MAP'!$B$5=2024,#REF!,#REF!))))</f>
        <v>0</v>
      </c>
      <c r="AJ360">
        <f>IF('INHERENT MAP'!$B$5=2021,'РЕЕСТР РИСКОВ_2023'!AP400,IF('INHERENT MAP'!$B$5=2022,#REF!,IF('INHERENT MAP'!$B$5=2023,#REF!,IF('INHERENT MAP'!$B$5=2024,#REF!,#REF!))))</f>
        <v>0</v>
      </c>
      <c r="AK360">
        <f>IF('РЕЕСТР РИСКОВ_2023'!AQ400="",AK359,'РЕЕСТР РИСКОВ_2023'!AQ400)</f>
        <v>-216</v>
      </c>
      <c r="AL360">
        <f>IF('РЕЕСТР РИСКОВ_2023'!AR400="",AL359,'РЕЕСТР РИСКОВ_2023'!AR400)</f>
        <v>0.12</v>
      </c>
      <c r="AM360" t="str">
        <f>IF('РЕЕСТР РИСКОВ_2023'!AS400="",AM359,'РЕЕСТР РИСКОВ_2023'!AS400)</f>
        <v>стоп</v>
      </c>
      <c r="AN360" t="str">
        <f>IF('РЕЕСТР РИСКОВ_2023'!AT400="",AN359,'РЕЕСТР РИСКОВ_2023'!AT400)</f>
        <v>стоп</v>
      </c>
      <c r="AO360" t="e">
        <f>IF('РЕЕСТР РИСКОВ_2023'!AU400="",AO359,'РЕЕСТР РИСКОВ_2023'!AU400)</f>
        <v>#REF!</v>
      </c>
    </row>
    <row r="361" spans="2:41">
      <c r="B361" t="str">
        <f>IF('INHERENT MAP'!$B$5=2021,IF('РЕЕСТР РИСКОВ_2023'!F401="",B360,'РЕЕСТР РИСКОВ_2023'!F401),IF('INHERENT MAP'!$B$5=2022,IF(#REF!="",B360,#REF!),IF('INHERENT MAP'!$B$5=2023,IF(#REF!="",B360,#REF!),IF('INHERENT MAP'!$B$5=2024,IF(#REF!="",B360,#REF!),IF('РЕЕСТР РИСКОВ_2023'!F401="",B360,'РЕЕСТР РИСКОВ_2023'!F401)))))</f>
        <v>ПРОЦЕНТНЫЙ РИСК</v>
      </c>
      <c r="C361" t="e">
        <f>IF('INHERENT MAP'!$B$5=2021,IF('РЕЕСТР РИСКОВ_2023'!G401="",C360,'РЕЕСТР РИСКОВ_2023'!G401),IF('INHERENT MAP'!$B$5=2022,IF(#REF!="",C360,#REF!),IF('INHERENT MAP'!$B$5=2023,IF(#REF!="",C360,#REF!),IF('INHERENT MAP'!$B$5=2024,IF(#REF!="",C360,#REF!),IF('РЕЕСТР РИСКОВ_2023'!G401="",C360,'РЕЕСТР РИСКОВ_2023'!G401)))))</f>
        <v>#REF!</v>
      </c>
      <c r="D361" t="str">
        <f>IF('INHERENT MAP'!$B$5=2021,IF('РЕЕСТР РИСКОВ_2023'!H401="",D360,'РЕЕСТР РИСКОВ_2023'!H401),IF('INHERENT MAP'!$B$5=2022,IF(#REF!="",D360,#REF!),IF('INHERENT MAP'!$B$5=2023,IF(#REF!="",D360,#REF!),IF('INHERENT MAP'!$B$5=2024,IF(#REF!="",D360,#REF!),IF('РЕЕСТР РИСКОВ_2023'!H401="",D360,'РЕЕСТР РИСКОВ_2023'!H401)))))</f>
        <v>IRR-1</v>
      </c>
      <c r="E361" t="str">
        <f>IF('INHERENT MAP'!$B$5=2021,IF('РЕЕСТР РИСКОВ_2023'!I401="",E360,'РЕЕСТР РИСКОВ_2023'!I401),IF('INHERENT MAP'!$B$5=2022,IF(#REF!="",E360,#REF!),IF('INHERENT MAP'!$B$5=2023,IF(#REF!="",E360,#REF!),IF('INHERENT MAP'!$B$5=2024,IF(#REF!="",E360,#REF!),IF('РЕЕСТР РИСКОВ_2023'!I401="",E360,'РЕЕСТР РИСКОВ_2023'!I401)))))</f>
        <v>ЦЗФ</v>
      </c>
      <c r="F361" t="str">
        <f>IF('INHERENT MAP'!$B$5=2021,IF('РЕЕСТР РИСКОВ_2023'!J401="",F360,'РЕЕСТР РИСКОВ_2023'!J401),IF('INHERENT MAP'!$B$5=2022,IF(#REF!="",F360,#REF!),IF('INHERENT MAP'!$B$5=2023,IF(#REF!="",F360,#REF!),IF('INHERENT MAP'!$B$5=2024,IF(#REF!="",F360,#REF!),IF('РЕЕСТР РИСКОВ_2023'!J401="",F360,'РЕЕСТР РИСКОВ_2023'!J401)))))</f>
        <v>Цзайм</v>
      </c>
      <c r="G361" t="str">
        <f>IF('INHERENT MAP'!$B$5=2021,IF('РЕЕСТР РИСКОВ_2023'!K401="",G360,'РЕЕСТР РИСКОВ_2023'!K401),IF('INHERENT MAP'!$B$5=2022,IF(#REF!="",G360,#REF!),IF('INHERENT MAP'!$B$5=2023,IF(#REF!="",G360,#REF!),IF('INHERENT MAP'!$B$5=2024,IF(#REF!="",G360,#REF!),IF('РЕЕСТР РИСКОВ_2023'!K401="",G360,'РЕЕСТР РИСКОВ_2023'!K401)))))</f>
        <v>Увеличение расходов по процентам на новые займы, а также текущие займы (с плавающей ставкой) в тенге.</v>
      </c>
      <c r="H361">
        <f>IF('INHERENT MAP'!$B$5=2021,'РЕЕСТР РИСКОВ_2023'!L401,IF('INHERENT MAP'!$B$5=2022,#REF!,IF('INHERENT MAP'!$B$5=2023,#REF!,IF('INHERENT MAP'!$B$5=2024,#REF!,#REF!))))</f>
        <v>0</v>
      </c>
      <c r="I361">
        <f>IF('INHERENT MAP'!$B$5=2021,'РЕЕСТР РИСКОВ_2023'!M401,IF('INHERENT MAP'!$B$5=2022,#REF!,IF('INHERENT MAP'!$B$5=2023,#REF!,IF('INHERENT MAP'!$B$5=2024,#REF!,#REF!))))</f>
        <v>0</v>
      </c>
      <c r="J361">
        <f>IF('INHERENT MAP'!$B$5=2021,'РЕЕСТР РИСКОВ_2023'!N401,IF('INHERENT MAP'!$B$5=2022,#REF!,IF('INHERENT MAP'!$B$5=2023,#REF!,IF('INHERENT MAP'!$B$5=2024,#REF!,#REF!))))</f>
        <v>0</v>
      </c>
      <c r="K361">
        <f>IF('INHERENT MAP'!$B$5=2021,'РЕЕСТР РИСКОВ_2023'!O401,IF('INHERENT MAP'!$B$5=2022,#REF!,IF('INHERENT MAP'!$B$5=2023,#REF!,IF('INHERENT MAP'!$B$5=2024,#REF!,#REF!))))</f>
        <v>0</v>
      </c>
      <c r="L361">
        <f>IF('INHERENT MAP'!$B$5=2021,'РЕЕСТР РИСКОВ_2023'!P401,IF('INHERENT MAP'!$B$5=2022,#REF!,IF('INHERENT MAP'!$B$5=2023,#REF!,IF('INHERENT MAP'!$B$5=2024,#REF!,#REF!))))</f>
        <v>0</v>
      </c>
      <c r="M361" t="str">
        <f>IF('INHERENT MAP'!$B$5=2021,IF('РЕЕСТР РИСКОВ_2023'!Q401="",M360,'РЕЕСТР РИСКОВ_2023'!Q401),IF('INHERENT MAP'!$B$5=2022,IF(#REF!="",M360,#REF!),IF('INHERENT MAP'!$B$5=2023,IF(#REF!="",M360,#REF!),IF('INHERENT MAP'!$B$5=2024,IF(#REF!="",M360,#REF!),IF('РЕЕСТР РИСКОВ_2023'!Q401="",M360,'РЕЕСТР РИСКОВ_2023'!Q401)))))</f>
        <v>Увеличение базовой ставки Национального банка Республики Казахстан до 16%</v>
      </c>
      <c r="N361" t="str">
        <f>IF('INHERENT MAP'!$B$5=2021,IF('РЕЕСТР РИСКОВ_2023'!R401="",N360,'РЕЕСТР РИСКОВ_2023'!R401),IF('INHERENT MAP'!$B$5=2022,IF(#REF!="",N360,#REF!),IF('INHERENT MAP'!$B$5=2023,IF(#REF!="",N360,#REF!),IF('INHERENT MAP'!$B$5=2024,IF(#REF!="",N360,#REF!),IF('РЕЕСТР РИСКОВ_2023'!R401="",N360,'РЕЕСТР РИСКОВ_2023'!R401)))))</f>
        <v>Рецессия экономики европейских стран</v>
      </c>
      <c r="O361">
        <f>'РЕЕСТР РИСКОВ_2023'!T401</f>
        <v>0</v>
      </c>
      <c r="P361" t="e">
        <f>IF('РЕЕСТР РИСКОВ_2023'!U401="",P360,'РЕЕСТР РИСКОВ_2023'!U401)</f>
        <v>#REF!</v>
      </c>
      <c r="Q361" t="str">
        <f>IF('РЕЕСТР РИСКОВ_2023'!V401="",Q360,'РЕЕСТР РИСКОВ_2023'!V401)</f>
        <v>Угрозы</v>
      </c>
      <c r="R361" t="e">
        <f>IF('РЕЕСТР РИСКОВ_2023'!W401="",R360,'РЕЕСТР РИСКОВ_2023'!W401)</f>
        <v>#REF!</v>
      </c>
      <c r="S361">
        <f>'РЕЕСТР РИСКОВ_2023'!X401</f>
        <v>0</v>
      </c>
      <c r="T361" s="94">
        <f>IF('INHERENT MAP'!$B$5=2021,'РЕЕСТР РИСКОВ_2023'!Y401,IF('INHERENT MAP'!$B$5=2022,#REF!,IF('INHERENT MAP'!$B$5=2023,#REF!,IF('INHERENT MAP'!$B$5=2024,#REF!,#REF!))))</f>
        <v>0</v>
      </c>
      <c r="U361">
        <f>IF('INHERENT MAP'!$B$5=2021,'РЕЕСТР РИСКОВ_2023'!Z401,IF('INHERENT MAP'!$B$5=2022,#REF!,IF('INHERENT MAP'!$B$5=2023,#REF!,IF('INHERENT MAP'!$B$5=2024,#REF!,#REF!))))</f>
        <v>0</v>
      </c>
      <c r="V361">
        <f>IF('INHERENT MAP'!$B$5=2021,'РЕЕСТР РИСКОВ_2023'!AA401,IF('INHERENT MAP'!$B$5=2022,#REF!,IF('INHERENT MAP'!$B$5=2023,#REF!,IF('INHERENT MAP'!$B$5=2024,#REF!,#REF!))))</f>
        <v>0</v>
      </c>
      <c r="W361">
        <f>IF('INHERENT MAP'!$B$5=2021,'РЕЕСТР РИСКОВ_2023'!AB401,IF('INHERENT MAP'!$B$5=2022,#REF!,IF('INHERENT MAP'!$B$5=2023,#REF!,IF('INHERENT MAP'!$B$5=2024,#REF!,#REF!))))</f>
        <v>0</v>
      </c>
      <c r="X361" s="94">
        <f>IF('INHERENT MAP'!$B$5=2021,'РЕЕСТР РИСКОВ_2023'!AC401,IF('INHERENT MAP'!$B$5=2022,#REF!,IF('INHERENT MAP'!$B$5=2023,#REF!,IF('INHERENT MAP'!$B$5=2024,#REF!,#REF!))))</f>
        <v>0</v>
      </c>
      <c r="Y361">
        <f>IF('INHERENT MAP'!$B$5=2021,'РЕЕСТР РИСКОВ_2023'!AD401,IF('INHERENT MAP'!$B$5=2022,#REF!,IF('INHERENT MAP'!$B$5=2023,#REF!,IF('INHERENT MAP'!$B$5=2024,#REF!,#REF!))))</f>
        <v>0</v>
      </c>
      <c r="Z361">
        <f>IF('INHERENT MAP'!$B$5=2021,'РЕЕСТР РИСКОВ_2023'!AE401,IF('INHERENT MAP'!$B$5=2022,#REF!,IF('INHERENT MAP'!$B$5=2023,#REF!,IF('INHERENT MAP'!$B$5=2024,#REF!,#REF!))))</f>
        <v>0</v>
      </c>
      <c r="AA361">
        <f>IF('INHERENT MAP'!$B$5=2021,'РЕЕСТР РИСКОВ_2023'!AF401,IF('INHERENT MAP'!$B$5=2022,#REF!,IF('INHERENT MAP'!$B$5=2023,#REF!,IF('INHERENT MAP'!$B$5=2024,#REF!,#REF!))))</f>
        <v>0</v>
      </c>
      <c r="AB361">
        <f>IF('INHERENT MAP'!$B$5=2021,'РЕЕСТР РИСКОВ_2023'!AG401,IF('INHERENT MAP'!$B$5=2022,#REF!,IF('INHERENT MAP'!$B$5=2023,#REF!,IF('INHERENT MAP'!$B$5=2024,#REF!,#REF!))))</f>
        <v>0</v>
      </c>
      <c r="AC361">
        <f>IF('INHERENT MAP'!$B$5=2021,'РЕЕСТР РИСКОВ_2023'!AH401,IF('INHERENT MAP'!$B$5=2022,#REF!,IF('INHERENT MAP'!$B$5=2023,#REF!,IF('INHERENT MAP'!$B$5=2024,#REF!,#REF!))))</f>
        <v>0</v>
      </c>
      <c r="AD361">
        <f>IF('INHERENT MAP'!$B$5=2021,'РЕЕСТР РИСКОВ_2023'!AI401,IF('INHERENT MAP'!$B$5=2022,#REF!,IF('INHERENT MAP'!$B$5=2023,#REF!,IF('INHERENT MAP'!$B$5=2024,#REF!,#REF!))))</f>
        <v>0</v>
      </c>
      <c r="AE361">
        <f>IF('INHERENT MAP'!$B$5=2021,'РЕЕСТР РИСКОВ_2023'!AK401,IF('INHERENT MAP'!$B$5=2022,#REF!,IF('INHERENT MAP'!$B$5=2023,#REF!,IF('INHERENT MAP'!$B$5=2024,#REF!,#REF!))))</f>
        <v>0</v>
      </c>
      <c r="AF361">
        <f>IF('INHERENT MAP'!$B$5=2021,'РЕЕСТР РИСКОВ_2023'!AL401,IF('INHERENT MAP'!$B$5=2022,#REF!,IF('INHERENT MAP'!$B$5=2023,#REF!,IF('INHERENT MAP'!$B$5=2024,#REF!,#REF!))))</f>
        <v>0</v>
      </c>
      <c r="AG361">
        <f>IF('INHERENT MAP'!$B$5=2021,'РЕЕСТР РИСКОВ_2023'!AM401,IF('INHERENT MAP'!$B$5=2022,#REF!,IF('INHERENT MAP'!$B$5=2023,#REF!,IF('INHERENT MAP'!$B$5=2024,#REF!,#REF!))))</f>
        <v>0</v>
      </c>
      <c r="AH361">
        <f>IF('INHERENT MAP'!$B$5=2021,'РЕЕСТР РИСКОВ_2023'!AN401,IF('INHERENT MAP'!$B$5=2022,#REF!,IF('INHERENT MAP'!$B$5=2023,#REF!,IF('INHERENT MAP'!$B$5=2024,#REF!,#REF!))))</f>
        <v>0</v>
      </c>
      <c r="AI361">
        <f>IF('INHERENT MAP'!$B$5=2021,'РЕЕСТР РИСКОВ_2023'!AO401,IF('INHERENT MAP'!$B$5=2022,#REF!,IF('INHERENT MAP'!$B$5=2023,#REF!,IF('INHERENT MAP'!$B$5=2024,#REF!,#REF!))))</f>
        <v>0</v>
      </c>
      <c r="AJ361">
        <f>IF('INHERENT MAP'!$B$5=2021,'РЕЕСТР РИСКОВ_2023'!AP401,IF('INHERENT MAP'!$B$5=2022,#REF!,IF('INHERENT MAP'!$B$5=2023,#REF!,IF('INHERENT MAP'!$B$5=2024,#REF!,#REF!))))</f>
        <v>0</v>
      </c>
      <c r="AK361">
        <f>IF('РЕЕСТР РИСКОВ_2023'!AQ401="",AK360,'РЕЕСТР РИСКОВ_2023'!AQ401)</f>
        <v>-216</v>
      </c>
      <c r="AL361">
        <f>IF('РЕЕСТР РИСКОВ_2023'!AR401="",AL360,'РЕЕСТР РИСКОВ_2023'!AR401)</f>
        <v>0.12</v>
      </c>
      <c r="AM361" t="str">
        <f>IF('РЕЕСТР РИСКОВ_2023'!AS401="",AM360,'РЕЕСТР РИСКОВ_2023'!AS401)</f>
        <v>стоп</v>
      </c>
      <c r="AN361" t="str">
        <f>IF('РЕЕСТР РИСКОВ_2023'!AT401="",AN360,'РЕЕСТР РИСКОВ_2023'!AT401)</f>
        <v>стоп</v>
      </c>
      <c r="AO361" t="e">
        <f>IF('РЕЕСТР РИСКОВ_2023'!AU401="",AO360,'РЕЕСТР РИСКОВ_2023'!AU401)</f>
        <v>#REF!</v>
      </c>
    </row>
    <row r="362" spans="2:41">
      <c r="B362" t="str">
        <f>IF('INHERENT MAP'!$B$5=2021,IF('РЕЕСТР РИСКОВ_2023'!F402="",B361,'РЕЕСТР РИСКОВ_2023'!F402),IF('INHERENT MAP'!$B$5=2022,IF(#REF!="",B361,#REF!),IF('INHERENT MAP'!$B$5=2023,IF(#REF!="",B361,#REF!),IF('INHERENT MAP'!$B$5=2024,IF(#REF!="",B361,#REF!),IF('РЕЕСТР РИСКОВ_2023'!F402="",B361,'РЕЕСТР РИСКОВ_2023'!F402)))))</f>
        <v>ПРОЦЕНТНЫЙ РИСК</v>
      </c>
      <c r="C362" t="e">
        <f>IF('INHERENT MAP'!$B$5=2021,IF('РЕЕСТР РИСКОВ_2023'!G402="",C361,'РЕЕСТР РИСКОВ_2023'!G402),IF('INHERENT MAP'!$B$5=2022,IF(#REF!="",C361,#REF!),IF('INHERENT MAP'!$B$5=2023,IF(#REF!="",C361,#REF!),IF('INHERENT MAP'!$B$5=2024,IF(#REF!="",C361,#REF!),IF('РЕЕСТР РИСКОВ_2023'!G402="",C361,'РЕЕСТР РИСКОВ_2023'!G402)))))</f>
        <v>#REF!</v>
      </c>
      <c r="D362" t="str">
        <f>IF('INHERENT MAP'!$B$5=2021,IF('РЕЕСТР РИСКОВ_2023'!H402="",D361,'РЕЕСТР РИСКОВ_2023'!H402),IF('INHERENT MAP'!$B$5=2022,IF(#REF!="",D361,#REF!),IF('INHERENT MAP'!$B$5=2023,IF(#REF!="",D361,#REF!),IF('INHERENT MAP'!$B$5=2024,IF(#REF!="",D361,#REF!),IF('РЕЕСТР РИСКОВ_2023'!H402="",D361,'РЕЕСТР РИСКОВ_2023'!H402)))))</f>
        <v>IRR-1</v>
      </c>
      <c r="E362" t="str">
        <f>IF('INHERENT MAP'!$B$5=2021,IF('РЕЕСТР РИСКОВ_2023'!I402="",E361,'РЕЕСТР РИСКОВ_2023'!I402),IF('INHERENT MAP'!$B$5=2022,IF(#REF!="",E361,#REF!),IF('INHERENT MAP'!$B$5=2023,IF(#REF!="",E361,#REF!),IF('INHERENT MAP'!$B$5=2024,IF(#REF!="",E361,#REF!),IF('РЕЕСТР РИСКОВ_2023'!I402="",E361,'РЕЕСТР РИСКОВ_2023'!I402)))))</f>
        <v>ЦЗФ</v>
      </c>
      <c r="F362" t="str">
        <f>IF('INHERENT MAP'!$B$5=2021,IF('РЕЕСТР РИСКОВ_2023'!J402="",F361,'РЕЕСТР РИСКОВ_2023'!J402),IF('INHERENT MAP'!$B$5=2022,IF(#REF!="",F361,#REF!),IF('INHERENT MAP'!$B$5=2023,IF(#REF!="",F361,#REF!),IF('INHERENT MAP'!$B$5=2024,IF(#REF!="",F361,#REF!),IF('РЕЕСТР РИСКОВ_2023'!J402="",F361,'РЕЕСТР РИСКОВ_2023'!J402)))))</f>
        <v>Цзайм</v>
      </c>
      <c r="G362" t="str">
        <f>IF('INHERENT MAP'!$B$5=2021,IF('РЕЕСТР РИСКОВ_2023'!K402="",G361,'РЕЕСТР РИСКОВ_2023'!K402),IF('INHERENT MAP'!$B$5=2022,IF(#REF!="",G361,#REF!),IF('INHERENT MAP'!$B$5=2023,IF(#REF!="",G361,#REF!),IF('INHERENT MAP'!$B$5=2024,IF(#REF!="",G361,#REF!),IF('РЕЕСТР РИСКОВ_2023'!K402="",G361,'РЕЕСТР РИСКОВ_2023'!K402)))))</f>
        <v>Увеличение расходов по процентам на новые займы, а также текущие займы (с плавающей ставкой) в тенге.</v>
      </c>
      <c r="H362">
        <f>IF('INHERENT MAP'!$B$5=2021,'РЕЕСТР РИСКОВ_2023'!L402,IF('INHERENT MAP'!$B$5=2022,#REF!,IF('INHERENT MAP'!$B$5=2023,#REF!,IF('INHERENT MAP'!$B$5=2024,#REF!,#REF!))))</f>
        <v>0</v>
      </c>
      <c r="I362">
        <f>IF('INHERENT MAP'!$B$5=2021,'РЕЕСТР РИСКОВ_2023'!M402,IF('INHERENT MAP'!$B$5=2022,#REF!,IF('INHERENT MAP'!$B$5=2023,#REF!,IF('INHERENT MAP'!$B$5=2024,#REF!,#REF!))))</f>
        <v>0</v>
      </c>
      <c r="J362">
        <f>IF('INHERENT MAP'!$B$5=2021,'РЕЕСТР РИСКОВ_2023'!N402,IF('INHERENT MAP'!$B$5=2022,#REF!,IF('INHERENT MAP'!$B$5=2023,#REF!,IF('INHERENT MAP'!$B$5=2024,#REF!,#REF!))))</f>
        <v>0</v>
      </c>
      <c r="K362">
        <f>IF('INHERENT MAP'!$B$5=2021,'РЕЕСТР РИСКОВ_2023'!O402,IF('INHERENT MAP'!$B$5=2022,#REF!,IF('INHERENT MAP'!$B$5=2023,#REF!,IF('INHERENT MAP'!$B$5=2024,#REF!,#REF!))))</f>
        <v>0</v>
      </c>
      <c r="L362">
        <f>IF('INHERENT MAP'!$B$5=2021,'РЕЕСТР РИСКОВ_2023'!P402,IF('INHERENT MAP'!$B$5=2022,#REF!,IF('INHERENT MAP'!$B$5=2023,#REF!,IF('INHERENT MAP'!$B$5=2024,#REF!,#REF!))))</f>
        <v>0</v>
      </c>
      <c r="M362" t="str">
        <f>IF('INHERENT MAP'!$B$5=2021,IF('РЕЕСТР РИСКОВ_2023'!Q402="",M361,'РЕЕСТР РИСКОВ_2023'!Q402),IF('INHERENT MAP'!$B$5=2022,IF(#REF!="",M361,#REF!),IF('INHERENT MAP'!$B$5=2023,IF(#REF!="",M361,#REF!),IF('INHERENT MAP'!$B$5=2024,IF(#REF!="",M361,#REF!),IF('РЕЕСТР РИСКОВ_2023'!Q402="",M361,'РЕЕСТР РИСКОВ_2023'!Q402)))))</f>
        <v>Увеличение базовой ставки Национального банка Республики Казахстан до 16%</v>
      </c>
      <c r="N362" t="str">
        <f>IF('INHERENT MAP'!$B$5=2021,IF('РЕЕСТР РИСКОВ_2023'!R402="",N361,'РЕЕСТР РИСКОВ_2023'!R402),IF('INHERENT MAP'!$B$5=2022,IF(#REF!="",N361,#REF!),IF('INHERENT MAP'!$B$5=2023,IF(#REF!="",N361,#REF!),IF('INHERENT MAP'!$B$5=2024,IF(#REF!="",N361,#REF!),IF('РЕЕСТР РИСКОВ_2023'!R402="",N361,'РЕЕСТР РИСКОВ_2023'!R402)))))</f>
        <v>Рецессия экономики европейских стран</v>
      </c>
      <c r="O362">
        <f>'РЕЕСТР РИСКОВ_2023'!T402</f>
        <v>0</v>
      </c>
      <c r="P362" t="e">
        <f>IF('РЕЕСТР РИСКОВ_2023'!U402="",P361,'РЕЕСТР РИСКОВ_2023'!U402)</f>
        <v>#REF!</v>
      </c>
      <c r="Q362" t="str">
        <f>IF('РЕЕСТР РИСКОВ_2023'!V402="",Q361,'РЕЕСТР РИСКОВ_2023'!V402)</f>
        <v>Угрозы</v>
      </c>
      <c r="R362" t="e">
        <f>IF('РЕЕСТР РИСКОВ_2023'!W402="",R361,'РЕЕСТР РИСКОВ_2023'!W402)</f>
        <v>#REF!</v>
      </c>
      <c r="S362">
        <f>'РЕЕСТР РИСКОВ_2023'!X402</f>
        <v>0</v>
      </c>
      <c r="T362" s="94">
        <f>IF('INHERENT MAP'!$B$5=2021,'РЕЕСТР РИСКОВ_2023'!Y402,IF('INHERENT MAP'!$B$5=2022,#REF!,IF('INHERENT MAP'!$B$5=2023,#REF!,IF('INHERENT MAP'!$B$5=2024,#REF!,#REF!))))</f>
        <v>0</v>
      </c>
      <c r="U362">
        <f>IF('INHERENT MAP'!$B$5=2021,'РЕЕСТР РИСКОВ_2023'!Z402,IF('INHERENT MAP'!$B$5=2022,#REF!,IF('INHERENT MAP'!$B$5=2023,#REF!,IF('INHERENT MAP'!$B$5=2024,#REF!,#REF!))))</f>
        <v>0</v>
      </c>
      <c r="V362">
        <f>IF('INHERENT MAP'!$B$5=2021,'РЕЕСТР РИСКОВ_2023'!AA402,IF('INHERENT MAP'!$B$5=2022,#REF!,IF('INHERENT MAP'!$B$5=2023,#REF!,IF('INHERENT MAP'!$B$5=2024,#REF!,#REF!))))</f>
        <v>0</v>
      </c>
      <c r="W362">
        <f>IF('INHERENT MAP'!$B$5=2021,'РЕЕСТР РИСКОВ_2023'!AB402,IF('INHERENT MAP'!$B$5=2022,#REF!,IF('INHERENT MAP'!$B$5=2023,#REF!,IF('INHERENT MAP'!$B$5=2024,#REF!,#REF!))))</f>
        <v>0</v>
      </c>
      <c r="X362" s="94">
        <f>IF('INHERENT MAP'!$B$5=2021,'РЕЕСТР РИСКОВ_2023'!AC402,IF('INHERENT MAP'!$B$5=2022,#REF!,IF('INHERENT MAP'!$B$5=2023,#REF!,IF('INHERENT MAP'!$B$5=2024,#REF!,#REF!))))</f>
        <v>0</v>
      </c>
      <c r="Y362">
        <f>IF('INHERENT MAP'!$B$5=2021,'РЕЕСТР РИСКОВ_2023'!AD402,IF('INHERENT MAP'!$B$5=2022,#REF!,IF('INHERENT MAP'!$B$5=2023,#REF!,IF('INHERENT MAP'!$B$5=2024,#REF!,#REF!))))</f>
        <v>0</v>
      </c>
      <c r="Z362">
        <f>IF('INHERENT MAP'!$B$5=2021,'РЕЕСТР РИСКОВ_2023'!AE402,IF('INHERENT MAP'!$B$5=2022,#REF!,IF('INHERENT MAP'!$B$5=2023,#REF!,IF('INHERENT MAP'!$B$5=2024,#REF!,#REF!))))</f>
        <v>0</v>
      </c>
      <c r="AA362">
        <f>IF('INHERENT MAP'!$B$5=2021,'РЕЕСТР РИСКОВ_2023'!AF402,IF('INHERENT MAP'!$B$5=2022,#REF!,IF('INHERENT MAP'!$B$5=2023,#REF!,IF('INHERENT MAP'!$B$5=2024,#REF!,#REF!))))</f>
        <v>0</v>
      </c>
      <c r="AB362">
        <f>IF('INHERENT MAP'!$B$5=2021,'РЕЕСТР РИСКОВ_2023'!AG402,IF('INHERENT MAP'!$B$5=2022,#REF!,IF('INHERENT MAP'!$B$5=2023,#REF!,IF('INHERENT MAP'!$B$5=2024,#REF!,#REF!))))</f>
        <v>0</v>
      </c>
      <c r="AC362">
        <f>IF('INHERENT MAP'!$B$5=2021,'РЕЕСТР РИСКОВ_2023'!AH402,IF('INHERENT MAP'!$B$5=2022,#REF!,IF('INHERENT MAP'!$B$5=2023,#REF!,IF('INHERENT MAP'!$B$5=2024,#REF!,#REF!))))</f>
        <v>0</v>
      </c>
      <c r="AD362">
        <f>IF('INHERENT MAP'!$B$5=2021,'РЕЕСТР РИСКОВ_2023'!AI402,IF('INHERENT MAP'!$B$5=2022,#REF!,IF('INHERENT MAP'!$B$5=2023,#REF!,IF('INHERENT MAP'!$B$5=2024,#REF!,#REF!))))</f>
        <v>0</v>
      </c>
      <c r="AE362">
        <f>IF('INHERENT MAP'!$B$5=2021,'РЕЕСТР РИСКОВ_2023'!AK402,IF('INHERENT MAP'!$B$5=2022,#REF!,IF('INHERENT MAP'!$B$5=2023,#REF!,IF('INHERENT MAP'!$B$5=2024,#REF!,#REF!))))</f>
        <v>0</v>
      </c>
      <c r="AF362">
        <f>IF('INHERENT MAP'!$B$5=2021,'РЕЕСТР РИСКОВ_2023'!AL402,IF('INHERENT MAP'!$B$5=2022,#REF!,IF('INHERENT MAP'!$B$5=2023,#REF!,IF('INHERENT MAP'!$B$5=2024,#REF!,#REF!))))</f>
        <v>0</v>
      </c>
      <c r="AG362">
        <f>IF('INHERENT MAP'!$B$5=2021,'РЕЕСТР РИСКОВ_2023'!AM402,IF('INHERENT MAP'!$B$5=2022,#REF!,IF('INHERENT MAP'!$B$5=2023,#REF!,IF('INHERENT MAP'!$B$5=2024,#REF!,#REF!))))</f>
        <v>0</v>
      </c>
      <c r="AH362">
        <f>IF('INHERENT MAP'!$B$5=2021,'РЕЕСТР РИСКОВ_2023'!AN402,IF('INHERENT MAP'!$B$5=2022,#REF!,IF('INHERENT MAP'!$B$5=2023,#REF!,IF('INHERENT MAP'!$B$5=2024,#REF!,#REF!))))</f>
        <v>0</v>
      </c>
      <c r="AI362">
        <f>IF('INHERENT MAP'!$B$5=2021,'РЕЕСТР РИСКОВ_2023'!AO402,IF('INHERENT MAP'!$B$5=2022,#REF!,IF('INHERENT MAP'!$B$5=2023,#REF!,IF('INHERENT MAP'!$B$5=2024,#REF!,#REF!))))</f>
        <v>0</v>
      </c>
      <c r="AJ362">
        <f>IF('INHERENT MAP'!$B$5=2021,'РЕЕСТР РИСКОВ_2023'!AP402,IF('INHERENT MAP'!$B$5=2022,#REF!,IF('INHERENT MAP'!$B$5=2023,#REF!,IF('INHERENT MAP'!$B$5=2024,#REF!,#REF!))))</f>
        <v>0</v>
      </c>
      <c r="AK362">
        <f>IF('РЕЕСТР РИСКОВ_2023'!AQ402="",AK361,'РЕЕСТР РИСКОВ_2023'!AQ402)</f>
        <v>-216</v>
      </c>
      <c r="AL362">
        <f>IF('РЕЕСТР РИСКОВ_2023'!AR402="",AL361,'РЕЕСТР РИСКОВ_2023'!AR402)</f>
        <v>0.12</v>
      </c>
      <c r="AM362" t="str">
        <f>IF('РЕЕСТР РИСКОВ_2023'!AS402="",AM361,'РЕЕСТР РИСКОВ_2023'!AS402)</f>
        <v>стоп</v>
      </c>
      <c r="AN362" t="str">
        <f>IF('РЕЕСТР РИСКОВ_2023'!AT402="",AN361,'РЕЕСТР РИСКОВ_2023'!AT402)</f>
        <v>стоп</v>
      </c>
      <c r="AO362" t="e">
        <f>IF('РЕЕСТР РИСКОВ_2023'!AU402="",AO361,'РЕЕСТР РИСКОВ_2023'!AU402)</f>
        <v>#REF!</v>
      </c>
    </row>
    <row r="363" spans="2:41">
      <c r="B363" t="str">
        <f>IF('INHERENT MAP'!$B$5=2021,IF('РЕЕСТР РИСКОВ_2023'!F403="",B362,'РЕЕСТР РИСКОВ_2023'!F403),IF('INHERENT MAP'!$B$5=2022,IF(#REF!="",B362,#REF!),IF('INHERENT MAP'!$B$5=2023,IF(#REF!="",B362,#REF!),IF('INHERENT MAP'!$B$5=2024,IF(#REF!="",B362,#REF!),IF('РЕЕСТР РИСКОВ_2023'!F403="",B362,'РЕЕСТР РИСКОВ_2023'!F403)))))</f>
        <v>ПРОЦЕНТНЫЙ РИСК</v>
      </c>
      <c r="C363" t="e">
        <f>IF('INHERENT MAP'!$B$5=2021,IF('РЕЕСТР РИСКОВ_2023'!G403="",C362,'РЕЕСТР РИСКОВ_2023'!G403),IF('INHERENT MAP'!$B$5=2022,IF(#REF!="",C362,#REF!),IF('INHERENT MAP'!$B$5=2023,IF(#REF!="",C362,#REF!),IF('INHERENT MAP'!$B$5=2024,IF(#REF!="",C362,#REF!),IF('РЕЕСТР РИСКОВ_2023'!G403="",C362,'РЕЕСТР РИСКОВ_2023'!G403)))))</f>
        <v>#REF!</v>
      </c>
      <c r="D363" t="str">
        <f>IF('INHERENT MAP'!$B$5=2021,IF('РЕЕСТР РИСКОВ_2023'!H403="",D362,'РЕЕСТР РИСКОВ_2023'!H403),IF('INHERENT MAP'!$B$5=2022,IF(#REF!="",D362,#REF!),IF('INHERENT MAP'!$B$5=2023,IF(#REF!="",D362,#REF!),IF('INHERENT MAP'!$B$5=2024,IF(#REF!="",D362,#REF!),IF('РЕЕСТР РИСКОВ_2023'!H403="",D362,'РЕЕСТР РИСКОВ_2023'!H403)))))</f>
        <v>IRR-1</v>
      </c>
      <c r="E363" t="str">
        <f>IF('INHERENT MAP'!$B$5=2021,IF('РЕЕСТР РИСКОВ_2023'!I403="",E362,'РЕЕСТР РИСКОВ_2023'!I403),IF('INHERENT MAP'!$B$5=2022,IF(#REF!="",E362,#REF!),IF('INHERENT MAP'!$B$5=2023,IF(#REF!="",E362,#REF!),IF('INHERENT MAP'!$B$5=2024,IF(#REF!="",E362,#REF!),IF('РЕЕСТР РИСКОВ_2023'!I403="",E362,'РЕЕСТР РИСКОВ_2023'!I403)))))</f>
        <v>ЦЗФ</v>
      </c>
      <c r="F363" t="str">
        <f>IF('INHERENT MAP'!$B$5=2021,IF('РЕЕСТР РИСКОВ_2023'!J403="",F362,'РЕЕСТР РИСКОВ_2023'!J403),IF('INHERENT MAP'!$B$5=2022,IF(#REF!="",F362,#REF!),IF('INHERENT MAP'!$B$5=2023,IF(#REF!="",F362,#REF!),IF('INHERENT MAP'!$B$5=2024,IF(#REF!="",F362,#REF!),IF('РЕЕСТР РИСКОВ_2023'!J403="",F362,'РЕЕСТР РИСКОВ_2023'!J403)))))</f>
        <v>Цзайм</v>
      </c>
      <c r="G363" t="str">
        <f>IF('INHERENT MAP'!$B$5=2021,IF('РЕЕСТР РИСКОВ_2023'!K403="",G362,'РЕЕСТР РИСКОВ_2023'!K403),IF('INHERENT MAP'!$B$5=2022,IF(#REF!="",G362,#REF!),IF('INHERENT MAP'!$B$5=2023,IF(#REF!="",G362,#REF!),IF('INHERENT MAP'!$B$5=2024,IF(#REF!="",G362,#REF!),IF('РЕЕСТР РИСКОВ_2023'!K403="",G362,'РЕЕСТР РИСКОВ_2023'!K403)))))</f>
        <v>Увеличение расходов по процентам на новые займы, а также текущие займы (с плавающей ставкой) в тенге.</v>
      </c>
      <c r="H363">
        <f>IF('INHERENT MAP'!$B$5=2021,'РЕЕСТР РИСКОВ_2023'!L403,IF('INHERENT MAP'!$B$5=2022,#REF!,IF('INHERENT MAP'!$B$5=2023,#REF!,IF('INHERENT MAP'!$B$5=2024,#REF!,#REF!))))</f>
        <v>0</v>
      </c>
      <c r="I363">
        <f>IF('INHERENT MAP'!$B$5=2021,'РЕЕСТР РИСКОВ_2023'!M403,IF('INHERENT MAP'!$B$5=2022,#REF!,IF('INHERENT MAP'!$B$5=2023,#REF!,IF('INHERENT MAP'!$B$5=2024,#REF!,#REF!))))</f>
        <v>0</v>
      </c>
      <c r="J363">
        <f>IF('INHERENT MAP'!$B$5=2021,'РЕЕСТР РИСКОВ_2023'!N403,IF('INHERENT MAP'!$B$5=2022,#REF!,IF('INHERENT MAP'!$B$5=2023,#REF!,IF('INHERENT MAP'!$B$5=2024,#REF!,#REF!))))</f>
        <v>0</v>
      </c>
      <c r="K363">
        <f>IF('INHERENT MAP'!$B$5=2021,'РЕЕСТР РИСКОВ_2023'!O403,IF('INHERENT MAP'!$B$5=2022,#REF!,IF('INHERENT MAP'!$B$5=2023,#REF!,IF('INHERENT MAP'!$B$5=2024,#REF!,#REF!))))</f>
        <v>0</v>
      </c>
      <c r="L363">
        <f>IF('INHERENT MAP'!$B$5=2021,'РЕЕСТР РИСКОВ_2023'!P403,IF('INHERENT MAP'!$B$5=2022,#REF!,IF('INHERENT MAP'!$B$5=2023,#REF!,IF('INHERENT MAP'!$B$5=2024,#REF!,#REF!))))</f>
        <v>0</v>
      </c>
      <c r="M363" t="str">
        <f>IF('INHERENT MAP'!$B$5=2021,IF('РЕЕСТР РИСКОВ_2023'!Q403="",M362,'РЕЕСТР РИСКОВ_2023'!Q403),IF('INHERENT MAP'!$B$5=2022,IF(#REF!="",M362,#REF!),IF('INHERENT MAP'!$B$5=2023,IF(#REF!="",M362,#REF!),IF('INHERENT MAP'!$B$5=2024,IF(#REF!="",M362,#REF!),IF('РЕЕСТР РИСКОВ_2023'!Q403="",M362,'РЕЕСТР РИСКОВ_2023'!Q403)))))</f>
        <v>Увеличение базовой ставки Национального банка Республики Казахстан до 16%</v>
      </c>
      <c r="N363" t="str">
        <f>IF('INHERENT MAP'!$B$5=2021,IF('РЕЕСТР РИСКОВ_2023'!R403="",N362,'РЕЕСТР РИСКОВ_2023'!R403),IF('INHERENT MAP'!$B$5=2022,IF(#REF!="",N362,#REF!),IF('INHERENT MAP'!$B$5=2023,IF(#REF!="",N362,#REF!),IF('INHERENT MAP'!$B$5=2024,IF(#REF!="",N362,#REF!),IF('РЕЕСТР РИСКОВ_2023'!R403="",N362,'РЕЕСТР РИСКОВ_2023'!R403)))))</f>
        <v>Рецессия экономики европейских стран</v>
      </c>
      <c r="O363">
        <f>'РЕЕСТР РИСКОВ_2023'!T403</f>
        <v>0</v>
      </c>
      <c r="P363" t="e">
        <f>IF('РЕЕСТР РИСКОВ_2023'!U403="",P362,'РЕЕСТР РИСКОВ_2023'!U403)</f>
        <v>#REF!</v>
      </c>
      <c r="Q363" t="str">
        <f>IF('РЕЕСТР РИСКОВ_2023'!V403="",Q362,'РЕЕСТР РИСКОВ_2023'!V403)</f>
        <v>Угрозы</v>
      </c>
      <c r="R363" t="e">
        <f>IF('РЕЕСТР РИСКОВ_2023'!W403="",R362,'РЕЕСТР РИСКОВ_2023'!W403)</f>
        <v>#REF!</v>
      </c>
      <c r="S363">
        <f>'РЕЕСТР РИСКОВ_2023'!X403</f>
        <v>0</v>
      </c>
      <c r="T363" s="94">
        <f>IF('INHERENT MAP'!$B$5=2021,'РЕЕСТР РИСКОВ_2023'!Y403,IF('INHERENT MAP'!$B$5=2022,#REF!,IF('INHERENT MAP'!$B$5=2023,#REF!,IF('INHERENT MAP'!$B$5=2024,#REF!,#REF!))))</f>
        <v>0</v>
      </c>
      <c r="U363">
        <f>IF('INHERENT MAP'!$B$5=2021,'РЕЕСТР РИСКОВ_2023'!Z403,IF('INHERENT MAP'!$B$5=2022,#REF!,IF('INHERENT MAP'!$B$5=2023,#REF!,IF('INHERENT MAP'!$B$5=2024,#REF!,#REF!))))</f>
        <v>0</v>
      </c>
      <c r="V363">
        <f>IF('INHERENT MAP'!$B$5=2021,'РЕЕСТР РИСКОВ_2023'!AA403,IF('INHERENT MAP'!$B$5=2022,#REF!,IF('INHERENT MAP'!$B$5=2023,#REF!,IF('INHERENT MAP'!$B$5=2024,#REF!,#REF!))))</f>
        <v>0</v>
      </c>
      <c r="W363">
        <f>IF('INHERENT MAP'!$B$5=2021,'РЕЕСТР РИСКОВ_2023'!AB403,IF('INHERENT MAP'!$B$5=2022,#REF!,IF('INHERENT MAP'!$B$5=2023,#REF!,IF('INHERENT MAP'!$B$5=2024,#REF!,#REF!))))</f>
        <v>0</v>
      </c>
      <c r="X363" s="94">
        <f>IF('INHERENT MAP'!$B$5=2021,'РЕЕСТР РИСКОВ_2023'!AC403,IF('INHERENT MAP'!$B$5=2022,#REF!,IF('INHERENT MAP'!$B$5=2023,#REF!,IF('INHERENT MAP'!$B$5=2024,#REF!,#REF!))))</f>
        <v>0</v>
      </c>
      <c r="Y363">
        <f>IF('INHERENT MAP'!$B$5=2021,'РЕЕСТР РИСКОВ_2023'!AD403,IF('INHERENT MAP'!$B$5=2022,#REF!,IF('INHERENT MAP'!$B$5=2023,#REF!,IF('INHERENT MAP'!$B$5=2024,#REF!,#REF!))))</f>
        <v>0</v>
      </c>
      <c r="Z363">
        <f>IF('INHERENT MAP'!$B$5=2021,'РЕЕСТР РИСКОВ_2023'!AE403,IF('INHERENT MAP'!$B$5=2022,#REF!,IF('INHERENT MAP'!$B$5=2023,#REF!,IF('INHERENT MAP'!$B$5=2024,#REF!,#REF!))))</f>
        <v>0</v>
      </c>
      <c r="AA363">
        <f>IF('INHERENT MAP'!$B$5=2021,'РЕЕСТР РИСКОВ_2023'!AF403,IF('INHERENT MAP'!$B$5=2022,#REF!,IF('INHERENT MAP'!$B$5=2023,#REF!,IF('INHERENT MAP'!$B$5=2024,#REF!,#REF!))))</f>
        <v>0</v>
      </c>
      <c r="AB363">
        <f>IF('INHERENT MAP'!$B$5=2021,'РЕЕСТР РИСКОВ_2023'!AG403,IF('INHERENT MAP'!$B$5=2022,#REF!,IF('INHERENT MAP'!$B$5=2023,#REF!,IF('INHERENT MAP'!$B$5=2024,#REF!,#REF!))))</f>
        <v>0</v>
      </c>
      <c r="AC363">
        <f>IF('INHERENT MAP'!$B$5=2021,'РЕЕСТР РИСКОВ_2023'!AH403,IF('INHERENT MAP'!$B$5=2022,#REF!,IF('INHERENT MAP'!$B$5=2023,#REF!,IF('INHERENT MAP'!$B$5=2024,#REF!,#REF!))))</f>
        <v>0</v>
      </c>
      <c r="AD363">
        <f>IF('INHERENT MAP'!$B$5=2021,'РЕЕСТР РИСКОВ_2023'!AI403,IF('INHERENT MAP'!$B$5=2022,#REF!,IF('INHERENT MAP'!$B$5=2023,#REF!,IF('INHERENT MAP'!$B$5=2024,#REF!,#REF!))))</f>
        <v>0</v>
      </c>
      <c r="AE363">
        <f>IF('INHERENT MAP'!$B$5=2021,'РЕЕСТР РИСКОВ_2023'!AK403,IF('INHERENT MAP'!$B$5=2022,#REF!,IF('INHERENT MAP'!$B$5=2023,#REF!,IF('INHERENT MAP'!$B$5=2024,#REF!,#REF!))))</f>
        <v>0</v>
      </c>
      <c r="AF363">
        <f>IF('INHERENT MAP'!$B$5=2021,'РЕЕСТР РИСКОВ_2023'!AL403,IF('INHERENT MAP'!$B$5=2022,#REF!,IF('INHERENT MAP'!$B$5=2023,#REF!,IF('INHERENT MAP'!$B$5=2024,#REF!,#REF!))))</f>
        <v>0</v>
      </c>
      <c r="AG363">
        <f>IF('INHERENT MAP'!$B$5=2021,'РЕЕСТР РИСКОВ_2023'!AM403,IF('INHERENT MAP'!$B$5=2022,#REF!,IF('INHERENT MAP'!$B$5=2023,#REF!,IF('INHERENT MAP'!$B$5=2024,#REF!,#REF!))))</f>
        <v>0</v>
      </c>
      <c r="AH363">
        <f>IF('INHERENT MAP'!$B$5=2021,'РЕЕСТР РИСКОВ_2023'!AN403,IF('INHERENT MAP'!$B$5=2022,#REF!,IF('INHERENT MAP'!$B$5=2023,#REF!,IF('INHERENT MAP'!$B$5=2024,#REF!,#REF!))))</f>
        <v>0</v>
      </c>
      <c r="AI363">
        <f>IF('INHERENT MAP'!$B$5=2021,'РЕЕСТР РИСКОВ_2023'!AO403,IF('INHERENT MAP'!$B$5=2022,#REF!,IF('INHERENT MAP'!$B$5=2023,#REF!,IF('INHERENT MAP'!$B$5=2024,#REF!,#REF!))))</f>
        <v>0</v>
      </c>
      <c r="AJ363">
        <f>IF('INHERENT MAP'!$B$5=2021,'РЕЕСТР РИСКОВ_2023'!AP403,IF('INHERENT MAP'!$B$5=2022,#REF!,IF('INHERENT MAP'!$B$5=2023,#REF!,IF('INHERENT MAP'!$B$5=2024,#REF!,#REF!))))</f>
        <v>0</v>
      </c>
      <c r="AK363">
        <f>IF('РЕЕСТР РИСКОВ_2023'!AQ403="",AK362,'РЕЕСТР РИСКОВ_2023'!AQ403)</f>
        <v>-216</v>
      </c>
      <c r="AL363">
        <f>IF('РЕЕСТР РИСКОВ_2023'!AR403="",AL362,'РЕЕСТР РИСКОВ_2023'!AR403)</f>
        <v>0.12</v>
      </c>
      <c r="AM363" t="str">
        <f>IF('РЕЕСТР РИСКОВ_2023'!AS403="",AM362,'РЕЕСТР РИСКОВ_2023'!AS403)</f>
        <v>стоп</v>
      </c>
      <c r="AN363" t="str">
        <f>IF('РЕЕСТР РИСКОВ_2023'!AT403="",AN362,'РЕЕСТР РИСКОВ_2023'!AT403)</f>
        <v>стоп</v>
      </c>
      <c r="AO363" t="e">
        <f>IF('РЕЕСТР РИСКОВ_2023'!AU403="",AO362,'РЕЕСТР РИСКОВ_2023'!AU403)</f>
        <v>#REF!</v>
      </c>
    </row>
    <row r="364" spans="2:41">
      <c r="B364" t="str">
        <f>IF('INHERENT MAP'!$B$5=2021,IF('РЕЕСТР РИСКОВ_2023'!F404="",B363,'РЕЕСТР РИСКОВ_2023'!F404),IF('INHERENT MAP'!$B$5=2022,IF(#REF!="",B363,#REF!),IF('INHERENT MAP'!$B$5=2023,IF(#REF!="",B363,#REF!),IF('INHERENT MAP'!$B$5=2024,IF(#REF!="",B363,#REF!),IF('РЕЕСТР РИСКОВ_2023'!F404="",B363,'РЕЕСТР РИСКОВ_2023'!F404)))))</f>
        <v>ПРОЦЕНТНЫЙ РИСК</v>
      </c>
      <c r="C364" t="e">
        <f>IF('INHERENT MAP'!$B$5=2021,IF('РЕЕСТР РИСКОВ_2023'!G404="",C363,'РЕЕСТР РИСКОВ_2023'!G404),IF('INHERENT MAP'!$B$5=2022,IF(#REF!="",C363,#REF!),IF('INHERENT MAP'!$B$5=2023,IF(#REF!="",C363,#REF!),IF('INHERENT MAP'!$B$5=2024,IF(#REF!="",C363,#REF!),IF('РЕЕСТР РИСКОВ_2023'!G404="",C363,'РЕЕСТР РИСКОВ_2023'!G404)))))</f>
        <v>#REF!</v>
      </c>
      <c r="D364" t="str">
        <f>IF('INHERENT MAP'!$B$5=2021,IF('РЕЕСТР РИСКОВ_2023'!H404="",D363,'РЕЕСТР РИСКОВ_2023'!H404),IF('INHERENT MAP'!$B$5=2022,IF(#REF!="",D363,#REF!),IF('INHERENT MAP'!$B$5=2023,IF(#REF!="",D363,#REF!),IF('INHERENT MAP'!$B$5=2024,IF(#REF!="",D363,#REF!),IF('РЕЕСТР РИСКОВ_2023'!H404="",D363,'РЕЕСТР РИСКОВ_2023'!H404)))))</f>
        <v>IRR-1</v>
      </c>
      <c r="E364" t="str">
        <f>IF('INHERENT MAP'!$B$5=2021,IF('РЕЕСТР РИСКОВ_2023'!I404="",E363,'РЕЕСТР РИСКОВ_2023'!I404),IF('INHERENT MAP'!$B$5=2022,IF(#REF!="",E363,#REF!),IF('INHERENT MAP'!$B$5=2023,IF(#REF!="",E363,#REF!),IF('INHERENT MAP'!$B$5=2024,IF(#REF!="",E363,#REF!),IF('РЕЕСТР РИСКОВ_2023'!I404="",E363,'РЕЕСТР РИСКОВ_2023'!I404)))))</f>
        <v>ЦЗФ</v>
      </c>
      <c r="F364" t="str">
        <f>IF('INHERENT MAP'!$B$5=2021,IF('РЕЕСТР РИСКОВ_2023'!J404="",F363,'РЕЕСТР РИСКОВ_2023'!J404),IF('INHERENT MAP'!$B$5=2022,IF(#REF!="",F363,#REF!),IF('INHERENT MAP'!$B$5=2023,IF(#REF!="",F363,#REF!),IF('INHERENT MAP'!$B$5=2024,IF(#REF!="",F363,#REF!),IF('РЕЕСТР РИСКОВ_2023'!J404="",F363,'РЕЕСТР РИСКОВ_2023'!J404)))))</f>
        <v>Цзайм</v>
      </c>
      <c r="G364" t="str">
        <f>IF('INHERENT MAP'!$B$5=2021,IF('РЕЕСТР РИСКОВ_2023'!K404="",G363,'РЕЕСТР РИСКОВ_2023'!K404),IF('INHERENT MAP'!$B$5=2022,IF(#REF!="",G363,#REF!),IF('INHERENT MAP'!$B$5=2023,IF(#REF!="",G363,#REF!),IF('INHERENT MAP'!$B$5=2024,IF(#REF!="",G363,#REF!),IF('РЕЕСТР РИСКОВ_2023'!K404="",G363,'РЕЕСТР РИСКОВ_2023'!K404)))))</f>
        <v>Увеличение расходов по процентам на новые займы, а также текущие займы (с плавающей ставкой) в тенге.</v>
      </c>
      <c r="H364">
        <f>IF('INHERENT MAP'!$B$5=2021,'РЕЕСТР РИСКОВ_2023'!L404,IF('INHERENT MAP'!$B$5=2022,#REF!,IF('INHERENT MAP'!$B$5=2023,#REF!,IF('INHERENT MAP'!$B$5=2024,#REF!,#REF!))))</f>
        <v>0</v>
      </c>
      <c r="I364">
        <f>IF('INHERENT MAP'!$B$5=2021,'РЕЕСТР РИСКОВ_2023'!M404,IF('INHERENT MAP'!$B$5=2022,#REF!,IF('INHERENT MAP'!$B$5=2023,#REF!,IF('INHERENT MAP'!$B$5=2024,#REF!,#REF!))))</f>
        <v>0</v>
      </c>
      <c r="J364">
        <f>IF('INHERENT MAP'!$B$5=2021,'РЕЕСТР РИСКОВ_2023'!N404,IF('INHERENT MAP'!$B$5=2022,#REF!,IF('INHERENT MAP'!$B$5=2023,#REF!,IF('INHERENT MAP'!$B$5=2024,#REF!,#REF!))))</f>
        <v>0</v>
      </c>
      <c r="K364">
        <f>IF('INHERENT MAP'!$B$5=2021,'РЕЕСТР РИСКОВ_2023'!O404,IF('INHERENT MAP'!$B$5=2022,#REF!,IF('INHERENT MAP'!$B$5=2023,#REF!,IF('INHERENT MAP'!$B$5=2024,#REF!,#REF!))))</f>
        <v>0</v>
      </c>
      <c r="L364">
        <f>IF('INHERENT MAP'!$B$5=2021,'РЕЕСТР РИСКОВ_2023'!P404,IF('INHERENT MAP'!$B$5=2022,#REF!,IF('INHERENT MAP'!$B$5=2023,#REF!,IF('INHERENT MAP'!$B$5=2024,#REF!,#REF!))))</f>
        <v>0</v>
      </c>
      <c r="M364" t="str">
        <f>IF('INHERENT MAP'!$B$5=2021,IF('РЕЕСТР РИСКОВ_2023'!Q404="",M363,'РЕЕСТР РИСКОВ_2023'!Q404),IF('INHERENT MAP'!$B$5=2022,IF(#REF!="",M363,#REF!),IF('INHERENT MAP'!$B$5=2023,IF(#REF!="",M363,#REF!),IF('INHERENT MAP'!$B$5=2024,IF(#REF!="",M363,#REF!),IF('РЕЕСТР РИСКОВ_2023'!Q404="",M363,'РЕЕСТР РИСКОВ_2023'!Q404)))))</f>
        <v>Увеличение базовой ставки Национального банка Республики Казахстан до 16%</v>
      </c>
      <c r="N364" t="str">
        <f>IF('INHERENT MAP'!$B$5=2021,IF('РЕЕСТР РИСКОВ_2023'!R404="",N363,'РЕЕСТР РИСКОВ_2023'!R404),IF('INHERENT MAP'!$B$5=2022,IF(#REF!="",N363,#REF!),IF('INHERENT MAP'!$B$5=2023,IF(#REF!="",N363,#REF!),IF('INHERENT MAP'!$B$5=2024,IF(#REF!="",N363,#REF!),IF('РЕЕСТР РИСКОВ_2023'!R404="",N363,'РЕЕСТР РИСКОВ_2023'!R404)))))</f>
        <v>Рецессия экономики европейских стран</v>
      </c>
      <c r="O364">
        <f>'РЕЕСТР РИСКОВ_2023'!T404</f>
        <v>0</v>
      </c>
      <c r="P364" t="e">
        <f>IF('РЕЕСТР РИСКОВ_2023'!U404="",P363,'РЕЕСТР РИСКОВ_2023'!U404)</f>
        <v>#REF!</v>
      </c>
      <c r="Q364" t="str">
        <f>IF('РЕЕСТР РИСКОВ_2023'!V404="",Q363,'РЕЕСТР РИСКОВ_2023'!V404)</f>
        <v>Угрозы</v>
      </c>
      <c r="R364" t="e">
        <f>IF('РЕЕСТР РИСКОВ_2023'!W404="",R363,'РЕЕСТР РИСКОВ_2023'!W404)</f>
        <v>#REF!</v>
      </c>
      <c r="S364">
        <f>'РЕЕСТР РИСКОВ_2023'!X404</f>
        <v>0</v>
      </c>
      <c r="T364" s="94">
        <f>IF('INHERENT MAP'!$B$5=2021,'РЕЕСТР РИСКОВ_2023'!Y404,IF('INHERENT MAP'!$B$5=2022,#REF!,IF('INHERENT MAP'!$B$5=2023,#REF!,IF('INHERENT MAP'!$B$5=2024,#REF!,#REF!))))</f>
        <v>0</v>
      </c>
      <c r="U364">
        <f>IF('INHERENT MAP'!$B$5=2021,'РЕЕСТР РИСКОВ_2023'!Z404,IF('INHERENT MAP'!$B$5=2022,#REF!,IF('INHERENT MAP'!$B$5=2023,#REF!,IF('INHERENT MAP'!$B$5=2024,#REF!,#REF!))))</f>
        <v>0</v>
      </c>
      <c r="V364">
        <f>IF('INHERENT MAP'!$B$5=2021,'РЕЕСТР РИСКОВ_2023'!AA404,IF('INHERENT MAP'!$B$5=2022,#REF!,IF('INHERENT MAP'!$B$5=2023,#REF!,IF('INHERENT MAP'!$B$5=2024,#REF!,#REF!))))</f>
        <v>0</v>
      </c>
      <c r="W364">
        <f>IF('INHERENT MAP'!$B$5=2021,'РЕЕСТР РИСКОВ_2023'!AB404,IF('INHERENT MAP'!$B$5=2022,#REF!,IF('INHERENT MAP'!$B$5=2023,#REF!,IF('INHERENT MAP'!$B$5=2024,#REF!,#REF!))))</f>
        <v>0</v>
      </c>
      <c r="X364" s="94">
        <f>IF('INHERENT MAP'!$B$5=2021,'РЕЕСТР РИСКОВ_2023'!AC404,IF('INHERENT MAP'!$B$5=2022,#REF!,IF('INHERENT MAP'!$B$5=2023,#REF!,IF('INHERENT MAP'!$B$5=2024,#REF!,#REF!))))</f>
        <v>0</v>
      </c>
      <c r="Y364">
        <f>IF('INHERENT MAP'!$B$5=2021,'РЕЕСТР РИСКОВ_2023'!AD404,IF('INHERENT MAP'!$B$5=2022,#REF!,IF('INHERENT MAP'!$B$5=2023,#REF!,IF('INHERENT MAP'!$B$5=2024,#REF!,#REF!))))</f>
        <v>0</v>
      </c>
      <c r="Z364">
        <f>IF('INHERENT MAP'!$B$5=2021,'РЕЕСТР РИСКОВ_2023'!AE404,IF('INHERENT MAP'!$B$5=2022,#REF!,IF('INHERENT MAP'!$B$5=2023,#REF!,IF('INHERENT MAP'!$B$5=2024,#REF!,#REF!))))</f>
        <v>0</v>
      </c>
      <c r="AA364">
        <f>IF('INHERENT MAP'!$B$5=2021,'РЕЕСТР РИСКОВ_2023'!AF404,IF('INHERENT MAP'!$B$5=2022,#REF!,IF('INHERENT MAP'!$B$5=2023,#REF!,IF('INHERENT MAP'!$B$5=2024,#REF!,#REF!))))</f>
        <v>0</v>
      </c>
      <c r="AB364">
        <f>IF('INHERENT MAP'!$B$5=2021,'РЕЕСТР РИСКОВ_2023'!AG404,IF('INHERENT MAP'!$B$5=2022,#REF!,IF('INHERENT MAP'!$B$5=2023,#REF!,IF('INHERENT MAP'!$B$5=2024,#REF!,#REF!))))</f>
        <v>0</v>
      </c>
      <c r="AC364">
        <f>IF('INHERENT MAP'!$B$5=2021,'РЕЕСТР РИСКОВ_2023'!AH404,IF('INHERENT MAP'!$B$5=2022,#REF!,IF('INHERENT MAP'!$B$5=2023,#REF!,IF('INHERENT MAP'!$B$5=2024,#REF!,#REF!))))</f>
        <v>0</v>
      </c>
      <c r="AD364">
        <f>IF('INHERENT MAP'!$B$5=2021,'РЕЕСТР РИСКОВ_2023'!AI404,IF('INHERENT MAP'!$B$5=2022,#REF!,IF('INHERENT MAP'!$B$5=2023,#REF!,IF('INHERENT MAP'!$B$5=2024,#REF!,#REF!))))</f>
        <v>0</v>
      </c>
      <c r="AE364">
        <f>IF('INHERENT MAP'!$B$5=2021,'РЕЕСТР РИСКОВ_2023'!AK404,IF('INHERENT MAP'!$B$5=2022,#REF!,IF('INHERENT MAP'!$B$5=2023,#REF!,IF('INHERENT MAP'!$B$5=2024,#REF!,#REF!))))</f>
        <v>0</v>
      </c>
      <c r="AF364">
        <f>IF('INHERENT MAP'!$B$5=2021,'РЕЕСТР РИСКОВ_2023'!AL404,IF('INHERENT MAP'!$B$5=2022,#REF!,IF('INHERENT MAP'!$B$5=2023,#REF!,IF('INHERENT MAP'!$B$5=2024,#REF!,#REF!))))</f>
        <v>0</v>
      </c>
      <c r="AG364">
        <f>IF('INHERENT MAP'!$B$5=2021,'РЕЕСТР РИСКОВ_2023'!AM404,IF('INHERENT MAP'!$B$5=2022,#REF!,IF('INHERENT MAP'!$B$5=2023,#REF!,IF('INHERENT MAP'!$B$5=2024,#REF!,#REF!))))</f>
        <v>0</v>
      </c>
      <c r="AH364">
        <f>IF('INHERENT MAP'!$B$5=2021,'РЕЕСТР РИСКОВ_2023'!AN404,IF('INHERENT MAP'!$B$5=2022,#REF!,IF('INHERENT MAP'!$B$5=2023,#REF!,IF('INHERENT MAP'!$B$5=2024,#REF!,#REF!))))</f>
        <v>0</v>
      </c>
      <c r="AI364">
        <f>IF('INHERENT MAP'!$B$5=2021,'РЕЕСТР РИСКОВ_2023'!AO404,IF('INHERENT MAP'!$B$5=2022,#REF!,IF('INHERENT MAP'!$B$5=2023,#REF!,IF('INHERENT MAP'!$B$5=2024,#REF!,#REF!))))</f>
        <v>0</v>
      </c>
      <c r="AJ364">
        <f>IF('INHERENT MAP'!$B$5=2021,'РЕЕСТР РИСКОВ_2023'!AP404,IF('INHERENT MAP'!$B$5=2022,#REF!,IF('INHERENT MAP'!$B$5=2023,#REF!,IF('INHERENT MAP'!$B$5=2024,#REF!,#REF!))))</f>
        <v>0</v>
      </c>
      <c r="AK364">
        <f>IF('РЕЕСТР РИСКОВ_2023'!AQ404="",AK363,'РЕЕСТР РИСКОВ_2023'!AQ404)</f>
        <v>-216</v>
      </c>
      <c r="AL364">
        <f>IF('РЕЕСТР РИСКОВ_2023'!AR404="",AL363,'РЕЕСТР РИСКОВ_2023'!AR404)</f>
        <v>0.12</v>
      </c>
      <c r="AM364" t="str">
        <f>IF('РЕЕСТР РИСКОВ_2023'!AS404="",AM363,'РЕЕСТР РИСКОВ_2023'!AS404)</f>
        <v>стоп</v>
      </c>
      <c r="AN364" t="str">
        <f>IF('РЕЕСТР РИСКОВ_2023'!AT404="",AN363,'РЕЕСТР РИСКОВ_2023'!AT404)</f>
        <v>стоп</v>
      </c>
      <c r="AO364" t="e">
        <f>IF('РЕЕСТР РИСКОВ_2023'!AU404="",AO363,'РЕЕСТР РИСКОВ_2023'!AU404)</f>
        <v>#REF!</v>
      </c>
    </row>
    <row r="365" spans="2:41">
      <c r="B365" t="str">
        <f>IF('INHERENT MAP'!$B$5=2021,IF('РЕЕСТР РИСКОВ_2023'!F405="",B364,'РЕЕСТР РИСКОВ_2023'!F405),IF('INHERENT MAP'!$B$5=2022,IF(#REF!="",B364,#REF!),IF('INHERENT MAP'!$B$5=2023,IF(#REF!="",B364,#REF!),IF('INHERENT MAP'!$B$5=2024,IF(#REF!="",B364,#REF!),IF('РЕЕСТР РИСКОВ_2023'!F405="",B364,'РЕЕСТР РИСКОВ_2023'!F405)))))</f>
        <v>ПРОЦЕНТНЫЙ РИСК</v>
      </c>
      <c r="C365" t="e">
        <f>IF('INHERENT MAP'!$B$5=2021,IF('РЕЕСТР РИСКОВ_2023'!G405="",C364,'РЕЕСТР РИСКОВ_2023'!G405),IF('INHERENT MAP'!$B$5=2022,IF(#REF!="",C364,#REF!),IF('INHERENT MAP'!$B$5=2023,IF(#REF!="",C364,#REF!),IF('INHERENT MAP'!$B$5=2024,IF(#REF!="",C364,#REF!),IF('РЕЕСТР РИСКОВ_2023'!G405="",C364,'РЕЕСТР РИСКОВ_2023'!G405)))))</f>
        <v>#REF!</v>
      </c>
      <c r="D365" t="str">
        <f>IF('INHERENT MAP'!$B$5=2021,IF('РЕЕСТР РИСКОВ_2023'!H405="",D364,'РЕЕСТР РИСКОВ_2023'!H405),IF('INHERENT MAP'!$B$5=2022,IF(#REF!="",D364,#REF!),IF('INHERENT MAP'!$B$5=2023,IF(#REF!="",D364,#REF!),IF('INHERENT MAP'!$B$5=2024,IF(#REF!="",D364,#REF!),IF('РЕЕСТР РИСКОВ_2023'!H405="",D364,'РЕЕСТР РИСКОВ_2023'!H405)))))</f>
        <v>IRR-1</v>
      </c>
      <c r="E365" t="str">
        <f>IF('INHERENT MAP'!$B$5=2021,IF('РЕЕСТР РИСКОВ_2023'!I405="",E364,'РЕЕСТР РИСКОВ_2023'!I405),IF('INHERENT MAP'!$B$5=2022,IF(#REF!="",E364,#REF!),IF('INHERENT MAP'!$B$5=2023,IF(#REF!="",E364,#REF!),IF('INHERENT MAP'!$B$5=2024,IF(#REF!="",E364,#REF!),IF('РЕЕСТР РИСКОВ_2023'!I405="",E364,'РЕЕСТР РИСКОВ_2023'!I405)))))</f>
        <v>ЦЗФ</v>
      </c>
      <c r="F365" t="str">
        <f>IF('INHERENT MAP'!$B$5=2021,IF('РЕЕСТР РИСКОВ_2023'!J405="",F364,'РЕЕСТР РИСКОВ_2023'!J405),IF('INHERENT MAP'!$B$5=2022,IF(#REF!="",F364,#REF!),IF('INHERENT MAP'!$B$5=2023,IF(#REF!="",F364,#REF!),IF('INHERENT MAP'!$B$5=2024,IF(#REF!="",F364,#REF!),IF('РЕЕСТР РИСКОВ_2023'!J405="",F364,'РЕЕСТР РИСКОВ_2023'!J405)))))</f>
        <v>Цзайм</v>
      </c>
      <c r="G365" t="str">
        <f>IF('INHERENT MAP'!$B$5=2021,IF('РЕЕСТР РИСКОВ_2023'!K405="",G364,'РЕЕСТР РИСКОВ_2023'!K405),IF('INHERENT MAP'!$B$5=2022,IF(#REF!="",G364,#REF!),IF('INHERENT MAP'!$B$5=2023,IF(#REF!="",G364,#REF!),IF('INHERENT MAP'!$B$5=2024,IF(#REF!="",G364,#REF!),IF('РЕЕСТР РИСКОВ_2023'!K405="",G364,'РЕЕСТР РИСКОВ_2023'!K405)))))</f>
        <v>Увеличение расходов по процентам на новые займы, а также текущие займы (с плавающей ставкой) в тенге.</v>
      </c>
      <c r="H365">
        <f>IF('INHERENT MAP'!$B$5=2021,'РЕЕСТР РИСКОВ_2023'!L405,IF('INHERENT MAP'!$B$5=2022,#REF!,IF('INHERENT MAP'!$B$5=2023,#REF!,IF('INHERENT MAP'!$B$5=2024,#REF!,#REF!))))</f>
        <v>0</v>
      </c>
      <c r="I365">
        <f>IF('INHERENT MAP'!$B$5=2021,'РЕЕСТР РИСКОВ_2023'!M405,IF('INHERENT MAP'!$B$5=2022,#REF!,IF('INHERENT MAP'!$B$5=2023,#REF!,IF('INHERENT MAP'!$B$5=2024,#REF!,#REF!))))</f>
        <v>0</v>
      </c>
      <c r="J365">
        <f>IF('INHERENT MAP'!$B$5=2021,'РЕЕСТР РИСКОВ_2023'!N405,IF('INHERENT MAP'!$B$5=2022,#REF!,IF('INHERENT MAP'!$B$5=2023,#REF!,IF('INHERENT MAP'!$B$5=2024,#REF!,#REF!))))</f>
        <v>0</v>
      </c>
      <c r="K365">
        <f>IF('INHERENT MAP'!$B$5=2021,'РЕЕСТР РИСКОВ_2023'!O405,IF('INHERENT MAP'!$B$5=2022,#REF!,IF('INHERENT MAP'!$B$5=2023,#REF!,IF('INHERENT MAP'!$B$5=2024,#REF!,#REF!))))</f>
        <v>0</v>
      </c>
      <c r="L365">
        <f>IF('INHERENT MAP'!$B$5=2021,'РЕЕСТР РИСКОВ_2023'!P405,IF('INHERENT MAP'!$B$5=2022,#REF!,IF('INHERENT MAP'!$B$5=2023,#REF!,IF('INHERENT MAP'!$B$5=2024,#REF!,#REF!))))</f>
        <v>0</v>
      </c>
      <c r="M365" t="str">
        <f>IF('INHERENT MAP'!$B$5=2021,IF('РЕЕСТР РИСКОВ_2023'!Q405="",M364,'РЕЕСТР РИСКОВ_2023'!Q405),IF('INHERENT MAP'!$B$5=2022,IF(#REF!="",M364,#REF!),IF('INHERENT MAP'!$B$5=2023,IF(#REF!="",M364,#REF!),IF('INHERENT MAP'!$B$5=2024,IF(#REF!="",M364,#REF!),IF('РЕЕСТР РИСКОВ_2023'!Q405="",M364,'РЕЕСТР РИСКОВ_2023'!Q405)))))</f>
        <v>Увеличение базовой ставки Национального банка Республики Казахстан до 16%</v>
      </c>
      <c r="N365" t="str">
        <f>IF('INHERENT MAP'!$B$5=2021,IF('РЕЕСТР РИСКОВ_2023'!R405="",N364,'РЕЕСТР РИСКОВ_2023'!R405),IF('INHERENT MAP'!$B$5=2022,IF(#REF!="",N364,#REF!),IF('INHERENT MAP'!$B$5=2023,IF(#REF!="",N364,#REF!),IF('INHERENT MAP'!$B$5=2024,IF(#REF!="",N364,#REF!),IF('РЕЕСТР РИСКОВ_2023'!R405="",N364,'РЕЕСТР РИСКОВ_2023'!R405)))))</f>
        <v>Рецессия экономики европейских стран</v>
      </c>
      <c r="O365">
        <f>'РЕЕСТР РИСКОВ_2023'!T405</f>
        <v>0</v>
      </c>
      <c r="P365" t="e">
        <f>IF('РЕЕСТР РИСКОВ_2023'!U405="",P364,'РЕЕСТР РИСКОВ_2023'!U405)</f>
        <v>#REF!</v>
      </c>
      <c r="Q365" t="str">
        <f>IF('РЕЕСТР РИСКОВ_2023'!V405="",Q364,'РЕЕСТР РИСКОВ_2023'!V405)</f>
        <v>Угрозы</v>
      </c>
      <c r="R365" t="e">
        <f>IF('РЕЕСТР РИСКОВ_2023'!W405="",R364,'РЕЕСТР РИСКОВ_2023'!W405)</f>
        <v>#REF!</v>
      </c>
      <c r="S365">
        <f>'РЕЕСТР РИСКОВ_2023'!X405</f>
        <v>0</v>
      </c>
      <c r="T365" s="94">
        <f>IF('INHERENT MAP'!$B$5=2021,'РЕЕСТР РИСКОВ_2023'!Y405,IF('INHERENT MAP'!$B$5=2022,#REF!,IF('INHERENT MAP'!$B$5=2023,#REF!,IF('INHERENT MAP'!$B$5=2024,#REF!,#REF!))))</f>
        <v>0</v>
      </c>
      <c r="U365">
        <f>IF('INHERENT MAP'!$B$5=2021,'РЕЕСТР РИСКОВ_2023'!Z405,IF('INHERENT MAP'!$B$5=2022,#REF!,IF('INHERENT MAP'!$B$5=2023,#REF!,IF('INHERENT MAP'!$B$5=2024,#REF!,#REF!))))</f>
        <v>0</v>
      </c>
      <c r="V365">
        <f>IF('INHERENT MAP'!$B$5=2021,'РЕЕСТР РИСКОВ_2023'!AA405,IF('INHERENT MAP'!$B$5=2022,#REF!,IF('INHERENT MAP'!$B$5=2023,#REF!,IF('INHERENT MAP'!$B$5=2024,#REF!,#REF!))))</f>
        <v>0</v>
      </c>
      <c r="W365">
        <f>IF('INHERENT MAP'!$B$5=2021,'РЕЕСТР РИСКОВ_2023'!AB405,IF('INHERENT MAP'!$B$5=2022,#REF!,IF('INHERENT MAP'!$B$5=2023,#REF!,IF('INHERENT MAP'!$B$5=2024,#REF!,#REF!))))</f>
        <v>0</v>
      </c>
      <c r="X365" s="94">
        <f>IF('INHERENT MAP'!$B$5=2021,'РЕЕСТР РИСКОВ_2023'!AC405,IF('INHERENT MAP'!$B$5=2022,#REF!,IF('INHERENT MAP'!$B$5=2023,#REF!,IF('INHERENT MAP'!$B$5=2024,#REF!,#REF!))))</f>
        <v>0</v>
      </c>
      <c r="Y365">
        <f>IF('INHERENT MAP'!$B$5=2021,'РЕЕСТР РИСКОВ_2023'!AD405,IF('INHERENT MAP'!$B$5=2022,#REF!,IF('INHERENT MAP'!$B$5=2023,#REF!,IF('INHERENT MAP'!$B$5=2024,#REF!,#REF!))))</f>
        <v>0</v>
      </c>
      <c r="Z365">
        <f>IF('INHERENT MAP'!$B$5=2021,'РЕЕСТР РИСКОВ_2023'!AE405,IF('INHERENT MAP'!$B$5=2022,#REF!,IF('INHERENT MAP'!$B$5=2023,#REF!,IF('INHERENT MAP'!$B$5=2024,#REF!,#REF!))))</f>
        <v>0</v>
      </c>
      <c r="AA365">
        <f>IF('INHERENT MAP'!$B$5=2021,'РЕЕСТР РИСКОВ_2023'!AF405,IF('INHERENT MAP'!$B$5=2022,#REF!,IF('INHERENT MAP'!$B$5=2023,#REF!,IF('INHERENT MAP'!$B$5=2024,#REF!,#REF!))))</f>
        <v>0</v>
      </c>
      <c r="AB365">
        <f>IF('INHERENT MAP'!$B$5=2021,'РЕЕСТР РИСКОВ_2023'!AG405,IF('INHERENT MAP'!$B$5=2022,#REF!,IF('INHERENT MAP'!$B$5=2023,#REF!,IF('INHERENT MAP'!$B$5=2024,#REF!,#REF!))))</f>
        <v>0</v>
      </c>
      <c r="AC365">
        <f>IF('INHERENT MAP'!$B$5=2021,'РЕЕСТР РИСКОВ_2023'!AH405,IF('INHERENT MAP'!$B$5=2022,#REF!,IF('INHERENT MAP'!$B$5=2023,#REF!,IF('INHERENT MAP'!$B$5=2024,#REF!,#REF!))))</f>
        <v>0</v>
      </c>
      <c r="AD365">
        <f>IF('INHERENT MAP'!$B$5=2021,'РЕЕСТР РИСКОВ_2023'!AI405,IF('INHERENT MAP'!$B$5=2022,#REF!,IF('INHERENT MAP'!$B$5=2023,#REF!,IF('INHERENT MAP'!$B$5=2024,#REF!,#REF!))))</f>
        <v>0</v>
      </c>
      <c r="AE365">
        <f>IF('INHERENT MAP'!$B$5=2021,'РЕЕСТР РИСКОВ_2023'!AK405,IF('INHERENT MAP'!$B$5=2022,#REF!,IF('INHERENT MAP'!$B$5=2023,#REF!,IF('INHERENT MAP'!$B$5=2024,#REF!,#REF!))))</f>
        <v>0</v>
      </c>
      <c r="AF365">
        <f>IF('INHERENT MAP'!$B$5=2021,'РЕЕСТР РИСКОВ_2023'!AL405,IF('INHERENT MAP'!$B$5=2022,#REF!,IF('INHERENT MAP'!$B$5=2023,#REF!,IF('INHERENT MAP'!$B$5=2024,#REF!,#REF!))))</f>
        <v>0</v>
      </c>
      <c r="AG365">
        <f>IF('INHERENT MAP'!$B$5=2021,'РЕЕСТР РИСКОВ_2023'!AM405,IF('INHERENT MAP'!$B$5=2022,#REF!,IF('INHERENT MAP'!$B$5=2023,#REF!,IF('INHERENT MAP'!$B$5=2024,#REF!,#REF!))))</f>
        <v>0</v>
      </c>
      <c r="AH365">
        <f>IF('INHERENT MAP'!$B$5=2021,'РЕЕСТР РИСКОВ_2023'!AN405,IF('INHERENT MAP'!$B$5=2022,#REF!,IF('INHERENT MAP'!$B$5=2023,#REF!,IF('INHERENT MAP'!$B$5=2024,#REF!,#REF!))))</f>
        <v>0</v>
      </c>
      <c r="AI365">
        <f>IF('INHERENT MAP'!$B$5=2021,'РЕЕСТР РИСКОВ_2023'!AO405,IF('INHERENT MAP'!$B$5=2022,#REF!,IF('INHERENT MAP'!$B$5=2023,#REF!,IF('INHERENT MAP'!$B$5=2024,#REF!,#REF!))))</f>
        <v>0</v>
      </c>
      <c r="AJ365">
        <f>IF('INHERENT MAP'!$B$5=2021,'РЕЕСТР РИСКОВ_2023'!AP405,IF('INHERENT MAP'!$B$5=2022,#REF!,IF('INHERENT MAP'!$B$5=2023,#REF!,IF('INHERENT MAP'!$B$5=2024,#REF!,#REF!))))</f>
        <v>0</v>
      </c>
      <c r="AK365">
        <f>IF('РЕЕСТР РИСКОВ_2023'!AQ405="",AK364,'РЕЕСТР РИСКОВ_2023'!AQ405)</f>
        <v>-216</v>
      </c>
      <c r="AL365">
        <f>IF('РЕЕСТР РИСКОВ_2023'!AR405="",AL364,'РЕЕСТР РИСКОВ_2023'!AR405)</f>
        <v>0.12</v>
      </c>
      <c r="AM365" t="str">
        <f>IF('РЕЕСТР РИСКОВ_2023'!AS405="",AM364,'РЕЕСТР РИСКОВ_2023'!AS405)</f>
        <v>стоп</v>
      </c>
      <c r="AN365" t="str">
        <f>IF('РЕЕСТР РИСКОВ_2023'!AT405="",AN364,'РЕЕСТР РИСКОВ_2023'!AT405)</f>
        <v>стоп</v>
      </c>
      <c r="AO365" t="e">
        <f>IF('РЕЕСТР РИСКОВ_2023'!AU405="",AO364,'РЕЕСТР РИСКОВ_2023'!AU405)</f>
        <v>#REF!</v>
      </c>
    </row>
    <row r="366" spans="2:41">
      <c r="B366" t="str">
        <f>IF('INHERENT MAP'!$B$5=2021,IF('РЕЕСТР РИСКОВ_2023'!F406="",B365,'РЕЕСТР РИСКОВ_2023'!F406),IF('INHERENT MAP'!$B$5=2022,IF(#REF!="",B365,#REF!),IF('INHERENT MAP'!$B$5=2023,IF(#REF!="",B365,#REF!),IF('INHERENT MAP'!$B$5=2024,IF(#REF!="",B365,#REF!),IF('РЕЕСТР РИСКОВ_2023'!F406="",B365,'РЕЕСТР РИСКОВ_2023'!F406)))))</f>
        <v>ПРОЦЕНТНЫЙ РИСК</v>
      </c>
      <c r="C366" t="e">
        <f>IF('INHERENT MAP'!$B$5=2021,IF('РЕЕСТР РИСКОВ_2023'!G406="",C365,'РЕЕСТР РИСКОВ_2023'!G406),IF('INHERENT MAP'!$B$5=2022,IF(#REF!="",C365,#REF!),IF('INHERENT MAP'!$B$5=2023,IF(#REF!="",C365,#REF!),IF('INHERENT MAP'!$B$5=2024,IF(#REF!="",C365,#REF!),IF('РЕЕСТР РИСКОВ_2023'!G406="",C365,'РЕЕСТР РИСКОВ_2023'!G406)))))</f>
        <v>#REF!</v>
      </c>
      <c r="D366" t="str">
        <f>IF('INHERENT MAP'!$B$5=2021,IF('РЕЕСТР РИСКОВ_2023'!H406="",D365,'РЕЕСТР РИСКОВ_2023'!H406),IF('INHERENT MAP'!$B$5=2022,IF(#REF!="",D365,#REF!),IF('INHERENT MAP'!$B$5=2023,IF(#REF!="",D365,#REF!),IF('INHERENT MAP'!$B$5=2024,IF(#REF!="",D365,#REF!),IF('РЕЕСТР РИСКОВ_2023'!H406="",D365,'РЕЕСТР РИСКОВ_2023'!H406)))))</f>
        <v>IRR-1</v>
      </c>
      <c r="E366" t="str">
        <f>IF('INHERENT MAP'!$B$5=2021,IF('РЕЕСТР РИСКОВ_2023'!I406="",E365,'РЕЕСТР РИСКОВ_2023'!I406),IF('INHERENT MAP'!$B$5=2022,IF(#REF!="",E365,#REF!),IF('INHERENT MAP'!$B$5=2023,IF(#REF!="",E365,#REF!),IF('INHERENT MAP'!$B$5=2024,IF(#REF!="",E365,#REF!),IF('РЕЕСТР РИСКОВ_2023'!I406="",E365,'РЕЕСТР РИСКОВ_2023'!I406)))))</f>
        <v>ЦЗФ</v>
      </c>
      <c r="F366" t="str">
        <f>IF('INHERENT MAP'!$B$5=2021,IF('РЕЕСТР РИСКОВ_2023'!J406="",F365,'РЕЕСТР РИСКОВ_2023'!J406),IF('INHERENT MAP'!$B$5=2022,IF(#REF!="",F365,#REF!),IF('INHERENT MAP'!$B$5=2023,IF(#REF!="",F365,#REF!),IF('INHERENT MAP'!$B$5=2024,IF(#REF!="",F365,#REF!),IF('РЕЕСТР РИСКОВ_2023'!J406="",F365,'РЕЕСТР РИСКОВ_2023'!J406)))))</f>
        <v>Цзайм</v>
      </c>
      <c r="G366" t="str">
        <f>IF('INHERENT MAP'!$B$5=2021,IF('РЕЕСТР РИСКОВ_2023'!K406="",G365,'РЕЕСТР РИСКОВ_2023'!K406),IF('INHERENT MAP'!$B$5=2022,IF(#REF!="",G365,#REF!),IF('INHERENT MAP'!$B$5=2023,IF(#REF!="",G365,#REF!),IF('INHERENT MAP'!$B$5=2024,IF(#REF!="",G365,#REF!),IF('РЕЕСТР РИСКОВ_2023'!K406="",G365,'РЕЕСТР РИСКОВ_2023'!K406)))))</f>
        <v>Увеличение расходов по процентам на новые займы, а также текущие займы (с плавающей ставкой) в тенге.</v>
      </c>
      <c r="H366">
        <f>IF('INHERENT MAP'!$B$5=2021,'РЕЕСТР РИСКОВ_2023'!L406,IF('INHERENT MAP'!$B$5=2022,#REF!,IF('INHERENT MAP'!$B$5=2023,#REF!,IF('INHERENT MAP'!$B$5=2024,#REF!,#REF!))))</f>
        <v>0</v>
      </c>
      <c r="I366">
        <f>IF('INHERENT MAP'!$B$5=2021,'РЕЕСТР РИСКОВ_2023'!M406,IF('INHERENT MAP'!$B$5=2022,#REF!,IF('INHERENT MAP'!$B$5=2023,#REF!,IF('INHERENT MAP'!$B$5=2024,#REF!,#REF!))))</f>
        <v>0</v>
      </c>
      <c r="J366">
        <f>IF('INHERENT MAP'!$B$5=2021,'РЕЕСТР РИСКОВ_2023'!N406,IF('INHERENT MAP'!$B$5=2022,#REF!,IF('INHERENT MAP'!$B$5=2023,#REF!,IF('INHERENT MAP'!$B$5=2024,#REF!,#REF!))))</f>
        <v>0</v>
      </c>
      <c r="K366">
        <f>IF('INHERENT MAP'!$B$5=2021,'РЕЕСТР РИСКОВ_2023'!O406,IF('INHERENT MAP'!$B$5=2022,#REF!,IF('INHERENT MAP'!$B$5=2023,#REF!,IF('INHERENT MAP'!$B$5=2024,#REF!,#REF!))))</f>
        <v>0</v>
      </c>
      <c r="L366">
        <f>IF('INHERENT MAP'!$B$5=2021,'РЕЕСТР РИСКОВ_2023'!P406,IF('INHERENT MAP'!$B$5=2022,#REF!,IF('INHERENT MAP'!$B$5=2023,#REF!,IF('INHERENT MAP'!$B$5=2024,#REF!,#REF!))))</f>
        <v>0</v>
      </c>
      <c r="M366" t="str">
        <f>IF('INHERENT MAP'!$B$5=2021,IF('РЕЕСТР РИСКОВ_2023'!Q406="",M365,'РЕЕСТР РИСКОВ_2023'!Q406),IF('INHERENT MAP'!$B$5=2022,IF(#REF!="",M365,#REF!),IF('INHERENT MAP'!$B$5=2023,IF(#REF!="",M365,#REF!),IF('INHERENT MAP'!$B$5=2024,IF(#REF!="",M365,#REF!),IF('РЕЕСТР РИСКОВ_2023'!Q406="",M365,'РЕЕСТР РИСКОВ_2023'!Q406)))))</f>
        <v>Увеличение базовой ставки Национального банка Республики Казахстан до 16%</v>
      </c>
      <c r="N366" t="str">
        <f>IF('INHERENT MAP'!$B$5=2021,IF('РЕЕСТР РИСКОВ_2023'!R406="",N365,'РЕЕСТР РИСКОВ_2023'!R406),IF('INHERENT MAP'!$B$5=2022,IF(#REF!="",N365,#REF!),IF('INHERENT MAP'!$B$5=2023,IF(#REF!="",N365,#REF!),IF('INHERENT MAP'!$B$5=2024,IF(#REF!="",N365,#REF!),IF('РЕЕСТР РИСКОВ_2023'!R406="",N365,'РЕЕСТР РИСКОВ_2023'!R406)))))</f>
        <v>Рецессия экономики европейских стран</v>
      </c>
      <c r="O366">
        <f>'РЕЕСТР РИСКОВ_2023'!T406</f>
        <v>0</v>
      </c>
      <c r="P366" t="e">
        <f>IF('РЕЕСТР РИСКОВ_2023'!U406="",P365,'РЕЕСТР РИСКОВ_2023'!U406)</f>
        <v>#REF!</v>
      </c>
      <c r="Q366" t="str">
        <f>IF('РЕЕСТР РИСКОВ_2023'!V406="",Q365,'РЕЕСТР РИСКОВ_2023'!V406)</f>
        <v>Угрозы</v>
      </c>
      <c r="R366" t="e">
        <f>IF('РЕЕСТР РИСКОВ_2023'!W406="",R365,'РЕЕСТР РИСКОВ_2023'!W406)</f>
        <v>#REF!</v>
      </c>
      <c r="S366">
        <f>'РЕЕСТР РИСКОВ_2023'!X406</f>
        <v>0</v>
      </c>
      <c r="T366" s="94">
        <f>IF('INHERENT MAP'!$B$5=2021,'РЕЕСТР РИСКОВ_2023'!Y406,IF('INHERENT MAP'!$B$5=2022,#REF!,IF('INHERENT MAP'!$B$5=2023,#REF!,IF('INHERENT MAP'!$B$5=2024,#REF!,#REF!))))</f>
        <v>0</v>
      </c>
      <c r="U366">
        <f>IF('INHERENT MAP'!$B$5=2021,'РЕЕСТР РИСКОВ_2023'!Z406,IF('INHERENT MAP'!$B$5=2022,#REF!,IF('INHERENT MAP'!$B$5=2023,#REF!,IF('INHERENT MAP'!$B$5=2024,#REF!,#REF!))))</f>
        <v>0</v>
      </c>
      <c r="V366">
        <f>IF('INHERENT MAP'!$B$5=2021,'РЕЕСТР РИСКОВ_2023'!AA406,IF('INHERENT MAP'!$B$5=2022,#REF!,IF('INHERENT MAP'!$B$5=2023,#REF!,IF('INHERENT MAP'!$B$5=2024,#REF!,#REF!))))</f>
        <v>0</v>
      </c>
      <c r="W366">
        <f>IF('INHERENT MAP'!$B$5=2021,'РЕЕСТР РИСКОВ_2023'!AB406,IF('INHERENT MAP'!$B$5=2022,#REF!,IF('INHERENT MAP'!$B$5=2023,#REF!,IF('INHERENT MAP'!$B$5=2024,#REF!,#REF!))))</f>
        <v>0</v>
      </c>
      <c r="X366" s="94">
        <f>IF('INHERENT MAP'!$B$5=2021,'РЕЕСТР РИСКОВ_2023'!AC406,IF('INHERENT MAP'!$B$5=2022,#REF!,IF('INHERENT MAP'!$B$5=2023,#REF!,IF('INHERENT MAP'!$B$5=2024,#REF!,#REF!))))</f>
        <v>0</v>
      </c>
      <c r="Y366">
        <f>IF('INHERENT MAP'!$B$5=2021,'РЕЕСТР РИСКОВ_2023'!AD406,IF('INHERENT MAP'!$B$5=2022,#REF!,IF('INHERENT MAP'!$B$5=2023,#REF!,IF('INHERENT MAP'!$B$5=2024,#REF!,#REF!))))</f>
        <v>0</v>
      </c>
      <c r="Z366">
        <f>IF('INHERENT MAP'!$B$5=2021,'РЕЕСТР РИСКОВ_2023'!AE406,IF('INHERENT MAP'!$B$5=2022,#REF!,IF('INHERENT MAP'!$B$5=2023,#REF!,IF('INHERENT MAP'!$B$5=2024,#REF!,#REF!))))</f>
        <v>0</v>
      </c>
      <c r="AA366">
        <f>IF('INHERENT MAP'!$B$5=2021,'РЕЕСТР РИСКОВ_2023'!AF406,IF('INHERENT MAP'!$B$5=2022,#REF!,IF('INHERENT MAP'!$B$5=2023,#REF!,IF('INHERENT MAP'!$B$5=2024,#REF!,#REF!))))</f>
        <v>0</v>
      </c>
      <c r="AB366">
        <f>IF('INHERENT MAP'!$B$5=2021,'РЕЕСТР РИСКОВ_2023'!AG406,IF('INHERENT MAP'!$B$5=2022,#REF!,IF('INHERENT MAP'!$B$5=2023,#REF!,IF('INHERENT MAP'!$B$5=2024,#REF!,#REF!))))</f>
        <v>0</v>
      </c>
      <c r="AC366">
        <f>IF('INHERENT MAP'!$B$5=2021,'РЕЕСТР РИСКОВ_2023'!AH406,IF('INHERENT MAP'!$B$5=2022,#REF!,IF('INHERENT MAP'!$B$5=2023,#REF!,IF('INHERENT MAP'!$B$5=2024,#REF!,#REF!))))</f>
        <v>0</v>
      </c>
      <c r="AD366">
        <f>IF('INHERENT MAP'!$B$5=2021,'РЕЕСТР РИСКОВ_2023'!AI406,IF('INHERENT MAP'!$B$5=2022,#REF!,IF('INHERENT MAP'!$B$5=2023,#REF!,IF('INHERENT MAP'!$B$5=2024,#REF!,#REF!))))</f>
        <v>0</v>
      </c>
      <c r="AE366">
        <f>IF('INHERENT MAP'!$B$5=2021,'РЕЕСТР РИСКОВ_2023'!AK406,IF('INHERENT MAP'!$B$5=2022,#REF!,IF('INHERENT MAP'!$B$5=2023,#REF!,IF('INHERENT MAP'!$B$5=2024,#REF!,#REF!))))</f>
        <v>0</v>
      </c>
      <c r="AF366">
        <f>IF('INHERENT MAP'!$B$5=2021,'РЕЕСТР РИСКОВ_2023'!AL406,IF('INHERENT MAP'!$B$5=2022,#REF!,IF('INHERENT MAP'!$B$5=2023,#REF!,IF('INHERENT MAP'!$B$5=2024,#REF!,#REF!))))</f>
        <v>0</v>
      </c>
      <c r="AG366">
        <f>IF('INHERENT MAP'!$B$5=2021,'РЕЕСТР РИСКОВ_2023'!AM406,IF('INHERENT MAP'!$B$5=2022,#REF!,IF('INHERENT MAP'!$B$5=2023,#REF!,IF('INHERENT MAP'!$B$5=2024,#REF!,#REF!))))</f>
        <v>0</v>
      </c>
      <c r="AH366">
        <f>IF('INHERENT MAP'!$B$5=2021,'РЕЕСТР РИСКОВ_2023'!AN406,IF('INHERENT MAP'!$B$5=2022,#REF!,IF('INHERENT MAP'!$B$5=2023,#REF!,IF('INHERENT MAP'!$B$5=2024,#REF!,#REF!))))</f>
        <v>0</v>
      </c>
      <c r="AI366">
        <f>IF('INHERENT MAP'!$B$5=2021,'РЕЕСТР РИСКОВ_2023'!AO406,IF('INHERENT MAP'!$B$5=2022,#REF!,IF('INHERENT MAP'!$B$5=2023,#REF!,IF('INHERENT MAP'!$B$5=2024,#REF!,#REF!))))</f>
        <v>0</v>
      </c>
      <c r="AJ366">
        <f>IF('INHERENT MAP'!$B$5=2021,'РЕЕСТР РИСКОВ_2023'!AP406,IF('INHERENT MAP'!$B$5=2022,#REF!,IF('INHERENT MAP'!$B$5=2023,#REF!,IF('INHERENT MAP'!$B$5=2024,#REF!,#REF!))))</f>
        <v>0</v>
      </c>
      <c r="AK366">
        <f>IF('РЕЕСТР РИСКОВ_2023'!AQ406="",AK365,'РЕЕСТР РИСКОВ_2023'!AQ406)</f>
        <v>-216</v>
      </c>
      <c r="AL366">
        <f>IF('РЕЕСТР РИСКОВ_2023'!AR406="",AL365,'РЕЕСТР РИСКОВ_2023'!AR406)</f>
        <v>0.12</v>
      </c>
      <c r="AM366" t="str">
        <f>IF('РЕЕСТР РИСКОВ_2023'!AS406="",AM365,'РЕЕСТР РИСКОВ_2023'!AS406)</f>
        <v>стоп</v>
      </c>
      <c r="AN366" t="str">
        <f>IF('РЕЕСТР РИСКОВ_2023'!AT406="",AN365,'РЕЕСТР РИСКОВ_2023'!AT406)</f>
        <v>стоп</v>
      </c>
      <c r="AO366" t="e">
        <f>IF('РЕЕСТР РИСКОВ_2023'!AU406="",AO365,'РЕЕСТР РИСКОВ_2023'!AU406)</f>
        <v>#REF!</v>
      </c>
    </row>
    <row r="367" spans="2:41">
      <c r="B367" t="str">
        <f>IF('INHERENT MAP'!$B$5=2021,IF('РЕЕСТР РИСКОВ_2023'!F407="",B366,'РЕЕСТР РИСКОВ_2023'!F407),IF('INHERENT MAP'!$B$5=2022,IF(#REF!="",B366,#REF!),IF('INHERENT MAP'!$B$5=2023,IF(#REF!="",B366,#REF!),IF('INHERENT MAP'!$B$5=2024,IF(#REF!="",B366,#REF!),IF('РЕЕСТР РИСКОВ_2023'!F407="",B366,'РЕЕСТР РИСКОВ_2023'!F407)))))</f>
        <v>ПРОЦЕНТНЫЙ РИСК</v>
      </c>
      <c r="C367" t="e">
        <f>IF('INHERENT MAP'!$B$5=2021,IF('РЕЕСТР РИСКОВ_2023'!G407="",C366,'РЕЕСТР РИСКОВ_2023'!G407),IF('INHERENT MAP'!$B$5=2022,IF(#REF!="",C366,#REF!),IF('INHERENT MAP'!$B$5=2023,IF(#REF!="",C366,#REF!),IF('INHERENT MAP'!$B$5=2024,IF(#REF!="",C366,#REF!),IF('РЕЕСТР РИСКОВ_2023'!G407="",C366,'РЕЕСТР РИСКОВ_2023'!G407)))))</f>
        <v>#REF!</v>
      </c>
      <c r="D367" t="str">
        <f>IF('INHERENT MAP'!$B$5=2021,IF('РЕЕСТР РИСКОВ_2023'!H407="",D366,'РЕЕСТР РИСКОВ_2023'!H407),IF('INHERENT MAP'!$B$5=2022,IF(#REF!="",D366,#REF!),IF('INHERENT MAP'!$B$5=2023,IF(#REF!="",D366,#REF!),IF('INHERENT MAP'!$B$5=2024,IF(#REF!="",D366,#REF!),IF('РЕЕСТР РИСКОВ_2023'!H407="",D366,'РЕЕСТР РИСКОВ_2023'!H407)))))</f>
        <v>IRR-1</v>
      </c>
      <c r="E367" t="str">
        <f>IF('INHERENT MAP'!$B$5=2021,IF('РЕЕСТР РИСКОВ_2023'!I407="",E366,'РЕЕСТР РИСКОВ_2023'!I407),IF('INHERENT MAP'!$B$5=2022,IF(#REF!="",E366,#REF!),IF('INHERENT MAP'!$B$5=2023,IF(#REF!="",E366,#REF!),IF('INHERENT MAP'!$B$5=2024,IF(#REF!="",E366,#REF!),IF('РЕЕСТР РИСКОВ_2023'!I407="",E366,'РЕЕСТР РИСКОВ_2023'!I407)))))</f>
        <v>ЦЗФ</v>
      </c>
      <c r="F367" t="str">
        <f>IF('INHERENT MAP'!$B$5=2021,IF('РЕЕСТР РИСКОВ_2023'!J407="",F366,'РЕЕСТР РИСКОВ_2023'!J407),IF('INHERENT MAP'!$B$5=2022,IF(#REF!="",F366,#REF!),IF('INHERENT MAP'!$B$5=2023,IF(#REF!="",F366,#REF!),IF('INHERENT MAP'!$B$5=2024,IF(#REF!="",F366,#REF!),IF('РЕЕСТР РИСКОВ_2023'!J407="",F366,'РЕЕСТР РИСКОВ_2023'!J407)))))</f>
        <v>Цзайм</v>
      </c>
      <c r="G367" t="str">
        <f>IF('INHERENT MAP'!$B$5=2021,IF('РЕЕСТР РИСКОВ_2023'!K407="",G366,'РЕЕСТР РИСКОВ_2023'!K407),IF('INHERENT MAP'!$B$5=2022,IF(#REF!="",G366,#REF!),IF('INHERENT MAP'!$B$5=2023,IF(#REF!="",G366,#REF!),IF('INHERENT MAP'!$B$5=2024,IF(#REF!="",G366,#REF!),IF('РЕЕСТР РИСКОВ_2023'!K407="",G366,'РЕЕСТР РИСКОВ_2023'!K407)))))</f>
        <v>Увеличение расходов по процентам на новые займы, а также текущие займы (с плавающей ставкой) в тенге.</v>
      </c>
      <c r="H367">
        <f>IF('INHERENT MAP'!$B$5=2021,'РЕЕСТР РИСКОВ_2023'!L407,IF('INHERENT MAP'!$B$5=2022,#REF!,IF('INHERENT MAP'!$B$5=2023,#REF!,IF('INHERENT MAP'!$B$5=2024,#REF!,#REF!))))</f>
        <v>0</v>
      </c>
      <c r="I367">
        <f>IF('INHERENT MAP'!$B$5=2021,'РЕЕСТР РИСКОВ_2023'!M407,IF('INHERENT MAP'!$B$5=2022,#REF!,IF('INHERENT MAP'!$B$5=2023,#REF!,IF('INHERENT MAP'!$B$5=2024,#REF!,#REF!))))</f>
        <v>0</v>
      </c>
      <c r="J367">
        <f>IF('INHERENT MAP'!$B$5=2021,'РЕЕСТР РИСКОВ_2023'!N407,IF('INHERENT MAP'!$B$5=2022,#REF!,IF('INHERENT MAP'!$B$5=2023,#REF!,IF('INHERENT MAP'!$B$5=2024,#REF!,#REF!))))</f>
        <v>0</v>
      </c>
      <c r="K367">
        <f>IF('INHERENT MAP'!$B$5=2021,'РЕЕСТР РИСКОВ_2023'!O407,IF('INHERENT MAP'!$B$5=2022,#REF!,IF('INHERENT MAP'!$B$5=2023,#REF!,IF('INHERENT MAP'!$B$5=2024,#REF!,#REF!))))</f>
        <v>0</v>
      </c>
      <c r="L367">
        <f>IF('INHERENT MAP'!$B$5=2021,'РЕЕСТР РИСКОВ_2023'!P407,IF('INHERENT MAP'!$B$5=2022,#REF!,IF('INHERENT MAP'!$B$5=2023,#REF!,IF('INHERENT MAP'!$B$5=2024,#REF!,#REF!))))</f>
        <v>0</v>
      </c>
      <c r="M367" t="str">
        <f>IF('INHERENT MAP'!$B$5=2021,IF('РЕЕСТР РИСКОВ_2023'!Q407="",M366,'РЕЕСТР РИСКОВ_2023'!Q407),IF('INHERENT MAP'!$B$5=2022,IF(#REF!="",M366,#REF!),IF('INHERENT MAP'!$B$5=2023,IF(#REF!="",M366,#REF!),IF('INHERENT MAP'!$B$5=2024,IF(#REF!="",M366,#REF!),IF('РЕЕСТР РИСКОВ_2023'!Q407="",M366,'РЕЕСТР РИСКОВ_2023'!Q407)))))</f>
        <v>Увеличение базовой ставки Национального банка Республики Казахстан до 16%</v>
      </c>
      <c r="N367" t="str">
        <f>IF('INHERENT MAP'!$B$5=2021,IF('РЕЕСТР РИСКОВ_2023'!R407="",N366,'РЕЕСТР РИСКОВ_2023'!R407),IF('INHERENT MAP'!$B$5=2022,IF(#REF!="",N366,#REF!),IF('INHERENT MAP'!$B$5=2023,IF(#REF!="",N366,#REF!),IF('INHERENT MAP'!$B$5=2024,IF(#REF!="",N366,#REF!),IF('РЕЕСТР РИСКОВ_2023'!R407="",N366,'РЕЕСТР РИСКОВ_2023'!R407)))))</f>
        <v>Рецессия экономики европейских стран</v>
      </c>
      <c r="O367">
        <f>'РЕЕСТР РИСКОВ_2023'!T407</f>
        <v>0</v>
      </c>
      <c r="P367" t="e">
        <f>IF('РЕЕСТР РИСКОВ_2023'!U407="",P366,'РЕЕСТР РИСКОВ_2023'!U407)</f>
        <v>#REF!</v>
      </c>
      <c r="Q367" t="str">
        <f>IF('РЕЕСТР РИСКОВ_2023'!V407="",Q366,'РЕЕСТР РИСКОВ_2023'!V407)</f>
        <v>Угрозы</v>
      </c>
      <c r="R367" t="e">
        <f>IF('РЕЕСТР РИСКОВ_2023'!W407="",R366,'РЕЕСТР РИСКОВ_2023'!W407)</f>
        <v>#REF!</v>
      </c>
      <c r="S367">
        <f>'РЕЕСТР РИСКОВ_2023'!X407</f>
        <v>0</v>
      </c>
      <c r="T367" s="94">
        <f>IF('INHERENT MAP'!$B$5=2021,'РЕЕСТР РИСКОВ_2023'!Y407,IF('INHERENT MAP'!$B$5=2022,#REF!,IF('INHERENT MAP'!$B$5=2023,#REF!,IF('INHERENT MAP'!$B$5=2024,#REF!,#REF!))))</f>
        <v>0</v>
      </c>
      <c r="U367">
        <f>IF('INHERENT MAP'!$B$5=2021,'РЕЕСТР РИСКОВ_2023'!Z407,IF('INHERENT MAP'!$B$5=2022,#REF!,IF('INHERENT MAP'!$B$5=2023,#REF!,IF('INHERENT MAP'!$B$5=2024,#REF!,#REF!))))</f>
        <v>0</v>
      </c>
      <c r="V367">
        <f>IF('INHERENT MAP'!$B$5=2021,'РЕЕСТР РИСКОВ_2023'!AA407,IF('INHERENT MAP'!$B$5=2022,#REF!,IF('INHERENT MAP'!$B$5=2023,#REF!,IF('INHERENT MAP'!$B$5=2024,#REF!,#REF!))))</f>
        <v>0</v>
      </c>
      <c r="W367">
        <f>IF('INHERENT MAP'!$B$5=2021,'РЕЕСТР РИСКОВ_2023'!AB407,IF('INHERENT MAP'!$B$5=2022,#REF!,IF('INHERENT MAP'!$B$5=2023,#REF!,IF('INHERENT MAP'!$B$5=2024,#REF!,#REF!))))</f>
        <v>0</v>
      </c>
      <c r="X367" s="94">
        <f>IF('INHERENT MAP'!$B$5=2021,'РЕЕСТР РИСКОВ_2023'!AC407,IF('INHERENT MAP'!$B$5=2022,#REF!,IF('INHERENT MAP'!$B$5=2023,#REF!,IF('INHERENT MAP'!$B$5=2024,#REF!,#REF!))))</f>
        <v>0</v>
      </c>
      <c r="Y367">
        <f>IF('INHERENT MAP'!$B$5=2021,'РЕЕСТР РИСКОВ_2023'!AD407,IF('INHERENT MAP'!$B$5=2022,#REF!,IF('INHERENT MAP'!$B$5=2023,#REF!,IF('INHERENT MAP'!$B$5=2024,#REF!,#REF!))))</f>
        <v>0</v>
      </c>
      <c r="Z367">
        <f>IF('INHERENT MAP'!$B$5=2021,'РЕЕСТР РИСКОВ_2023'!AE407,IF('INHERENT MAP'!$B$5=2022,#REF!,IF('INHERENT MAP'!$B$5=2023,#REF!,IF('INHERENT MAP'!$B$5=2024,#REF!,#REF!))))</f>
        <v>0</v>
      </c>
      <c r="AA367">
        <f>IF('INHERENT MAP'!$B$5=2021,'РЕЕСТР РИСКОВ_2023'!AF407,IF('INHERENT MAP'!$B$5=2022,#REF!,IF('INHERENT MAP'!$B$5=2023,#REF!,IF('INHERENT MAP'!$B$5=2024,#REF!,#REF!))))</f>
        <v>0</v>
      </c>
      <c r="AB367">
        <f>IF('INHERENT MAP'!$B$5=2021,'РЕЕСТР РИСКОВ_2023'!AG407,IF('INHERENT MAP'!$B$5=2022,#REF!,IF('INHERENT MAP'!$B$5=2023,#REF!,IF('INHERENT MAP'!$B$5=2024,#REF!,#REF!))))</f>
        <v>0</v>
      </c>
      <c r="AC367">
        <f>IF('INHERENT MAP'!$B$5=2021,'РЕЕСТР РИСКОВ_2023'!AH407,IF('INHERENT MAP'!$B$5=2022,#REF!,IF('INHERENT MAP'!$B$5=2023,#REF!,IF('INHERENT MAP'!$B$5=2024,#REF!,#REF!))))</f>
        <v>0</v>
      </c>
      <c r="AD367">
        <f>IF('INHERENT MAP'!$B$5=2021,'РЕЕСТР РИСКОВ_2023'!AI407,IF('INHERENT MAP'!$B$5=2022,#REF!,IF('INHERENT MAP'!$B$5=2023,#REF!,IF('INHERENT MAP'!$B$5=2024,#REF!,#REF!))))</f>
        <v>0</v>
      </c>
      <c r="AE367">
        <f>IF('INHERENT MAP'!$B$5=2021,'РЕЕСТР РИСКОВ_2023'!AK407,IF('INHERENT MAP'!$B$5=2022,#REF!,IF('INHERENT MAP'!$B$5=2023,#REF!,IF('INHERENT MAP'!$B$5=2024,#REF!,#REF!))))</f>
        <v>0</v>
      </c>
      <c r="AF367">
        <f>IF('INHERENT MAP'!$B$5=2021,'РЕЕСТР РИСКОВ_2023'!AL407,IF('INHERENT MAP'!$B$5=2022,#REF!,IF('INHERENT MAP'!$B$5=2023,#REF!,IF('INHERENT MAP'!$B$5=2024,#REF!,#REF!))))</f>
        <v>0</v>
      </c>
      <c r="AG367">
        <f>IF('INHERENT MAP'!$B$5=2021,'РЕЕСТР РИСКОВ_2023'!AM407,IF('INHERENT MAP'!$B$5=2022,#REF!,IF('INHERENT MAP'!$B$5=2023,#REF!,IF('INHERENT MAP'!$B$5=2024,#REF!,#REF!))))</f>
        <v>0</v>
      </c>
      <c r="AH367">
        <f>IF('INHERENT MAP'!$B$5=2021,'РЕЕСТР РИСКОВ_2023'!AN407,IF('INHERENT MAP'!$B$5=2022,#REF!,IF('INHERENT MAP'!$B$5=2023,#REF!,IF('INHERENT MAP'!$B$5=2024,#REF!,#REF!))))</f>
        <v>0</v>
      </c>
      <c r="AI367">
        <f>IF('INHERENT MAP'!$B$5=2021,'РЕЕСТР РИСКОВ_2023'!AO407,IF('INHERENT MAP'!$B$5=2022,#REF!,IF('INHERENT MAP'!$B$5=2023,#REF!,IF('INHERENT MAP'!$B$5=2024,#REF!,#REF!))))</f>
        <v>0</v>
      </c>
      <c r="AJ367">
        <f>IF('INHERENT MAP'!$B$5=2021,'РЕЕСТР РИСКОВ_2023'!AP407,IF('INHERENT MAP'!$B$5=2022,#REF!,IF('INHERENT MAP'!$B$5=2023,#REF!,IF('INHERENT MAP'!$B$5=2024,#REF!,#REF!))))</f>
        <v>0</v>
      </c>
      <c r="AK367">
        <f>IF('РЕЕСТР РИСКОВ_2023'!AQ407="",AK366,'РЕЕСТР РИСКОВ_2023'!AQ407)</f>
        <v>-216</v>
      </c>
      <c r="AL367">
        <f>IF('РЕЕСТР РИСКОВ_2023'!AR407="",AL366,'РЕЕСТР РИСКОВ_2023'!AR407)</f>
        <v>0.12</v>
      </c>
      <c r="AM367" t="str">
        <f>IF('РЕЕСТР РИСКОВ_2023'!AS407="",AM366,'РЕЕСТР РИСКОВ_2023'!AS407)</f>
        <v>стоп</v>
      </c>
      <c r="AN367" t="str">
        <f>IF('РЕЕСТР РИСКОВ_2023'!AT407="",AN366,'РЕЕСТР РИСКОВ_2023'!AT407)</f>
        <v>стоп</v>
      </c>
      <c r="AO367" t="e">
        <f>IF('РЕЕСТР РИСКОВ_2023'!AU407="",AO366,'РЕЕСТР РИСКОВ_2023'!AU407)</f>
        <v>#REF!</v>
      </c>
    </row>
    <row r="368" spans="2:41">
      <c r="B368" t="str">
        <f>IF('INHERENT MAP'!$B$5=2021,IF('РЕЕСТР РИСКОВ_2023'!F408="",B367,'РЕЕСТР РИСКОВ_2023'!F408),IF('INHERENT MAP'!$B$5=2022,IF(#REF!="",B367,#REF!),IF('INHERENT MAP'!$B$5=2023,IF(#REF!="",B367,#REF!),IF('INHERENT MAP'!$B$5=2024,IF(#REF!="",B367,#REF!),IF('РЕЕСТР РИСКОВ_2023'!F408="",B367,'РЕЕСТР РИСКОВ_2023'!F408)))))</f>
        <v>ПРОЦЕНТНЫЙ РИСК</v>
      </c>
      <c r="C368" t="e">
        <f>IF('INHERENT MAP'!$B$5=2021,IF('РЕЕСТР РИСКОВ_2023'!G408="",C367,'РЕЕСТР РИСКОВ_2023'!G408),IF('INHERENT MAP'!$B$5=2022,IF(#REF!="",C367,#REF!),IF('INHERENT MAP'!$B$5=2023,IF(#REF!="",C367,#REF!),IF('INHERENT MAP'!$B$5=2024,IF(#REF!="",C367,#REF!),IF('РЕЕСТР РИСКОВ_2023'!G408="",C367,'РЕЕСТР РИСКОВ_2023'!G408)))))</f>
        <v>#REF!</v>
      </c>
      <c r="D368" t="str">
        <f>IF('INHERENT MAP'!$B$5=2021,IF('РЕЕСТР РИСКОВ_2023'!H408="",D367,'РЕЕСТР РИСКОВ_2023'!H408),IF('INHERENT MAP'!$B$5=2022,IF(#REF!="",D367,#REF!),IF('INHERENT MAP'!$B$5=2023,IF(#REF!="",D367,#REF!),IF('INHERENT MAP'!$B$5=2024,IF(#REF!="",D367,#REF!),IF('РЕЕСТР РИСКОВ_2023'!H408="",D367,'РЕЕСТР РИСКОВ_2023'!H408)))))</f>
        <v>IRR-1</v>
      </c>
      <c r="E368" t="str">
        <f>IF('INHERENT MAP'!$B$5=2021,IF('РЕЕСТР РИСКОВ_2023'!I408="",E367,'РЕЕСТР РИСКОВ_2023'!I408),IF('INHERENT MAP'!$B$5=2022,IF(#REF!="",E367,#REF!),IF('INHERENT MAP'!$B$5=2023,IF(#REF!="",E367,#REF!),IF('INHERENT MAP'!$B$5=2024,IF(#REF!="",E367,#REF!),IF('РЕЕСТР РИСКОВ_2023'!I408="",E367,'РЕЕСТР РИСКОВ_2023'!I408)))))</f>
        <v>ЦЗФ</v>
      </c>
      <c r="F368" t="str">
        <f>IF('INHERENT MAP'!$B$5=2021,IF('РЕЕСТР РИСКОВ_2023'!J408="",F367,'РЕЕСТР РИСКОВ_2023'!J408),IF('INHERENT MAP'!$B$5=2022,IF(#REF!="",F367,#REF!),IF('INHERENT MAP'!$B$5=2023,IF(#REF!="",F367,#REF!),IF('INHERENT MAP'!$B$5=2024,IF(#REF!="",F367,#REF!),IF('РЕЕСТР РИСКОВ_2023'!J408="",F367,'РЕЕСТР РИСКОВ_2023'!J408)))))</f>
        <v>Цзайм</v>
      </c>
      <c r="G368" t="str">
        <f>IF('INHERENT MAP'!$B$5=2021,IF('РЕЕСТР РИСКОВ_2023'!K408="",G367,'РЕЕСТР РИСКОВ_2023'!K408),IF('INHERENT MAP'!$B$5=2022,IF(#REF!="",G367,#REF!),IF('INHERENT MAP'!$B$5=2023,IF(#REF!="",G367,#REF!),IF('INHERENT MAP'!$B$5=2024,IF(#REF!="",G367,#REF!),IF('РЕЕСТР РИСКОВ_2023'!K408="",G367,'РЕЕСТР РИСКОВ_2023'!K408)))))</f>
        <v>Увеличение расходов по процентам на новые займы, а также текущие займы (с плавающей ставкой) в тенге.</v>
      </c>
      <c r="H368">
        <f>IF('INHERENT MAP'!$B$5=2021,'РЕЕСТР РИСКОВ_2023'!L408,IF('INHERENT MAP'!$B$5=2022,#REF!,IF('INHERENT MAP'!$B$5=2023,#REF!,IF('INHERENT MAP'!$B$5=2024,#REF!,#REF!))))</f>
        <v>0</v>
      </c>
      <c r="I368">
        <f>IF('INHERENT MAP'!$B$5=2021,'РЕЕСТР РИСКОВ_2023'!M408,IF('INHERENT MAP'!$B$5=2022,#REF!,IF('INHERENT MAP'!$B$5=2023,#REF!,IF('INHERENT MAP'!$B$5=2024,#REF!,#REF!))))</f>
        <v>0</v>
      </c>
      <c r="J368">
        <f>IF('INHERENT MAP'!$B$5=2021,'РЕЕСТР РИСКОВ_2023'!N408,IF('INHERENT MAP'!$B$5=2022,#REF!,IF('INHERENT MAP'!$B$5=2023,#REF!,IF('INHERENT MAP'!$B$5=2024,#REF!,#REF!))))</f>
        <v>0</v>
      </c>
      <c r="K368">
        <f>IF('INHERENT MAP'!$B$5=2021,'РЕЕСТР РИСКОВ_2023'!O408,IF('INHERENT MAP'!$B$5=2022,#REF!,IF('INHERENT MAP'!$B$5=2023,#REF!,IF('INHERENT MAP'!$B$5=2024,#REF!,#REF!))))</f>
        <v>0</v>
      </c>
      <c r="L368">
        <f>IF('INHERENT MAP'!$B$5=2021,'РЕЕСТР РИСКОВ_2023'!P408,IF('INHERENT MAP'!$B$5=2022,#REF!,IF('INHERENT MAP'!$B$5=2023,#REF!,IF('INHERENT MAP'!$B$5=2024,#REF!,#REF!))))</f>
        <v>0</v>
      </c>
      <c r="M368" t="str">
        <f>IF('INHERENT MAP'!$B$5=2021,IF('РЕЕСТР РИСКОВ_2023'!Q408="",M367,'РЕЕСТР РИСКОВ_2023'!Q408),IF('INHERENT MAP'!$B$5=2022,IF(#REF!="",M367,#REF!),IF('INHERENT MAP'!$B$5=2023,IF(#REF!="",M367,#REF!),IF('INHERENT MAP'!$B$5=2024,IF(#REF!="",M367,#REF!),IF('РЕЕСТР РИСКОВ_2023'!Q408="",M367,'РЕЕСТР РИСКОВ_2023'!Q408)))))</f>
        <v>Увеличение базовой ставки Национального банка Республики Казахстан до 16%</v>
      </c>
      <c r="N368" t="str">
        <f>IF('INHERENT MAP'!$B$5=2021,IF('РЕЕСТР РИСКОВ_2023'!R408="",N367,'РЕЕСТР РИСКОВ_2023'!R408),IF('INHERENT MAP'!$B$5=2022,IF(#REF!="",N367,#REF!),IF('INHERENT MAP'!$B$5=2023,IF(#REF!="",N367,#REF!),IF('INHERENT MAP'!$B$5=2024,IF(#REF!="",N367,#REF!),IF('РЕЕСТР РИСКОВ_2023'!R408="",N367,'РЕЕСТР РИСКОВ_2023'!R408)))))</f>
        <v>Рецессия экономики европейских стран</v>
      </c>
      <c r="O368">
        <f>'РЕЕСТР РИСКОВ_2023'!T408</f>
        <v>0</v>
      </c>
      <c r="P368" t="e">
        <f>IF('РЕЕСТР РИСКОВ_2023'!U408="",P367,'РЕЕСТР РИСКОВ_2023'!U408)</f>
        <v>#REF!</v>
      </c>
      <c r="Q368" t="str">
        <f>IF('РЕЕСТР РИСКОВ_2023'!V408="",Q367,'РЕЕСТР РИСКОВ_2023'!V408)</f>
        <v>Угрозы</v>
      </c>
      <c r="R368" t="e">
        <f>IF('РЕЕСТР РИСКОВ_2023'!W408="",R367,'РЕЕСТР РИСКОВ_2023'!W408)</f>
        <v>#REF!</v>
      </c>
      <c r="S368">
        <f>'РЕЕСТР РИСКОВ_2023'!X408</f>
        <v>0</v>
      </c>
      <c r="T368" s="94">
        <f>IF('INHERENT MAP'!$B$5=2021,'РЕЕСТР РИСКОВ_2023'!Y408,IF('INHERENT MAP'!$B$5=2022,#REF!,IF('INHERENT MAP'!$B$5=2023,#REF!,IF('INHERENT MAP'!$B$5=2024,#REF!,#REF!))))</f>
        <v>0</v>
      </c>
      <c r="U368">
        <f>IF('INHERENT MAP'!$B$5=2021,'РЕЕСТР РИСКОВ_2023'!Z408,IF('INHERENT MAP'!$B$5=2022,#REF!,IF('INHERENT MAP'!$B$5=2023,#REF!,IF('INHERENT MAP'!$B$5=2024,#REF!,#REF!))))</f>
        <v>0</v>
      </c>
      <c r="V368">
        <f>IF('INHERENT MAP'!$B$5=2021,'РЕЕСТР РИСКОВ_2023'!AA408,IF('INHERENT MAP'!$B$5=2022,#REF!,IF('INHERENT MAP'!$B$5=2023,#REF!,IF('INHERENT MAP'!$B$5=2024,#REF!,#REF!))))</f>
        <v>0</v>
      </c>
      <c r="W368">
        <f>IF('INHERENT MAP'!$B$5=2021,'РЕЕСТР РИСКОВ_2023'!AB408,IF('INHERENT MAP'!$B$5=2022,#REF!,IF('INHERENT MAP'!$B$5=2023,#REF!,IF('INHERENT MAP'!$B$5=2024,#REF!,#REF!))))</f>
        <v>0</v>
      </c>
      <c r="X368" s="94">
        <f>IF('INHERENT MAP'!$B$5=2021,'РЕЕСТР РИСКОВ_2023'!AC408,IF('INHERENT MAP'!$B$5=2022,#REF!,IF('INHERENT MAP'!$B$5=2023,#REF!,IF('INHERENT MAP'!$B$5=2024,#REF!,#REF!))))</f>
        <v>0</v>
      </c>
      <c r="Y368">
        <f>IF('INHERENT MAP'!$B$5=2021,'РЕЕСТР РИСКОВ_2023'!AD408,IF('INHERENT MAP'!$B$5=2022,#REF!,IF('INHERENT MAP'!$B$5=2023,#REF!,IF('INHERENT MAP'!$B$5=2024,#REF!,#REF!))))</f>
        <v>0</v>
      </c>
      <c r="Z368">
        <f>IF('INHERENT MAP'!$B$5=2021,'РЕЕСТР РИСКОВ_2023'!AE408,IF('INHERENT MAP'!$B$5=2022,#REF!,IF('INHERENT MAP'!$B$5=2023,#REF!,IF('INHERENT MAP'!$B$5=2024,#REF!,#REF!))))</f>
        <v>0</v>
      </c>
      <c r="AA368">
        <f>IF('INHERENT MAP'!$B$5=2021,'РЕЕСТР РИСКОВ_2023'!AF408,IF('INHERENT MAP'!$B$5=2022,#REF!,IF('INHERENT MAP'!$B$5=2023,#REF!,IF('INHERENT MAP'!$B$5=2024,#REF!,#REF!))))</f>
        <v>0</v>
      </c>
      <c r="AB368">
        <f>IF('INHERENT MAP'!$B$5=2021,'РЕЕСТР РИСКОВ_2023'!AG408,IF('INHERENT MAP'!$B$5=2022,#REF!,IF('INHERENT MAP'!$B$5=2023,#REF!,IF('INHERENT MAP'!$B$5=2024,#REF!,#REF!))))</f>
        <v>0</v>
      </c>
      <c r="AC368">
        <f>IF('INHERENT MAP'!$B$5=2021,'РЕЕСТР РИСКОВ_2023'!AH408,IF('INHERENT MAP'!$B$5=2022,#REF!,IF('INHERENT MAP'!$B$5=2023,#REF!,IF('INHERENT MAP'!$B$5=2024,#REF!,#REF!))))</f>
        <v>0</v>
      </c>
      <c r="AD368">
        <f>IF('INHERENT MAP'!$B$5=2021,'РЕЕСТР РИСКОВ_2023'!AI408,IF('INHERENT MAP'!$B$5=2022,#REF!,IF('INHERENT MAP'!$B$5=2023,#REF!,IF('INHERENT MAP'!$B$5=2024,#REF!,#REF!))))</f>
        <v>0</v>
      </c>
      <c r="AE368">
        <f>IF('INHERENT MAP'!$B$5=2021,'РЕЕСТР РИСКОВ_2023'!AK408,IF('INHERENT MAP'!$B$5=2022,#REF!,IF('INHERENT MAP'!$B$5=2023,#REF!,IF('INHERENT MAP'!$B$5=2024,#REF!,#REF!))))</f>
        <v>0</v>
      </c>
      <c r="AF368">
        <f>IF('INHERENT MAP'!$B$5=2021,'РЕЕСТР РИСКОВ_2023'!AL408,IF('INHERENT MAP'!$B$5=2022,#REF!,IF('INHERENT MAP'!$B$5=2023,#REF!,IF('INHERENT MAP'!$B$5=2024,#REF!,#REF!))))</f>
        <v>0</v>
      </c>
      <c r="AG368">
        <f>IF('INHERENT MAP'!$B$5=2021,'РЕЕСТР РИСКОВ_2023'!AM408,IF('INHERENT MAP'!$B$5=2022,#REF!,IF('INHERENT MAP'!$B$5=2023,#REF!,IF('INHERENT MAP'!$B$5=2024,#REF!,#REF!))))</f>
        <v>0</v>
      </c>
      <c r="AH368">
        <f>IF('INHERENT MAP'!$B$5=2021,'РЕЕСТР РИСКОВ_2023'!AN408,IF('INHERENT MAP'!$B$5=2022,#REF!,IF('INHERENT MAP'!$B$5=2023,#REF!,IF('INHERENT MAP'!$B$5=2024,#REF!,#REF!))))</f>
        <v>0</v>
      </c>
      <c r="AI368">
        <f>IF('INHERENT MAP'!$B$5=2021,'РЕЕСТР РИСКОВ_2023'!AO408,IF('INHERENT MAP'!$B$5=2022,#REF!,IF('INHERENT MAP'!$B$5=2023,#REF!,IF('INHERENT MAP'!$B$5=2024,#REF!,#REF!))))</f>
        <v>0</v>
      </c>
      <c r="AJ368">
        <f>IF('INHERENT MAP'!$B$5=2021,'РЕЕСТР РИСКОВ_2023'!AP408,IF('INHERENT MAP'!$B$5=2022,#REF!,IF('INHERENT MAP'!$B$5=2023,#REF!,IF('INHERENT MAP'!$B$5=2024,#REF!,#REF!))))</f>
        <v>0</v>
      </c>
      <c r="AK368">
        <f>IF('РЕЕСТР РИСКОВ_2023'!AQ408="",AK367,'РЕЕСТР РИСКОВ_2023'!AQ408)</f>
        <v>-216</v>
      </c>
      <c r="AL368">
        <f>IF('РЕЕСТР РИСКОВ_2023'!AR408="",AL367,'РЕЕСТР РИСКОВ_2023'!AR408)</f>
        <v>0.12</v>
      </c>
      <c r="AM368" t="str">
        <f>IF('РЕЕСТР РИСКОВ_2023'!AS408="",AM367,'РЕЕСТР РИСКОВ_2023'!AS408)</f>
        <v>стоп</v>
      </c>
      <c r="AN368" t="str">
        <f>IF('РЕЕСТР РИСКОВ_2023'!AT408="",AN367,'РЕЕСТР РИСКОВ_2023'!AT408)</f>
        <v>стоп</v>
      </c>
      <c r="AO368" t="e">
        <f>IF('РЕЕСТР РИСКОВ_2023'!AU408="",AO367,'РЕЕСТР РИСКОВ_2023'!AU408)</f>
        <v>#REF!</v>
      </c>
    </row>
    <row r="369" spans="2:41">
      <c r="B369" t="str">
        <f>IF('INHERENT MAP'!$B$5=2021,IF('РЕЕСТР РИСКОВ_2023'!F409="",B368,'РЕЕСТР РИСКОВ_2023'!F409),IF('INHERENT MAP'!$B$5=2022,IF(#REF!="",B368,#REF!),IF('INHERENT MAP'!$B$5=2023,IF(#REF!="",B368,#REF!),IF('INHERENT MAP'!$B$5=2024,IF(#REF!="",B368,#REF!),IF('РЕЕСТР РИСКОВ_2023'!F409="",B368,'РЕЕСТР РИСКОВ_2023'!F409)))))</f>
        <v>ПРОЦЕНТНЫЙ РИСК</v>
      </c>
      <c r="C369" t="e">
        <f>IF('INHERENT MAP'!$B$5=2021,IF('РЕЕСТР РИСКОВ_2023'!G409="",C368,'РЕЕСТР РИСКОВ_2023'!G409),IF('INHERENT MAP'!$B$5=2022,IF(#REF!="",C368,#REF!),IF('INHERENT MAP'!$B$5=2023,IF(#REF!="",C368,#REF!),IF('INHERENT MAP'!$B$5=2024,IF(#REF!="",C368,#REF!),IF('РЕЕСТР РИСКОВ_2023'!G409="",C368,'РЕЕСТР РИСКОВ_2023'!G409)))))</f>
        <v>#REF!</v>
      </c>
      <c r="D369" t="str">
        <f>IF('INHERENT MAP'!$B$5=2021,IF('РЕЕСТР РИСКОВ_2023'!H409="",D368,'РЕЕСТР РИСКОВ_2023'!H409),IF('INHERENT MAP'!$B$5=2022,IF(#REF!="",D368,#REF!),IF('INHERENT MAP'!$B$5=2023,IF(#REF!="",D368,#REF!),IF('INHERENT MAP'!$B$5=2024,IF(#REF!="",D368,#REF!),IF('РЕЕСТР РИСКОВ_2023'!H409="",D368,'РЕЕСТР РИСКОВ_2023'!H409)))))</f>
        <v>IRR-1</v>
      </c>
      <c r="E369" t="str">
        <f>IF('INHERENT MAP'!$B$5=2021,IF('РЕЕСТР РИСКОВ_2023'!I409="",E368,'РЕЕСТР РИСКОВ_2023'!I409),IF('INHERENT MAP'!$B$5=2022,IF(#REF!="",E368,#REF!),IF('INHERENT MAP'!$B$5=2023,IF(#REF!="",E368,#REF!),IF('INHERENT MAP'!$B$5=2024,IF(#REF!="",E368,#REF!),IF('РЕЕСТР РИСКОВ_2023'!I409="",E368,'РЕЕСТР РИСКОВ_2023'!I409)))))</f>
        <v>ЦЗФ</v>
      </c>
      <c r="F369" t="str">
        <f>IF('INHERENT MAP'!$B$5=2021,IF('РЕЕСТР РИСКОВ_2023'!J409="",F368,'РЕЕСТР РИСКОВ_2023'!J409),IF('INHERENT MAP'!$B$5=2022,IF(#REF!="",F368,#REF!),IF('INHERENT MAP'!$B$5=2023,IF(#REF!="",F368,#REF!),IF('INHERENT MAP'!$B$5=2024,IF(#REF!="",F368,#REF!),IF('РЕЕСТР РИСКОВ_2023'!J409="",F368,'РЕЕСТР РИСКОВ_2023'!J409)))))</f>
        <v>Цзайм</v>
      </c>
      <c r="G369" t="str">
        <f>IF('INHERENT MAP'!$B$5=2021,IF('РЕЕСТР РИСКОВ_2023'!K409="",G368,'РЕЕСТР РИСКОВ_2023'!K409),IF('INHERENT MAP'!$B$5=2022,IF(#REF!="",G368,#REF!),IF('INHERENT MAP'!$B$5=2023,IF(#REF!="",G368,#REF!),IF('INHERENT MAP'!$B$5=2024,IF(#REF!="",G368,#REF!),IF('РЕЕСТР РИСКОВ_2023'!K409="",G368,'РЕЕСТР РИСКОВ_2023'!K409)))))</f>
        <v>Увеличение расходов по процентам на новые займы, а также текущие займы (с плавающей ставкой) в тенге.</v>
      </c>
      <c r="H369">
        <f>IF('INHERENT MAP'!$B$5=2021,'РЕЕСТР РИСКОВ_2023'!L409,IF('INHERENT MAP'!$B$5=2022,#REF!,IF('INHERENT MAP'!$B$5=2023,#REF!,IF('INHERENT MAP'!$B$5=2024,#REF!,#REF!))))</f>
        <v>0</v>
      </c>
      <c r="I369">
        <f>IF('INHERENT MAP'!$B$5=2021,'РЕЕСТР РИСКОВ_2023'!M409,IF('INHERENT MAP'!$B$5=2022,#REF!,IF('INHERENT MAP'!$B$5=2023,#REF!,IF('INHERENT MAP'!$B$5=2024,#REF!,#REF!))))</f>
        <v>0</v>
      </c>
      <c r="J369">
        <f>IF('INHERENT MAP'!$B$5=2021,'РЕЕСТР РИСКОВ_2023'!N409,IF('INHERENT MAP'!$B$5=2022,#REF!,IF('INHERENT MAP'!$B$5=2023,#REF!,IF('INHERENT MAP'!$B$5=2024,#REF!,#REF!))))</f>
        <v>0</v>
      </c>
      <c r="K369">
        <f>IF('INHERENT MAP'!$B$5=2021,'РЕЕСТР РИСКОВ_2023'!O409,IF('INHERENT MAP'!$B$5=2022,#REF!,IF('INHERENT MAP'!$B$5=2023,#REF!,IF('INHERENT MAP'!$B$5=2024,#REF!,#REF!))))</f>
        <v>0</v>
      </c>
      <c r="L369">
        <f>IF('INHERENT MAP'!$B$5=2021,'РЕЕСТР РИСКОВ_2023'!P409,IF('INHERENT MAP'!$B$5=2022,#REF!,IF('INHERENT MAP'!$B$5=2023,#REF!,IF('INHERENT MAP'!$B$5=2024,#REF!,#REF!))))</f>
        <v>0</v>
      </c>
      <c r="M369" t="str">
        <f>IF('INHERENT MAP'!$B$5=2021,IF('РЕЕСТР РИСКОВ_2023'!Q409="",M368,'РЕЕСТР РИСКОВ_2023'!Q409),IF('INHERENT MAP'!$B$5=2022,IF(#REF!="",M368,#REF!),IF('INHERENT MAP'!$B$5=2023,IF(#REF!="",M368,#REF!),IF('INHERENT MAP'!$B$5=2024,IF(#REF!="",M368,#REF!),IF('РЕЕСТР РИСКОВ_2023'!Q409="",M368,'РЕЕСТР РИСКОВ_2023'!Q409)))))</f>
        <v>Увеличение базовой ставки Национального банка Республики Казахстан до 16%</v>
      </c>
      <c r="N369" t="str">
        <f>IF('INHERENT MAP'!$B$5=2021,IF('РЕЕСТР РИСКОВ_2023'!R409="",N368,'РЕЕСТР РИСКОВ_2023'!R409),IF('INHERENT MAP'!$B$5=2022,IF(#REF!="",N368,#REF!),IF('INHERENT MAP'!$B$5=2023,IF(#REF!="",N368,#REF!),IF('INHERENT MAP'!$B$5=2024,IF(#REF!="",N368,#REF!),IF('РЕЕСТР РИСКОВ_2023'!R409="",N368,'РЕЕСТР РИСКОВ_2023'!R409)))))</f>
        <v>Рецессия экономики европейских стран</v>
      </c>
      <c r="O369">
        <f>'РЕЕСТР РИСКОВ_2023'!T409</f>
        <v>0</v>
      </c>
      <c r="P369" t="e">
        <f>IF('РЕЕСТР РИСКОВ_2023'!U409="",P368,'РЕЕСТР РИСКОВ_2023'!U409)</f>
        <v>#REF!</v>
      </c>
      <c r="Q369" t="str">
        <f>IF('РЕЕСТР РИСКОВ_2023'!V409="",Q368,'РЕЕСТР РИСКОВ_2023'!V409)</f>
        <v>Угрозы</v>
      </c>
      <c r="R369" t="e">
        <f>IF('РЕЕСТР РИСКОВ_2023'!W409="",R368,'РЕЕСТР РИСКОВ_2023'!W409)</f>
        <v>#REF!</v>
      </c>
      <c r="S369">
        <f>'РЕЕСТР РИСКОВ_2023'!X409</f>
        <v>0</v>
      </c>
      <c r="T369" s="94">
        <f>IF('INHERENT MAP'!$B$5=2021,'РЕЕСТР РИСКОВ_2023'!Y409,IF('INHERENT MAP'!$B$5=2022,#REF!,IF('INHERENT MAP'!$B$5=2023,#REF!,IF('INHERENT MAP'!$B$5=2024,#REF!,#REF!))))</f>
        <v>0</v>
      </c>
      <c r="U369">
        <f>IF('INHERENT MAP'!$B$5=2021,'РЕЕСТР РИСКОВ_2023'!Z409,IF('INHERENT MAP'!$B$5=2022,#REF!,IF('INHERENT MAP'!$B$5=2023,#REF!,IF('INHERENT MAP'!$B$5=2024,#REF!,#REF!))))</f>
        <v>0</v>
      </c>
      <c r="V369">
        <f>IF('INHERENT MAP'!$B$5=2021,'РЕЕСТР РИСКОВ_2023'!AA409,IF('INHERENT MAP'!$B$5=2022,#REF!,IF('INHERENT MAP'!$B$5=2023,#REF!,IF('INHERENT MAP'!$B$5=2024,#REF!,#REF!))))</f>
        <v>0</v>
      </c>
      <c r="W369">
        <f>IF('INHERENT MAP'!$B$5=2021,'РЕЕСТР РИСКОВ_2023'!AB409,IF('INHERENT MAP'!$B$5=2022,#REF!,IF('INHERENT MAP'!$B$5=2023,#REF!,IF('INHERENT MAP'!$B$5=2024,#REF!,#REF!))))</f>
        <v>0</v>
      </c>
      <c r="X369" s="94">
        <f>IF('INHERENT MAP'!$B$5=2021,'РЕЕСТР РИСКОВ_2023'!AC409,IF('INHERENT MAP'!$B$5=2022,#REF!,IF('INHERENT MAP'!$B$5=2023,#REF!,IF('INHERENT MAP'!$B$5=2024,#REF!,#REF!))))</f>
        <v>0</v>
      </c>
      <c r="Y369">
        <f>IF('INHERENT MAP'!$B$5=2021,'РЕЕСТР РИСКОВ_2023'!AD409,IF('INHERENT MAP'!$B$5=2022,#REF!,IF('INHERENT MAP'!$B$5=2023,#REF!,IF('INHERENT MAP'!$B$5=2024,#REF!,#REF!))))</f>
        <v>0</v>
      </c>
      <c r="Z369">
        <f>IF('INHERENT MAP'!$B$5=2021,'РЕЕСТР РИСКОВ_2023'!AE409,IF('INHERENT MAP'!$B$5=2022,#REF!,IF('INHERENT MAP'!$B$5=2023,#REF!,IF('INHERENT MAP'!$B$5=2024,#REF!,#REF!))))</f>
        <v>0</v>
      </c>
      <c r="AA369">
        <f>IF('INHERENT MAP'!$B$5=2021,'РЕЕСТР РИСКОВ_2023'!AF409,IF('INHERENT MAP'!$B$5=2022,#REF!,IF('INHERENT MAP'!$B$5=2023,#REF!,IF('INHERENT MAP'!$B$5=2024,#REF!,#REF!))))</f>
        <v>0</v>
      </c>
      <c r="AB369">
        <f>IF('INHERENT MAP'!$B$5=2021,'РЕЕСТР РИСКОВ_2023'!AG409,IF('INHERENT MAP'!$B$5=2022,#REF!,IF('INHERENT MAP'!$B$5=2023,#REF!,IF('INHERENT MAP'!$B$5=2024,#REF!,#REF!))))</f>
        <v>0</v>
      </c>
      <c r="AC369">
        <f>IF('INHERENT MAP'!$B$5=2021,'РЕЕСТР РИСКОВ_2023'!AH409,IF('INHERENT MAP'!$B$5=2022,#REF!,IF('INHERENT MAP'!$B$5=2023,#REF!,IF('INHERENT MAP'!$B$5=2024,#REF!,#REF!))))</f>
        <v>0</v>
      </c>
      <c r="AD369">
        <f>IF('INHERENT MAP'!$B$5=2021,'РЕЕСТР РИСКОВ_2023'!AI409,IF('INHERENT MAP'!$B$5=2022,#REF!,IF('INHERENT MAP'!$B$5=2023,#REF!,IF('INHERENT MAP'!$B$5=2024,#REF!,#REF!))))</f>
        <v>0</v>
      </c>
      <c r="AE369">
        <f>IF('INHERENT MAP'!$B$5=2021,'РЕЕСТР РИСКОВ_2023'!AK409,IF('INHERENT MAP'!$B$5=2022,#REF!,IF('INHERENT MAP'!$B$5=2023,#REF!,IF('INHERENT MAP'!$B$5=2024,#REF!,#REF!))))</f>
        <v>0</v>
      </c>
      <c r="AF369">
        <f>IF('INHERENT MAP'!$B$5=2021,'РЕЕСТР РИСКОВ_2023'!AL409,IF('INHERENT MAP'!$B$5=2022,#REF!,IF('INHERENT MAP'!$B$5=2023,#REF!,IF('INHERENT MAP'!$B$5=2024,#REF!,#REF!))))</f>
        <v>0</v>
      </c>
      <c r="AG369">
        <f>IF('INHERENT MAP'!$B$5=2021,'РЕЕСТР РИСКОВ_2023'!AM409,IF('INHERENT MAP'!$B$5=2022,#REF!,IF('INHERENT MAP'!$B$5=2023,#REF!,IF('INHERENT MAP'!$B$5=2024,#REF!,#REF!))))</f>
        <v>0</v>
      </c>
      <c r="AH369">
        <f>IF('INHERENT MAP'!$B$5=2021,'РЕЕСТР РИСКОВ_2023'!AN409,IF('INHERENT MAP'!$B$5=2022,#REF!,IF('INHERENT MAP'!$B$5=2023,#REF!,IF('INHERENT MAP'!$B$5=2024,#REF!,#REF!))))</f>
        <v>0</v>
      </c>
      <c r="AI369">
        <f>IF('INHERENT MAP'!$B$5=2021,'РЕЕСТР РИСКОВ_2023'!AO409,IF('INHERENT MAP'!$B$5=2022,#REF!,IF('INHERENT MAP'!$B$5=2023,#REF!,IF('INHERENT MAP'!$B$5=2024,#REF!,#REF!))))</f>
        <v>0</v>
      </c>
      <c r="AJ369">
        <f>IF('INHERENT MAP'!$B$5=2021,'РЕЕСТР РИСКОВ_2023'!AP409,IF('INHERENT MAP'!$B$5=2022,#REF!,IF('INHERENT MAP'!$B$5=2023,#REF!,IF('INHERENT MAP'!$B$5=2024,#REF!,#REF!))))</f>
        <v>0</v>
      </c>
      <c r="AK369">
        <f>IF('РЕЕСТР РИСКОВ_2023'!AQ409="",AK368,'РЕЕСТР РИСКОВ_2023'!AQ409)</f>
        <v>-216</v>
      </c>
      <c r="AL369">
        <f>IF('РЕЕСТР РИСКОВ_2023'!AR409="",AL368,'РЕЕСТР РИСКОВ_2023'!AR409)</f>
        <v>0.12</v>
      </c>
      <c r="AM369" t="str">
        <f>IF('РЕЕСТР РИСКОВ_2023'!AS409="",AM368,'РЕЕСТР РИСКОВ_2023'!AS409)</f>
        <v>стоп</v>
      </c>
      <c r="AN369" t="str">
        <f>IF('РЕЕСТР РИСКОВ_2023'!AT409="",AN368,'РЕЕСТР РИСКОВ_2023'!AT409)</f>
        <v>стоп</v>
      </c>
      <c r="AO369" t="e">
        <f>IF('РЕЕСТР РИСКОВ_2023'!AU409="",AO368,'РЕЕСТР РИСКОВ_2023'!AU409)</f>
        <v>#REF!</v>
      </c>
    </row>
    <row r="370" spans="2:41">
      <c r="B370" t="str">
        <f>IF('INHERENT MAP'!$B$5=2021,IF('РЕЕСТР РИСКОВ_2023'!F410="",B369,'РЕЕСТР РИСКОВ_2023'!F410),IF('INHERENT MAP'!$B$5=2022,IF(#REF!="",B369,#REF!),IF('INHERENT MAP'!$B$5=2023,IF(#REF!="",B369,#REF!),IF('INHERENT MAP'!$B$5=2024,IF(#REF!="",B369,#REF!),IF('РЕЕСТР РИСКОВ_2023'!F410="",B369,'РЕЕСТР РИСКОВ_2023'!F410)))))</f>
        <v>ПРОЦЕНТНЫЙ РИСК</v>
      </c>
      <c r="C370" t="e">
        <f>IF('INHERENT MAP'!$B$5=2021,IF('РЕЕСТР РИСКОВ_2023'!G410="",C369,'РЕЕСТР РИСКОВ_2023'!G410),IF('INHERENT MAP'!$B$5=2022,IF(#REF!="",C369,#REF!),IF('INHERENT MAP'!$B$5=2023,IF(#REF!="",C369,#REF!),IF('INHERENT MAP'!$B$5=2024,IF(#REF!="",C369,#REF!),IF('РЕЕСТР РИСКОВ_2023'!G410="",C369,'РЕЕСТР РИСКОВ_2023'!G410)))))</f>
        <v>#REF!</v>
      </c>
      <c r="D370" t="str">
        <f>IF('INHERENT MAP'!$B$5=2021,IF('РЕЕСТР РИСКОВ_2023'!H410="",D369,'РЕЕСТР РИСКОВ_2023'!H410),IF('INHERENT MAP'!$B$5=2022,IF(#REF!="",D369,#REF!),IF('INHERENT MAP'!$B$5=2023,IF(#REF!="",D369,#REF!),IF('INHERENT MAP'!$B$5=2024,IF(#REF!="",D369,#REF!),IF('РЕЕСТР РИСКОВ_2023'!H410="",D369,'РЕЕСТР РИСКОВ_2023'!H410)))))</f>
        <v>IRR-1</v>
      </c>
      <c r="E370" t="str">
        <f>IF('INHERENT MAP'!$B$5=2021,IF('РЕЕСТР РИСКОВ_2023'!I410="",E369,'РЕЕСТР РИСКОВ_2023'!I410),IF('INHERENT MAP'!$B$5=2022,IF(#REF!="",E369,#REF!),IF('INHERENT MAP'!$B$5=2023,IF(#REF!="",E369,#REF!),IF('INHERENT MAP'!$B$5=2024,IF(#REF!="",E369,#REF!),IF('РЕЕСТР РИСКОВ_2023'!I410="",E369,'РЕЕСТР РИСКОВ_2023'!I410)))))</f>
        <v>ЦЗФ</v>
      </c>
      <c r="F370" t="str">
        <f>IF('INHERENT MAP'!$B$5=2021,IF('РЕЕСТР РИСКОВ_2023'!J410="",F369,'РЕЕСТР РИСКОВ_2023'!J410),IF('INHERENT MAP'!$B$5=2022,IF(#REF!="",F369,#REF!),IF('INHERENT MAP'!$B$5=2023,IF(#REF!="",F369,#REF!),IF('INHERENT MAP'!$B$5=2024,IF(#REF!="",F369,#REF!),IF('РЕЕСТР РИСКОВ_2023'!J410="",F369,'РЕЕСТР РИСКОВ_2023'!J410)))))</f>
        <v>Цзайм</v>
      </c>
      <c r="G370" t="str">
        <f>IF('INHERENT MAP'!$B$5=2021,IF('РЕЕСТР РИСКОВ_2023'!K410="",G369,'РЕЕСТР РИСКОВ_2023'!K410),IF('INHERENT MAP'!$B$5=2022,IF(#REF!="",G369,#REF!),IF('INHERENT MAP'!$B$5=2023,IF(#REF!="",G369,#REF!),IF('INHERENT MAP'!$B$5=2024,IF(#REF!="",G369,#REF!),IF('РЕЕСТР РИСКОВ_2023'!K410="",G369,'РЕЕСТР РИСКОВ_2023'!K410)))))</f>
        <v>Увеличение расходов по процентам на новые займы, а также текущие займы (с плавающей ставкой) в тенге.</v>
      </c>
      <c r="H370">
        <f>IF('INHERENT MAP'!$B$5=2021,'РЕЕСТР РИСКОВ_2023'!L410,IF('INHERENT MAP'!$B$5=2022,#REF!,IF('INHERENT MAP'!$B$5=2023,#REF!,IF('INHERENT MAP'!$B$5=2024,#REF!,#REF!))))</f>
        <v>0</v>
      </c>
      <c r="I370">
        <f>IF('INHERENT MAP'!$B$5=2021,'РЕЕСТР РИСКОВ_2023'!M410,IF('INHERENT MAP'!$B$5=2022,#REF!,IF('INHERENT MAP'!$B$5=2023,#REF!,IF('INHERENT MAP'!$B$5=2024,#REF!,#REF!))))</f>
        <v>0</v>
      </c>
      <c r="J370">
        <f>IF('INHERENT MAP'!$B$5=2021,'РЕЕСТР РИСКОВ_2023'!N410,IF('INHERENT MAP'!$B$5=2022,#REF!,IF('INHERENT MAP'!$B$5=2023,#REF!,IF('INHERENT MAP'!$B$5=2024,#REF!,#REF!))))</f>
        <v>0</v>
      </c>
      <c r="K370">
        <f>IF('INHERENT MAP'!$B$5=2021,'РЕЕСТР РИСКОВ_2023'!O410,IF('INHERENT MAP'!$B$5=2022,#REF!,IF('INHERENT MAP'!$B$5=2023,#REF!,IF('INHERENT MAP'!$B$5=2024,#REF!,#REF!))))</f>
        <v>0</v>
      </c>
      <c r="L370">
        <f>IF('INHERENT MAP'!$B$5=2021,'РЕЕСТР РИСКОВ_2023'!P410,IF('INHERENT MAP'!$B$5=2022,#REF!,IF('INHERENT MAP'!$B$5=2023,#REF!,IF('INHERENT MAP'!$B$5=2024,#REF!,#REF!))))</f>
        <v>0</v>
      </c>
      <c r="M370" t="str">
        <f>IF('INHERENT MAP'!$B$5=2021,IF('РЕЕСТР РИСКОВ_2023'!Q410="",M369,'РЕЕСТР РИСКОВ_2023'!Q410),IF('INHERENT MAP'!$B$5=2022,IF(#REF!="",M369,#REF!),IF('INHERENT MAP'!$B$5=2023,IF(#REF!="",M369,#REF!),IF('INHERENT MAP'!$B$5=2024,IF(#REF!="",M369,#REF!),IF('РЕЕСТР РИСКОВ_2023'!Q410="",M369,'РЕЕСТР РИСКОВ_2023'!Q410)))))</f>
        <v>Увеличение базовой ставки Национального банка Республики Казахстан до 16%</v>
      </c>
      <c r="N370" t="str">
        <f>IF('INHERENT MAP'!$B$5=2021,IF('РЕЕСТР РИСКОВ_2023'!R410="",N369,'РЕЕСТР РИСКОВ_2023'!R410),IF('INHERENT MAP'!$B$5=2022,IF(#REF!="",N369,#REF!),IF('INHERENT MAP'!$B$5=2023,IF(#REF!="",N369,#REF!),IF('INHERENT MAP'!$B$5=2024,IF(#REF!="",N369,#REF!),IF('РЕЕСТР РИСКОВ_2023'!R410="",N369,'РЕЕСТР РИСКОВ_2023'!R410)))))</f>
        <v>Рецессия экономики европейских стран</v>
      </c>
      <c r="O370">
        <f>'РЕЕСТР РИСКОВ_2023'!T410</f>
        <v>0</v>
      </c>
      <c r="P370" t="e">
        <f>IF('РЕЕСТР РИСКОВ_2023'!U410="",P369,'РЕЕСТР РИСКОВ_2023'!U410)</f>
        <v>#REF!</v>
      </c>
      <c r="Q370" t="str">
        <f>IF('РЕЕСТР РИСКОВ_2023'!V410="",Q369,'РЕЕСТР РИСКОВ_2023'!V410)</f>
        <v>Угрозы</v>
      </c>
      <c r="R370" t="e">
        <f>IF('РЕЕСТР РИСКОВ_2023'!W410="",R369,'РЕЕСТР РИСКОВ_2023'!W410)</f>
        <v>#REF!</v>
      </c>
      <c r="S370">
        <f>'РЕЕСТР РИСКОВ_2023'!X410</f>
        <v>0</v>
      </c>
      <c r="T370" s="94">
        <f>IF('INHERENT MAP'!$B$5=2021,'РЕЕСТР РИСКОВ_2023'!Y410,IF('INHERENT MAP'!$B$5=2022,#REF!,IF('INHERENT MAP'!$B$5=2023,#REF!,IF('INHERENT MAP'!$B$5=2024,#REF!,#REF!))))</f>
        <v>0</v>
      </c>
      <c r="U370">
        <f>IF('INHERENT MAP'!$B$5=2021,'РЕЕСТР РИСКОВ_2023'!Z410,IF('INHERENT MAP'!$B$5=2022,#REF!,IF('INHERENT MAP'!$B$5=2023,#REF!,IF('INHERENT MAP'!$B$5=2024,#REF!,#REF!))))</f>
        <v>0</v>
      </c>
      <c r="V370">
        <f>IF('INHERENT MAP'!$B$5=2021,'РЕЕСТР РИСКОВ_2023'!AA410,IF('INHERENT MAP'!$B$5=2022,#REF!,IF('INHERENT MAP'!$B$5=2023,#REF!,IF('INHERENT MAP'!$B$5=2024,#REF!,#REF!))))</f>
        <v>0</v>
      </c>
      <c r="W370">
        <f>IF('INHERENT MAP'!$B$5=2021,'РЕЕСТР РИСКОВ_2023'!AB410,IF('INHERENT MAP'!$B$5=2022,#REF!,IF('INHERENT MAP'!$B$5=2023,#REF!,IF('INHERENT MAP'!$B$5=2024,#REF!,#REF!))))</f>
        <v>0</v>
      </c>
      <c r="X370" s="94">
        <f>IF('INHERENT MAP'!$B$5=2021,'РЕЕСТР РИСКОВ_2023'!AC410,IF('INHERENT MAP'!$B$5=2022,#REF!,IF('INHERENT MAP'!$B$5=2023,#REF!,IF('INHERENT MAP'!$B$5=2024,#REF!,#REF!))))</f>
        <v>0</v>
      </c>
      <c r="Y370">
        <f>IF('INHERENT MAP'!$B$5=2021,'РЕЕСТР РИСКОВ_2023'!AD410,IF('INHERENT MAP'!$B$5=2022,#REF!,IF('INHERENT MAP'!$B$5=2023,#REF!,IF('INHERENT MAP'!$B$5=2024,#REF!,#REF!))))</f>
        <v>0</v>
      </c>
      <c r="Z370">
        <f>IF('INHERENT MAP'!$B$5=2021,'РЕЕСТР РИСКОВ_2023'!AE410,IF('INHERENT MAP'!$B$5=2022,#REF!,IF('INHERENT MAP'!$B$5=2023,#REF!,IF('INHERENT MAP'!$B$5=2024,#REF!,#REF!))))</f>
        <v>0</v>
      </c>
      <c r="AA370">
        <f>IF('INHERENT MAP'!$B$5=2021,'РЕЕСТР РИСКОВ_2023'!AF410,IF('INHERENT MAP'!$B$5=2022,#REF!,IF('INHERENT MAP'!$B$5=2023,#REF!,IF('INHERENT MAP'!$B$5=2024,#REF!,#REF!))))</f>
        <v>0</v>
      </c>
      <c r="AB370">
        <f>IF('INHERENT MAP'!$B$5=2021,'РЕЕСТР РИСКОВ_2023'!AG410,IF('INHERENT MAP'!$B$5=2022,#REF!,IF('INHERENT MAP'!$B$5=2023,#REF!,IF('INHERENT MAP'!$B$5=2024,#REF!,#REF!))))</f>
        <v>0</v>
      </c>
      <c r="AC370">
        <f>IF('INHERENT MAP'!$B$5=2021,'РЕЕСТР РИСКОВ_2023'!AH410,IF('INHERENT MAP'!$B$5=2022,#REF!,IF('INHERENT MAP'!$B$5=2023,#REF!,IF('INHERENT MAP'!$B$5=2024,#REF!,#REF!))))</f>
        <v>0</v>
      </c>
      <c r="AD370">
        <f>IF('INHERENT MAP'!$B$5=2021,'РЕЕСТР РИСКОВ_2023'!AI410,IF('INHERENT MAP'!$B$5=2022,#REF!,IF('INHERENT MAP'!$B$5=2023,#REF!,IF('INHERENT MAP'!$B$5=2024,#REF!,#REF!))))</f>
        <v>0</v>
      </c>
      <c r="AE370">
        <f>IF('INHERENT MAP'!$B$5=2021,'РЕЕСТР РИСКОВ_2023'!AK410,IF('INHERENT MAP'!$B$5=2022,#REF!,IF('INHERENT MAP'!$B$5=2023,#REF!,IF('INHERENT MAP'!$B$5=2024,#REF!,#REF!))))</f>
        <v>0</v>
      </c>
      <c r="AF370">
        <f>IF('INHERENT MAP'!$B$5=2021,'РЕЕСТР РИСКОВ_2023'!AL410,IF('INHERENT MAP'!$B$5=2022,#REF!,IF('INHERENT MAP'!$B$5=2023,#REF!,IF('INHERENT MAP'!$B$5=2024,#REF!,#REF!))))</f>
        <v>0</v>
      </c>
      <c r="AG370">
        <f>IF('INHERENT MAP'!$B$5=2021,'РЕЕСТР РИСКОВ_2023'!AM410,IF('INHERENT MAP'!$B$5=2022,#REF!,IF('INHERENT MAP'!$B$5=2023,#REF!,IF('INHERENT MAP'!$B$5=2024,#REF!,#REF!))))</f>
        <v>0</v>
      </c>
      <c r="AH370">
        <f>IF('INHERENT MAP'!$B$5=2021,'РЕЕСТР РИСКОВ_2023'!AN410,IF('INHERENT MAP'!$B$5=2022,#REF!,IF('INHERENT MAP'!$B$5=2023,#REF!,IF('INHERENT MAP'!$B$5=2024,#REF!,#REF!))))</f>
        <v>0</v>
      </c>
      <c r="AI370">
        <f>IF('INHERENT MAP'!$B$5=2021,'РЕЕСТР РИСКОВ_2023'!AO410,IF('INHERENT MAP'!$B$5=2022,#REF!,IF('INHERENT MAP'!$B$5=2023,#REF!,IF('INHERENT MAP'!$B$5=2024,#REF!,#REF!))))</f>
        <v>0</v>
      </c>
      <c r="AJ370">
        <f>IF('INHERENT MAP'!$B$5=2021,'РЕЕСТР РИСКОВ_2023'!AP410,IF('INHERENT MAP'!$B$5=2022,#REF!,IF('INHERENT MAP'!$B$5=2023,#REF!,IF('INHERENT MAP'!$B$5=2024,#REF!,#REF!))))</f>
        <v>0</v>
      </c>
      <c r="AK370">
        <f>IF('РЕЕСТР РИСКОВ_2023'!AQ410="",AK369,'РЕЕСТР РИСКОВ_2023'!AQ410)</f>
        <v>-216</v>
      </c>
      <c r="AL370">
        <f>IF('РЕЕСТР РИСКОВ_2023'!AR410="",AL369,'РЕЕСТР РИСКОВ_2023'!AR410)</f>
        <v>0.12</v>
      </c>
      <c r="AM370" t="str">
        <f>IF('РЕЕСТР РИСКОВ_2023'!AS410="",AM369,'РЕЕСТР РИСКОВ_2023'!AS410)</f>
        <v>стоп</v>
      </c>
      <c r="AN370" t="str">
        <f>IF('РЕЕСТР РИСКОВ_2023'!AT410="",AN369,'РЕЕСТР РИСКОВ_2023'!AT410)</f>
        <v>стоп</v>
      </c>
      <c r="AO370" t="e">
        <f>IF('РЕЕСТР РИСКОВ_2023'!AU410="",AO369,'РЕЕСТР РИСКОВ_2023'!AU410)</f>
        <v>#REF!</v>
      </c>
    </row>
    <row r="371" spans="2:41">
      <c r="B371" t="str">
        <f>IF('INHERENT MAP'!$B$5=2021,IF('РЕЕСТР РИСКОВ_2023'!F411="",B370,'РЕЕСТР РИСКОВ_2023'!F411),IF('INHERENT MAP'!$B$5=2022,IF(#REF!="",B370,#REF!),IF('INHERENT MAP'!$B$5=2023,IF(#REF!="",B370,#REF!),IF('INHERENT MAP'!$B$5=2024,IF(#REF!="",B370,#REF!),IF('РЕЕСТР РИСКОВ_2023'!F411="",B370,'РЕЕСТР РИСКОВ_2023'!F411)))))</f>
        <v>ПРОЦЕНТНЫЙ РИСК</v>
      </c>
      <c r="C371" t="e">
        <f>IF('INHERENT MAP'!$B$5=2021,IF('РЕЕСТР РИСКОВ_2023'!G411="",C370,'РЕЕСТР РИСКОВ_2023'!G411),IF('INHERENT MAP'!$B$5=2022,IF(#REF!="",C370,#REF!),IF('INHERENT MAP'!$B$5=2023,IF(#REF!="",C370,#REF!),IF('INHERENT MAP'!$B$5=2024,IF(#REF!="",C370,#REF!),IF('РЕЕСТР РИСКОВ_2023'!G411="",C370,'РЕЕСТР РИСКОВ_2023'!G411)))))</f>
        <v>#REF!</v>
      </c>
      <c r="D371" t="str">
        <f>IF('INHERENT MAP'!$B$5=2021,IF('РЕЕСТР РИСКОВ_2023'!H411="",D370,'РЕЕСТР РИСКОВ_2023'!H411),IF('INHERENT MAP'!$B$5=2022,IF(#REF!="",D370,#REF!),IF('INHERENT MAP'!$B$5=2023,IF(#REF!="",D370,#REF!),IF('INHERENT MAP'!$B$5=2024,IF(#REF!="",D370,#REF!),IF('РЕЕСТР РИСКОВ_2023'!H411="",D370,'РЕЕСТР РИСКОВ_2023'!H411)))))</f>
        <v>IRR-1</v>
      </c>
      <c r="E371" t="str">
        <f>IF('INHERENT MAP'!$B$5=2021,IF('РЕЕСТР РИСКОВ_2023'!I411="",E370,'РЕЕСТР РИСКОВ_2023'!I411),IF('INHERENT MAP'!$B$5=2022,IF(#REF!="",E370,#REF!),IF('INHERENT MAP'!$B$5=2023,IF(#REF!="",E370,#REF!),IF('INHERENT MAP'!$B$5=2024,IF(#REF!="",E370,#REF!),IF('РЕЕСТР РИСКОВ_2023'!I411="",E370,'РЕЕСТР РИСКОВ_2023'!I411)))))</f>
        <v>ЦЗФ</v>
      </c>
      <c r="F371" t="str">
        <f>IF('INHERENT MAP'!$B$5=2021,IF('РЕЕСТР РИСКОВ_2023'!J411="",F370,'РЕЕСТР РИСКОВ_2023'!J411),IF('INHERENT MAP'!$B$5=2022,IF(#REF!="",F370,#REF!),IF('INHERENT MAP'!$B$5=2023,IF(#REF!="",F370,#REF!),IF('INHERENT MAP'!$B$5=2024,IF(#REF!="",F370,#REF!),IF('РЕЕСТР РИСКОВ_2023'!J411="",F370,'РЕЕСТР РИСКОВ_2023'!J411)))))</f>
        <v>Цзайм</v>
      </c>
      <c r="G371" t="str">
        <f>IF('INHERENT MAP'!$B$5=2021,IF('РЕЕСТР РИСКОВ_2023'!K411="",G370,'РЕЕСТР РИСКОВ_2023'!K411),IF('INHERENT MAP'!$B$5=2022,IF(#REF!="",G370,#REF!),IF('INHERENT MAP'!$B$5=2023,IF(#REF!="",G370,#REF!),IF('INHERENT MAP'!$B$5=2024,IF(#REF!="",G370,#REF!),IF('РЕЕСТР РИСКОВ_2023'!K411="",G370,'РЕЕСТР РИСКОВ_2023'!K411)))))</f>
        <v>Увеличение расходов по процентам на новые займы, а также текущие займы (с плавающей ставкой) в тенге.</v>
      </c>
      <c r="H371">
        <f>IF('INHERENT MAP'!$B$5=2021,'РЕЕСТР РИСКОВ_2023'!L411,IF('INHERENT MAP'!$B$5=2022,#REF!,IF('INHERENT MAP'!$B$5=2023,#REF!,IF('INHERENT MAP'!$B$5=2024,#REF!,#REF!))))</f>
        <v>0</v>
      </c>
      <c r="I371">
        <f>IF('INHERENT MAP'!$B$5=2021,'РЕЕСТР РИСКОВ_2023'!M411,IF('INHERENT MAP'!$B$5=2022,#REF!,IF('INHERENT MAP'!$B$5=2023,#REF!,IF('INHERENT MAP'!$B$5=2024,#REF!,#REF!))))</f>
        <v>0</v>
      </c>
      <c r="J371">
        <f>IF('INHERENT MAP'!$B$5=2021,'РЕЕСТР РИСКОВ_2023'!N411,IF('INHERENT MAP'!$B$5=2022,#REF!,IF('INHERENT MAP'!$B$5=2023,#REF!,IF('INHERENT MAP'!$B$5=2024,#REF!,#REF!))))</f>
        <v>0</v>
      </c>
      <c r="K371">
        <f>IF('INHERENT MAP'!$B$5=2021,'РЕЕСТР РИСКОВ_2023'!O411,IF('INHERENT MAP'!$B$5=2022,#REF!,IF('INHERENT MAP'!$B$5=2023,#REF!,IF('INHERENT MAP'!$B$5=2024,#REF!,#REF!))))</f>
        <v>0</v>
      </c>
      <c r="L371">
        <f>IF('INHERENT MAP'!$B$5=2021,'РЕЕСТР РИСКОВ_2023'!P411,IF('INHERENT MAP'!$B$5=2022,#REF!,IF('INHERENT MAP'!$B$5=2023,#REF!,IF('INHERENT MAP'!$B$5=2024,#REF!,#REF!))))</f>
        <v>0</v>
      </c>
      <c r="M371" t="str">
        <f>IF('INHERENT MAP'!$B$5=2021,IF('РЕЕСТР РИСКОВ_2023'!Q411="",M370,'РЕЕСТР РИСКОВ_2023'!Q411),IF('INHERENT MAP'!$B$5=2022,IF(#REF!="",M370,#REF!),IF('INHERENT MAP'!$B$5=2023,IF(#REF!="",M370,#REF!),IF('INHERENT MAP'!$B$5=2024,IF(#REF!="",M370,#REF!),IF('РЕЕСТР РИСКОВ_2023'!Q411="",M370,'РЕЕСТР РИСКОВ_2023'!Q411)))))</f>
        <v>Увеличение базовой ставки Национального банка Республики Казахстан до 16%</v>
      </c>
      <c r="N371" t="str">
        <f>IF('INHERENT MAP'!$B$5=2021,IF('РЕЕСТР РИСКОВ_2023'!R411="",N370,'РЕЕСТР РИСКОВ_2023'!R411),IF('INHERENT MAP'!$B$5=2022,IF(#REF!="",N370,#REF!),IF('INHERENT MAP'!$B$5=2023,IF(#REF!="",N370,#REF!),IF('INHERENT MAP'!$B$5=2024,IF(#REF!="",N370,#REF!),IF('РЕЕСТР РИСКОВ_2023'!R411="",N370,'РЕЕСТР РИСКОВ_2023'!R411)))))</f>
        <v>Рецессия экономики европейских стран</v>
      </c>
      <c r="O371">
        <f>'РЕЕСТР РИСКОВ_2023'!T411</f>
        <v>0</v>
      </c>
      <c r="P371" t="e">
        <f>IF('РЕЕСТР РИСКОВ_2023'!U411="",P370,'РЕЕСТР РИСКОВ_2023'!U411)</f>
        <v>#REF!</v>
      </c>
      <c r="Q371" t="str">
        <f>IF('РЕЕСТР РИСКОВ_2023'!V411="",Q370,'РЕЕСТР РИСКОВ_2023'!V411)</f>
        <v>Угрозы</v>
      </c>
      <c r="R371" t="e">
        <f>IF('РЕЕСТР РИСКОВ_2023'!W411="",R370,'РЕЕСТР РИСКОВ_2023'!W411)</f>
        <v>#REF!</v>
      </c>
      <c r="S371">
        <f>'РЕЕСТР РИСКОВ_2023'!X411</f>
        <v>0</v>
      </c>
      <c r="T371" s="94">
        <f>IF('INHERENT MAP'!$B$5=2021,'РЕЕСТР РИСКОВ_2023'!Y411,IF('INHERENT MAP'!$B$5=2022,#REF!,IF('INHERENT MAP'!$B$5=2023,#REF!,IF('INHERENT MAP'!$B$5=2024,#REF!,#REF!))))</f>
        <v>0</v>
      </c>
      <c r="U371">
        <f>IF('INHERENT MAP'!$B$5=2021,'РЕЕСТР РИСКОВ_2023'!Z411,IF('INHERENT MAP'!$B$5=2022,#REF!,IF('INHERENT MAP'!$B$5=2023,#REF!,IF('INHERENT MAP'!$B$5=2024,#REF!,#REF!))))</f>
        <v>0</v>
      </c>
      <c r="V371">
        <f>IF('INHERENT MAP'!$B$5=2021,'РЕЕСТР РИСКОВ_2023'!AA411,IF('INHERENT MAP'!$B$5=2022,#REF!,IF('INHERENT MAP'!$B$5=2023,#REF!,IF('INHERENT MAP'!$B$5=2024,#REF!,#REF!))))</f>
        <v>0</v>
      </c>
      <c r="W371">
        <f>IF('INHERENT MAP'!$B$5=2021,'РЕЕСТР РИСКОВ_2023'!AB411,IF('INHERENT MAP'!$B$5=2022,#REF!,IF('INHERENT MAP'!$B$5=2023,#REF!,IF('INHERENT MAP'!$B$5=2024,#REF!,#REF!))))</f>
        <v>0</v>
      </c>
      <c r="X371" s="94">
        <f>IF('INHERENT MAP'!$B$5=2021,'РЕЕСТР РИСКОВ_2023'!AC411,IF('INHERENT MAP'!$B$5=2022,#REF!,IF('INHERENT MAP'!$B$5=2023,#REF!,IF('INHERENT MAP'!$B$5=2024,#REF!,#REF!))))</f>
        <v>0</v>
      </c>
      <c r="Y371">
        <f>IF('INHERENT MAP'!$B$5=2021,'РЕЕСТР РИСКОВ_2023'!AD411,IF('INHERENT MAP'!$B$5=2022,#REF!,IF('INHERENT MAP'!$B$5=2023,#REF!,IF('INHERENT MAP'!$B$5=2024,#REF!,#REF!))))</f>
        <v>0</v>
      </c>
      <c r="Z371">
        <f>IF('INHERENT MAP'!$B$5=2021,'РЕЕСТР РИСКОВ_2023'!AE411,IF('INHERENT MAP'!$B$5=2022,#REF!,IF('INHERENT MAP'!$B$5=2023,#REF!,IF('INHERENT MAP'!$B$5=2024,#REF!,#REF!))))</f>
        <v>0</v>
      </c>
      <c r="AA371">
        <f>IF('INHERENT MAP'!$B$5=2021,'РЕЕСТР РИСКОВ_2023'!AF411,IF('INHERENT MAP'!$B$5=2022,#REF!,IF('INHERENT MAP'!$B$5=2023,#REF!,IF('INHERENT MAP'!$B$5=2024,#REF!,#REF!))))</f>
        <v>0</v>
      </c>
      <c r="AB371">
        <f>IF('INHERENT MAP'!$B$5=2021,'РЕЕСТР РИСКОВ_2023'!AG411,IF('INHERENT MAP'!$B$5=2022,#REF!,IF('INHERENT MAP'!$B$5=2023,#REF!,IF('INHERENT MAP'!$B$5=2024,#REF!,#REF!))))</f>
        <v>0</v>
      </c>
      <c r="AC371">
        <f>IF('INHERENT MAP'!$B$5=2021,'РЕЕСТР РИСКОВ_2023'!AH411,IF('INHERENT MAP'!$B$5=2022,#REF!,IF('INHERENT MAP'!$B$5=2023,#REF!,IF('INHERENT MAP'!$B$5=2024,#REF!,#REF!))))</f>
        <v>0</v>
      </c>
      <c r="AD371">
        <f>IF('INHERENT MAP'!$B$5=2021,'РЕЕСТР РИСКОВ_2023'!AI411,IF('INHERENT MAP'!$B$5=2022,#REF!,IF('INHERENT MAP'!$B$5=2023,#REF!,IF('INHERENT MAP'!$B$5=2024,#REF!,#REF!))))</f>
        <v>0</v>
      </c>
      <c r="AE371">
        <f>IF('INHERENT MAP'!$B$5=2021,'РЕЕСТР РИСКОВ_2023'!AK411,IF('INHERENT MAP'!$B$5=2022,#REF!,IF('INHERENT MAP'!$B$5=2023,#REF!,IF('INHERENT MAP'!$B$5=2024,#REF!,#REF!))))</f>
        <v>0</v>
      </c>
      <c r="AF371">
        <f>IF('INHERENT MAP'!$B$5=2021,'РЕЕСТР РИСКОВ_2023'!AL411,IF('INHERENT MAP'!$B$5=2022,#REF!,IF('INHERENT MAP'!$B$5=2023,#REF!,IF('INHERENT MAP'!$B$5=2024,#REF!,#REF!))))</f>
        <v>0</v>
      </c>
      <c r="AG371">
        <f>IF('INHERENT MAP'!$B$5=2021,'РЕЕСТР РИСКОВ_2023'!AM411,IF('INHERENT MAP'!$B$5=2022,#REF!,IF('INHERENT MAP'!$B$5=2023,#REF!,IF('INHERENT MAP'!$B$5=2024,#REF!,#REF!))))</f>
        <v>0</v>
      </c>
      <c r="AH371">
        <f>IF('INHERENT MAP'!$B$5=2021,'РЕЕСТР РИСКОВ_2023'!AN411,IF('INHERENT MAP'!$B$5=2022,#REF!,IF('INHERENT MAP'!$B$5=2023,#REF!,IF('INHERENT MAP'!$B$5=2024,#REF!,#REF!))))</f>
        <v>0</v>
      </c>
      <c r="AI371">
        <f>IF('INHERENT MAP'!$B$5=2021,'РЕЕСТР РИСКОВ_2023'!AO411,IF('INHERENT MAP'!$B$5=2022,#REF!,IF('INHERENT MAP'!$B$5=2023,#REF!,IF('INHERENT MAP'!$B$5=2024,#REF!,#REF!))))</f>
        <v>0</v>
      </c>
      <c r="AJ371">
        <f>IF('INHERENT MAP'!$B$5=2021,'РЕЕСТР РИСКОВ_2023'!AP411,IF('INHERENT MAP'!$B$5=2022,#REF!,IF('INHERENT MAP'!$B$5=2023,#REF!,IF('INHERENT MAP'!$B$5=2024,#REF!,#REF!))))</f>
        <v>0</v>
      </c>
      <c r="AK371">
        <f>IF('РЕЕСТР РИСКОВ_2023'!AQ411="",AK370,'РЕЕСТР РИСКОВ_2023'!AQ411)</f>
        <v>-216</v>
      </c>
      <c r="AL371">
        <f>IF('РЕЕСТР РИСКОВ_2023'!AR411="",AL370,'РЕЕСТР РИСКОВ_2023'!AR411)</f>
        <v>0.12</v>
      </c>
      <c r="AM371" t="str">
        <f>IF('РЕЕСТР РИСКОВ_2023'!AS411="",AM370,'РЕЕСТР РИСКОВ_2023'!AS411)</f>
        <v>стоп</v>
      </c>
      <c r="AN371" t="str">
        <f>IF('РЕЕСТР РИСКОВ_2023'!AT411="",AN370,'РЕЕСТР РИСКОВ_2023'!AT411)</f>
        <v>стоп</v>
      </c>
      <c r="AO371" t="e">
        <f>IF('РЕЕСТР РИСКОВ_2023'!AU411="",AO370,'РЕЕСТР РИСКОВ_2023'!AU411)</f>
        <v>#REF!</v>
      </c>
    </row>
    <row r="372" spans="2:41">
      <c r="B372" t="str">
        <f>IF('INHERENT MAP'!$B$5=2021,IF('РЕЕСТР РИСКОВ_2023'!F412="",B371,'РЕЕСТР РИСКОВ_2023'!F412),IF('INHERENT MAP'!$B$5=2022,IF(#REF!="",B371,#REF!),IF('INHERENT MAP'!$B$5=2023,IF(#REF!="",B371,#REF!),IF('INHERENT MAP'!$B$5=2024,IF(#REF!="",B371,#REF!),IF('РЕЕСТР РИСКОВ_2023'!F412="",B371,'РЕЕСТР РИСКОВ_2023'!F412)))))</f>
        <v>ПРОЦЕНТНЫЙ РИСК</v>
      </c>
      <c r="C372" t="e">
        <f>IF('INHERENT MAP'!$B$5=2021,IF('РЕЕСТР РИСКОВ_2023'!G412="",C371,'РЕЕСТР РИСКОВ_2023'!G412),IF('INHERENT MAP'!$B$5=2022,IF(#REF!="",C371,#REF!),IF('INHERENT MAP'!$B$5=2023,IF(#REF!="",C371,#REF!),IF('INHERENT MAP'!$B$5=2024,IF(#REF!="",C371,#REF!),IF('РЕЕСТР РИСКОВ_2023'!G412="",C371,'РЕЕСТР РИСКОВ_2023'!G412)))))</f>
        <v>#REF!</v>
      </c>
      <c r="D372" t="str">
        <f>IF('INHERENT MAP'!$B$5=2021,IF('РЕЕСТР РИСКОВ_2023'!H412="",D371,'РЕЕСТР РИСКОВ_2023'!H412),IF('INHERENT MAP'!$B$5=2022,IF(#REF!="",D371,#REF!),IF('INHERENT MAP'!$B$5=2023,IF(#REF!="",D371,#REF!),IF('INHERENT MAP'!$B$5=2024,IF(#REF!="",D371,#REF!),IF('РЕЕСТР РИСКОВ_2023'!H412="",D371,'РЕЕСТР РИСКОВ_2023'!H412)))))</f>
        <v>IRR-1</v>
      </c>
      <c r="E372" t="str">
        <f>IF('INHERENT MAP'!$B$5=2021,IF('РЕЕСТР РИСКОВ_2023'!I412="",E371,'РЕЕСТР РИСКОВ_2023'!I412),IF('INHERENT MAP'!$B$5=2022,IF(#REF!="",E371,#REF!),IF('INHERENT MAP'!$B$5=2023,IF(#REF!="",E371,#REF!),IF('INHERENT MAP'!$B$5=2024,IF(#REF!="",E371,#REF!),IF('РЕЕСТР РИСКОВ_2023'!I412="",E371,'РЕЕСТР РИСКОВ_2023'!I412)))))</f>
        <v>ЦЗФ</v>
      </c>
      <c r="F372" t="str">
        <f>IF('INHERENT MAP'!$B$5=2021,IF('РЕЕСТР РИСКОВ_2023'!J412="",F371,'РЕЕСТР РИСКОВ_2023'!J412),IF('INHERENT MAP'!$B$5=2022,IF(#REF!="",F371,#REF!),IF('INHERENT MAP'!$B$5=2023,IF(#REF!="",F371,#REF!),IF('INHERENT MAP'!$B$5=2024,IF(#REF!="",F371,#REF!),IF('РЕЕСТР РИСКОВ_2023'!J412="",F371,'РЕЕСТР РИСКОВ_2023'!J412)))))</f>
        <v>Цзайм</v>
      </c>
      <c r="G372" t="str">
        <f>IF('INHERENT MAP'!$B$5=2021,IF('РЕЕСТР РИСКОВ_2023'!K412="",G371,'РЕЕСТР РИСКОВ_2023'!K412),IF('INHERENT MAP'!$B$5=2022,IF(#REF!="",G371,#REF!),IF('INHERENT MAP'!$B$5=2023,IF(#REF!="",G371,#REF!),IF('INHERENT MAP'!$B$5=2024,IF(#REF!="",G371,#REF!),IF('РЕЕСТР РИСКОВ_2023'!K412="",G371,'РЕЕСТР РИСКОВ_2023'!K412)))))</f>
        <v>Увеличение расходов по процентам на новые займы, а также текущие займы (с плавающей ставкой) в тенге.</v>
      </c>
      <c r="H372">
        <f>IF('INHERENT MAP'!$B$5=2021,'РЕЕСТР РИСКОВ_2023'!L412,IF('INHERENT MAP'!$B$5=2022,#REF!,IF('INHERENT MAP'!$B$5=2023,#REF!,IF('INHERENT MAP'!$B$5=2024,#REF!,#REF!))))</f>
        <v>0</v>
      </c>
      <c r="I372">
        <f>IF('INHERENT MAP'!$B$5=2021,'РЕЕСТР РИСКОВ_2023'!M412,IF('INHERENT MAP'!$B$5=2022,#REF!,IF('INHERENT MAP'!$B$5=2023,#REF!,IF('INHERENT MAP'!$B$5=2024,#REF!,#REF!))))</f>
        <v>0</v>
      </c>
      <c r="J372">
        <f>IF('INHERENT MAP'!$B$5=2021,'РЕЕСТР РИСКОВ_2023'!N412,IF('INHERENT MAP'!$B$5=2022,#REF!,IF('INHERENT MAP'!$B$5=2023,#REF!,IF('INHERENT MAP'!$B$5=2024,#REF!,#REF!))))</f>
        <v>0</v>
      </c>
      <c r="K372">
        <f>IF('INHERENT MAP'!$B$5=2021,'РЕЕСТР РИСКОВ_2023'!O412,IF('INHERENT MAP'!$B$5=2022,#REF!,IF('INHERENT MAP'!$B$5=2023,#REF!,IF('INHERENT MAP'!$B$5=2024,#REF!,#REF!))))</f>
        <v>0</v>
      </c>
      <c r="L372">
        <f>IF('INHERENT MAP'!$B$5=2021,'РЕЕСТР РИСКОВ_2023'!P412,IF('INHERENT MAP'!$B$5=2022,#REF!,IF('INHERENT MAP'!$B$5=2023,#REF!,IF('INHERENT MAP'!$B$5=2024,#REF!,#REF!))))</f>
        <v>0</v>
      </c>
      <c r="M372" t="str">
        <f>IF('INHERENT MAP'!$B$5=2021,IF('РЕЕСТР РИСКОВ_2023'!Q412="",M371,'РЕЕСТР РИСКОВ_2023'!Q412),IF('INHERENT MAP'!$B$5=2022,IF(#REF!="",M371,#REF!),IF('INHERENT MAP'!$B$5=2023,IF(#REF!="",M371,#REF!),IF('INHERENT MAP'!$B$5=2024,IF(#REF!="",M371,#REF!),IF('РЕЕСТР РИСКОВ_2023'!Q412="",M371,'РЕЕСТР РИСКОВ_2023'!Q412)))))</f>
        <v>Увеличение базовой ставки Национального банка Республики Казахстан до 16%</v>
      </c>
      <c r="N372" t="str">
        <f>IF('INHERENT MAP'!$B$5=2021,IF('РЕЕСТР РИСКОВ_2023'!R412="",N371,'РЕЕСТР РИСКОВ_2023'!R412),IF('INHERENT MAP'!$B$5=2022,IF(#REF!="",N371,#REF!),IF('INHERENT MAP'!$B$5=2023,IF(#REF!="",N371,#REF!),IF('INHERENT MAP'!$B$5=2024,IF(#REF!="",N371,#REF!),IF('РЕЕСТР РИСКОВ_2023'!R412="",N371,'РЕЕСТР РИСКОВ_2023'!R412)))))</f>
        <v>Рецессия экономики европейских стран</v>
      </c>
      <c r="O372">
        <f>'РЕЕСТР РИСКОВ_2023'!T412</f>
        <v>0</v>
      </c>
      <c r="P372" t="e">
        <f>IF('РЕЕСТР РИСКОВ_2023'!U412="",P371,'РЕЕСТР РИСКОВ_2023'!U412)</f>
        <v>#REF!</v>
      </c>
      <c r="Q372" t="str">
        <f>IF('РЕЕСТР РИСКОВ_2023'!V412="",Q371,'РЕЕСТР РИСКОВ_2023'!V412)</f>
        <v>Угрозы</v>
      </c>
      <c r="R372" t="e">
        <f>IF('РЕЕСТР РИСКОВ_2023'!W412="",R371,'РЕЕСТР РИСКОВ_2023'!W412)</f>
        <v>#REF!</v>
      </c>
      <c r="S372">
        <f>'РЕЕСТР РИСКОВ_2023'!X412</f>
        <v>0</v>
      </c>
      <c r="T372" s="94">
        <f>IF('INHERENT MAP'!$B$5=2021,'РЕЕСТР РИСКОВ_2023'!Y412,IF('INHERENT MAP'!$B$5=2022,#REF!,IF('INHERENT MAP'!$B$5=2023,#REF!,IF('INHERENT MAP'!$B$5=2024,#REF!,#REF!))))</f>
        <v>0</v>
      </c>
      <c r="U372">
        <f>IF('INHERENT MAP'!$B$5=2021,'РЕЕСТР РИСКОВ_2023'!Z412,IF('INHERENT MAP'!$B$5=2022,#REF!,IF('INHERENT MAP'!$B$5=2023,#REF!,IF('INHERENT MAP'!$B$5=2024,#REF!,#REF!))))</f>
        <v>0</v>
      </c>
      <c r="V372">
        <f>IF('INHERENT MAP'!$B$5=2021,'РЕЕСТР РИСКОВ_2023'!AA412,IF('INHERENT MAP'!$B$5=2022,#REF!,IF('INHERENT MAP'!$B$5=2023,#REF!,IF('INHERENT MAP'!$B$5=2024,#REF!,#REF!))))</f>
        <v>0</v>
      </c>
      <c r="W372">
        <f>IF('INHERENT MAP'!$B$5=2021,'РЕЕСТР РИСКОВ_2023'!AB412,IF('INHERENT MAP'!$B$5=2022,#REF!,IF('INHERENT MAP'!$B$5=2023,#REF!,IF('INHERENT MAP'!$B$5=2024,#REF!,#REF!))))</f>
        <v>0</v>
      </c>
      <c r="X372" s="94">
        <f>IF('INHERENT MAP'!$B$5=2021,'РЕЕСТР РИСКОВ_2023'!AC412,IF('INHERENT MAP'!$B$5=2022,#REF!,IF('INHERENT MAP'!$B$5=2023,#REF!,IF('INHERENT MAP'!$B$5=2024,#REF!,#REF!))))</f>
        <v>0</v>
      </c>
      <c r="Y372">
        <f>IF('INHERENT MAP'!$B$5=2021,'РЕЕСТР РИСКОВ_2023'!AD412,IF('INHERENT MAP'!$B$5=2022,#REF!,IF('INHERENT MAP'!$B$5=2023,#REF!,IF('INHERENT MAP'!$B$5=2024,#REF!,#REF!))))</f>
        <v>0</v>
      </c>
      <c r="Z372">
        <f>IF('INHERENT MAP'!$B$5=2021,'РЕЕСТР РИСКОВ_2023'!AE412,IF('INHERENT MAP'!$B$5=2022,#REF!,IF('INHERENT MAP'!$B$5=2023,#REF!,IF('INHERENT MAP'!$B$5=2024,#REF!,#REF!))))</f>
        <v>0</v>
      </c>
      <c r="AA372">
        <f>IF('INHERENT MAP'!$B$5=2021,'РЕЕСТР РИСКОВ_2023'!AF412,IF('INHERENT MAP'!$B$5=2022,#REF!,IF('INHERENT MAP'!$B$5=2023,#REF!,IF('INHERENT MAP'!$B$5=2024,#REF!,#REF!))))</f>
        <v>0</v>
      </c>
      <c r="AB372">
        <f>IF('INHERENT MAP'!$B$5=2021,'РЕЕСТР РИСКОВ_2023'!AG412,IF('INHERENT MAP'!$B$5=2022,#REF!,IF('INHERENT MAP'!$B$5=2023,#REF!,IF('INHERENT MAP'!$B$5=2024,#REF!,#REF!))))</f>
        <v>0</v>
      </c>
      <c r="AC372">
        <f>IF('INHERENT MAP'!$B$5=2021,'РЕЕСТР РИСКОВ_2023'!AH412,IF('INHERENT MAP'!$B$5=2022,#REF!,IF('INHERENT MAP'!$B$5=2023,#REF!,IF('INHERENT MAP'!$B$5=2024,#REF!,#REF!))))</f>
        <v>0</v>
      </c>
      <c r="AD372">
        <f>IF('INHERENT MAP'!$B$5=2021,'РЕЕСТР РИСКОВ_2023'!AI412,IF('INHERENT MAP'!$B$5=2022,#REF!,IF('INHERENT MAP'!$B$5=2023,#REF!,IF('INHERENT MAP'!$B$5=2024,#REF!,#REF!))))</f>
        <v>0</v>
      </c>
      <c r="AE372">
        <f>IF('INHERENT MAP'!$B$5=2021,'РЕЕСТР РИСКОВ_2023'!AK412,IF('INHERENT MAP'!$B$5=2022,#REF!,IF('INHERENT MAP'!$B$5=2023,#REF!,IF('INHERENT MAP'!$B$5=2024,#REF!,#REF!))))</f>
        <v>0</v>
      </c>
      <c r="AF372">
        <f>IF('INHERENT MAP'!$B$5=2021,'РЕЕСТР РИСКОВ_2023'!AL412,IF('INHERENT MAP'!$B$5=2022,#REF!,IF('INHERENT MAP'!$B$5=2023,#REF!,IF('INHERENT MAP'!$B$5=2024,#REF!,#REF!))))</f>
        <v>0</v>
      </c>
      <c r="AG372">
        <f>IF('INHERENT MAP'!$B$5=2021,'РЕЕСТР РИСКОВ_2023'!AM412,IF('INHERENT MAP'!$B$5=2022,#REF!,IF('INHERENT MAP'!$B$5=2023,#REF!,IF('INHERENT MAP'!$B$5=2024,#REF!,#REF!))))</f>
        <v>0</v>
      </c>
      <c r="AH372">
        <f>IF('INHERENT MAP'!$B$5=2021,'РЕЕСТР РИСКОВ_2023'!AN412,IF('INHERENT MAP'!$B$5=2022,#REF!,IF('INHERENT MAP'!$B$5=2023,#REF!,IF('INHERENT MAP'!$B$5=2024,#REF!,#REF!))))</f>
        <v>0</v>
      </c>
      <c r="AI372">
        <f>IF('INHERENT MAP'!$B$5=2021,'РЕЕСТР РИСКОВ_2023'!AO412,IF('INHERENT MAP'!$B$5=2022,#REF!,IF('INHERENT MAP'!$B$5=2023,#REF!,IF('INHERENT MAP'!$B$5=2024,#REF!,#REF!))))</f>
        <v>0</v>
      </c>
      <c r="AJ372">
        <f>IF('INHERENT MAP'!$B$5=2021,'РЕЕСТР РИСКОВ_2023'!AP412,IF('INHERENT MAP'!$B$5=2022,#REF!,IF('INHERENT MAP'!$B$5=2023,#REF!,IF('INHERENT MAP'!$B$5=2024,#REF!,#REF!))))</f>
        <v>0</v>
      </c>
      <c r="AK372">
        <f>IF('РЕЕСТР РИСКОВ_2023'!AQ412="",AK371,'РЕЕСТР РИСКОВ_2023'!AQ412)</f>
        <v>-216</v>
      </c>
      <c r="AL372">
        <f>IF('РЕЕСТР РИСКОВ_2023'!AR412="",AL371,'РЕЕСТР РИСКОВ_2023'!AR412)</f>
        <v>0.12</v>
      </c>
      <c r="AM372" t="str">
        <f>IF('РЕЕСТР РИСКОВ_2023'!AS412="",AM371,'РЕЕСТР РИСКОВ_2023'!AS412)</f>
        <v>стоп</v>
      </c>
      <c r="AN372" t="str">
        <f>IF('РЕЕСТР РИСКОВ_2023'!AT412="",AN371,'РЕЕСТР РИСКОВ_2023'!AT412)</f>
        <v>стоп</v>
      </c>
      <c r="AO372" t="e">
        <f>IF('РЕЕСТР РИСКОВ_2023'!AU412="",AO371,'РЕЕСТР РИСКОВ_2023'!AU412)</f>
        <v>#REF!</v>
      </c>
    </row>
    <row r="373" spans="2:41">
      <c r="B373" t="str">
        <f>IF('INHERENT MAP'!$B$5=2021,IF('РЕЕСТР РИСКОВ_2023'!F413="",B372,'РЕЕСТР РИСКОВ_2023'!F413),IF('INHERENT MAP'!$B$5=2022,IF(#REF!="",B372,#REF!),IF('INHERENT MAP'!$B$5=2023,IF(#REF!="",B372,#REF!),IF('INHERENT MAP'!$B$5=2024,IF(#REF!="",B372,#REF!),IF('РЕЕСТР РИСКОВ_2023'!F413="",B372,'РЕЕСТР РИСКОВ_2023'!F413)))))</f>
        <v>ПРОЦЕНТНЫЙ РИСК</v>
      </c>
      <c r="C373" t="e">
        <f>IF('INHERENT MAP'!$B$5=2021,IF('РЕЕСТР РИСКОВ_2023'!G413="",C372,'РЕЕСТР РИСКОВ_2023'!G413),IF('INHERENT MAP'!$B$5=2022,IF(#REF!="",C372,#REF!),IF('INHERENT MAP'!$B$5=2023,IF(#REF!="",C372,#REF!),IF('INHERENT MAP'!$B$5=2024,IF(#REF!="",C372,#REF!),IF('РЕЕСТР РИСКОВ_2023'!G413="",C372,'РЕЕСТР РИСКОВ_2023'!G413)))))</f>
        <v>#REF!</v>
      </c>
      <c r="D373" t="str">
        <f>IF('INHERENT MAP'!$B$5=2021,IF('РЕЕСТР РИСКОВ_2023'!H413="",D372,'РЕЕСТР РИСКОВ_2023'!H413),IF('INHERENT MAP'!$B$5=2022,IF(#REF!="",D372,#REF!),IF('INHERENT MAP'!$B$5=2023,IF(#REF!="",D372,#REF!),IF('INHERENT MAP'!$B$5=2024,IF(#REF!="",D372,#REF!),IF('РЕЕСТР РИСКОВ_2023'!H413="",D372,'РЕЕСТР РИСКОВ_2023'!H413)))))</f>
        <v>IRR-1</v>
      </c>
      <c r="E373" t="str">
        <f>IF('INHERENT MAP'!$B$5=2021,IF('РЕЕСТР РИСКОВ_2023'!I413="",E372,'РЕЕСТР РИСКОВ_2023'!I413),IF('INHERENT MAP'!$B$5=2022,IF(#REF!="",E372,#REF!),IF('INHERENT MAP'!$B$5=2023,IF(#REF!="",E372,#REF!),IF('INHERENT MAP'!$B$5=2024,IF(#REF!="",E372,#REF!),IF('РЕЕСТР РИСКОВ_2023'!I413="",E372,'РЕЕСТР РИСКОВ_2023'!I413)))))</f>
        <v>ЦЗФ</v>
      </c>
      <c r="F373" t="str">
        <f>IF('INHERENT MAP'!$B$5=2021,IF('РЕЕСТР РИСКОВ_2023'!J413="",F372,'РЕЕСТР РИСКОВ_2023'!J413),IF('INHERENT MAP'!$B$5=2022,IF(#REF!="",F372,#REF!),IF('INHERENT MAP'!$B$5=2023,IF(#REF!="",F372,#REF!),IF('INHERENT MAP'!$B$5=2024,IF(#REF!="",F372,#REF!),IF('РЕЕСТР РИСКОВ_2023'!J413="",F372,'РЕЕСТР РИСКОВ_2023'!J413)))))</f>
        <v>Цзайм</v>
      </c>
      <c r="G373" t="str">
        <f>IF('INHERENT MAP'!$B$5=2021,IF('РЕЕСТР РИСКОВ_2023'!K413="",G372,'РЕЕСТР РИСКОВ_2023'!K413),IF('INHERENT MAP'!$B$5=2022,IF(#REF!="",G372,#REF!),IF('INHERENT MAP'!$B$5=2023,IF(#REF!="",G372,#REF!),IF('INHERENT MAP'!$B$5=2024,IF(#REF!="",G372,#REF!),IF('РЕЕСТР РИСКОВ_2023'!K413="",G372,'РЕЕСТР РИСКОВ_2023'!K413)))))</f>
        <v>Увеличение расходов по процентам на новые займы, а также текущие займы (с плавающей ставкой) в тенге.</v>
      </c>
      <c r="H373">
        <f>IF('INHERENT MAP'!$B$5=2021,'РЕЕСТР РИСКОВ_2023'!L413,IF('INHERENT MAP'!$B$5=2022,#REF!,IF('INHERENT MAP'!$B$5=2023,#REF!,IF('INHERENT MAP'!$B$5=2024,#REF!,#REF!))))</f>
        <v>0</v>
      </c>
      <c r="I373">
        <f>IF('INHERENT MAP'!$B$5=2021,'РЕЕСТР РИСКОВ_2023'!M413,IF('INHERENT MAP'!$B$5=2022,#REF!,IF('INHERENT MAP'!$B$5=2023,#REF!,IF('INHERENT MAP'!$B$5=2024,#REF!,#REF!))))</f>
        <v>0</v>
      </c>
      <c r="J373">
        <f>IF('INHERENT MAP'!$B$5=2021,'РЕЕСТР РИСКОВ_2023'!N413,IF('INHERENT MAP'!$B$5=2022,#REF!,IF('INHERENT MAP'!$B$5=2023,#REF!,IF('INHERENT MAP'!$B$5=2024,#REF!,#REF!))))</f>
        <v>0</v>
      </c>
      <c r="K373">
        <f>IF('INHERENT MAP'!$B$5=2021,'РЕЕСТР РИСКОВ_2023'!O413,IF('INHERENT MAP'!$B$5=2022,#REF!,IF('INHERENT MAP'!$B$5=2023,#REF!,IF('INHERENT MAP'!$B$5=2024,#REF!,#REF!))))</f>
        <v>0</v>
      </c>
      <c r="L373">
        <f>IF('INHERENT MAP'!$B$5=2021,'РЕЕСТР РИСКОВ_2023'!P413,IF('INHERENT MAP'!$B$5=2022,#REF!,IF('INHERENT MAP'!$B$5=2023,#REF!,IF('INHERENT MAP'!$B$5=2024,#REF!,#REF!))))</f>
        <v>0</v>
      </c>
      <c r="M373" t="str">
        <f>IF('INHERENT MAP'!$B$5=2021,IF('РЕЕСТР РИСКОВ_2023'!Q413="",M372,'РЕЕСТР РИСКОВ_2023'!Q413),IF('INHERENT MAP'!$B$5=2022,IF(#REF!="",M372,#REF!),IF('INHERENT MAP'!$B$5=2023,IF(#REF!="",M372,#REF!),IF('INHERENT MAP'!$B$5=2024,IF(#REF!="",M372,#REF!),IF('РЕЕСТР РИСКОВ_2023'!Q413="",M372,'РЕЕСТР РИСКОВ_2023'!Q413)))))</f>
        <v>Увеличение базовой ставки Национального банка Республики Казахстан до 16%</v>
      </c>
      <c r="N373" t="str">
        <f>IF('INHERENT MAP'!$B$5=2021,IF('РЕЕСТР РИСКОВ_2023'!R413="",N372,'РЕЕСТР РИСКОВ_2023'!R413),IF('INHERENT MAP'!$B$5=2022,IF(#REF!="",N372,#REF!),IF('INHERENT MAP'!$B$5=2023,IF(#REF!="",N372,#REF!),IF('INHERENT MAP'!$B$5=2024,IF(#REF!="",N372,#REF!),IF('РЕЕСТР РИСКОВ_2023'!R413="",N372,'РЕЕСТР РИСКОВ_2023'!R413)))))</f>
        <v>Рецессия экономики европейских стран</v>
      </c>
      <c r="O373">
        <f>'РЕЕСТР РИСКОВ_2023'!T413</f>
        <v>0</v>
      </c>
      <c r="P373" t="e">
        <f>IF('РЕЕСТР РИСКОВ_2023'!U413="",P372,'РЕЕСТР РИСКОВ_2023'!U413)</f>
        <v>#REF!</v>
      </c>
      <c r="Q373" t="str">
        <f>IF('РЕЕСТР РИСКОВ_2023'!V413="",Q372,'РЕЕСТР РИСКОВ_2023'!V413)</f>
        <v>Угрозы</v>
      </c>
      <c r="R373" t="e">
        <f>IF('РЕЕСТР РИСКОВ_2023'!W413="",R372,'РЕЕСТР РИСКОВ_2023'!W413)</f>
        <v>#REF!</v>
      </c>
      <c r="S373">
        <f>'РЕЕСТР РИСКОВ_2023'!X413</f>
        <v>0</v>
      </c>
      <c r="T373" s="94">
        <f>IF('INHERENT MAP'!$B$5=2021,'РЕЕСТР РИСКОВ_2023'!Y413,IF('INHERENT MAP'!$B$5=2022,#REF!,IF('INHERENT MAP'!$B$5=2023,#REF!,IF('INHERENT MAP'!$B$5=2024,#REF!,#REF!))))</f>
        <v>0</v>
      </c>
      <c r="U373">
        <f>IF('INHERENT MAP'!$B$5=2021,'РЕЕСТР РИСКОВ_2023'!Z413,IF('INHERENT MAP'!$B$5=2022,#REF!,IF('INHERENT MAP'!$B$5=2023,#REF!,IF('INHERENT MAP'!$B$5=2024,#REF!,#REF!))))</f>
        <v>0</v>
      </c>
      <c r="V373">
        <f>IF('INHERENT MAP'!$B$5=2021,'РЕЕСТР РИСКОВ_2023'!AA413,IF('INHERENT MAP'!$B$5=2022,#REF!,IF('INHERENT MAP'!$B$5=2023,#REF!,IF('INHERENT MAP'!$B$5=2024,#REF!,#REF!))))</f>
        <v>0</v>
      </c>
      <c r="W373">
        <f>IF('INHERENT MAP'!$B$5=2021,'РЕЕСТР РИСКОВ_2023'!AB413,IF('INHERENT MAP'!$B$5=2022,#REF!,IF('INHERENT MAP'!$B$5=2023,#REF!,IF('INHERENT MAP'!$B$5=2024,#REF!,#REF!))))</f>
        <v>0</v>
      </c>
      <c r="X373" s="94">
        <f>IF('INHERENT MAP'!$B$5=2021,'РЕЕСТР РИСКОВ_2023'!AC413,IF('INHERENT MAP'!$B$5=2022,#REF!,IF('INHERENT MAP'!$B$5=2023,#REF!,IF('INHERENT MAP'!$B$5=2024,#REF!,#REF!))))</f>
        <v>0</v>
      </c>
      <c r="Y373">
        <f>IF('INHERENT MAP'!$B$5=2021,'РЕЕСТР РИСКОВ_2023'!AD413,IF('INHERENT MAP'!$B$5=2022,#REF!,IF('INHERENT MAP'!$B$5=2023,#REF!,IF('INHERENT MAP'!$B$5=2024,#REF!,#REF!))))</f>
        <v>0</v>
      </c>
      <c r="Z373">
        <f>IF('INHERENT MAP'!$B$5=2021,'РЕЕСТР РИСКОВ_2023'!AE413,IF('INHERENT MAP'!$B$5=2022,#REF!,IF('INHERENT MAP'!$B$5=2023,#REF!,IF('INHERENT MAP'!$B$5=2024,#REF!,#REF!))))</f>
        <v>0</v>
      </c>
      <c r="AA373">
        <f>IF('INHERENT MAP'!$B$5=2021,'РЕЕСТР РИСКОВ_2023'!AF413,IF('INHERENT MAP'!$B$5=2022,#REF!,IF('INHERENT MAP'!$B$5=2023,#REF!,IF('INHERENT MAP'!$B$5=2024,#REF!,#REF!))))</f>
        <v>0</v>
      </c>
      <c r="AB373">
        <f>IF('INHERENT MAP'!$B$5=2021,'РЕЕСТР РИСКОВ_2023'!AG413,IF('INHERENT MAP'!$B$5=2022,#REF!,IF('INHERENT MAP'!$B$5=2023,#REF!,IF('INHERENT MAP'!$B$5=2024,#REF!,#REF!))))</f>
        <v>0</v>
      </c>
      <c r="AC373">
        <f>IF('INHERENT MAP'!$B$5=2021,'РЕЕСТР РИСКОВ_2023'!AH413,IF('INHERENT MAP'!$B$5=2022,#REF!,IF('INHERENT MAP'!$B$5=2023,#REF!,IF('INHERENT MAP'!$B$5=2024,#REF!,#REF!))))</f>
        <v>0</v>
      </c>
      <c r="AD373">
        <f>IF('INHERENT MAP'!$B$5=2021,'РЕЕСТР РИСКОВ_2023'!AI413,IF('INHERENT MAP'!$B$5=2022,#REF!,IF('INHERENT MAP'!$B$5=2023,#REF!,IF('INHERENT MAP'!$B$5=2024,#REF!,#REF!))))</f>
        <v>0</v>
      </c>
      <c r="AE373">
        <f>IF('INHERENT MAP'!$B$5=2021,'РЕЕСТР РИСКОВ_2023'!AK413,IF('INHERENT MAP'!$B$5=2022,#REF!,IF('INHERENT MAP'!$B$5=2023,#REF!,IF('INHERENT MAP'!$B$5=2024,#REF!,#REF!))))</f>
        <v>0</v>
      </c>
      <c r="AF373">
        <f>IF('INHERENT MAP'!$B$5=2021,'РЕЕСТР РИСКОВ_2023'!AL413,IF('INHERENT MAP'!$B$5=2022,#REF!,IF('INHERENT MAP'!$B$5=2023,#REF!,IF('INHERENT MAP'!$B$5=2024,#REF!,#REF!))))</f>
        <v>0</v>
      </c>
      <c r="AG373">
        <f>IF('INHERENT MAP'!$B$5=2021,'РЕЕСТР РИСКОВ_2023'!AM413,IF('INHERENT MAP'!$B$5=2022,#REF!,IF('INHERENT MAP'!$B$5=2023,#REF!,IF('INHERENT MAP'!$B$5=2024,#REF!,#REF!))))</f>
        <v>0</v>
      </c>
      <c r="AH373">
        <f>IF('INHERENT MAP'!$B$5=2021,'РЕЕСТР РИСКОВ_2023'!AN413,IF('INHERENT MAP'!$B$5=2022,#REF!,IF('INHERENT MAP'!$B$5=2023,#REF!,IF('INHERENT MAP'!$B$5=2024,#REF!,#REF!))))</f>
        <v>0</v>
      </c>
      <c r="AI373">
        <f>IF('INHERENT MAP'!$B$5=2021,'РЕЕСТР РИСКОВ_2023'!AO413,IF('INHERENT MAP'!$B$5=2022,#REF!,IF('INHERENT MAP'!$B$5=2023,#REF!,IF('INHERENT MAP'!$B$5=2024,#REF!,#REF!))))</f>
        <v>0</v>
      </c>
      <c r="AJ373">
        <f>IF('INHERENT MAP'!$B$5=2021,'РЕЕСТР РИСКОВ_2023'!AP413,IF('INHERENT MAP'!$B$5=2022,#REF!,IF('INHERENT MAP'!$B$5=2023,#REF!,IF('INHERENT MAP'!$B$5=2024,#REF!,#REF!))))</f>
        <v>0</v>
      </c>
      <c r="AK373">
        <f>IF('РЕЕСТР РИСКОВ_2023'!AQ413="",AK372,'РЕЕСТР РИСКОВ_2023'!AQ413)</f>
        <v>-216</v>
      </c>
      <c r="AL373">
        <f>IF('РЕЕСТР РИСКОВ_2023'!AR413="",AL372,'РЕЕСТР РИСКОВ_2023'!AR413)</f>
        <v>0.12</v>
      </c>
      <c r="AM373" t="str">
        <f>IF('РЕЕСТР РИСКОВ_2023'!AS413="",AM372,'РЕЕСТР РИСКОВ_2023'!AS413)</f>
        <v>стоп</v>
      </c>
      <c r="AN373" t="str">
        <f>IF('РЕЕСТР РИСКОВ_2023'!AT413="",AN372,'РЕЕСТР РИСКОВ_2023'!AT413)</f>
        <v>стоп</v>
      </c>
      <c r="AO373" t="e">
        <f>IF('РЕЕСТР РИСКОВ_2023'!AU413="",AO372,'РЕЕСТР РИСКОВ_2023'!AU413)</f>
        <v>#REF!</v>
      </c>
    </row>
    <row r="374" spans="2:41">
      <c r="B374" t="str">
        <f>IF('INHERENT MAP'!$B$5=2021,IF('РЕЕСТР РИСКОВ_2023'!F414="",B373,'РЕЕСТР РИСКОВ_2023'!F414),IF('INHERENT MAP'!$B$5=2022,IF(#REF!="",B373,#REF!),IF('INHERENT MAP'!$B$5=2023,IF(#REF!="",B373,#REF!),IF('INHERENT MAP'!$B$5=2024,IF(#REF!="",B373,#REF!),IF('РЕЕСТР РИСКОВ_2023'!F414="",B373,'РЕЕСТР РИСКОВ_2023'!F414)))))</f>
        <v>ПРОЦЕНТНЫЙ РИСК</v>
      </c>
      <c r="C374" t="e">
        <f>IF('INHERENT MAP'!$B$5=2021,IF('РЕЕСТР РИСКОВ_2023'!G414="",C373,'РЕЕСТР РИСКОВ_2023'!G414),IF('INHERENT MAP'!$B$5=2022,IF(#REF!="",C373,#REF!),IF('INHERENT MAP'!$B$5=2023,IF(#REF!="",C373,#REF!),IF('INHERENT MAP'!$B$5=2024,IF(#REF!="",C373,#REF!),IF('РЕЕСТР РИСКОВ_2023'!G414="",C373,'РЕЕСТР РИСКОВ_2023'!G414)))))</f>
        <v>#REF!</v>
      </c>
      <c r="D374" t="str">
        <f>IF('INHERENT MAP'!$B$5=2021,IF('РЕЕСТР РИСКОВ_2023'!H414="",D373,'РЕЕСТР РИСКОВ_2023'!H414),IF('INHERENT MAP'!$B$5=2022,IF(#REF!="",D373,#REF!),IF('INHERENT MAP'!$B$5=2023,IF(#REF!="",D373,#REF!),IF('INHERENT MAP'!$B$5=2024,IF(#REF!="",D373,#REF!),IF('РЕЕСТР РИСКОВ_2023'!H414="",D373,'РЕЕСТР РИСКОВ_2023'!H414)))))</f>
        <v>IRR-1</v>
      </c>
      <c r="E374" t="str">
        <f>IF('INHERENT MAP'!$B$5=2021,IF('РЕЕСТР РИСКОВ_2023'!I414="",E373,'РЕЕСТР РИСКОВ_2023'!I414),IF('INHERENT MAP'!$B$5=2022,IF(#REF!="",E373,#REF!),IF('INHERENT MAP'!$B$5=2023,IF(#REF!="",E373,#REF!),IF('INHERENT MAP'!$B$5=2024,IF(#REF!="",E373,#REF!),IF('РЕЕСТР РИСКОВ_2023'!I414="",E373,'РЕЕСТР РИСКОВ_2023'!I414)))))</f>
        <v>ЦЗФ</v>
      </c>
      <c r="F374" t="str">
        <f>IF('INHERENT MAP'!$B$5=2021,IF('РЕЕСТР РИСКОВ_2023'!J414="",F373,'РЕЕСТР РИСКОВ_2023'!J414),IF('INHERENT MAP'!$B$5=2022,IF(#REF!="",F373,#REF!),IF('INHERENT MAP'!$B$5=2023,IF(#REF!="",F373,#REF!),IF('INHERENT MAP'!$B$5=2024,IF(#REF!="",F373,#REF!),IF('РЕЕСТР РИСКОВ_2023'!J414="",F373,'РЕЕСТР РИСКОВ_2023'!J414)))))</f>
        <v>Цзайм</v>
      </c>
      <c r="G374" t="str">
        <f>IF('INHERENT MAP'!$B$5=2021,IF('РЕЕСТР РИСКОВ_2023'!K414="",G373,'РЕЕСТР РИСКОВ_2023'!K414),IF('INHERENT MAP'!$B$5=2022,IF(#REF!="",G373,#REF!),IF('INHERENT MAP'!$B$5=2023,IF(#REF!="",G373,#REF!),IF('INHERENT MAP'!$B$5=2024,IF(#REF!="",G373,#REF!),IF('РЕЕСТР РИСКОВ_2023'!K414="",G373,'РЕЕСТР РИСКОВ_2023'!K414)))))</f>
        <v>Увеличение расходов по процентам на новые займы, а также текущие займы (с плавающей ставкой) в тенге.</v>
      </c>
      <c r="H374">
        <f>IF('INHERENT MAP'!$B$5=2021,'РЕЕСТР РИСКОВ_2023'!L414,IF('INHERENT MAP'!$B$5=2022,#REF!,IF('INHERENT MAP'!$B$5=2023,#REF!,IF('INHERENT MAP'!$B$5=2024,#REF!,#REF!))))</f>
        <v>0</v>
      </c>
      <c r="I374">
        <f>IF('INHERENT MAP'!$B$5=2021,'РЕЕСТР РИСКОВ_2023'!M414,IF('INHERENT MAP'!$B$5=2022,#REF!,IF('INHERENT MAP'!$B$5=2023,#REF!,IF('INHERENT MAP'!$B$5=2024,#REF!,#REF!))))</f>
        <v>0</v>
      </c>
      <c r="J374">
        <f>IF('INHERENT MAP'!$B$5=2021,'РЕЕСТР РИСКОВ_2023'!N414,IF('INHERENT MAP'!$B$5=2022,#REF!,IF('INHERENT MAP'!$B$5=2023,#REF!,IF('INHERENT MAP'!$B$5=2024,#REF!,#REF!))))</f>
        <v>0</v>
      </c>
      <c r="K374">
        <f>IF('INHERENT MAP'!$B$5=2021,'РЕЕСТР РИСКОВ_2023'!O414,IF('INHERENT MAP'!$B$5=2022,#REF!,IF('INHERENT MAP'!$B$5=2023,#REF!,IF('INHERENT MAP'!$B$5=2024,#REF!,#REF!))))</f>
        <v>0</v>
      </c>
      <c r="L374">
        <f>IF('INHERENT MAP'!$B$5=2021,'РЕЕСТР РИСКОВ_2023'!P414,IF('INHERENT MAP'!$B$5=2022,#REF!,IF('INHERENT MAP'!$B$5=2023,#REF!,IF('INHERENT MAP'!$B$5=2024,#REF!,#REF!))))</f>
        <v>0</v>
      </c>
      <c r="M374" t="str">
        <f>IF('INHERENT MAP'!$B$5=2021,IF('РЕЕСТР РИСКОВ_2023'!Q414="",M373,'РЕЕСТР РИСКОВ_2023'!Q414),IF('INHERENT MAP'!$B$5=2022,IF(#REF!="",M373,#REF!),IF('INHERENT MAP'!$B$5=2023,IF(#REF!="",M373,#REF!),IF('INHERENT MAP'!$B$5=2024,IF(#REF!="",M373,#REF!),IF('РЕЕСТР РИСКОВ_2023'!Q414="",M373,'РЕЕСТР РИСКОВ_2023'!Q414)))))</f>
        <v>Увеличение базовой ставки Национального банка Республики Казахстан до 16%</v>
      </c>
      <c r="N374" t="str">
        <f>IF('INHERENT MAP'!$B$5=2021,IF('РЕЕСТР РИСКОВ_2023'!R414="",N373,'РЕЕСТР РИСКОВ_2023'!R414),IF('INHERENT MAP'!$B$5=2022,IF(#REF!="",N373,#REF!),IF('INHERENT MAP'!$B$5=2023,IF(#REF!="",N373,#REF!),IF('INHERENT MAP'!$B$5=2024,IF(#REF!="",N373,#REF!),IF('РЕЕСТР РИСКОВ_2023'!R414="",N373,'РЕЕСТР РИСКОВ_2023'!R414)))))</f>
        <v>Рецессия экономики европейских стран</v>
      </c>
      <c r="O374">
        <f>'РЕЕСТР РИСКОВ_2023'!T414</f>
        <v>0</v>
      </c>
      <c r="P374" t="e">
        <f>IF('РЕЕСТР РИСКОВ_2023'!U414="",P373,'РЕЕСТР РИСКОВ_2023'!U414)</f>
        <v>#REF!</v>
      </c>
      <c r="Q374" t="str">
        <f>IF('РЕЕСТР РИСКОВ_2023'!V414="",Q373,'РЕЕСТР РИСКОВ_2023'!V414)</f>
        <v>Угрозы</v>
      </c>
      <c r="R374" t="e">
        <f>IF('РЕЕСТР РИСКОВ_2023'!W414="",R373,'РЕЕСТР РИСКОВ_2023'!W414)</f>
        <v>#REF!</v>
      </c>
      <c r="S374">
        <f>'РЕЕСТР РИСКОВ_2023'!X414</f>
        <v>0</v>
      </c>
      <c r="T374" s="94">
        <f>IF('INHERENT MAP'!$B$5=2021,'РЕЕСТР РИСКОВ_2023'!Y414,IF('INHERENT MAP'!$B$5=2022,#REF!,IF('INHERENT MAP'!$B$5=2023,#REF!,IF('INHERENT MAP'!$B$5=2024,#REF!,#REF!))))</f>
        <v>0</v>
      </c>
      <c r="U374">
        <f>IF('INHERENT MAP'!$B$5=2021,'РЕЕСТР РИСКОВ_2023'!Z414,IF('INHERENT MAP'!$B$5=2022,#REF!,IF('INHERENT MAP'!$B$5=2023,#REF!,IF('INHERENT MAP'!$B$5=2024,#REF!,#REF!))))</f>
        <v>0</v>
      </c>
      <c r="V374">
        <f>IF('INHERENT MAP'!$B$5=2021,'РЕЕСТР РИСКОВ_2023'!AA414,IF('INHERENT MAP'!$B$5=2022,#REF!,IF('INHERENT MAP'!$B$5=2023,#REF!,IF('INHERENT MAP'!$B$5=2024,#REF!,#REF!))))</f>
        <v>0</v>
      </c>
      <c r="W374">
        <f>IF('INHERENT MAP'!$B$5=2021,'РЕЕСТР РИСКОВ_2023'!AB414,IF('INHERENT MAP'!$B$5=2022,#REF!,IF('INHERENT MAP'!$B$5=2023,#REF!,IF('INHERENT MAP'!$B$5=2024,#REF!,#REF!))))</f>
        <v>0</v>
      </c>
      <c r="X374" s="94">
        <f>IF('INHERENT MAP'!$B$5=2021,'РЕЕСТР РИСКОВ_2023'!AC414,IF('INHERENT MAP'!$B$5=2022,#REF!,IF('INHERENT MAP'!$B$5=2023,#REF!,IF('INHERENT MAP'!$B$5=2024,#REF!,#REF!))))</f>
        <v>0</v>
      </c>
      <c r="Y374">
        <f>IF('INHERENT MAP'!$B$5=2021,'РЕЕСТР РИСКОВ_2023'!AD414,IF('INHERENT MAP'!$B$5=2022,#REF!,IF('INHERENT MAP'!$B$5=2023,#REF!,IF('INHERENT MAP'!$B$5=2024,#REF!,#REF!))))</f>
        <v>0</v>
      </c>
      <c r="Z374">
        <f>IF('INHERENT MAP'!$B$5=2021,'РЕЕСТР РИСКОВ_2023'!AE414,IF('INHERENT MAP'!$B$5=2022,#REF!,IF('INHERENT MAP'!$B$5=2023,#REF!,IF('INHERENT MAP'!$B$5=2024,#REF!,#REF!))))</f>
        <v>0</v>
      </c>
      <c r="AA374">
        <f>IF('INHERENT MAP'!$B$5=2021,'РЕЕСТР РИСКОВ_2023'!AF414,IF('INHERENT MAP'!$B$5=2022,#REF!,IF('INHERENT MAP'!$B$5=2023,#REF!,IF('INHERENT MAP'!$B$5=2024,#REF!,#REF!))))</f>
        <v>0</v>
      </c>
      <c r="AB374">
        <f>IF('INHERENT MAP'!$B$5=2021,'РЕЕСТР РИСКОВ_2023'!AG414,IF('INHERENT MAP'!$B$5=2022,#REF!,IF('INHERENT MAP'!$B$5=2023,#REF!,IF('INHERENT MAP'!$B$5=2024,#REF!,#REF!))))</f>
        <v>0</v>
      </c>
      <c r="AC374">
        <f>IF('INHERENT MAP'!$B$5=2021,'РЕЕСТР РИСКОВ_2023'!AH414,IF('INHERENT MAP'!$B$5=2022,#REF!,IF('INHERENT MAP'!$B$5=2023,#REF!,IF('INHERENT MAP'!$B$5=2024,#REF!,#REF!))))</f>
        <v>0</v>
      </c>
      <c r="AD374">
        <f>IF('INHERENT MAP'!$B$5=2021,'РЕЕСТР РИСКОВ_2023'!AI414,IF('INHERENT MAP'!$B$5=2022,#REF!,IF('INHERENT MAP'!$B$5=2023,#REF!,IF('INHERENT MAP'!$B$5=2024,#REF!,#REF!))))</f>
        <v>0</v>
      </c>
      <c r="AE374">
        <f>IF('INHERENT MAP'!$B$5=2021,'РЕЕСТР РИСКОВ_2023'!AK414,IF('INHERENT MAP'!$B$5=2022,#REF!,IF('INHERENT MAP'!$B$5=2023,#REF!,IF('INHERENT MAP'!$B$5=2024,#REF!,#REF!))))</f>
        <v>0</v>
      </c>
      <c r="AF374">
        <f>IF('INHERENT MAP'!$B$5=2021,'РЕЕСТР РИСКОВ_2023'!AL414,IF('INHERENT MAP'!$B$5=2022,#REF!,IF('INHERENT MAP'!$B$5=2023,#REF!,IF('INHERENT MAP'!$B$5=2024,#REF!,#REF!))))</f>
        <v>0</v>
      </c>
      <c r="AG374">
        <f>IF('INHERENT MAP'!$B$5=2021,'РЕЕСТР РИСКОВ_2023'!AM414,IF('INHERENT MAP'!$B$5=2022,#REF!,IF('INHERENT MAP'!$B$5=2023,#REF!,IF('INHERENT MAP'!$B$5=2024,#REF!,#REF!))))</f>
        <v>0</v>
      </c>
      <c r="AH374">
        <f>IF('INHERENT MAP'!$B$5=2021,'РЕЕСТР РИСКОВ_2023'!AN414,IF('INHERENT MAP'!$B$5=2022,#REF!,IF('INHERENT MAP'!$B$5=2023,#REF!,IF('INHERENT MAP'!$B$5=2024,#REF!,#REF!))))</f>
        <v>0</v>
      </c>
      <c r="AI374">
        <f>IF('INHERENT MAP'!$B$5=2021,'РЕЕСТР РИСКОВ_2023'!AO414,IF('INHERENT MAP'!$B$5=2022,#REF!,IF('INHERENT MAP'!$B$5=2023,#REF!,IF('INHERENT MAP'!$B$5=2024,#REF!,#REF!))))</f>
        <v>0</v>
      </c>
      <c r="AJ374">
        <f>IF('INHERENT MAP'!$B$5=2021,'РЕЕСТР РИСКОВ_2023'!AP414,IF('INHERENT MAP'!$B$5=2022,#REF!,IF('INHERENT MAP'!$B$5=2023,#REF!,IF('INHERENT MAP'!$B$5=2024,#REF!,#REF!))))</f>
        <v>0</v>
      </c>
      <c r="AK374">
        <f>IF('РЕЕСТР РИСКОВ_2023'!AQ414="",AK373,'РЕЕСТР РИСКОВ_2023'!AQ414)</f>
        <v>-216</v>
      </c>
      <c r="AL374">
        <f>IF('РЕЕСТР РИСКОВ_2023'!AR414="",AL373,'РЕЕСТР РИСКОВ_2023'!AR414)</f>
        <v>0.12</v>
      </c>
      <c r="AM374" t="str">
        <f>IF('РЕЕСТР РИСКОВ_2023'!AS414="",AM373,'РЕЕСТР РИСКОВ_2023'!AS414)</f>
        <v>стоп</v>
      </c>
      <c r="AN374" t="str">
        <f>IF('РЕЕСТР РИСКОВ_2023'!AT414="",AN373,'РЕЕСТР РИСКОВ_2023'!AT414)</f>
        <v>стоп</v>
      </c>
      <c r="AO374" t="e">
        <f>IF('РЕЕСТР РИСКОВ_2023'!AU414="",AO373,'РЕЕСТР РИСКОВ_2023'!AU414)</f>
        <v>#REF!</v>
      </c>
    </row>
    <row r="375" spans="2:41">
      <c r="B375" t="str">
        <f>IF('INHERENT MAP'!$B$5=2021,IF('РЕЕСТР РИСКОВ_2023'!F415="",B374,'РЕЕСТР РИСКОВ_2023'!F415),IF('INHERENT MAP'!$B$5=2022,IF(#REF!="",B374,#REF!),IF('INHERENT MAP'!$B$5=2023,IF(#REF!="",B374,#REF!),IF('INHERENT MAP'!$B$5=2024,IF(#REF!="",B374,#REF!),IF('РЕЕСТР РИСКОВ_2023'!F415="",B374,'РЕЕСТР РИСКОВ_2023'!F415)))))</f>
        <v>ПРОЦЕНТНЫЙ РИСК</v>
      </c>
      <c r="C375" t="e">
        <f>IF('INHERENT MAP'!$B$5=2021,IF('РЕЕСТР РИСКОВ_2023'!G415="",C374,'РЕЕСТР РИСКОВ_2023'!G415),IF('INHERENT MAP'!$B$5=2022,IF(#REF!="",C374,#REF!),IF('INHERENT MAP'!$B$5=2023,IF(#REF!="",C374,#REF!),IF('INHERENT MAP'!$B$5=2024,IF(#REF!="",C374,#REF!),IF('РЕЕСТР РИСКОВ_2023'!G415="",C374,'РЕЕСТР РИСКОВ_2023'!G415)))))</f>
        <v>#REF!</v>
      </c>
      <c r="D375" t="str">
        <f>IF('INHERENT MAP'!$B$5=2021,IF('РЕЕСТР РИСКОВ_2023'!H415="",D374,'РЕЕСТР РИСКОВ_2023'!H415),IF('INHERENT MAP'!$B$5=2022,IF(#REF!="",D374,#REF!),IF('INHERENT MAP'!$B$5=2023,IF(#REF!="",D374,#REF!),IF('INHERENT MAP'!$B$5=2024,IF(#REF!="",D374,#REF!),IF('РЕЕСТР РИСКОВ_2023'!H415="",D374,'РЕЕСТР РИСКОВ_2023'!H415)))))</f>
        <v>IRR-1</v>
      </c>
      <c r="E375" t="str">
        <f>IF('INHERENT MAP'!$B$5=2021,IF('РЕЕСТР РИСКОВ_2023'!I415="",E374,'РЕЕСТР РИСКОВ_2023'!I415),IF('INHERENT MAP'!$B$5=2022,IF(#REF!="",E374,#REF!),IF('INHERENT MAP'!$B$5=2023,IF(#REF!="",E374,#REF!),IF('INHERENT MAP'!$B$5=2024,IF(#REF!="",E374,#REF!),IF('РЕЕСТР РИСКОВ_2023'!I415="",E374,'РЕЕСТР РИСКОВ_2023'!I415)))))</f>
        <v>ЦЗФ</v>
      </c>
      <c r="F375" t="str">
        <f>IF('INHERENT MAP'!$B$5=2021,IF('РЕЕСТР РИСКОВ_2023'!J415="",F374,'РЕЕСТР РИСКОВ_2023'!J415),IF('INHERENT MAP'!$B$5=2022,IF(#REF!="",F374,#REF!),IF('INHERENT MAP'!$B$5=2023,IF(#REF!="",F374,#REF!),IF('INHERENT MAP'!$B$5=2024,IF(#REF!="",F374,#REF!),IF('РЕЕСТР РИСКОВ_2023'!J415="",F374,'РЕЕСТР РИСКОВ_2023'!J415)))))</f>
        <v>Цзайм</v>
      </c>
      <c r="G375" t="str">
        <f>IF('INHERENT MAP'!$B$5=2021,IF('РЕЕСТР РИСКОВ_2023'!K415="",G374,'РЕЕСТР РИСКОВ_2023'!K415),IF('INHERENT MAP'!$B$5=2022,IF(#REF!="",G374,#REF!),IF('INHERENT MAP'!$B$5=2023,IF(#REF!="",G374,#REF!),IF('INHERENT MAP'!$B$5=2024,IF(#REF!="",G374,#REF!),IF('РЕЕСТР РИСКОВ_2023'!K415="",G374,'РЕЕСТР РИСКОВ_2023'!K415)))))</f>
        <v>Увеличение расходов по процентам на новые займы, а также текущие займы (с плавающей ставкой) в тенге.</v>
      </c>
      <c r="H375">
        <f>IF('INHERENT MAP'!$B$5=2021,'РЕЕСТР РИСКОВ_2023'!L415,IF('INHERENT MAP'!$B$5=2022,#REF!,IF('INHERENT MAP'!$B$5=2023,#REF!,IF('INHERENT MAP'!$B$5=2024,#REF!,#REF!))))</f>
        <v>0</v>
      </c>
      <c r="I375">
        <f>IF('INHERENT MAP'!$B$5=2021,'РЕЕСТР РИСКОВ_2023'!M415,IF('INHERENT MAP'!$B$5=2022,#REF!,IF('INHERENT MAP'!$B$5=2023,#REF!,IF('INHERENT MAP'!$B$5=2024,#REF!,#REF!))))</f>
        <v>0</v>
      </c>
      <c r="J375">
        <f>IF('INHERENT MAP'!$B$5=2021,'РЕЕСТР РИСКОВ_2023'!N415,IF('INHERENT MAP'!$B$5=2022,#REF!,IF('INHERENT MAP'!$B$5=2023,#REF!,IF('INHERENT MAP'!$B$5=2024,#REF!,#REF!))))</f>
        <v>0</v>
      </c>
      <c r="K375">
        <f>IF('INHERENT MAP'!$B$5=2021,'РЕЕСТР РИСКОВ_2023'!O415,IF('INHERENT MAP'!$B$5=2022,#REF!,IF('INHERENT MAP'!$B$5=2023,#REF!,IF('INHERENT MAP'!$B$5=2024,#REF!,#REF!))))</f>
        <v>0</v>
      </c>
      <c r="L375">
        <f>IF('INHERENT MAP'!$B$5=2021,'РЕЕСТР РИСКОВ_2023'!P415,IF('INHERENT MAP'!$B$5=2022,#REF!,IF('INHERENT MAP'!$B$5=2023,#REF!,IF('INHERENT MAP'!$B$5=2024,#REF!,#REF!))))</f>
        <v>0</v>
      </c>
      <c r="M375" t="str">
        <f>IF('INHERENT MAP'!$B$5=2021,IF('РЕЕСТР РИСКОВ_2023'!Q415="",M374,'РЕЕСТР РИСКОВ_2023'!Q415),IF('INHERENT MAP'!$B$5=2022,IF(#REF!="",M374,#REF!),IF('INHERENT MAP'!$B$5=2023,IF(#REF!="",M374,#REF!),IF('INHERENT MAP'!$B$5=2024,IF(#REF!="",M374,#REF!),IF('РЕЕСТР РИСКОВ_2023'!Q415="",M374,'РЕЕСТР РИСКОВ_2023'!Q415)))))</f>
        <v>Увеличение базовой ставки Национального банка Республики Казахстан до 16%</v>
      </c>
      <c r="N375" t="str">
        <f>IF('INHERENT MAP'!$B$5=2021,IF('РЕЕСТР РИСКОВ_2023'!R415="",N374,'РЕЕСТР РИСКОВ_2023'!R415),IF('INHERENT MAP'!$B$5=2022,IF(#REF!="",N374,#REF!),IF('INHERENT MAP'!$B$5=2023,IF(#REF!="",N374,#REF!),IF('INHERENT MAP'!$B$5=2024,IF(#REF!="",N374,#REF!),IF('РЕЕСТР РИСКОВ_2023'!R415="",N374,'РЕЕСТР РИСКОВ_2023'!R415)))))</f>
        <v>Рецессия экономики европейских стран</v>
      </c>
      <c r="O375">
        <f>'РЕЕСТР РИСКОВ_2023'!T415</f>
        <v>0</v>
      </c>
      <c r="P375" t="e">
        <f>IF('РЕЕСТР РИСКОВ_2023'!U415="",P374,'РЕЕСТР РИСКОВ_2023'!U415)</f>
        <v>#REF!</v>
      </c>
      <c r="Q375" t="str">
        <f>IF('РЕЕСТР РИСКОВ_2023'!V415="",Q374,'РЕЕСТР РИСКОВ_2023'!V415)</f>
        <v>Угрозы</v>
      </c>
      <c r="R375" t="e">
        <f>IF('РЕЕСТР РИСКОВ_2023'!W415="",R374,'РЕЕСТР РИСКОВ_2023'!W415)</f>
        <v>#REF!</v>
      </c>
      <c r="S375">
        <f>'РЕЕСТР РИСКОВ_2023'!X415</f>
        <v>0</v>
      </c>
      <c r="T375" s="94">
        <f>IF('INHERENT MAP'!$B$5=2021,'РЕЕСТР РИСКОВ_2023'!Y415,IF('INHERENT MAP'!$B$5=2022,#REF!,IF('INHERENT MAP'!$B$5=2023,#REF!,IF('INHERENT MAP'!$B$5=2024,#REF!,#REF!))))</f>
        <v>0</v>
      </c>
      <c r="U375">
        <f>IF('INHERENT MAP'!$B$5=2021,'РЕЕСТР РИСКОВ_2023'!Z415,IF('INHERENT MAP'!$B$5=2022,#REF!,IF('INHERENT MAP'!$B$5=2023,#REF!,IF('INHERENT MAP'!$B$5=2024,#REF!,#REF!))))</f>
        <v>0</v>
      </c>
      <c r="V375">
        <f>IF('INHERENT MAP'!$B$5=2021,'РЕЕСТР РИСКОВ_2023'!AA415,IF('INHERENT MAP'!$B$5=2022,#REF!,IF('INHERENT MAP'!$B$5=2023,#REF!,IF('INHERENT MAP'!$B$5=2024,#REF!,#REF!))))</f>
        <v>0</v>
      </c>
      <c r="W375">
        <f>IF('INHERENT MAP'!$B$5=2021,'РЕЕСТР РИСКОВ_2023'!AB415,IF('INHERENT MAP'!$B$5=2022,#REF!,IF('INHERENT MAP'!$B$5=2023,#REF!,IF('INHERENT MAP'!$B$5=2024,#REF!,#REF!))))</f>
        <v>0</v>
      </c>
      <c r="X375" s="94">
        <f>IF('INHERENT MAP'!$B$5=2021,'РЕЕСТР РИСКОВ_2023'!AC415,IF('INHERENT MAP'!$B$5=2022,#REF!,IF('INHERENT MAP'!$B$5=2023,#REF!,IF('INHERENT MAP'!$B$5=2024,#REF!,#REF!))))</f>
        <v>0</v>
      </c>
      <c r="Y375">
        <f>IF('INHERENT MAP'!$B$5=2021,'РЕЕСТР РИСКОВ_2023'!AD415,IF('INHERENT MAP'!$B$5=2022,#REF!,IF('INHERENT MAP'!$B$5=2023,#REF!,IF('INHERENT MAP'!$B$5=2024,#REF!,#REF!))))</f>
        <v>0</v>
      </c>
      <c r="Z375">
        <f>IF('INHERENT MAP'!$B$5=2021,'РЕЕСТР РИСКОВ_2023'!AE415,IF('INHERENT MAP'!$B$5=2022,#REF!,IF('INHERENT MAP'!$B$5=2023,#REF!,IF('INHERENT MAP'!$B$5=2024,#REF!,#REF!))))</f>
        <v>0</v>
      </c>
      <c r="AA375">
        <f>IF('INHERENT MAP'!$B$5=2021,'РЕЕСТР РИСКОВ_2023'!AF415,IF('INHERENT MAP'!$B$5=2022,#REF!,IF('INHERENT MAP'!$B$5=2023,#REF!,IF('INHERENT MAP'!$B$5=2024,#REF!,#REF!))))</f>
        <v>0</v>
      </c>
      <c r="AB375">
        <f>IF('INHERENT MAP'!$B$5=2021,'РЕЕСТР РИСКОВ_2023'!AG415,IF('INHERENT MAP'!$B$5=2022,#REF!,IF('INHERENT MAP'!$B$5=2023,#REF!,IF('INHERENT MAP'!$B$5=2024,#REF!,#REF!))))</f>
        <v>0</v>
      </c>
      <c r="AC375">
        <f>IF('INHERENT MAP'!$B$5=2021,'РЕЕСТР РИСКОВ_2023'!AH415,IF('INHERENT MAP'!$B$5=2022,#REF!,IF('INHERENT MAP'!$B$5=2023,#REF!,IF('INHERENT MAP'!$B$5=2024,#REF!,#REF!))))</f>
        <v>0</v>
      </c>
      <c r="AD375">
        <f>IF('INHERENT MAP'!$B$5=2021,'РЕЕСТР РИСКОВ_2023'!AI415,IF('INHERENT MAP'!$B$5=2022,#REF!,IF('INHERENT MAP'!$B$5=2023,#REF!,IF('INHERENT MAP'!$B$5=2024,#REF!,#REF!))))</f>
        <v>0</v>
      </c>
      <c r="AE375">
        <f>IF('INHERENT MAP'!$B$5=2021,'РЕЕСТР РИСКОВ_2023'!AK415,IF('INHERENT MAP'!$B$5=2022,#REF!,IF('INHERENT MAP'!$B$5=2023,#REF!,IF('INHERENT MAP'!$B$5=2024,#REF!,#REF!))))</f>
        <v>0</v>
      </c>
      <c r="AF375">
        <f>IF('INHERENT MAP'!$B$5=2021,'РЕЕСТР РИСКОВ_2023'!AL415,IF('INHERENT MAP'!$B$5=2022,#REF!,IF('INHERENT MAP'!$B$5=2023,#REF!,IF('INHERENT MAP'!$B$5=2024,#REF!,#REF!))))</f>
        <v>0</v>
      </c>
      <c r="AG375">
        <f>IF('INHERENT MAP'!$B$5=2021,'РЕЕСТР РИСКОВ_2023'!AM415,IF('INHERENT MAP'!$B$5=2022,#REF!,IF('INHERENT MAP'!$B$5=2023,#REF!,IF('INHERENT MAP'!$B$5=2024,#REF!,#REF!))))</f>
        <v>0</v>
      </c>
      <c r="AH375">
        <f>IF('INHERENT MAP'!$B$5=2021,'РЕЕСТР РИСКОВ_2023'!AN415,IF('INHERENT MAP'!$B$5=2022,#REF!,IF('INHERENT MAP'!$B$5=2023,#REF!,IF('INHERENT MAP'!$B$5=2024,#REF!,#REF!))))</f>
        <v>0</v>
      </c>
      <c r="AI375">
        <f>IF('INHERENT MAP'!$B$5=2021,'РЕЕСТР РИСКОВ_2023'!AO415,IF('INHERENT MAP'!$B$5=2022,#REF!,IF('INHERENT MAP'!$B$5=2023,#REF!,IF('INHERENT MAP'!$B$5=2024,#REF!,#REF!))))</f>
        <v>0</v>
      </c>
      <c r="AJ375">
        <f>IF('INHERENT MAP'!$B$5=2021,'РЕЕСТР РИСКОВ_2023'!AP415,IF('INHERENT MAP'!$B$5=2022,#REF!,IF('INHERENT MAP'!$B$5=2023,#REF!,IF('INHERENT MAP'!$B$5=2024,#REF!,#REF!))))</f>
        <v>0</v>
      </c>
      <c r="AK375">
        <f>IF('РЕЕСТР РИСКОВ_2023'!AQ415="",AK374,'РЕЕСТР РИСКОВ_2023'!AQ415)</f>
        <v>-216</v>
      </c>
      <c r="AL375">
        <f>IF('РЕЕСТР РИСКОВ_2023'!AR415="",AL374,'РЕЕСТР РИСКОВ_2023'!AR415)</f>
        <v>0.12</v>
      </c>
      <c r="AM375" t="str">
        <f>IF('РЕЕСТР РИСКОВ_2023'!AS415="",AM374,'РЕЕСТР РИСКОВ_2023'!AS415)</f>
        <v>стоп</v>
      </c>
      <c r="AN375" t="str">
        <f>IF('РЕЕСТР РИСКОВ_2023'!AT415="",AN374,'РЕЕСТР РИСКОВ_2023'!AT415)</f>
        <v>стоп</v>
      </c>
      <c r="AO375" t="e">
        <f>IF('РЕЕСТР РИСКОВ_2023'!AU415="",AO374,'РЕЕСТР РИСКОВ_2023'!AU415)</f>
        <v>#REF!</v>
      </c>
    </row>
    <row r="376" spans="2:41">
      <c r="B376" t="str">
        <f>IF('INHERENT MAP'!$B$5=2021,IF('РЕЕСТР РИСКОВ_2023'!F416="",B375,'РЕЕСТР РИСКОВ_2023'!F416),IF('INHERENT MAP'!$B$5=2022,IF(#REF!="",B375,#REF!),IF('INHERENT MAP'!$B$5=2023,IF(#REF!="",B375,#REF!),IF('INHERENT MAP'!$B$5=2024,IF(#REF!="",B375,#REF!),IF('РЕЕСТР РИСКОВ_2023'!F416="",B375,'РЕЕСТР РИСКОВ_2023'!F416)))))</f>
        <v>ПРОЦЕНТНЫЙ РИСК</v>
      </c>
      <c r="C376" t="e">
        <f>IF('INHERENT MAP'!$B$5=2021,IF('РЕЕСТР РИСКОВ_2023'!G416="",C375,'РЕЕСТР РИСКОВ_2023'!G416),IF('INHERENT MAP'!$B$5=2022,IF(#REF!="",C375,#REF!),IF('INHERENT MAP'!$B$5=2023,IF(#REF!="",C375,#REF!),IF('INHERENT MAP'!$B$5=2024,IF(#REF!="",C375,#REF!),IF('РЕЕСТР РИСКОВ_2023'!G416="",C375,'РЕЕСТР РИСКОВ_2023'!G416)))))</f>
        <v>#REF!</v>
      </c>
      <c r="D376" t="str">
        <f>IF('INHERENT MAP'!$B$5=2021,IF('РЕЕСТР РИСКОВ_2023'!H416="",D375,'РЕЕСТР РИСКОВ_2023'!H416),IF('INHERENT MAP'!$B$5=2022,IF(#REF!="",D375,#REF!),IF('INHERENT MAP'!$B$5=2023,IF(#REF!="",D375,#REF!),IF('INHERENT MAP'!$B$5=2024,IF(#REF!="",D375,#REF!),IF('РЕЕСТР РИСКОВ_2023'!H416="",D375,'РЕЕСТР РИСКОВ_2023'!H416)))))</f>
        <v>IRR-1</v>
      </c>
      <c r="E376" t="str">
        <f>IF('INHERENT MAP'!$B$5=2021,IF('РЕЕСТР РИСКОВ_2023'!I416="",E375,'РЕЕСТР РИСКОВ_2023'!I416),IF('INHERENT MAP'!$B$5=2022,IF(#REF!="",E375,#REF!),IF('INHERENT MAP'!$B$5=2023,IF(#REF!="",E375,#REF!),IF('INHERENT MAP'!$B$5=2024,IF(#REF!="",E375,#REF!),IF('РЕЕСТР РИСКОВ_2023'!I416="",E375,'РЕЕСТР РИСКОВ_2023'!I416)))))</f>
        <v>ЦЗФ</v>
      </c>
      <c r="F376" t="str">
        <f>IF('INHERENT MAP'!$B$5=2021,IF('РЕЕСТР РИСКОВ_2023'!J416="",F375,'РЕЕСТР РИСКОВ_2023'!J416),IF('INHERENT MAP'!$B$5=2022,IF(#REF!="",F375,#REF!),IF('INHERENT MAP'!$B$5=2023,IF(#REF!="",F375,#REF!),IF('INHERENT MAP'!$B$5=2024,IF(#REF!="",F375,#REF!),IF('РЕЕСТР РИСКОВ_2023'!J416="",F375,'РЕЕСТР РИСКОВ_2023'!J416)))))</f>
        <v>Цзайм</v>
      </c>
      <c r="G376" t="str">
        <f>IF('INHERENT MAP'!$B$5=2021,IF('РЕЕСТР РИСКОВ_2023'!K416="",G375,'РЕЕСТР РИСКОВ_2023'!K416),IF('INHERENT MAP'!$B$5=2022,IF(#REF!="",G375,#REF!),IF('INHERENT MAP'!$B$5=2023,IF(#REF!="",G375,#REF!),IF('INHERENT MAP'!$B$5=2024,IF(#REF!="",G375,#REF!),IF('РЕЕСТР РИСКОВ_2023'!K416="",G375,'РЕЕСТР РИСКОВ_2023'!K416)))))</f>
        <v>Увеличение расходов по процентам на новые займы, а также текущие займы (с плавающей ставкой) в тенге.</v>
      </c>
      <c r="H376">
        <f>IF('INHERENT MAP'!$B$5=2021,'РЕЕСТР РИСКОВ_2023'!L416,IF('INHERENT MAP'!$B$5=2022,#REF!,IF('INHERENT MAP'!$B$5=2023,#REF!,IF('INHERENT MAP'!$B$5=2024,#REF!,#REF!))))</f>
        <v>0</v>
      </c>
      <c r="I376">
        <f>IF('INHERENT MAP'!$B$5=2021,'РЕЕСТР РИСКОВ_2023'!M416,IF('INHERENT MAP'!$B$5=2022,#REF!,IF('INHERENT MAP'!$B$5=2023,#REF!,IF('INHERENT MAP'!$B$5=2024,#REF!,#REF!))))</f>
        <v>0</v>
      </c>
      <c r="J376">
        <f>IF('INHERENT MAP'!$B$5=2021,'РЕЕСТР РИСКОВ_2023'!N416,IF('INHERENT MAP'!$B$5=2022,#REF!,IF('INHERENT MAP'!$B$5=2023,#REF!,IF('INHERENT MAP'!$B$5=2024,#REF!,#REF!))))</f>
        <v>0</v>
      </c>
      <c r="K376">
        <f>IF('INHERENT MAP'!$B$5=2021,'РЕЕСТР РИСКОВ_2023'!O416,IF('INHERENT MAP'!$B$5=2022,#REF!,IF('INHERENT MAP'!$B$5=2023,#REF!,IF('INHERENT MAP'!$B$5=2024,#REF!,#REF!))))</f>
        <v>0</v>
      </c>
      <c r="L376">
        <f>IF('INHERENT MAP'!$B$5=2021,'РЕЕСТР РИСКОВ_2023'!P416,IF('INHERENT MAP'!$B$5=2022,#REF!,IF('INHERENT MAP'!$B$5=2023,#REF!,IF('INHERENT MAP'!$B$5=2024,#REF!,#REF!))))</f>
        <v>0</v>
      </c>
      <c r="M376" t="str">
        <f>IF('INHERENT MAP'!$B$5=2021,IF('РЕЕСТР РИСКОВ_2023'!Q416="",M375,'РЕЕСТР РИСКОВ_2023'!Q416),IF('INHERENT MAP'!$B$5=2022,IF(#REF!="",M375,#REF!),IF('INHERENT MAP'!$B$5=2023,IF(#REF!="",M375,#REF!),IF('INHERENT MAP'!$B$5=2024,IF(#REF!="",M375,#REF!),IF('РЕЕСТР РИСКОВ_2023'!Q416="",M375,'РЕЕСТР РИСКОВ_2023'!Q416)))))</f>
        <v>Увеличение базовой ставки Национального банка Республики Казахстан до 16%</v>
      </c>
      <c r="N376" t="str">
        <f>IF('INHERENT MAP'!$B$5=2021,IF('РЕЕСТР РИСКОВ_2023'!R416="",N375,'РЕЕСТР РИСКОВ_2023'!R416),IF('INHERENT MAP'!$B$5=2022,IF(#REF!="",N375,#REF!),IF('INHERENT MAP'!$B$5=2023,IF(#REF!="",N375,#REF!),IF('INHERENT MAP'!$B$5=2024,IF(#REF!="",N375,#REF!),IF('РЕЕСТР РИСКОВ_2023'!R416="",N375,'РЕЕСТР РИСКОВ_2023'!R416)))))</f>
        <v>Рецессия экономики европейских стран</v>
      </c>
      <c r="O376">
        <f>'РЕЕСТР РИСКОВ_2023'!T416</f>
        <v>0</v>
      </c>
      <c r="P376" t="e">
        <f>IF('РЕЕСТР РИСКОВ_2023'!U416="",P375,'РЕЕСТР РИСКОВ_2023'!U416)</f>
        <v>#REF!</v>
      </c>
      <c r="Q376" t="str">
        <f>IF('РЕЕСТР РИСКОВ_2023'!V416="",Q375,'РЕЕСТР РИСКОВ_2023'!V416)</f>
        <v>Угрозы</v>
      </c>
      <c r="R376" t="e">
        <f>IF('РЕЕСТР РИСКОВ_2023'!W416="",R375,'РЕЕСТР РИСКОВ_2023'!W416)</f>
        <v>#REF!</v>
      </c>
      <c r="S376">
        <f>'РЕЕСТР РИСКОВ_2023'!X416</f>
        <v>0</v>
      </c>
      <c r="T376" s="94">
        <f>IF('INHERENT MAP'!$B$5=2021,'РЕЕСТР РИСКОВ_2023'!Y416,IF('INHERENT MAP'!$B$5=2022,#REF!,IF('INHERENT MAP'!$B$5=2023,#REF!,IF('INHERENT MAP'!$B$5=2024,#REF!,#REF!))))</f>
        <v>0</v>
      </c>
      <c r="U376">
        <f>IF('INHERENT MAP'!$B$5=2021,'РЕЕСТР РИСКОВ_2023'!Z416,IF('INHERENT MAP'!$B$5=2022,#REF!,IF('INHERENT MAP'!$B$5=2023,#REF!,IF('INHERENT MAP'!$B$5=2024,#REF!,#REF!))))</f>
        <v>0</v>
      </c>
      <c r="V376">
        <f>IF('INHERENT MAP'!$B$5=2021,'РЕЕСТР РИСКОВ_2023'!AA416,IF('INHERENT MAP'!$B$5=2022,#REF!,IF('INHERENT MAP'!$B$5=2023,#REF!,IF('INHERENT MAP'!$B$5=2024,#REF!,#REF!))))</f>
        <v>0</v>
      </c>
      <c r="W376">
        <f>IF('INHERENT MAP'!$B$5=2021,'РЕЕСТР РИСКОВ_2023'!AB416,IF('INHERENT MAP'!$B$5=2022,#REF!,IF('INHERENT MAP'!$B$5=2023,#REF!,IF('INHERENT MAP'!$B$5=2024,#REF!,#REF!))))</f>
        <v>0</v>
      </c>
      <c r="X376" s="94">
        <f>IF('INHERENT MAP'!$B$5=2021,'РЕЕСТР РИСКОВ_2023'!AC416,IF('INHERENT MAP'!$B$5=2022,#REF!,IF('INHERENT MAP'!$B$5=2023,#REF!,IF('INHERENT MAP'!$B$5=2024,#REF!,#REF!))))</f>
        <v>0</v>
      </c>
      <c r="Y376">
        <f>IF('INHERENT MAP'!$B$5=2021,'РЕЕСТР РИСКОВ_2023'!AD416,IF('INHERENT MAP'!$B$5=2022,#REF!,IF('INHERENT MAP'!$B$5=2023,#REF!,IF('INHERENT MAP'!$B$5=2024,#REF!,#REF!))))</f>
        <v>0</v>
      </c>
      <c r="Z376">
        <f>IF('INHERENT MAP'!$B$5=2021,'РЕЕСТР РИСКОВ_2023'!AE416,IF('INHERENT MAP'!$B$5=2022,#REF!,IF('INHERENT MAP'!$B$5=2023,#REF!,IF('INHERENT MAP'!$B$5=2024,#REF!,#REF!))))</f>
        <v>0</v>
      </c>
      <c r="AA376">
        <f>IF('INHERENT MAP'!$B$5=2021,'РЕЕСТР РИСКОВ_2023'!AF416,IF('INHERENT MAP'!$B$5=2022,#REF!,IF('INHERENT MAP'!$B$5=2023,#REF!,IF('INHERENT MAP'!$B$5=2024,#REF!,#REF!))))</f>
        <v>0</v>
      </c>
      <c r="AB376">
        <f>IF('INHERENT MAP'!$B$5=2021,'РЕЕСТР РИСКОВ_2023'!AG416,IF('INHERENT MAP'!$B$5=2022,#REF!,IF('INHERENT MAP'!$B$5=2023,#REF!,IF('INHERENT MAP'!$B$5=2024,#REF!,#REF!))))</f>
        <v>0</v>
      </c>
      <c r="AC376">
        <f>IF('INHERENT MAP'!$B$5=2021,'РЕЕСТР РИСКОВ_2023'!AH416,IF('INHERENT MAP'!$B$5=2022,#REF!,IF('INHERENT MAP'!$B$5=2023,#REF!,IF('INHERENT MAP'!$B$5=2024,#REF!,#REF!))))</f>
        <v>0</v>
      </c>
      <c r="AD376">
        <f>IF('INHERENT MAP'!$B$5=2021,'РЕЕСТР РИСКОВ_2023'!AI416,IF('INHERENT MAP'!$B$5=2022,#REF!,IF('INHERENT MAP'!$B$5=2023,#REF!,IF('INHERENT MAP'!$B$5=2024,#REF!,#REF!))))</f>
        <v>0</v>
      </c>
      <c r="AE376">
        <f>IF('INHERENT MAP'!$B$5=2021,'РЕЕСТР РИСКОВ_2023'!AK416,IF('INHERENT MAP'!$B$5=2022,#REF!,IF('INHERENT MAP'!$B$5=2023,#REF!,IF('INHERENT MAP'!$B$5=2024,#REF!,#REF!))))</f>
        <v>0</v>
      </c>
      <c r="AF376">
        <f>IF('INHERENT MAP'!$B$5=2021,'РЕЕСТР РИСКОВ_2023'!AL416,IF('INHERENT MAP'!$B$5=2022,#REF!,IF('INHERENT MAP'!$B$5=2023,#REF!,IF('INHERENT MAP'!$B$5=2024,#REF!,#REF!))))</f>
        <v>0</v>
      </c>
      <c r="AG376">
        <f>IF('INHERENT MAP'!$B$5=2021,'РЕЕСТР РИСКОВ_2023'!AM416,IF('INHERENT MAP'!$B$5=2022,#REF!,IF('INHERENT MAP'!$B$5=2023,#REF!,IF('INHERENT MAP'!$B$5=2024,#REF!,#REF!))))</f>
        <v>0</v>
      </c>
      <c r="AH376">
        <f>IF('INHERENT MAP'!$B$5=2021,'РЕЕСТР РИСКОВ_2023'!AN416,IF('INHERENT MAP'!$B$5=2022,#REF!,IF('INHERENT MAP'!$B$5=2023,#REF!,IF('INHERENT MAP'!$B$5=2024,#REF!,#REF!))))</f>
        <v>0</v>
      </c>
      <c r="AI376">
        <f>IF('INHERENT MAP'!$B$5=2021,'РЕЕСТР РИСКОВ_2023'!AO416,IF('INHERENT MAP'!$B$5=2022,#REF!,IF('INHERENT MAP'!$B$5=2023,#REF!,IF('INHERENT MAP'!$B$5=2024,#REF!,#REF!))))</f>
        <v>0</v>
      </c>
      <c r="AJ376">
        <f>IF('INHERENT MAP'!$B$5=2021,'РЕЕСТР РИСКОВ_2023'!AP416,IF('INHERENT MAP'!$B$5=2022,#REF!,IF('INHERENT MAP'!$B$5=2023,#REF!,IF('INHERENT MAP'!$B$5=2024,#REF!,#REF!))))</f>
        <v>0</v>
      </c>
      <c r="AK376">
        <f>IF('РЕЕСТР РИСКОВ_2023'!AQ416="",AK375,'РЕЕСТР РИСКОВ_2023'!AQ416)</f>
        <v>-216</v>
      </c>
      <c r="AL376">
        <f>IF('РЕЕСТР РИСКОВ_2023'!AR416="",AL375,'РЕЕСТР РИСКОВ_2023'!AR416)</f>
        <v>0.12</v>
      </c>
      <c r="AM376" t="str">
        <f>IF('РЕЕСТР РИСКОВ_2023'!AS416="",AM375,'РЕЕСТР РИСКОВ_2023'!AS416)</f>
        <v>стоп</v>
      </c>
      <c r="AN376" t="str">
        <f>IF('РЕЕСТР РИСКОВ_2023'!AT416="",AN375,'РЕЕСТР РИСКОВ_2023'!AT416)</f>
        <v>стоп</v>
      </c>
      <c r="AO376" t="e">
        <f>IF('РЕЕСТР РИСКОВ_2023'!AU416="",AO375,'РЕЕСТР РИСКОВ_2023'!AU416)</f>
        <v>#REF!</v>
      </c>
    </row>
    <row r="377" spans="2:41">
      <c r="B377" t="str">
        <f>IF('INHERENT MAP'!$B$5=2021,IF('РЕЕСТР РИСКОВ_2023'!F417="",B376,'РЕЕСТР РИСКОВ_2023'!F417),IF('INHERENT MAP'!$B$5=2022,IF(#REF!="",B376,#REF!),IF('INHERENT MAP'!$B$5=2023,IF(#REF!="",B376,#REF!),IF('INHERENT MAP'!$B$5=2024,IF(#REF!="",B376,#REF!),IF('РЕЕСТР РИСКОВ_2023'!F417="",B376,'РЕЕСТР РИСКОВ_2023'!F417)))))</f>
        <v>ПРОЦЕНТНЫЙ РИСК</v>
      </c>
      <c r="C377" t="e">
        <f>IF('INHERENT MAP'!$B$5=2021,IF('РЕЕСТР РИСКОВ_2023'!G417="",C376,'РЕЕСТР РИСКОВ_2023'!G417),IF('INHERENT MAP'!$B$5=2022,IF(#REF!="",C376,#REF!),IF('INHERENT MAP'!$B$5=2023,IF(#REF!="",C376,#REF!),IF('INHERENT MAP'!$B$5=2024,IF(#REF!="",C376,#REF!),IF('РЕЕСТР РИСКОВ_2023'!G417="",C376,'РЕЕСТР РИСКОВ_2023'!G417)))))</f>
        <v>#REF!</v>
      </c>
      <c r="D377" t="str">
        <f>IF('INHERENT MAP'!$B$5=2021,IF('РЕЕСТР РИСКОВ_2023'!H417="",D376,'РЕЕСТР РИСКОВ_2023'!H417),IF('INHERENT MAP'!$B$5=2022,IF(#REF!="",D376,#REF!),IF('INHERENT MAP'!$B$5=2023,IF(#REF!="",D376,#REF!),IF('INHERENT MAP'!$B$5=2024,IF(#REF!="",D376,#REF!),IF('РЕЕСТР РИСКОВ_2023'!H417="",D376,'РЕЕСТР РИСКОВ_2023'!H417)))))</f>
        <v>IRR-1</v>
      </c>
      <c r="E377" t="str">
        <f>IF('INHERENT MAP'!$B$5=2021,IF('РЕЕСТР РИСКОВ_2023'!I417="",E376,'РЕЕСТР РИСКОВ_2023'!I417),IF('INHERENT MAP'!$B$5=2022,IF(#REF!="",E376,#REF!),IF('INHERENT MAP'!$B$5=2023,IF(#REF!="",E376,#REF!),IF('INHERENT MAP'!$B$5=2024,IF(#REF!="",E376,#REF!),IF('РЕЕСТР РИСКОВ_2023'!I417="",E376,'РЕЕСТР РИСКОВ_2023'!I417)))))</f>
        <v>ЦЗФ</v>
      </c>
      <c r="F377" t="str">
        <f>IF('INHERENT MAP'!$B$5=2021,IF('РЕЕСТР РИСКОВ_2023'!J417="",F376,'РЕЕСТР РИСКОВ_2023'!J417),IF('INHERENT MAP'!$B$5=2022,IF(#REF!="",F376,#REF!),IF('INHERENT MAP'!$B$5=2023,IF(#REF!="",F376,#REF!),IF('INHERENT MAP'!$B$5=2024,IF(#REF!="",F376,#REF!),IF('РЕЕСТР РИСКОВ_2023'!J417="",F376,'РЕЕСТР РИСКОВ_2023'!J417)))))</f>
        <v>Цзайм</v>
      </c>
      <c r="G377" t="str">
        <f>IF('INHERENT MAP'!$B$5=2021,IF('РЕЕСТР РИСКОВ_2023'!K417="",G376,'РЕЕСТР РИСКОВ_2023'!K417),IF('INHERENT MAP'!$B$5=2022,IF(#REF!="",G376,#REF!),IF('INHERENT MAP'!$B$5=2023,IF(#REF!="",G376,#REF!),IF('INHERENT MAP'!$B$5=2024,IF(#REF!="",G376,#REF!),IF('РЕЕСТР РИСКОВ_2023'!K417="",G376,'РЕЕСТР РИСКОВ_2023'!K417)))))</f>
        <v>Увеличение расходов по процентам на новые займы, а также текущие займы (с плавающей ставкой) в тенге.</v>
      </c>
      <c r="H377">
        <f>IF('INHERENT MAP'!$B$5=2021,'РЕЕСТР РИСКОВ_2023'!L417,IF('INHERENT MAP'!$B$5=2022,#REF!,IF('INHERENT MAP'!$B$5=2023,#REF!,IF('INHERENT MAP'!$B$5=2024,#REF!,#REF!))))</f>
        <v>0</v>
      </c>
      <c r="I377">
        <f>IF('INHERENT MAP'!$B$5=2021,'РЕЕСТР РИСКОВ_2023'!M417,IF('INHERENT MAP'!$B$5=2022,#REF!,IF('INHERENT MAP'!$B$5=2023,#REF!,IF('INHERENT MAP'!$B$5=2024,#REF!,#REF!))))</f>
        <v>0</v>
      </c>
      <c r="J377">
        <f>IF('INHERENT MAP'!$B$5=2021,'РЕЕСТР РИСКОВ_2023'!N417,IF('INHERENT MAP'!$B$5=2022,#REF!,IF('INHERENT MAP'!$B$5=2023,#REF!,IF('INHERENT MAP'!$B$5=2024,#REF!,#REF!))))</f>
        <v>0</v>
      </c>
      <c r="K377">
        <f>IF('INHERENT MAP'!$B$5=2021,'РЕЕСТР РИСКОВ_2023'!O417,IF('INHERENT MAP'!$B$5=2022,#REF!,IF('INHERENT MAP'!$B$5=2023,#REF!,IF('INHERENT MAP'!$B$5=2024,#REF!,#REF!))))</f>
        <v>0</v>
      </c>
      <c r="L377">
        <f>IF('INHERENT MAP'!$B$5=2021,'РЕЕСТР РИСКОВ_2023'!P417,IF('INHERENT MAP'!$B$5=2022,#REF!,IF('INHERENT MAP'!$B$5=2023,#REF!,IF('INHERENT MAP'!$B$5=2024,#REF!,#REF!))))</f>
        <v>0</v>
      </c>
      <c r="M377" t="str">
        <f>IF('INHERENT MAP'!$B$5=2021,IF('РЕЕСТР РИСКОВ_2023'!Q417="",M376,'РЕЕСТР РИСКОВ_2023'!Q417),IF('INHERENT MAP'!$B$5=2022,IF(#REF!="",M376,#REF!),IF('INHERENT MAP'!$B$5=2023,IF(#REF!="",M376,#REF!),IF('INHERENT MAP'!$B$5=2024,IF(#REF!="",M376,#REF!),IF('РЕЕСТР РИСКОВ_2023'!Q417="",M376,'РЕЕСТР РИСКОВ_2023'!Q417)))))</f>
        <v>Увеличение базовой ставки Национального банка Республики Казахстан до 16%</v>
      </c>
      <c r="N377" t="str">
        <f>IF('INHERENT MAP'!$B$5=2021,IF('РЕЕСТР РИСКОВ_2023'!R417="",N376,'РЕЕСТР РИСКОВ_2023'!R417),IF('INHERENT MAP'!$B$5=2022,IF(#REF!="",N376,#REF!),IF('INHERENT MAP'!$B$5=2023,IF(#REF!="",N376,#REF!),IF('INHERENT MAP'!$B$5=2024,IF(#REF!="",N376,#REF!),IF('РЕЕСТР РИСКОВ_2023'!R417="",N376,'РЕЕСТР РИСКОВ_2023'!R417)))))</f>
        <v>Рецессия экономики европейских стран</v>
      </c>
      <c r="O377">
        <f>'РЕЕСТР РИСКОВ_2023'!T417</f>
        <v>0</v>
      </c>
      <c r="P377" t="e">
        <f>IF('РЕЕСТР РИСКОВ_2023'!U417="",P376,'РЕЕСТР РИСКОВ_2023'!U417)</f>
        <v>#REF!</v>
      </c>
      <c r="Q377" t="str">
        <f>IF('РЕЕСТР РИСКОВ_2023'!V417="",Q376,'РЕЕСТР РИСКОВ_2023'!V417)</f>
        <v>Угрозы</v>
      </c>
      <c r="R377" t="e">
        <f>IF('РЕЕСТР РИСКОВ_2023'!W417="",R376,'РЕЕСТР РИСКОВ_2023'!W417)</f>
        <v>#REF!</v>
      </c>
      <c r="S377">
        <f>'РЕЕСТР РИСКОВ_2023'!X417</f>
        <v>0</v>
      </c>
      <c r="T377" s="94">
        <f>IF('INHERENT MAP'!$B$5=2021,'РЕЕСТР РИСКОВ_2023'!Y417,IF('INHERENT MAP'!$B$5=2022,#REF!,IF('INHERENT MAP'!$B$5=2023,#REF!,IF('INHERENT MAP'!$B$5=2024,#REF!,#REF!))))</f>
        <v>0</v>
      </c>
      <c r="U377">
        <f>IF('INHERENT MAP'!$B$5=2021,'РЕЕСТР РИСКОВ_2023'!Z417,IF('INHERENT MAP'!$B$5=2022,#REF!,IF('INHERENT MAP'!$B$5=2023,#REF!,IF('INHERENT MAP'!$B$5=2024,#REF!,#REF!))))</f>
        <v>0</v>
      </c>
      <c r="V377">
        <f>IF('INHERENT MAP'!$B$5=2021,'РЕЕСТР РИСКОВ_2023'!AA417,IF('INHERENT MAP'!$B$5=2022,#REF!,IF('INHERENT MAP'!$B$5=2023,#REF!,IF('INHERENT MAP'!$B$5=2024,#REF!,#REF!))))</f>
        <v>0</v>
      </c>
      <c r="W377">
        <f>IF('INHERENT MAP'!$B$5=2021,'РЕЕСТР РИСКОВ_2023'!AB417,IF('INHERENT MAP'!$B$5=2022,#REF!,IF('INHERENT MAP'!$B$5=2023,#REF!,IF('INHERENT MAP'!$B$5=2024,#REF!,#REF!))))</f>
        <v>0</v>
      </c>
      <c r="X377" s="94">
        <f>IF('INHERENT MAP'!$B$5=2021,'РЕЕСТР РИСКОВ_2023'!AC417,IF('INHERENT MAP'!$B$5=2022,#REF!,IF('INHERENT MAP'!$B$5=2023,#REF!,IF('INHERENT MAP'!$B$5=2024,#REF!,#REF!))))</f>
        <v>0</v>
      </c>
      <c r="Y377">
        <f>IF('INHERENT MAP'!$B$5=2021,'РЕЕСТР РИСКОВ_2023'!AD417,IF('INHERENT MAP'!$B$5=2022,#REF!,IF('INHERENT MAP'!$B$5=2023,#REF!,IF('INHERENT MAP'!$B$5=2024,#REF!,#REF!))))</f>
        <v>0</v>
      </c>
      <c r="Z377">
        <f>IF('INHERENT MAP'!$B$5=2021,'РЕЕСТР РИСКОВ_2023'!AE417,IF('INHERENT MAP'!$B$5=2022,#REF!,IF('INHERENT MAP'!$B$5=2023,#REF!,IF('INHERENT MAP'!$B$5=2024,#REF!,#REF!))))</f>
        <v>0</v>
      </c>
      <c r="AA377">
        <f>IF('INHERENT MAP'!$B$5=2021,'РЕЕСТР РИСКОВ_2023'!AF417,IF('INHERENT MAP'!$B$5=2022,#REF!,IF('INHERENT MAP'!$B$5=2023,#REF!,IF('INHERENT MAP'!$B$5=2024,#REF!,#REF!))))</f>
        <v>0</v>
      </c>
      <c r="AB377">
        <f>IF('INHERENT MAP'!$B$5=2021,'РЕЕСТР РИСКОВ_2023'!AG417,IF('INHERENT MAP'!$B$5=2022,#REF!,IF('INHERENT MAP'!$B$5=2023,#REF!,IF('INHERENT MAP'!$B$5=2024,#REF!,#REF!))))</f>
        <v>0</v>
      </c>
      <c r="AC377">
        <f>IF('INHERENT MAP'!$B$5=2021,'РЕЕСТР РИСКОВ_2023'!AH417,IF('INHERENT MAP'!$B$5=2022,#REF!,IF('INHERENT MAP'!$B$5=2023,#REF!,IF('INHERENT MAP'!$B$5=2024,#REF!,#REF!))))</f>
        <v>0</v>
      </c>
      <c r="AD377">
        <f>IF('INHERENT MAP'!$B$5=2021,'РЕЕСТР РИСКОВ_2023'!AI417,IF('INHERENT MAP'!$B$5=2022,#REF!,IF('INHERENT MAP'!$B$5=2023,#REF!,IF('INHERENT MAP'!$B$5=2024,#REF!,#REF!))))</f>
        <v>0</v>
      </c>
      <c r="AE377">
        <f>IF('INHERENT MAP'!$B$5=2021,'РЕЕСТР РИСКОВ_2023'!AK417,IF('INHERENT MAP'!$B$5=2022,#REF!,IF('INHERENT MAP'!$B$5=2023,#REF!,IF('INHERENT MAP'!$B$5=2024,#REF!,#REF!))))</f>
        <v>0</v>
      </c>
      <c r="AF377">
        <f>IF('INHERENT MAP'!$B$5=2021,'РЕЕСТР РИСКОВ_2023'!AL417,IF('INHERENT MAP'!$B$5=2022,#REF!,IF('INHERENT MAP'!$B$5=2023,#REF!,IF('INHERENT MAP'!$B$5=2024,#REF!,#REF!))))</f>
        <v>0</v>
      </c>
      <c r="AG377">
        <f>IF('INHERENT MAP'!$B$5=2021,'РЕЕСТР РИСКОВ_2023'!AM417,IF('INHERENT MAP'!$B$5=2022,#REF!,IF('INHERENT MAP'!$B$5=2023,#REF!,IF('INHERENT MAP'!$B$5=2024,#REF!,#REF!))))</f>
        <v>0</v>
      </c>
      <c r="AH377">
        <f>IF('INHERENT MAP'!$B$5=2021,'РЕЕСТР РИСКОВ_2023'!AN417,IF('INHERENT MAP'!$B$5=2022,#REF!,IF('INHERENT MAP'!$B$5=2023,#REF!,IF('INHERENT MAP'!$B$5=2024,#REF!,#REF!))))</f>
        <v>0</v>
      </c>
      <c r="AI377">
        <f>IF('INHERENT MAP'!$B$5=2021,'РЕЕСТР РИСКОВ_2023'!AO417,IF('INHERENT MAP'!$B$5=2022,#REF!,IF('INHERENT MAP'!$B$5=2023,#REF!,IF('INHERENT MAP'!$B$5=2024,#REF!,#REF!))))</f>
        <v>0</v>
      </c>
      <c r="AJ377">
        <f>IF('INHERENT MAP'!$B$5=2021,'РЕЕСТР РИСКОВ_2023'!AP417,IF('INHERENT MAP'!$B$5=2022,#REF!,IF('INHERENT MAP'!$B$5=2023,#REF!,IF('INHERENT MAP'!$B$5=2024,#REF!,#REF!))))</f>
        <v>0</v>
      </c>
      <c r="AK377">
        <f>IF('РЕЕСТР РИСКОВ_2023'!AQ417="",AK376,'РЕЕСТР РИСКОВ_2023'!AQ417)</f>
        <v>-216</v>
      </c>
      <c r="AL377">
        <f>IF('РЕЕСТР РИСКОВ_2023'!AR417="",AL376,'РЕЕСТР РИСКОВ_2023'!AR417)</f>
        <v>0.12</v>
      </c>
      <c r="AM377" t="str">
        <f>IF('РЕЕСТР РИСКОВ_2023'!AS417="",AM376,'РЕЕСТР РИСКОВ_2023'!AS417)</f>
        <v>стоп</v>
      </c>
      <c r="AN377" t="str">
        <f>IF('РЕЕСТР РИСКОВ_2023'!AT417="",AN376,'РЕЕСТР РИСКОВ_2023'!AT417)</f>
        <v>стоп</v>
      </c>
      <c r="AO377" t="e">
        <f>IF('РЕЕСТР РИСКОВ_2023'!AU417="",AO376,'РЕЕСТР РИСКОВ_2023'!AU417)</f>
        <v>#REF!</v>
      </c>
    </row>
    <row r="378" spans="2:41">
      <c r="B378" t="str">
        <f>IF('INHERENT MAP'!$B$5=2021,IF('РЕЕСТР РИСКОВ_2023'!F418="",B377,'РЕЕСТР РИСКОВ_2023'!F418),IF('INHERENT MAP'!$B$5=2022,IF(#REF!="",B377,#REF!),IF('INHERENT MAP'!$B$5=2023,IF(#REF!="",B377,#REF!),IF('INHERENT MAP'!$B$5=2024,IF(#REF!="",B377,#REF!),IF('РЕЕСТР РИСКОВ_2023'!F418="",B377,'РЕЕСТР РИСКОВ_2023'!F418)))))</f>
        <v>ПРОЦЕНТНЫЙ РИСК</v>
      </c>
      <c r="C378" t="e">
        <f>IF('INHERENT MAP'!$B$5=2021,IF('РЕЕСТР РИСКОВ_2023'!G418="",C377,'РЕЕСТР РИСКОВ_2023'!G418),IF('INHERENT MAP'!$B$5=2022,IF(#REF!="",C377,#REF!),IF('INHERENT MAP'!$B$5=2023,IF(#REF!="",C377,#REF!),IF('INHERENT MAP'!$B$5=2024,IF(#REF!="",C377,#REF!),IF('РЕЕСТР РИСКОВ_2023'!G418="",C377,'РЕЕСТР РИСКОВ_2023'!G418)))))</f>
        <v>#REF!</v>
      </c>
      <c r="D378" t="str">
        <f>IF('INHERENT MAP'!$B$5=2021,IF('РЕЕСТР РИСКОВ_2023'!H418="",D377,'РЕЕСТР РИСКОВ_2023'!H418),IF('INHERENT MAP'!$B$5=2022,IF(#REF!="",D377,#REF!),IF('INHERENT MAP'!$B$5=2023,IF(#REF!="",D377,#REF!),IF('INHERENT MAP'!$B$5=2024,IF(#REF!="",D377,#REF!),IF('РЕЕСТР РИСКОВ_2023'!H418="",D377,'РЕЕСТР РИСКОВ_2023'!H418)))))</f>
        <v>IRR-1</v>
      </c>
      <c r="E378" t="str">
        <f>IF('INHERENT MAP'!$B$5=2021,IF('РЕЕСТР РИСКОВ_2023'!I418="",E377,'РЕЕСТР РИСКОВ_2023'!I418),IF('INHERENT MAP'!$B$5=2022,IF(#REF!="",E377,#REF!),IF('INHERENT MAP'!$B$5=2023,IF(#REF!="",E377,#REF!),IF('INHERENT MAP'!$B$5=2024,IF(#REF!="",E377,#REF!),IF('РЕЕСТР РИСКОВ_2023'!I418="",E377,'РЕЕСТР РИСКОВ_2023'!I418)))))</f>
        <v>ЦЗФ</v>
      </c>
      <c r="F378" t="str">
        <f>IF('INHERENT MAP'!$B$5=2021,IF('РЕЕСТР РИСКОВ_2023'!J418="",F377,'РЕЕСТР РИСКОВ_2023'!J418),IF('INHERENT MAP'!$B$5=2022,IF(#REF!="",F377,#REF!),IF('INHERENT MAP'!$B$5=2023,IF(#REF!="",F377,#REF!),IF('INHERENT MAP'!$B$5=2024,IF(#REF!="",F377,#REF!),IF('РЕЕСТР РИСКОВ_2023'!J418="",F377,'РЕЕСТР РИСКОВ_2023'!J418)))))</f>
        <v>Цзайм</v>
      </c>
      <c r="G378" t="str">
        <f>IF('INHERENT MAP'!$B$5=2021,IF('РЕЕСТР РИСКОВ_2023'!K418="",G377,'РЕЕСТР РИСКОВ_2023'!K418),IF('INHERENT MAP'!$B$5=2022,IF(#REF!="",G377,#REF!),IF('INHERENT MAP'!$B$5=2023,IF(#REF!="",G377,#REF!),IF('INHERENT MAP'!$B$5=2024,IF(#REF!="",G377,#REF!),IF('РЕЕСТР РИСКОВ_2023'!K418="",G377,'РЕЕСТР РИСКОВ_2023'!K418)))))</f>
        <v>Увеличение расходов по процентам на новые займы, а также текущие займы (с плавающей ставкой) в тенге.</v>
      </c>
      <c r="H378">
        <f>IF('INHERENT MAP'!$B$5=2021,'РЕЕСТР РИСКОВ_2023'!L418,IF('INHERENT MAP'!$B$5=2022,#REF!,IF('INHERENT MAP'!$B$5=2023,#REF!,IF('INHERENT MAP'!$B$5=2024,#REF!,#REF!))))</f>
        <v>0</v>
      </c>
      <c r="I378">
        <f>IF('INHERENT MAP'!$B$5=2021,'РЕЕСТР РИСКОВ_2023'!M418,IF('INHERENT MAP'!$B$5=2022,#REF!,IF('INHERENT MAP'!$B$5=2023,#REF!,IF('INHERENT MAP'!$B$5=2024,#REF!,#REF!))))</f>
        <v>0</v>
      </c>
      <c r="J378">
        <f>IF('INHERENT MAP'!$B$5=2021,'РЕЕСТР РИСКОВ_2023'!N418,IF('INHERENT MAP'!$B$5=2022,#REF!,IF('INHERENT MAP'!$B$5=2023,#REF!,IF('INHERENT MAP'!$B$5=2024,#REF!,#REF!))))</f>
        <v>0</v>
      </c>
      <c r="K378">
        <f>IF('INHERENT MAP'!$B$5=2021,'РЕЕСТР РИСКОВ_2023'!O418,IF('INHERENT MAP'!$B$5=2022,#REF!,IF('INHERENT MAP'!$B$5=2023,#REF!,IF('INHERENT MAP'!$B$5=2024,#REF!,#REF!))))</f>
        <v>0</v>
      </c>
      <c r="L378">
        <f>IF('INHERENT MAP'!$B$5=2021,'РЕЕСТР РИСКОВ_2023'!P418,IF('INHERENT MAP'!$B$5=2022,#REF!,IF('INHERENT MAP'!$B$5=2023,#REF!,IF('INHERENT MAP'!$B$5=2024,#REF!,#REF!))))</f>
        <v>0</v>
      </c>
      <c r="M378" t="str">
        <f>IF('INHERENT MAP'!$B$5=2021,IF('РЕЕСТР РИСКОВ_2023'!Q418="",M377,'РЕЕСТР РИСКОВ_2023'!Q418),IF('INHERENT MAP'!$B$5=2022,IF(#REF!="",M377,#REF!),IF('INHERENT MAP'!$B$5=2023,IF(#REF!="",M377,#REF!),IF('INHERENT MAP'!$B$5=2024,IF(#REF!="",M377,#REF!),IF('РЕЕСТР РИСКОВ_2023'!Q418="",M377,'РЕЕСТР РИСКОВ_2023'!Q418)))))</f>
        <v>Увеличение базовой ставки Национального банка Республики Казахстан до 16%</v>
      </c>
      <c r="N378" t="str">
        <f>IF('INHERENT MAP'!$B$5=2021,IF('РЕЕСТР РИСКОВ_2023'!R418="",N377,'РЕЕСТР РИСКОВ_2023'!R418),IF('INHERENT MAP'!$B$5=2022,IF(#REF!="",N377,#REF!),IF('INHERENT MAP'!$B$5=2023,IF(#REF!="",N377,#REF!),IF('INHERENT MAP'!$B$5=2024,IF(#REF!="",N377,#REF!),IF('РЕЕСТР РИСКОВ_2023'!R418="",N377,'РЕЕСТР РИСКОВ_2023'!R418)))))</f>
        <v>Рецессия экономики европейских стран</v>
      </c>
      <c r="O378">
        <f>'РЕЕСТР РИСКОВ_2023'!T418</f>
        <v>0</v>
      </c>
      <c r="P378" t="e">
        <f>IF('РЕЕСТР РИСКОВ_2023'!U418="",P377,'РЕЕСТР РИСКОВ_2023'!U418)</f>
        <v>#REF!</v>
      </c>
      <c r="Q378" t="str">
        <f>IF('РЕЕСТР РИСКОВ_2023'!V418="",Q377,'РЕЕСТР РИСКОВ_2023'!V418)</f>
        <v>Угрозы</v>
      </c>
      <c r="R378" t="e">
        <f>IF('РЕЕСТР РИСКОВ_2023'!W418="",R377,'РЕЕСТР РИСКОВ_2023'!W418)</f>
        <v>#REF!</v>
      </c>
      <c r="S378">
        <f>'РЕЕСТР РИСКОВ_2023'!X418</f>
        <v>0</v>
      </c>
      <c r="T378" s="94">
        <f>IF('INHERENT MAP'!$B$5=2021,'РЕЕСТР РИСКОВ_2023'!Y418,IF('INHERENT MAP'!$B$5=2022,#REF!,IF('INHERENT MAP'!$B$5=2023,#REF!,IF('INHERENT MAP'!$B$5=2024,#REF!,#REF!))))</f>
        <v>0</v>
      </c>
      <c r="U378">
        <f>IF('INHERENT MAP'!$B$5=2021,'РЕЕСТР РИСКОВ_2023'!Z418,IF('INHERENT MAP'!$B$5=2022,#REF!,IF('INHERENT MAP'!$B$5=2023,#REF!,IF('INHERENT MAP'!$B$5=2024,#REF!,#REF!))))</f>
        <v>0</v>
      </c>
      <c r="V378">
        <f>IF('INHERENT MAP'!$B$5=2021,'РЕЕСТР РИСКОВ_2023'!AA418,IF('INHERENT MAP'!$B$5=2022,#REF!,IF('INHERENT MAP'!$B$5=2023,#REF!,IF('INHERENT MAP'!$B$5=2024,#REF!,#REF!))))</f>
        <v>0</v>
      </c>
      <c r="W378">
        <f>IF('INHERENT MAP'!$B$5=2021,'РЕЕСТР РИСКОВ_2023'!AB418,IF('INHERENT MAP'!$B$5=2022,#REF!,IF('INHERENT MAP'!$B$5=2023,#REF!,IF('INHERENT MAP'!$B$5=2024,#REF!,#REF!))))</f>
        <v>0</v>
      </c>
      <c r="X378" s="94">
        <f>IF('INHERENT MAP'!$B$5=2021,'РЕЕСТР РИСКОВ_2023'!AC418,IF('INHERENT MAP'!$B$5=2022,#REF!,IF('INHERENT MAP'!$B$5=2023,#REF!,IF('INHERENT MAP'!$B$5=2024,#REF!,#REF!))))</f>
        <v>0</v>
      </c>
      <c r="Y378">
        <f>IF('INHERENT MAP'!$B$5=2021,'РЕЕСТР РИСКОВ_2023'!AD418,IF('INHERENT MAP'!$B$5=2022,#REF!,IF('INHERENT MAP'!$B$5=2023,#REF!,IF('INHERENT MAP'!$B$5=2024,#REF!,#REF!))))</f>
        <v>0</v>
      </c>
      <c r="Z378">
        <f>IF('INHERENT MAP'!$B$5=2021,'РЕЕСТР РИСКОВ_2023'!AE418,IF('INHERENT MAP'!$B$5=2022,#REF!,IF('INHERENT MAP'!$B$5=2023,#REF!,IF('INHERENT MAP'!$B$5=2024,#REF!,#REF!))))</f>
        <v>0</v>
      </c>
      <c r="AA378">
        <f>IF('INHERENT MAP'!$B$5=2021,'РЕЕСТР РИСКОВ_2023'!AF418,IF('INHERENT MAP'!$B$5=2022,#REF!,IF('INHERENT MAP'!$B$5=2023,#REF!,IF('INHERENT MAP'!$B$5=2024,#REF!,#REF!))))</f>
        <v>0</v>
      </c>
      <c r="AB378">
        <f>IF('INHERENT MAP'!$B$5=2021,'РЕЕСТР РИСКОВ_2023'!AG418,IF('INHERENT MAP'!$B$5=2022,#REF!,IF('INHERENT MAP'!$B$5=2023,#REF!,IF('INHERENT MAP'!$B$5=2024,#REF!,#REF!))))</f>
        <v>0</v>
      </c>
      <c r="AC378">
        <f>IF('INHERENT MAP'!$B$5=2021,'РЕЕСТР РИСКОВ_2023'!AH418,IF('INHERENT MAP'!$B$5=2022,#REF!,IF('INHERENT MAP'!$B$5=2023,#REF!,IF('INHERENT MAP'!$B$5=2024,#REF!,#REF!))))</f>
        <v>0</v>
      </c>
      <c r="AD378">
        <f>IF('INHERENT MAP'!$B$5=2021,'РЕЕСТР РИСКОВ_2023'!AI418,IF('INHERENT MAP'!$B$5=2022,#REF!,IF('INHERENT MAP'!$B$5=2023,#REF!,IF('INHERENT MAP'!$B$5=2024,#REF!,#REF!))))</f>
        <v>0</v>
      </c>
      <c r="AE378">
        <f>IF('INHERENT MAP'!$B$5=2021,'РЕЕСТР РИСКОВ_2023'!AK418,IF('INHERENT MAP'!$B$5=2022,#REF!,IF('INHERENT MAP'!$B$5=2023,#REF!,IF('INHERENT MAP'!$B$5=2024,#REF!,#REF!))))</f>
        <v>0</v>
      </c>
      <c r="AF378">
        <f>IF('INHERENT MAP'!$B$5=2021,'РЕЕСТР РИСКОВ_2023'!AL418,IF('INHERENT MAP'!$B$5=2022,#REF!,IF('INHERENT MAP'!$B$5=2023,#REF!,IF('INHERENT MAP'!$B$5=2024,#REF!,#REF!))))</f>
        <v>0</v>
      </c>
      <c r="AG378">
        <f>IF('INHERENT MAP'!$B$5=2021,'РЕЕСТР РИСКОВ_2023'!AM418,IF('INHERENT MAP'!$B$5=2022,#REF!,IF('INHERENT MAP'!$B$5=2023,#REF!,IF('INHERENT MAP'!$B$5=2024,#REF!,#REF!))))</f>
        <v>0</v>
      </c>
      <c r="AH378">
        <f>IF('INHERENT MAP'!$B$5=2021,'РЕЕСТР РИСКОВ_2023'!AN418,IF('INHERENT MAP'!$B$5=2022,#REF!,IF('INHERENT MAP'!$B$5=2023,#REF!,IF('INHERENT MAP'!$B$5=2024,#REF!,#REF!))))</f>
        <v>0</v>
      </c>
      <c r="AI378">
        <f>IF('INHERENT MAP'!$B$5=2021,'РЕЕСТР РИСКОВ_2023'!AO418,IF('INHERENT MAP'!$B$5=2022,#REF!,IF('INHERENT MAP'!$B$5=2023,#REF!,IF('INHERENT MAP'!$B$5=2024,#REF!,#REF!))))</f>
        <v>0</v>
      </c>
      <c r="AJ378">
        <f>IF('INHERENT MAP'!$B$5=2021,'РЕЕСТР РИСКОВ_2023'!AP418,IF('INHERENT MAP'!$B$5=2022,#REF!,IF('INHERENT MAP'!$B$5=2023,#REF!,IF('INHERENT MAP'!$B$5=2024,#REF!,#REF!))))</f>
        <v>0</v>
      </c>
      <c r="AK378">
        <f>IF('РЕЕСТР РИСКОВ_2023'!AQ418="",AK377,'РЕЕСТР РИСКОВ_2023'!AQ418)</f>
        <v>-216</v>
      </c>
      <c r="AL378">
        <f>IF('РЕЕСТР РИСКОВ_2023'!AR418="",AL377,'РЕЕСТР РИСКОВ_2023'!AR418)</f>
        <v>0.12</v>
      </c>
      <c r="AM378" t="str">
        <f>IF('РЕЕСТР РИСКОВ_2023'!AS418="",AM377,'РЕЕСТР РИСКОВ_2023'!AS418)</f>
        <v>стоп</v>
      </c>
      <c r="AN378" t="str">
        <f>IF('РЕЕСТР РИСКОВ_2023'!AT418="",AN377,'РЕЕСТР РИСКОВ_2023'!AT418)</f>
        <v>стоп</v>
      </c>
      <c r="AO378" t="e">
        <f>IF('РЕЕСТР РИСКОВ_2023'!AU418="",AO377,'РЕЕСТР РИСКОВ_2023'!AU418)</f>
        <v>#REF!</v>
      </c>
    </row>
    <row r="379" spans="2:41">
      <c r="B379" t="str">
        <f>IF('INHERENT MAP'!$B$5=2021,IF('РЕЕСТР РИСКОВ_2023'!F419="",B378,'РЕЕСТР РИСКОВ_2023'!F419),IF('INHERENT MAP'!$B$5=2022,IF(#REF!="",B378,#REF!),IF('INHERENT MAP'!$B$5=2023,IF(#REF!="",B378,#REF!),IF('INHERENT MAP'!$B$5=2024,IF(#REF!="",B378,#REF!),IF('РЕЕСТР РИСКОВ_2023'!F419="",B378,'РЕЕСТР РИСКОВ_2023'!F419)))))</f>
        <v>ПРОЦЕНТНЫЙ РИСК</v>
      </c>
      <c r="C379" t="e">
        <f>IF('INHERENT MAP'!$B$5=2021,IF('РЕЕСТР РИСКОВ_2023'!G419="",C378,'РЕЕСТР РИСКОВ_2023'!G419),IF('INHERENT MAP'!$B$5=2022,IF(#REF!="",C378,#REF!),IF('INHERENT MAP'!$B$5=2023,IF(#REF!="",C378,#REF!),IF('INHERENT MAP'!$B$5=2024,IF(#REF!="",C378,#REF!),IF('РЕЕСТР РИСКОВ_2023'!G419="",C378,'РЕЕСТР РИСКОВ_2023'!G419)))))</f>
        <v>#REF!</v>
      </c>
      <c r="D379" t="str">
        <f>IF('INHERENT MAP'!$B$5=2021,IF('РЕЕСТР РИСКОВ_2023'!H419="",D378,'РЕЕСТР РИСКОВ_2023'!H419),IF('INHERENT MAP'!$B$5=2022,IF(#REF!="",D378,#REF!),IF('INHERENT MAP'!$B$5=2023,IF(#REF!="",D378,#REF!),IF('INHERENT MAP'!$B$5=2024,IF(#REF!="",D378,#REF!),IF('РЕЕСТР РИСКОВ_2023'!H419="",D378,'РЕЕСТР РИСКОВ_2023'!H419)))))</f>
        <v>IRR-1</v>
      </c>
      <c r="E379" t="str">
        <f>IF('INHERENT MAP'!$B$5=2021,IF('РЕЕСТР РИСКОВ_2023'!I419="",E378,'РЕЕСТР РИСКОВ_2023'!I419),IF('INHERENT MAP'!$B$5=2022,IF(#REF!="",E378,#REF!),IF('INHERENT MAP'!$B$5=2023,IF(#REF!="",E378,#REF!),IF('INHERENT MAP'!$B$5=2024,IF(#REF!="",E378,#REF!),IF('РЕЕСТР РИСКОВ_2023'!I419="",E378,'РЕЕСТР РИСКОВ_2023'!I419)))))</f>
        <v>ЦЗФ</v>
      </c>
      <c r="F379" t="str">
        <f>IF('INHERENT MAP'!$B$5=2021,IF('РЕЕСТР РИСКОВ_2023'!J419="",F378,'РЕЕСТР РИСКОВ_2023'!J419),IF('INHERENT MAP'!$B$5=2022,IF(#REF!="",F378,#REF!),IF('INHERENT MAP'!$B$5=2023,IF(#REF!="",F378,#REF!),IF('INHERENT MAP'!$B$5=2024,IF(#REF!="",F378,#REF!),IF('РЕЕСТР РИСКОВ_2023'!J419="",F378,'РЕЕСТР РИСКОВ_2023'!J419)))))</f>
        <v>Цзайм</v>
      </c>
      <c r="G379" t="str">
        <f>IF('INHERENT MAP'!$B$5=2021,IF('РЕЕСТР РИСКОВ_2023'!K419="",G378,'РЕЕСТР РИСКОВ_2023'!K419),IF('INHERENT MAP'!$B$5=2022,IF(#REF!="",G378,#REF!),IF('INHERENT MAP'!$B$5=2023,IF(#REF!="",G378,#REF!),IF('INHERENT MAP'!$B$5=2024,IF(#REF!="",G378,#REF!),IF('РЕЕСТР РИСКОВ_2023'!K419="",G378,'РЕЕСТР РИСКОВ_2023'!K419)))))</f>
        <v>Увеличение расходов по процентам на новые займы, а также текущие займы (с плавающей ставкой) в тенге.</v>
      </c>
      <c r="H379">
        <f>IF('INHERENT MAP'!$B$5=2021,'РЕЕСТР РИСКОВ_2023'!L419,IF('INHERENT MAP'!$B$5=2022,#REF!,IF('INHERENT MAP'!$B$5=2023,#REF!,IF('INHERENT MAP'!$B$5=2024,#REF!,#REF!))))</f>
        <v>0</v>
      </c>
      <c r="I379">
        <f>IF('INHERENT MAP'!$B$5=2021,'РЕЕСТР РИСКОВ_2023'!M419,IF('INHERENT MAP'!$B$5=2022,#REF!,IF('INHERENT MAP'!$B$5=2023,#REF!,IF('INHERENT MAP'!$B$5=2024,#REF!,#REF!))))</f>
        <v>0</v>
      </c>
      <c r="J379">
        <f>IF('INHERENT MAP'!$B$5=2021,'РЕЕСТР РИСКОВ_2023'!N419,IF('INHERENT MAP'!$B$5=2022,#REF!,IF('INHERENT MAP'!$B$5=2023,#REF!,IF('INHERENT MAP'!$B$5=2024,#REF!,#REF!))))</f>
        <v>0</v>
      </c>
      <c r="K379">
        <f>IF('INHERENT MAP'!$B$5=2021,'РЕЕСТР РИСКОВ_2023'!O419,IF('INHERENT MAP'!$B$5=2022,#REF!,IF('INHERENT MAP'!$B$5=2023,#REF!,IF('INHERENT MAP'!$B$5=2024,#REF!,#REF!))))</f>
        <v>0</v>
      </c>
      <c r="L379">
        <f>IF('INHERENT MAP'!$B$5=2021,'РЕЕСТР РИСКОВ_2023'!P419,IF('INHERENT MAP'!$B$5=2022,#REF!,IF('INHERENT MAP'!$B$5=2023,#REF!,IF('INHERENT MAP'!$B$5=2024,#REF!,#REF!))))</f>
        <v>0</v>
      </c>
      <c r="M379" t="str">
        <f>IF('INHERENT MAP'!$B$5=2021,IF('РЕЕСТР РИСКОВ_2023'!Q419="",M378,'РЕЕСТР РИСКОВ_2023'!Q419),IF('INHERENT MAP'!$B$5=2022,IF(#REF!="",M378,#REF!),IF('INHERENT MAP'!$B$5=2023,IF(#REF!="",M378,#REF!),IF('INHERENT MAP'!$B$5=2024,IF(#REF!="",M378,#REF!),IF('РЕЕСТР РИСКОВ_2023'!Q419="",M378,'РЕЕСТР РИСКОВ_2023'!Q419)))))</f>
        <v>Увеличение базовой ставки Национального банка Республики Казахстан до 16%</v>
      </c>
      <c r="N379" t="str">
        <f>IF('INHERENT MAP'!$B$5=2021,IF('РЕЕСТР РИСКОВ_2023'!R419="",N378,'РЕЕСТР РИСКОВ_2023'!R419),IF('INHERENT MAP'!$B$5=2022,IF(#REF!="",N378,#REF!),IF('INHERENT MAP'!$B$5=2023,IF(#REF!="",N378,#REF!),IF('INHERENT MAP'!$B$5=2024,IF(#REF!="",N378,#REF!),IF('РЕЕСТР РИСКОВ_2023'!R419="",N378,'РЕЕСТР РИСКОВ_2023'!R419)))))</f>
        <v>Рецессия экономики европейских стран</v>
      </c>
      <c r="O379">
        <f>'РЕЕСТР РИСКОВ_2023'!T419</f>
        <v>0</v>
      </c>
      <c r="P379" t="e">
        <f>IF('РЕЕСТР РИСКОВ_2023'!U419="",P378,'РЕЕСТР РИСКОВ_2023'!U419)</f>
        <v>#REF!</v>
      </c>
      <c r="Q379" t="str">
        <f>IF('РЕЕСТР РИСКОВ_2023'!V419="",Q378,'РЕЕСТР РИСКОВ_2023'!V419)</f>
        <v>Угрозы</v>
      </c>
      <c r="R379" t="e">
        <f>IF('РЕЕСТР РИСКОВ_2023'!W419="",R378,'РЕЕСТР РИСКОВ_2023'!W419)</f>
        <v>#REF!</v>
      </c>
      <c r="S379">
        <f>'РЕЕСТР РИСКОВ_2023'!X419</f>
        <v>0</v>
      </c>
      <c r="T379" s="94">
        <f>IF('INHERENT MAP'!$B$5=2021,'РЕЕСТР РИСКОВ_2023'!Y419,IF('INHERENT MAP'!$B$5=2022,#REF!,IF('INHERENT MAP'!$B$5=2023,#REF!,IF('INHERENT MAP'!$B$5=2024,#REF!,#REF!))))</f>
        <v>0</v>
      </c>
      <c r="U379">
        <f>IF('INHERENT MAP'!$B$5=2021,'РЕЕСТР РИСКОВ_2023'!Z419,IF('INHERENT MAP'!$B$5=2022,#REF!,IF('INHERENT MAP'!$B$5=2023,#REF!,IF('INHERENT MAP'!$B$5=2024,#REF!,#REF!))))</f>
        <v>0</v>
      </c>
      <c r="V379">
        <f>IF('INHERENT MAP'!$B$5=2021,'РЕЕСТР РИСКОВ_2023'!AA419,IF('INHERENT MAP'!$B$5=2022,#REF!,IF('INHERENT MAP'!$B$5=2023,#REF!,IF('INHERENT MAP'!$B$5=2024,#REF!,#REF!))))</f>
        <v>0</v>
      </c>
      <c r="W379">
        <f>IF('INHERENT MAP'!$B$5=2021,'РЕЕСТР РИСКОВ_2023'!AB419,IF('INHERENT MAP'!$B$5=2022,#REF!,IF('INHERENT MAP'!$B$5=2023,#REF!,IF('INHERENT MAP'!$B$5=2024,#REF!,#REF!))))</f>
        <v>0</v>
      </c>
      <c r="X379" s="94">
        <f>IF('INHERENT MAP'!$B$5=2021,'РЕЕСТР РИСКОВ_2023'!AC419,IF('INHERENT MAP'!$B$5=2022,#REF!,IF('INHERENT MAP'!$B$5=2023,#REF!,IF('INHERENT MAP'!$B$5=2024,#REF!,#REF!))))</f>
        <v>0</v>
      </c>
      <c r="Y379">
        <f>IF('INHERENT MAP'!$B$5=2021,'РЕЕСТР РИСКОВ_2023'!AD419,IF('INHERENT MAP'!$B$5=2022,#REF!,IF('INHERENT MAP'!$B$5=2023,#REF!,IF('INHERENT MAP'!$B$5=2024,#REF!,#REF!))))</f>
        <v>0</v>
      </c>
      <c r="Z379">
        <f>IF('INHERENT MAP'!$B$5=2021,'РЕЕСТР РИСКОВ_2023'!AE419,IF('INHERENT MAP'!$B$5=2022,#REF!,IF('INHERENT MAP'!$B$5=2023,#REF!,IF('INHERENT MAP'!$B$5=2024,#REF!,#REF!))))</f>
        <v>0</v>
      </c>
      <c r="AA379">
        <f>IF('INHERENT MAP'!$B$5=2021,'РЕЕСТР РИСКОВ_2023'!AF419,IF('INHERENT MAP'!$B$5=2022,#REF!,IF('INHERENT MAP'!$B$5=2023,#REF!,IF('INHERENT MAP'!$B$5=2024,#REF!,#REF!))))</f>
        <v>0</v>
      </c>
      <c r="AB379">
        <f>IF('INHERENT MAP'!$B$5=2021,'РЕЕСТР РИСКОВ_2023'!AG419,IF('INHERENT MAP'!$B$5=2022,#REF!,IF('INHERENT MAP'!$B$5=2023,#REF!,IF('INHERENT MAP'!$B$5=2024,#REF!,#REF!))))</f>
        <v>0</v>
      </c>
      <c r="AC379">
        <f>IF('INHERENT MAP'!$B$5=2021,'РЕЕСТР РИСКОВ_2023'!AH419,IF('INHERENT MAP'!$B$5=2022,#REF!,IF('INHERENT MAP'!$B$5=2023,#REF!,IF('INHERENT MAP'!$B$5=2024,#REF!,#REF!))))</f>
        <v>0</v>
      </c>
      <c r="AD379">
        <f>IF('INHERENT MAP'!$B$5=2021,'РЕЕСТР РИСКОВ_2023'!AI419,IF('INHERENT MAP'!$B$5=2022,#REF!,IF('INHERENT MAP'!$B$5=2023,#REF!,IF('INHERENT MAP'!$B$5=2024,#REF!,#REF!))))</f>
        <v>0</v>
      </c>
      <c r="AE379">
        <f>IF('INHERENT MAP'!$B$5=2021,'РЕЕСТР РИСКОВ_2023'!AK419,IF('INHERENT MAP'!$B$5=2022,#REF!,IF('INHERENT MAP'!$B$5=2023,#REF!,IF('INHERENT MAP'!$B$5=2024,#REF!,#REF!))))</f>
        <v>0</v>
      </c>
      <c r="AF379">
        <f>IF('INHERENT MAP'!$B$5=2021,'РЕЕСТР РИСКОВ_2023'!AL419,IF('INHERENT MAP'!$B$5=2022,#REF!,IF('INHERENT MAP'!$B$5=2023,#REF!,IF('INHERENT MAP'!$B$5=2024,#REF!,#REF!))))</f>
        <v>0</v>
      </c>
      <c r="AG379">
        <f>IF('INHERENT MAP'!$B$5=2021,'РЕЕСТР РИСКОВ_2023'!AM419,IF('INHERENT MAP'!$B$5=2022,#REF!,IF('INHERENT MAP'!$B$5=2023,#REF!,IF('INHERENT MAP'!$B$5=2024,#REF!,#REF!))))</f>
        <v>0</v>
      </c>
      <c r="AH379">
        <f>IF('INHERENT MAP'!$B$5=2021,'РЕЕСТР РИСКОВ_2023'!AN419,IF('INHERENT MAP'!$B$5=2022,#REF!,IF('INHERENT MAP'!$B$5=2023,#REF!,IF('INHERENT MAP'!$B$5=2024,#REF!,#REF!))))</f>
        <v>0</v>
      </c>
      <c r="AI379">
        <f>IF('INHERENT MAP'!$B$5=2021,'РЕЕСТР РИСКОВ_2023'!AO419,IF('INHERENT MAP'!$B$5=2022,#REF!,IF('INHERENT MAP'!$B$5=2023,#REF!,IF('INHERENT MAP'!$B$5=2024,#REF!,#REF!))))</f>
        <v>0</v>
      </c>
      <c r="AJ379">
        <f>IF('INHERENT MAP'!$B$5=2021,'РЕЕСТР РИСКОВ_2023'!AP419,IF('INHERENT MAP'!$B$5=2022,#REF!,IF('INHERENT MAP'!$B$5=2023,#REF!,IF('INHERENT MAP'!$B$5=2024,#REF!,#REF!))))</f>
        <v>0</v>
      </c>
      <c r="AK379">
        <f>IF('РЕЕСТР РИСКОВ_2023'!AQ419="",AK378,'РЕЕСТР РИСКОВ_2023'!AQ419)</f>
        <v>-216</v>
      </c>
      <c r="AL379">
        <f>IF('РЕЕСТР РИСКОВ_2023'!AR419="",AL378,'РЕЕСТР РИСКОВ_2023'!AR419)</f>
        <v>0.12</v>
      </c>
      <c r="AM379" t="str">
        <f>IF('РЕЕСТР РИСКОВ_2023'!AS419="",AM378,'РЕЕСТР РИСКОВ_2023'!AS419)</f>
        <v>стоп</v>
      </c>
      <c r="AN379" t="str">
        <f>IF('РЕЕСТР РИСКОВ_2023'!AT419="",AN378,'РЕЕСТР РИСКОВ_2023'!AT419)</f>
        <v>стоп</v>
      </c>
      <c r="AO379" t="e">
        <f>IF('РЕЕСТР РИСКОВ_2023'!AU419="",AO378,'РЕЕСТР РИСКОВ_2023'!AU419)</f>
        <v>#REF!</v>
      </c>
    </row>
    <row r="380" spans="2:41">
      <c r="B380" t="str">
        <f>IF('INHERENT MAP'!$B$5=2021,IF('РЕЕСТР РИСКОВ_2023'!F420="",B379,'РЕЕСТР РИСКОВ_2023'!F420),IF('INHERENT MAP'!$B$5=2022,IF(#REF!="",B379,#REF!),IF('INHERENT MAP'!$B$5=2023,IF(#REF!="",B379,#REF!),IF('INHERENT MAP'!$B$5=2024,IF(#REF!="",B379,#REF!),IF('РЕЕСТР РИСКОВ_2023'!F420="",B379,'РЕЕСТР РИСКОВ_2023'!F420)))))</f>
        <v>ПРОЦЕНТНЫЙ РИСК</v>
      </c>
      <c r="C380" t="e">
        <f>IF('INHERENT MAP'!$B$5=2021,IF('РЕЕСТР РИСКОВ_2023'!G420="",C379,'РЕЕСТР РИСКОВ_2023'!G420),IF('INHERENT MAP'!$B$5=2022,IF(#REF!="",C379,#REF!),IF('INHERENT MAP'!$B$5=2023,IF(#REF!="",C379,#REF!),IF('INHERENT MAP'!$B$5=2024,IF(#REF!="",C379,#REF!),IF('РЕЕСТР РИСКОВ_2023'!G420="",C379,'РЕЕСТР РИСКОВ_2023'!G420)))))</f>
        <v>#REF!</v>
      </c>
      <c r="D380" t="str">
        <f>IF('INHERENT MAP'!$B$5=2021,IF('РЕЕСТР РИСКОВ_2023'!H420="",D379,'РЕЕСТР РИСКОВ_2023'!H420),IF('INHERENT MAP'!$B$5=2022,IF(#REF!="",D379,#REF!),IF('INHERENT MAP'!$B$5=2023,IF(#REF!="",D379,#REF!),IF('INHERENT MAP'!$B$5=2024,IF(#REF!="",D379,#REF!),IF('РЕЕСТР РИСКОВ_2023'!H420="",D379,'РЕЕСТР РИСКОВ_2023'!H420)))))</f>
        <v>IRR-1</v>
      </c>
      <c r="E380" t="str">
        <f>IF('INHERENT MAP'!$B$5=2021,IF('РЕЕСТР РИСКОВ_2023'!I420="",E379,'РЕЕСТР РИСКОВ_2023'!I420),IF('INHERENT MAP'!$B$5=2022,IF(#REF!="",E379,#REF!),IF('INHERENT MAP'!$B$5=2023,IF(#REF!="",E379,#REF!),IF('INHERENT MAP'!$B$5=2024,IF(#REF!="",E379,#REF!),IF('РЕЕСТР РИСКОВ_2023'!I420="",E379,'РЕЕСТР РИСКОВ_2023'!I420)))))</f>
        <v>ЦЗФ</v>
      </c>
      <c r="F380" t="str">
        <f>IF('INHERENT MAP'!$B$5=2021,IF('РЕЕСТР РИСКОВ_2023'!J420="",F379,'РЕЕСТР РИСКОВ_2023'!J420),IF('INHERENT MAP'!$B$5=2022,IF(#REF!="",F379,#REF!),IF('INHERENT MAP'!$B$5=2023,IF(#REF!="",F379,#REF!),IF('INHERENT MAP'!$B$5=2024,IF(#REF!="",F379,#REF!),IF('РЕЕСТР РИСКОВ_2023'!J420="",F379,'РЕЕСТР РИСКОВ_2023'!J420)))))</f>
        <v>Цзайм</v>
      </c>
      <c r="G380" t="str">
        <f>IF('INHERENT MAP'!$B$5=2021,IF('РЕЕСТР РИСКОВ_2023'!K420="",G379,'РЕЕСТР РИСКОВ_2023'!K420),IF('INHERENT MAP'!$B$5=2022,IF(#REF!="",G379,#REF!),IF('INHERENT MAP'!$B$5=2023,IF(#REF!="",G379,#REF!),IF('INHERENT MAP'!$B$5=2024,IF(#REF!="",G379,#REF!),IF('РЕЕСТР РИСКОВ_2023'!K420="",G379,'РЕЕСТР РИСКОВ_2023'!K420)))))</f>
        <v>Увеличение расходов по процентам на новые займы, а также текущие займы (с плавающей ставкой) в тенге.</v>
      </c>
      <c r="H380">
        <f>IF('INHERENT MAP'!$B$5=2021,'РЕЕСТР РИСКОВ_2023'!L420,IF('INHERENT MAP'!$B$5=2022,#REF!,IF('INHERENT MAP'!$B$5=2023,#REF!,IF('INHERENT MAP'!$B$5=2024,#REF!,#REF!))))</f>
        <v>0</v>
      </c>
      <c r="I380">
        <f>IF('INHERENT MAP'!$B$5=2021,'РЕЕСТР РИСКОВ_2023'!M420,IF('INHERENT MAP'!$B$5=2022,#REF!,IF('INHERENT MAP'!$B$5=2023,#REF!,IF('INHERENT MAP'!$B$5=2024,#REF!,#REF!))))</f>
        <v>0</v>
      </c>
      <c r="J380">
        <f>IF('INHERENT MAP'!$B$5=2021,'РЕЕСТР РИСКОВ_2023'!N420,IF('INHERENT MAP'!$B$5=2022,#REF!,IF('INHERENT MAP'!$B$5=2023,#REF!,IF('INHERENT MAP'!$B$5=2024,#REF!,#REF!))))</f>
        <v>0</v>
      </c>
      <c r="K380">
        <f>IF('INHERENT MAP'!$B$5=2021,'РЕЕСТР РИСКОВ_2023'!O420,IF('INHERENT MAP'!$B$5=2022,#REF!,IF('INHERENT MAP'!$B$5=2023,#REF!,IF('INHERENT MAP'!$B$5=2024,#REF!,#REF!))))</f>
        <v>0</v>
      </c>
      <c r="L380">
        <f>IF('INHERENT MAP'!$B$5=2021,'РЕЕСТР РИСКОВ_2023'!P420,IF('INHERENT MAP'!$B$5=2022,#REF!,IF('INHERENT MAP'!$B$5=2023,#REF!,IF('INHERENT MAP'!$B$5=2024,#REF!,#REF!))))</f>
        <v>0</v>
      </c>
      <c r="M380" t="str">
        <f>IF('INHERENT MAP'!$B$5=2021,IF('РЕЕСТР РИСКОВ_2023'!Q420="",M379,'РЕЕСТР РИСКОВ_2023'!Q420),IF('INHERENT MAP'!$B$5=2022,IF(#REF!="",M379,#REF!),IF('INHERENT MAP'!$B$5=2023,IF(#REF!="",M379,#REF!),IF('INHERENT MAP'!$B$5=2024,IF(#REF!="",M379,#REF!),IF('РЕЕСТР РИСКОВ_2023'!Q420="",M379,'РЕЕСТР РИСКОВ_2023'!Q420)))))</f>
        <v>Увеличение базовой ставки Национального банка Республики Казахстан до 16%</v>
      </c>
      <c r="N380" t="str">
        <f>IF('INHERENT MAP'!$B$5=2021,IF('РЕЕСТР РИСКОВ_2023'!R420="",N379,'РЕЕСТР РИСКОВ_2023'!R420),IF('INHERENT MAP'!$B$5=2022,IF(#REF!="",N379,#REF!),IF('INHERENT MAP'!$B$5=2023,IF(#REF!="",N379,#REF!),IF('INHERENT MAP'!$B$5=2024,IF(#REF!="",N379,#REF!),IF('РЕЕСТР РИСКОВ_2023'!R420="",N379,'РЕЕСТР РИСКОВ_2023'!R420)))))</f>
        <v>Рецессия экономики европейских стран</v>
      </c>
      <c r="O380">
        <f>'РЕЕСТР РИСКОВ_2023'!T420</f>
        <v>0</v>
      </c>
      <c r="P380" t="e">
        <f>IF('РЕЕСТР РИСКОВ_2023'!U420="",P379,'РЕЕСТР РИСКОВ_2023'!U420)</f>
        <v>#REF!</v>
      </c>
      <c r="Q380" t="str">
        <f>IF('РЕЕСТР РИСКОВ_2023'!V420="",Q379,'РЕЕСТР РИСКОВ_2023'!V420)</f>
        <v>Угрозы</v>
      </c>
      <c r="R380" t="e">
        <f>IF('РЕЕСТР РИСКОВ_2023'!W420="",R379,'РЕЕСТР РИСКОВ_2023'!W420)</f>
        <v>#REF!</v>
      </c>
      <c r="S380">
        <f>'РЕЕСТР РИСКОВ_2023'!X420</f>
        <v>0</v>
      </c>
      <c r="T380" s="94">
        <f>IF('INHERENT MAP'!$B$5=2021,'РЕЕСТР РИСКОВ_2023'!Y420,IF('INHERENT MAP'!$B$5=2022,#REF!,IF('INHERENT MAP'!$B$5=2023,#REF!,IF('INHERENT MAP'!$B$5=2024,#REF!,#REF!))))</f>
        <v>0</v>
      </c>
      <c r="U380">
        <f>IF('INHERENT MAP'!$B$5=2021,'РЕЕСТР РИСКОВ_2023'!Z420,IF('INHERENT MAP'!$B$5=2022,#REF!,IF('INHERENT MAP'!$B$5=2023,#REF!,IF('INHERENT MAP'!$B$5=2024,#REF!,#REF!))))</f>
        <v>0</v>
      </c>
      <c r="V380">
        <f>IF('INHERENT MAP'!$B$5=2021,'РЕЕСТР РИСКОВ_2023'!AA420,IF('INHERENT MAP'!$B$5=2022,#REF!,IF('INHERENT MAP'!$B$5=2023,#REF!,IF('INHERENT MAP'!$B$5=2024,#REF!,#REF!))))</f>
        <v>0</v>
      </c>
      <c r="W380">
        <f>IF('INHERENT MAP'!$B$5=2021,'РЕЕСТР РИСКОВ_2023'!AB420,IF('INHERENT MAP'!$B$5=2022,#REF!,IF('INHERENT MAP'!$B$5=2023,#REF!,IF('INHERENT MAP'!$B$5=2024,#REF!,#REF!))))</f>
        <v>0</v>
      </c>
      <c r="X380" s="94">
        <f>IF('INHERENT MAP'!$B$5=2021,'РЕЕСТР РИСКОВ_2023'!AC420,IF('INHERENT MAP'!$B$5=2022,#REF!,IF('INHERENT MAP'!$B$5=2023,#REF!,IF('INHERENT MAP'!$B$5=2024,#REF!,#REF!))))</f>
        <v>0</v>
      </c>
      <c r="Y380">
        <f>IF('INHERENT MAP'!$B$5=2021,'РЕЕСТР РИСКОВ_2023'!AD420,IF('INHERENT MAP'!$B$5=2022,#REF!,IF('INHERENT MAP'!$B$5=2023,#REF!,IF('INHERENT MAP'!$B$5=2024,#REF!,#REF!))))</f>
        <v>0</v>
      </c>
      <c r="Z380">
        <f>IF('INHERENT MAP'!$B$5=2021,'РЕЕСТР РИСКОВ_2023'!AE420,IF('INHERENT MAP'!$B$5=2022,#REF!,IF('INHERENT MAP'!$B$5=2023,#REF!,IF('INHERENT MAP'!$B$5=2024,#REF!,#REF!))))</f>
        <v>0</v>
      </c>
      <c r="AA380">
        <f>IF('INHERENT MAP'!$B$5=2021,'РЕЕСТР РИСКОВ_2023'!AF420,IF('INHERENT MAP'!$B$5=2022,#REF!,IF('INHERENT MAP'!$B$5=2023,#REF!,IF('INHERENT MAP'!$B$5=2024,#REF!,#REF!))))</f>
        <v>0</v>
      </c>
      <c r="AB380">
        <f>IF('INHERENT MAP'!$B$5=2021,'РЕЕСТР РИСКОВ_2023'!AG420,IF('INHERENT MAP'!$B$5=2022,#REF!,IF('INHERENT MAP'!$B$5=2023,#REF!,IF('INHERENT MAP'!$B$5=2024,#REF!,#REF!))))</f>
        <v>0</v>
      </c>
      <c r="AC380">
        <f>IF('INHERENT MAP'!$B$5=2021,'РЕЕСТР РИСКОВ_2023'!AH420,IF('INHERENT MAP'!$B$5=2022,#REF!,IF('INHERENT MAP'!$B$5=2023,#REF!,IF('INHERENT MAP'!$B$5=2024,#REF!,#REF!))))</f>
        <v>0</v>
      </c>
      <c r="AD380">
        <f>IF('INHERENT MAP'!$B$5=2021,'РЕЕСТР РИСКОВ_2023'!AI420,IF('INHERENT MAP'!$B$5=2022,#REF!,IF('INHERENT MAP'!$B$5=2023,#REF!,IF('INHERENT MAP'!$B$5=2024,#REF!,#REF!))))</f>
        <v>0</v>
      </c>
      <c r="AE380">
        <f>IF('INHERENT MAP'!$B$5=2021,'РЕЕСТР РИСКОВ_2023'!AK420,IF('INHERENT MAP'!$B$5=2022,#REF!,IF('INHERENT MAP'!$B$5=2023,#REF!,IF('INHERENT MAP'!$B$5=2024,#REF!,#REF!))))</f>
        <v>0</v>
      </c>
      <c r="AF380">
        <f>IF('INHERENT MAP'!$B$5=2021,'РЕЕСТР РИСКОВ_2023'!AL420,IF('INHERENT MAP'!$B$5=2022,#REF!,IF('INHERENT MAP'!$B$5=2023,#REF!,IF('INHERENT MAP'!$B$5=2024,#REF!,#REF!))))</f>
        <v>0</v>
      </c>
      <c r="AG380">
        <f>IF('INHERENT MAP'!$B$5=2021,'РЕЕСТР РИСКОВ_2023'!AM420,IF('INHERENT MAP'!$B$5=2022,#REF!,IF('INHERENT MAP'!$B$5=2023,#REF!,IF('INHERENT MAP'!$B$5=2024,#REF!,#REF!))))</f>
        <v>0</v>
      </c>
      <c r="AH380">
        <f>IF('INHERENT MAP'!$B$5=2021,'РЕЕСТР РИСКОВ_2023'!AN420,IF('INHERENT MAP'!$B$5=2022,#REF!,IF('INHERENT MAP'!$B$5=2023,#REF!,IF('INHERENT MAP'!$B$5=2024,#REF!,#REF!))))</f>
        <v>0</v>
      </c>
      <c r="AI380">
        <f>IF('INHERENT MAP'!$B$5=2021,'РЕЕСТР РИСКОВ_2023'!AO420,IF('INHERENT MAP'!$B$5=2022,#REF!,IF('INHERENT MAP'!$B$5=2023,#REF!,IF('INHERENT MAP'!$B$5=2024,#REF!,#REF!))))</f>
        <v>0</v>
      </c>
      <c r="AJ380">
        <f>IF('INHERENT MAP'!$B$5=2021,'РЕЕСТР РИСКОВ_2023'!AP420,IF('INHERENT MAP'!$B$5=2022,#REF!,IF('INHERENT MAP'!$B$5=2023,#REF!,IF('INHERENT MAP'!$B$5=2024,#REF!,#REF!))))</f>
        <v>0</v>
      </c>
      <c r="AK380">
        <f>IF('РЕЕСТР РИСКОВ_2023'!AQ420="",AK379,'РЕЕСТР РИСКОВ_2023'!AQ420)</f>
        <v>-216</v>
      </c>
      <c r="AL380">
        <f>IF('РЕЕСТР РИСКОВ_2023'!AR420="",AL379,'РЕЕСТР РИСКОВ_2023'!AR420)</f>
        <v>0.12</v>
      </c>
      <c r="AM380" t="str">
        <f>IF('РЕЕСТР РИСКОВ_2023'!AS420="",AM379,'РЕЕСТР РИСКОВ_2023'!AS420)</f>
        <v>стоп</v>
      </c>
      <c r="AN380" t="str">
        <f>IF('РЕЕСТР РИСКОВ_2023'!AT420="",AN379,'РЕЕСТР РИСКОВ_2023'!AT420)</f>
        <v>стоп</v>
      </c>
      <c r="AO380" t="e">
        <f>IF('РЕЕСТР РИСКОВ_2023'!AU420="",AO379,'РЕЕСТР РИСКОВ_2023'!AU420)</f>
        <v>#REF!</v>
      </c>
    </row>
    <row r="381" spans="2:41">
      <c r="B381" t="str">
        <f>IF('INHERENT MAP'!$B$5=2021,IF('РЕЕСТР РИСКОВ_2023'!F421="",B380,'РЕЕСТР РИСКОВ_2023'!F421),IF('INHERENT MAP'!$B$5=2022,IF(#REF!="",B380,#REF!),IF('INHERENT MAP'!$B$5=2023,IF(#REF!="",B380,#REF!),IF('INHERENT MAP'!$B$5=2024,IF(#REF!="",B380,#REF!),IF('РЕЕСТР РИСКОВ_2023'!F421="",B380,'РЕЕСТР РИСКОВ_2023'!F421)))))</f>
        <v>ПРОЦЕНТНЫЙ РИСК</v>
      </c>
      <c r="C381" t="e">
        <f>IF('INHERENT MAP'!$B$5=2021,IF('РЕЕСТР РИСКОВ_2023'!G421="",C380,'РЕЕСТР РИСКОВ_2023'!G421),IF('INHERENT MAP'!$B$5=2022,IF(#REF!="",C380,#REF!),IF('INHERENT MAP'!$B$5=2023,IF(#REF!="",C380,#REF!),IF('INHERENT MAP'!$B$5=2024,IF(#REF!="",C380,#REF!),IF('РЕЕСТР РИСКОВ_2023'!G421="",C380,'РЕЕСТР РИСКОВ_2023'!G421)))))</f>
        <v>#REF!</v>
      </c>
      <c r="D381" t="str">
        <f>IF('INHERENT MAP'!$B$5=2021,IF('РЕЕСТР РИСКОВ_2023'!H421="",D380,'РЕЕСТР РИСКОВ_2023'!H421),IF('INHERENT MAP'!$B$5=2022,IF(#REF!="",D380,#REF!),IF('INHERENT MAP'!$B$5=2023,IF(#REF!="",D380,#REF!),IF('INHERENT MAP'!$B$5=2024,IF(#REF!="",D380,#REF!),IF('РЕЕСТР РИСКОВ_2023'!H421="",D380,'РЕЕСТР РИСКОВ_2023'!H421)))))</f>
        <v>IRR-1</v>
      </c>
      <c r="E381" t="str">
        <f>IF('INHERENT MAP'!$B$5=2021,IF('РЕЕСТР РИСКОВ_2023'!I421="",E380,'РЕЕСТР РИСКОВ_2023'!I421),IF('INHERENT MAP'!$B$5=2022,IF(#REF!="",E380,#REF!),IF('INHERENT MAP'!$B$5=2023,IF(#REF!="",E380,#REF!),IF('INHERENT MAP'!$B$5=2024,IF(#REF!="",E380,#REF!),IF('РЕЕСТР РИСКОВ_2023'!I421="",E380,'РЕЕСТР РИСКОВ_2023'!I421)))))</f>
        <v>ЦЗФ</v>
      </c>
      <c r="F381" t="str">
        <f>IF('INHERENT MAP'!$B$5=2021,IF('РЕЕСТР РИСКОВ_2023'!J421="",F380,'РЕЕСТР РИСКОВ_2023'!J421),IF('INHERENT MAP'!$B$5=2022,IF(#REF!="",F380,#REF!),IF('INHERENT MAP'!$B$5=2023,IF(#REF!="",F380,#REF!),IF('INHERENT MAP'!$B$5=2024,IF(#REF!="",F380,#REF!),IF('РЕЕСТР РИСКОВ_2023'!J421="",F380,'РЕЕСТР РИСКОВ_2023'!J421)))))</f>
        <v>Цзайм</v>
      </c>
      <c r="G381" t="str">
        <f>IF('INHERENT MAP'!$B$5=2021,IF('РЕЕСТР РИСКОВ_2023'!K421="",G380,'РЕЕСТР РИСКОВ_2023'!K421),IF('INHERENT MAP'!$B$5=2022,IF(#REF!="",G380,#REF!),IF('INHERENT MAP'!$B$5=2023,IF(#REF!="",G380,#REF!),IF('INHERENT MAP'!$B$5=2024,IF(#REF!="",G380,#REF!),IF('РЕЕСТР РИСКОВ_2023'!K421="",G380,'РЕЕСТР РИСКОВ_2023'!K421)))))</f>
        <v>Увеличение расходов по процентам на новые займы, а также текущие займы (с плавающей ставкой) в тенге.</v>
      </c>
      <c r="H381">
        <f>IF('INHERENT MAP'!$B$5=2021,'РЕЕСТР РИСКОВ_2023'!L421,IF('INHERENT MAP'!$B$5=2022,#REF!,IF('INHERENT MAP'!$B$5=2023,#REF!,IF('INHERENT MAP'!$B$5=2024,#REF!,#REF!))))</f>
        <v>0</v>
      </c>
      <c r="I381">
        <f>IF('INHERENT MAP'!$B$5=2021,'РЕЕСТР РИСКОВ_2023'!M421,IF('INHERENT MAP'!$B$5=2022,#REF!,IF('INHERENT MAP'!$B$5=2023,#REF!,IF('INHERENT MAP'!$B$5=2024,#REF!,#REF!))))</f>
        <v>0</v>
      </c>
      <c r="J381">
        <f>IF('INHERENT MAP'!$B$5=2021,'РЕЕСТР РИСКОВ_2023'!N421,IF('INHERENT MAP'!$B$5=2022,#REF!,IF('INHERENT MAP'!$B$5=2023,#REF!,IF('INHERENT MAP'!$B$5=2024,#REF!,#REF!))))</f>
        <v>0</v>
      </c>
      <c r="K381">
        <f>IF('INHERENT MAP'!$B$5=2021,'РЕЕСТР РИСКОВ_2023'!O421,IF('INHERENT MAP'!$B$5=2022,#REF!,IF('INHERENT MAP'!$B$5=2023,#REF!,IF('INHERENT MAP'!$B$5=2024,#REF!,#REF!))))</f>
        <v>0</v>
      </c>
      <c r="L381">
        <f>IF('INHERENT MAP'!$B$5=2021,'РЕЕСТР РИСКОВ_2023'!P421,IF('INHERENT MAP'!$B$5=2022,#REF!,IF('INHERENT MAP'!$B$5=2023,#REF!,IF('INHERENT MAP'!$B$5=2024,#REF!,#REF!))))</f>
        <v>0</v>
      </c>
      <c r="M381" t="str">
        <f>IF('INHERENT MAP'!$B$5=2021,IF('РЕЕСТР РИСКОВ_2023'!Q421="",M380,'РЕЕСТР РИСКОВ_2023'!Q421),IF('INHERENT MAP'!$B$5=2022,IF(#REF!="",M380,#REF!),IF('INHERENT MAP'!$B$5=2023,IF(#REF!="",M380,#REF!),IF('INHERENT MAP'!$B$5=2024,IF(#REF!="",M380,#REF!),IF('РЕЕСТР РИСКОВ_2023'!Q421="",M380,'РЕЕСТР РИСКОВ_2023'!Q421)))))</f>
        <v>Увеличение базовой ставки Национального банка Республики Казахстан до 16%</v>
      </c>
      <c r="N381" t="str">
        <f>IF('INHERENT MAP'!$B$5=2021,IF('РЕЕСТР РИСКОВ_2023'!R421="",N380,'РЕЕСТР РИСКОВ_2023'!R421),IF('INHERENT MAP'!$B$5=2022,IF(#REF!="",N380,#REF!),IF('INHERENT MAP'!$B$5=2023,IF(#REF!="",N380,#REF!),IF('INHERENT MAP'!$B$5=2024,IF(#REF!="",N380,#REF!),IF('РЕЕСТР РИСКОВ_2023'!R421="",N380,'РЕЕСТР РИСКОВ_2023'!R421)))))</f>
        <v>Рецессия экономики европейских стран</v>
      </c>
      <c r="O381">
        <f>'РЕЕСТР РИСКОВ_2023'!T421</f>
        <v>0</v>
      </c>
      <c r="P381" t="e">
        <f>IF('РЕЕСТР РИСКОВ_2023'!U421="",P380,'РЕЕСТР РИСКОВ_2023'!U421)</f>
        <v>#REF!</v>
      </c>
      <c r="Q381" t="str">
        <f>IF('РЕЕСТР РИСКОВ_2023'!V421="",Q380,'РЕЕСТР РИСКОВ_2023'!V421)</f>
        <v>Угрозы</v>
      </c>
      <c r="R381" t="e">
        <f>IF('РЕЕСТР РИСКОВ_2023'!W421="",R380,'РЕЕСТР РИСКОВ_2023'!W421)</f>
        <v>#REF!</v>
      </c>
      <c r="S381">
        <f>'РЕЕСТР РИСКОВ_2023'!X421</f>
        <v>0</v>
      </c>
      <c r="T381" s="94">
        <f>IF('INHERENT MAP'!$B$5=2021,'РЕЕСТР РИСКОВ_2023'!Y421,IF('INHERENT MAP'!$B$5=2022,#REF!,IF('INHERENT MAP'!$B$5=2023,#REF!,IF('INHERENT MAP'!$B$5=2024,#REF!,#REF!))))</f>
        <v>0</v>
      </c>
      <c r="U381">
        <f>IF('INHERENT MAP'!$B$5=2021,'РЕЕСТР РИСКОВ_2023'!Z421,IF('INHERENT MAP'!$B$5=2022,#REF!,IF('INHERENT MAP'!$B$5=2023,#REF!,IF('INHERENT MAP'!$B$5=2024,#REF!,#REF!))))</f>
        <v>0</v>
      </c>
      <c r="V381">
        <f>IF('INHERENT MAP'!$B$5=2021,'РЕЕСТР РИСКОВ_2023'!AA421,IF('INHERENT MAP'!$B$5=2022,#REF!,IF('INHERENT MAP'!$B$5=2023,#REF!,IF('INHERENT MAP'!$B$5=2024,#REF!,#REF!))))</f>
        <v>0</v>
      </c>
      <c r="W381">
        <f>IF('INHERENT MAP'!$B$5=2021,'РЕЕСТР РИСКОВ_2023'!AB421,IF('INHERENT MAP'!$B$5=2022,#REF!,IF('INHERENT MAP'!$B$5=2023,#REF!,IF('INHERENT MAP'!$B$5=2024,#REF!,#REF!))))</f>
        <v>0</v>
      </c>
      <c r="X381" s="94">
        <f>IF('INHERENT MAP'!$B$5=2021,'РЕЕСТР РИСКОВ_2023'!AC421,IF('INHERENT MAP'!$B$5=2022,#REF!,IF('INHERENT MAP'!$B$5=2023,#REF!,IF('INHERENT MAP'!$B$5=2024,#REF!,#REF!))))</f>
        <v>0</v>
      </c>
      <c r="Y381">
        <f>IF('INHERENT MAP'!$B$5=2021,'РЕЕСТР РИСКОВ_2023'!AD421,IF('INHERENT MAP'!$B$5=2022,#REF!,IF('INHERENT MAP'!$B$5=2023,#REF!,IF('INHERENT MAP'!$B$5=2024,#REF!,#REF!))))</f>
        <v>0</v>
      </c>
      <c r="Z381">
        <f>IF('INHERENT MAP'!$B$5=2021,'РЕЕСТР РИСКОВ_2023'!AE421,IF('INHERENT MAP'!$B$5=2022,#REF!,IF('INHERENT MAP'!$B$5=2023,#REF!,IF('INHERENT MAP'!$B$5=2024,#REF!,#REF!))))</f>
        <v>0</v>
      </c>
      <c r="AA381">
        <f>IF('INHERENT MAP'!$B$5=2021,'РЕЕСТР РИСКОВ_2023'!AF421,IF('INHERENT MAP'!$B$5=2022,#REF!,IF('INHERENT MAP'!$B$5=2023,#REF!,IF('INHERENT MAP'!$B$5=2024,#REF!,#REF!))))</f>
        <v>0</v>
      </c>
      <c r="AB381">
        <f>IF('INHERENT MAP'!$B$5=2021,'РЕЕСТР РИСКОВ_2023'!AG421,IF('INHERENT MAP'!$B$5=2022,#REF!,IF('INHERENT MAP'!$B$5=2023,#REF!,IF('INHERENT MAP'!$B$5=2024,#REF!,#REF!))))</f>
        <v>0</v>
      </c>
      <c r="AC381">
        <f>IF('INHERENT MAP'!$B$5=2021,'РЕЕСТР РИСКОВ_2023'!AH421,IF('INHERENT MAP'!$B$5=2022,#REF!,IF('INHERENT MAP'!$B$5=2023,#REF!,IF('INHERENT MAP'!$B$5=2024,#REF!,#REF!))))</f>
        <v>0</v>
      </c>
      <c r="AD381">
        <f>IF('INHERENT MAP'!$B$5=2021,'РЕЕСТР РИСКОВ_2023'!AI421,IF('INHERENT MAP'!$B$5=2022,#REF!,IF('INHERENT MAP'!$B$5=2023,#REF!,IF('INHERENT MAP'!$B$5=2024,#REF!,#REF!))))</f>
        <v>0</v>
      </c>
      <c r="AE381">
        <f>IF('INHERENT MAP'!$B$5=2021,'РЕЕСТР РИСКОВ_2023'!AK421,IF('INHERENT MAP'!$B$5=2022,#REF!,IF('INHERENT MAP'!$B$5=2023,#REF!,IF('INHERENT MAP'!$B$5=2024,#REF!,#REF!))))</f>
        <v>0</v>
      </c>
      <c r="AF381">
        <f>IF('INHERENT MAP'!$B$5=2021,'РЕЕСТР РИСКОВ_2023'!AL421,IF('INHERENT MAP'!$B$5=2022,#REF!,IF('INHERENT MAP'!$B$5=2023,#REF!,IF('INHERENT MAP'!$B$5=2024,#REF!,#REF!))))</f>
        <v>0</v>
      </c>
      <c r="AG381">
        <f>IF('INHERENT MAP'!$B$5=2021,'РЕЕСТР РИСКОВ_2023'!AM421,IF('INHERENT MAP'!$B$5=2022,#REF!,IF('INHERENT MAP'!$B$5=2023,#REF!,IF('INHERENT MAP'!$B$5=2024,#REF!,#REF!))))</f>
        <v>0</v>
      </c>
      <c r="AH381">
        <f>IF('INHERENT MAP'!$B$5=2021,'РЕЕСТР РИСКОВ_2023'!AN421,IF('INHERENT MAP'!$B$5=2022,#REF!,IF('INHERENT MAP'!$B$5=2023,#REF!,IF('INHERENT MAP'!$B$5=2024,#REF!,#REF!))))</f>
        <v>0</v>
      </c>
      <c r="AI381">
        <f>IF('INHERENT MAP'!$B$5=2021,'РЕЕСТР РИСКОВ_2023'!AO421,IF('INHERENT MAP'!$B$5=2022,#REF!,IF('INHERENT MAP'!$B$5=2023,#REF!,IF('INHERENT MAP'!$B$5=2024,#REF!,#REF!))))</f>
        <v>0</v>
      </c>
      <c r="AJ381">
        <f>IF('INHERENT MAP'!$B$5=2021,'РЕЕСТР РИСКОВ_2023'!AP421,IF('INHERENT MAP'!$B$5=2022,#REF!,IF('INHERENT MAP'!$B$5=2023,#REF!,IF('INHERENT MAP'!$B$5=2024,#REF!,#REF!))))</f>
        <v>0</v>
      </c>
      <c r="AK381">
        <f>IF('РЕЕСТР РИСКОВ_2023'!AQ421="",AK380,'РЕЕСТР РИСКОВ_2023'!AQ421)</f>
        <v>-216</v>
      </c>
      <c r="AL381">
        <f>IF('РЕЕСТР РИСКОВ_2023'!AR421="",AL380,'РЕЕСТР РИСКОВ_2023'!AR421)</f>
        <v>0.12</v>
      </c>
      <c r="AM381" t="str">
        <f>IF('РЕЕСТР РИСКОВ_2023'!AS421="",AM380,'РЕЕСТР РИСКОВ_2023'!AS421)</f>
        <v>стоп</v>
      </c>
      <c r="AN381" t="str">
        <f>IF('РЕЕСТР РИСКОВ_2023'!AT421="",AN380,'РЕЕСТР РИСКОВ_2023'!AT421)</f>
        <v>стоп</v>
      </c>
      <c r="AO381" t="e">
        <f>IF('РЕЕСТР РИСКОВ_2023'!AU421="",AO380,'РЕЕСТР РИСКОВ_2023'!AU421)</f>
        <v>#REF!</v>
      </c>
    </row>
    <row r="382" spans="2:41">
      <c r="B382" t="str">
        <f>IF('INHERENT MAP'!$B$5=2021,IF('РЕЕСТР РИСКОВ_2023'!F422="",B381,'РЕЕСТР РИСКОВ_2023'!F422),IF('INHERENT MAP'!$B$5=2022,IF(#REF!="",B381,#REF!),IF('INHERENT MAP'!$B$5=2023,IF(#REF!="",B381,#REF!),IF('INHERENT MAP'!$B$5=2024,IF(#REF!="",B381,#REF!),IF('РЕЕСТР РИСКОВ_2023'!F422="",B381,'РЕЕСТР РИСКОВ_2023'!F422)))))</f>
        <v>ПРОЦЕНТНЫЙ РИСК</v>
      </c>
      <c r="C382" t="e">
        <f>IF('INHERENT MAP'!$B$5=2021,IF('РЕЕСТР РИСКОВ_2023'!G422="",C381,'РЕЕСТР РИСКОВ_2023'!G422),IF('INHERENT MAP'!$B$5=2022,IF(#REF!="",C381,#REF!),IF('INHERENT MAP'!$B$5=2023,IF(#REF!="",C381,#REF!),IF('INHERENT MAP'!$B$5=2024,IF(#REF!="",C381,#REF!),IF('РЕЕСТР РИСКОВ_2023'!G422="",C381,'РЕЕСТР РИСКОВ_2023'!G422)))))</f>
        <v>#REF!</v>
      </c>
      <c r="D382" t="str">
        <f>IF('INHERENT MAP'!$B$5=2021,IF('РЕЕСТР РИСКОВ_2023'!H422="",D381,'РЕЕСТР РИСКОВ_2023'!H422),IF('INHERENT MAP'!$B$5=2022,IF(#REF!="",D381,#REF!),IF('INHERENT MAP'!$B$5=2023,IF(#REF!="",D381,#REF!),IF('INHERENT MAP'!$B$5=2024,IF(#REF!="",D381,#REF!),IF('РЕЕСТР РИСКОВ_2023'!H422="",D381,'РЕЕСТР РИСКОВ_2023'!H422)))))</f>
        <v>IRR-1</v>
      </c>
      <c r="E382" t="str">
        <f>IF('INHERENT MAP'!$B$5=2021,IF('РЕЕСТР РИСКОВ_2023'!I422="",E381,'РЕЕСТР РИСКОВ_2023'!I422),IF('INHERENT MAP'!$B$5=2022,IF(#REF!="",E381,#REF!),IF('INHERENT MAP'!$B$5=2023,IF(#REF!="",E381,#REF!),IF('INHERENT MAP'!$B$5=2024,IF(#REF!="",E381,#REF!),IF('РЕЕСТР РИСКОВ_2023'!I422="",E381,'РЕЕСТР РИСКОВ_2023'!I422)))))</f>
        <v>ЦЗФ</v>
      </c>
      <c r="F382" t="str">
        <f>IF('INHERENT MAP'!$B$5=2021,IF('РЕЕСТР РИСКОВ_2023'!J422="",F381,'РЕЕСТР РИСКОВ_2023'!J422),IF('INHERENT MAP'!$B$5=2022,IF(#REF!="",F381,#REF!),IF('INHERENT MAP'!$B$5=2023,IF(#REF!="",F381,#REF!),IF('INHERENT MAP'!$B$5=2024,IF(#REF!="",F381,#REF!),IF('РЕЕСТР РИСКОВ_2023'!J422="",F381,'РЕЕСТР РИСКОВ_2023'!J422)))))</f>
        <v>Цзайм</v>
      </c>
      <c r="G382" t="str">
        <f>IF('INHERENT MAP'!$B$5=2021,IF('РЕЕСТР РИСКОВ_2023'!K422="",G381,'РЕЕСТР РИСКОВ_2023'!K422),IF('INHERENT MAP'!$B$5=2022,IF(#REF!="",G381,#REF!),IF('INHERENT MAP'!$B$5=2023,IF(#REF!="",G381,#REF!),IF('INHERENT MAP'!$B$5=2024,IF(#REF!="",G381,#REF!),IF('РЕЕСТР РИСКОВ_2023'!K422="",G381,'РЕЕСТР РИСКОВ_2023'!K422)))))</f>
        <v>Увеличение расходов по процентам на новые займы, а также текущие займы (с плавающей ставкой) в тенге.</v>
      </c>
      <c r="H382">
        <f>IF('INHERENT MAP'!$B$5=2021,'РЕЕСТР РИСКОВ_2023'!L422,IF('INHERENT MAP'!$B$5=2022,#REF!,IF('INHERENT MAP'!$B$5=2023,#REF!,IF('INHERENT MAP'!$B$5=2024,#REF!,#REF!))))</f>
        <v>0</v>
      </c>
      <c r="I382">
        <f>IF('INHERENT MAP'!$B$5=2021,'РЕЕСТР РИСКОВ_2023'!M422,IF('INHERENT MAP'!$B$5=2022,#REF!,IF('INHERENT MAP'!$B$5=2023,#REF!,IF('INHERENT MAP'!$B$5=2024,#REF!,#REF!))))</f>
        <v>0</v>
      </c>
      <c r="J382">
        <f>IF('INHERENT MAP'!$B$5=2021,'РЕЕСТР РИСКОВ_2023'!N422,IF('INHERENT MAP'!$B$5=2022,#REF!,IF('INHERENT MAP'!$B$5=2023,#REF!,IF('INHERENT MAP'!$B$5=2024,#REF!,#REF!))))</f>
        <v>0</v>
      </c>
      <c r="K382">
        <f>IF('INHERENT MAP'!$B$5=2021,'РЕЕСТР РИСКОВ_2023'!O422,IF('INHERENT MAP'!$B$5=2022,#REF!,IF('INHERENT MAP'!$B$5=2023,#REF!,IF('INHERENT MAP'!$B$5=2024,#REF!,#REF!))))</f>
        <v>0</v>
      </c>
      <c r="L382">
        <f>IF('INHERENT MAP'!$B$5=2021,'РЕЕСТР РИСКОВ_2023'!P422,IF('INHERENT MAP'!$B$5=2022,#REF!,IF('INHERENT MAP'!$B$5=2023,#REF!,IF('INHERENT MAP'!$B$5=2024,#REF!,#REF!))))</f>
        <v>0</v>
      </c>
      <c r="M382" t="str">
        <f>IF('INHERENT MAP'!$B$5=2021,IF('РЕЕСТР РИСКОВ_2023'!Q422="",M381,'РЕЕСТР РИСКОВ_2023'!Q422),IF('INHERENT MAP'!$B$5=2022,IF(#REF!="",M381,#REF!),IF('INHERENT MAP'!$B$5=2023,IF(#REF!="",M381,#REF!),IF('INHERENT MAP'!$B$5=2024,IF(#REF!="",M381,#REF!),IF('РЕЕСТР РИСКОВ_2023'!Q422="",M381,'РЕЕСТР РИСКОВ_2023'!Q422)))))</f>
        <v>Увеличение базовой ставки Национального банка Республики Казахстан до 16%</v>
      </c>
      <c r="N382" t="str">
        <f>IF('INHERENT MAP'!$B$5=2021,IF('РЕЕСТР РИСКОВ_2023'!R422="",N381,'РЕЕСТР РИСКОВ_2023'!R422),IF('INHERENT MAP'!$B$5=2022,IF(#REF!="",N381,#REF!),IF('INHERENT MAP'!$B$5=2023,IF(#REF!="",N381,#REF!),IF('INHERENT MAP'!$B$5=2024,IF(#REF!="",N381,#REF!),IF('РЕЕСТР РИСКОВ_2023'!R422="",N381,'РЕЕСТР РИСКОВ_2023'!R422)))))</f>
        <v>Рецессия экономики европейских стран</v>
      </c>
      <c r="O382">
        <f>'РЕЕСТР РИСКОВ_2023'!T422</f>
        <v>0</v>
      </c>
      <c r="P382" t="e">
        <f>IF('РЕЕСТР РИСКОВ_2023'!U422="",P381,'РЕЕСТР РИСКОВ_2023'!U422)</f>
        <v>#REF!</v>
      </c>
      <c r="Q382" t="str">
        <f>IF('РЕЕСТР РИСКОВ_2023'!V422="",Q381,'РЕЕСТР РИСКОВ_2023'!V422)</f>
        <v>Угрозы</v>
      </c>
      <c r="R382" t="e">
        <f>IF('РЕЕСТР РИСКОВ_2023'!W422="",R381,'РЕЕСТР РИСКОВ_2023'!W422)</f>
        <v>#REF!</v>
      </c>
      <c r="S382">
        <f>'РЕЕСТР РИСКОВ_2023'!X422</f>
        <v>0</v>
      </c>
      <c r="T382" s="94">
        <f>IF('INHERENT MAP'!$B$5=2021,'РЕЕСТР РИСКОВ_2023'!Y422,IF('INHERENT MAP'!$B$5=2022,#REF!,IF('INHERENT MAP'!$B$5=2023,#REF!,IF('INHERENT MAP'!$B$5=2024,#REF!,#REF!))))</f>
        <v>0</v>
      </c>
      <c r="U382">
        <f>IF('INHERENT MAP'!$B$5=2021,'РЕЕСТР РИСКОВ_2023'!Z422,IF('INHERENT MAP'!$B$5=2022,#REF!,IF('INHERENT MAP'!$B$5=2023,#REF!,IF('INHERENT MAP'!$B$5=2024,#REF!,#REF!))))</f>
        <v>0</v>
      </c>
      <c r="V382">
        <f>IF('INHERENT MAP'!$B$5=2021,'РЕЕСТР РИСКОВ_2023'!AA422,IF('INHERENT MAP'!$B$5=2022,#REF!,IF('INHERENT MAP'!$B$5=2023,#REF!,IF('INHERENT MAP'!$B$5=2024,#REF!,#REF!))))</f>
        <v>0</v>
      </c>
      <c r="W382">
        <f>IF('INHERENT MAP'!$B$5=2021,'РЕЕСТР РИСКОВ_2023'!AB422,IF('INHERENT MAP'!$B$5=2022,#REF!,IF('INHERENT MAP'!$B$5=2023,#REF!,IF('INHERENT MAP'!$B$5=2024,#REF!,#REF!))))</f>
        <v>0</v>
      </c>
      <c r="X382" s="94">
        <f>IF('INHERENT MAP'!$B$5=2021,'РЕЕСТР РИСКОВ_2023'!AC422,IF('INHERENT MAP'!$B$5=2022,#REF!,IF('INHERENT MAP'!$B$5=2023,#REF!,IF('INHERENT MAP'!$B$5=2024,#REF!,#REF!))))</f>
        <v>0</v>
      </c>
      <c r="Y382">
        <f>IF('INHERENT MAP'!$B$5=2021,'РЕЕСТР РИСКОВ_2023'!AD422,IF('INHERENT MAP'!$B$5=2022,#REF!,IF('INHERENT MAP'!$B$5=2023,#REF!,IF('INHERENT MAP'!$B$5=2024,#REF!,#REF!))))</f>
        <v>0</v>
      </c>
      <c r="Z382">
        <f>IF('INHERENT MAP'!$B$5=2021,'РЕЕСТР РИСКОВ_2023'!AE422,IF('INHERENT MAP'!$B$5=2022,#REF!,IF('INHERENT MAP'!$B$5=2023,#REF!,IF('INHERENT MAP'!$B$5=2024,#REF!,#REF!))))</f>
        <v>0</v>
      </c>
      <c r="AA382">
        <f>IF('INHERENT MAP'!$B$5=2021,'РЕЕСТР РИСКОВ_2023'!AF422,IF('INHERENT MAP'!$B$5=2022,#REF!,IF('INHERENT MAP'!$B$5=2023,#REF!,IF('INHERENT MAP'!$B$5=2024,#REF!,#REF!))))</f>
        <v>0</v>
      </c>
      <c r="AB382">
        <f>IF('INHERENT MAP'!$B$5=2021,'РЕЕСТР РИСКОВ_2023'!AG422,IF('INHERENT MAP'!$B$5=2022,#REF!,IF('INHERENT MAP'!$B$5=2023,#REF!,IF('INHERENT MAP'!$B$5=2024,#REF!,#REF!))))</f>
        <v>0</v>
      </c>
      <c r="AC382">
        <f>IF('INHERENT MAP'!$B$5=2021,'РЕЕСТР РИСКОВ_2023'!AH422,IF('INHERENT MAP'!$B$5=2022,#REF!,IF('INHERENT MAP'!$B$5=2023,#REF!,IF('INHERENT MAP'!$B$5=2024,#REF!,#REF!))))</f>
        <v>0</v>
      </c>
      <c r="AD382">
        <f>IF('INHERENT MAP'!$B$5=2021,'РЕЕСТР РИСКОВ_2023'!AI422,IF('INHERENT MAP'!$B$5=2022,#REF!,IF('INHERENT MAP'!$B$5=2023,#REF!,IF('INHERENT MAP'!$B$5=2024,#REF!,#REF!))))</f>
        <v>0</v>
      </c>
      <c r="AE382">
        <f>IF('INHERENT MAP'!$B$5=2021,'РЕЕСТР РИСКОВ_2023'!AK422,IF('INHERENT MAP'!$B$5=2022,#REF!,IF('INHERENT MAP'!$B$5=2023,#REF!,IF('INHERENT MAP'!$B$5=2024,#REF!,#REF!))))</f>
        <v>0</v>
      </c>
      <c r="AF382">
        <f>IF('INHERENT MAP'!$B$5=2021,'РЕЕСТР РИСКОВ_2023'!AL422,IF('INHERENT MAP'!$B$5=2022,#REF!,IF('INHERENT MAP'!$B$5=2023,#REF!,IF('INHERENT MAP'!$B$5=2024,#REF!,#REF!))))</f>
        <v>0</v>
      </c>
      <c r="AG382">
        <f>IF('INHERENT MAP'!$B$5=2021,'РЕЕСТР РИСКОВ_2023'!AM422,IF('INHERENT MAP'!$B$5=2022,#REF!,IF('INHERENT MAP'!$B$5=2023,#REF!,IF('INHERENT MAP'!$B$5=2024,#REF!,#REF!))))</f>
        <v>0</v>
      </c>
      <c r="AH382">
        <f>IF('INHERENT MAP'!$B$5=2021,'РЕЕСТР РИСКОВ_2023'!AN422,IF('INHERENT MAP'!$B$5=2022,#REF!,IF('INHERENT MAP'!$B$5=2023,#REF!,IF('INHERENT MAP'!$B$5=2024,#REF!,#REF!))))</f>
        <v>0</v>
      </c>
      <c r="AI382">
        <f>IF('INHERENT MAP'!$B$5=2021,'РЕЕСТР РИСКОВ_2023'!AO422,IF('INHERENT MAP'!$B$5=2022,#REF!,IF('INHERENT MAP'!$B$5=2023,#REF!,IF('INHERENT MAP'!$B$5=2024,#REF!,#REF!))))</f>
        <v>0</v>
      </c>
      <c r="AJ382">
        <f>IF('INHERENT MAP'!$B$5=2021,'РЕЕСТР РИСКОВ_2023'!AP422,IF('INHERENT MAP'!$B$5=2022,#REF!,IF('INHERENT MAP'!$B$5=2023,#REF!,IF('INHERENT MAP'!$B$5=2024,#REF!,#REF!))))</f>
        <v>0</v>
      </c>
      <c r="AK382">
        <f>IF('РЕЕСТР РИСКОВ_2023'!AQ422="",AK381,'РЕЕСТР РИСКОВ_2023'!AQ422)</f>
        <v>-216</v>
      </c>
      <c r="AL382">
        <f>IF('РЕЕСТР РИСКОВ_2023'!AR422="",AL381,'РЕЕСТР РИСКОВ_2023'!AR422)</f>
        <v>0.12</v>
      </c>
      <c r="AM382" t="str">
        <f>IF('РЕЕСТР РИСКОВ_2023'!AS422="",AM381,'РЕЕСТР РИСКОВ_2023'!AS422)</f>
        <v>стоп</v>
      </c>
      <c r="AN382" t="str">
        <f>IF('РЕЕСТР РИСКОВ_2023'!AT422="",AN381,'РЕЕСТР РИСКОВ_2023'!AT422)</f>
        <v>стоп</v>
      </c>
      <c r="AO382" t="e">
        <f>IF('РЕЕСТР РИСКОВ_2023'!AU422="",AO381,'РЕЕСТР РИСКОВ_2023'!AU422)</f>
        <v>#REF!</v>
      </c>
    </row>
    <row r="383" spans="2:41">
      <c r="B383" t="str">
        <f>IF('INHERENT MAP'!$B$5=2021,IF('РЕЕСТР РИСКОВ_2023'!F423="",B382,'РЕЕСТР РИСКОВ_2023'!F423),IF('INHERENT MAP'!$B$5=2022,IF(#REF!="",B382,#REF!),IF('INHERENT MAP'!$B$5=2023,IF(#REF!="",B382,#REF!),IF('INHERENT MAP'!$B$5=2024,IF(#REF!="",B382,#REF!),IF('РЕЕСТР РИСКОВ_2023'!F423="",B382,'РЕЕСТР РИСКОВ_2023'!F423)))))</f>
        <v>ПРОЦЕНТНЫЙ РИСК</v>
      </c>
      <c r="C383" t="e">
        <f>IF('INHERENT MAP'!$B$5=2021,IF('РЕЕСТР РИСКОВ_2023'!G423="",C382,'РЕЕСТР РИСКОВ_2023'!G423),IF('INHERENT MAP'!$B$5=2022,IF(#REF!="",C382,#REF!),IF('INHERENT MAP'!$B$5=2023,IF(#REF!="",C382,#REF!),IF('INHERENT MAP'!$B$5=2024,IF(#REF!="",C382,#REF!),IF('РЕЕСТР РИСКОВ_2023'!G423="",C382,'РЕЕСТР РИСКОВ_2023'!G423)))))</f>
        <v>#REF!</v>
      </c>
      <c r="D383" t="str">
        <f>IF('INHERENT MAP'!$B$5=2021,IF('РЕЕСТР РИСКОВ_2023'!H423="",D382,'РЕЕСТР РИСКОВ_2023'!H423),IF('INHERENT MAP'!$B$5=2022,IF(#REF!="",D382,#REF!),IF('INHERENT MAP'!$B$5=2023,IF(#REF!="",D382,#REF!),IF('INHERENT MAP'!$B$5=2024,IF(#REF!="",D382,#REF!),IF('РЕЕСТР РИСКОВ_2023'!H423="",D382,'РЕЕСТР РИСКОВ_2023'!H423)))))</f>
        <v>IRR-1</v>
      </c>
      <c r="E383" t="str">
        <f>IF('INHERENT MAP'!$B$5=2021,IF('РЕЕСТР РИСКОВ_2023'!I423="",E382,'РЕЕСТР РИСКОВ_2023'!I423),IF('INHERENT MAP'!$B$5=2022,IF(#REF!="",E382,#REF!),IF('INHERENT MAP'!$B$5=2023,IF(#REF!="",E382,#REF!),IF('INHERENT MAP'!$B$5=2024,IF(#REF!="",E382,#REF!),IF('РЕЕСТР РИСКОВ_2023'!I423="",E382,'РЕЕСТР РИСКОВ_2023'!I423)))))</f>
        <v>ЦЗФ</v>
      </c>
      <c r="F383" t="str">
        <f>IF('INHERENT MAP'!$B$5=2021,IF('РЕЕСТР РИСКОВ_2023'!J423="",F382,'РЕЕСТР РИСКОВ_2023'!J423),IF('INHERENT MAP'!$B$5=2022,IF(#REF!="",F382,#REF!),IF('INHERENT MAP'!$B$5=2023,IF(#REF!="",F382,#REF!),IF('INHERENT MAP'!$B$5=2024,IF(#REF!="",F382,#REF!),IF('РЕЕСТР РИСКОВ_2023'!J423="",F382,'РЕЕСТР РИСКОВ_2023'!J423)))))</f>
        <v>Цзайм</v>
      </c>
      <c r="G383" t="str">
        <f>IF('INHERENT MAP'!$B$5=2021,IF('РЕЕСТР РИСКОВ_2023'!K423="",G382,'РЕЕСТР РИСКОВ_2023'!K423),IF('INHERENT MAP'!$B$5=2022,IF(#REF!="",G382,#REF!),IF('INHERENT MAP'!$B$5=2023,IF(#REF!="",G382,#REF!),IF('INHERENT MAP'!$B$5=2024,IF(#REF!="",G382,#REF!),IF('РЕЕСТР РИСКОВ_2023'!K423="",G382,'РЕЕСТР РИСКОВ_2023'!K423)))))</f>
        <v>Увеличение расходов по процентам на новые займы, а также текущие займы (с плавающей ставкой) в тенге.</v>
      </c>
      <c r="H383">
        <f>IF('INHERENT MAP'!$B$5=2021,'РЕЕСТР РИСКОВ_2023'!L423,IF('INHERENT MAP'!$B$5=2022,#REF!,IF('INHERENT MAP'!$B$5=2023,#REF!,IF('INHERENT MAP'!$B$5=2024,#REF!,#REF!))))</f>
        <v>0</v>
      </c>
      <c r="I383">
        <f>IF('INHERENT MAP'!$B$5=2021,'РЕЕСТР РИСКОВ_2023'!M423,IF('INHERENT MAP'!$B$5=2022,#REF!,IF('INHERENT MAP'!$B$5=2023,#REF!,IF('INHERENT MAP'!$B$5=2024,#REF!,#REF!))))</f>
        <v>0</v>
      </c>
      <c r="J383">
        <f>IF('INHERENT MAP'!$B$5=2021,'РЕЕСТР РИСКОВ_2023'!N423,IF('INHERENT MAP'!$B$5=2022,#REF!,IF('INHERENT MAP'!$B$5=2023,#REF!,IF('INHERENT MAP'!$B$5=2024,#REF!,#REF!))))</f>
        <v>0</v>
      </c>
      <c r="K383">
        <f>IF('INHERENT MAP'!$B$5=2021,'РЕЕСТР РИСКОВ_2023'!O423,IF('INHERENT MAP'!$B$5=2022,#REF!,IF('INHERENT MAP'!$B$5=2023,#REF!,IF('INHERENT MAP'!$B$5=2024,#REF!,#REF!))))</f>
        <v>0</v>
      </c>
      <c r="L383">
        <f>IF('INHERENT MAP'!$B$5=2021,'РЕЕСТР РИСКОВ_2023'!P423,IF('INHERENT MAP'!$B$5=2022,#REF!,IF('INHERENT MAP'!$B$5=2023,#REF!,IF('INHERENT MAP'!$B$5=2024,#REF!,#REF!))))</f>
        <v>0</v>
      </c>
      <c r="M383" t="str">
        <f>IF('INHERENT MAP'!$B$5=2021,IF('РЕЕСТР РИСКОВ_2023'!Q423="",M382,'РЕЕСТР РИСКОВ_2023'!Q423),IF('INHERENT MAP'!$B$5=2022,IF(#REF!="",M382,#REF!),IF('INHERENT MAP'!$B$5=2023,IF(#REF!="",M382,#REF!),IF('INHERENT MAP'!$B$5=2024,IF(#REF!="",M382,#REF!),IF('РЕЕСТР РИСКОВ_2023'!Q423="",M382,'РЕЕСТР РИСКОВ_2023'!Q423)))))</f>
        <v>Увеличение базовой ставки Национального банка Республики Казахстан до 16%</v>
      </c>
      <c r="N383" t="str">
        <f>IF('INHERENT MAP'!$B$5=2021,IF('РЕЕСТР РИСКОВ_2023'!R423="",N382,'РЕЕСТР РИСКОВ_2023'!R423),IF('INHERENT MAP'!$B$5=2022,IF(#REF!="",N382,#REF!),IF('INHERENT MAP'!$B$5=2023,IF(#REF!="",N382,#REF!),IF('INHERENT MAP'!$B$5=2024,IF(#REF!="",N382,#REF!),IF('РЕЕСТР РИСКОВ_2023'!R423="",N382,'РЕЕСТР РИСКОВ_2023'!R423)))))</f>
        <v>Рецессия экономики европейских стран</v>
      </c>
      <c r="O383">
        <f>'РЕЕСТР РИСКОВ_2023'!T423</f>
        <v>0</v>
      </c>
      <c r="P383" t="e">
        <f>IF('РЕЕСТР РИСКОВ_2023'!U423="",P382,'РЕЕСТР РИСКОВ_2023'!U423)</f>
        <v>#REF!</v>
      </c>
      <c r="Q383" t="str">
        <f>IF('РЕЕСТР РИСКОВ_2023'!V423="",Q382,'РЕЕСТР РИСКОВ_2023'!V423)</f>
        <v>Угрозы</v>
      </c>
      <c r="R383" t="e">
        <f>IF('РЕЕСТР РИСКОВ_2023'!W423="",R382,'РЕЕСТР РИСКОВ_2023'!W423)</f>
        <v>#REF!</v>
      </c>
      <c r="S383">
        <f>'РЕЕСТР РИСКОВ_2023'!X423</f>
        <v>0</v>
      </c>
      <c r="T383" s="94">
        <f>IF('INHERENT MAP'!$B$5=2021,'РЕЕСТР РИСКОВ_2023'!Y423,IF('INHERENT MAP'!$B$5=2022,#REF!,IF('INHERENT MAP'!$B$5=2023,#REF!,IF('INHERENT MAP'!$B$5=2024,#REF!,#REF!))))</f>
        <v>0</v>
      </c>
      <c r="U383">
        <f>IF('INHERENT MAP'!$B$5=2021,'РЕЕСТР РИСКОВ_2023'!Z423,IF('INHERENT MAP'!$B$5=2022,#REF!,IF('INHERENT MAP'!$B$5=2023,#REF!,IF('INHERENT MAP'!$B$5=2024,#REF!,#REF!))))</f>
        <v>0</v>
      </c>
      <c r="V383">
        <f>IF('INHERENT MAP'!$B$5=2021,'РЕЕСТР РИСКОВ_2023'!AA423,IF('INHERENT MAP'!$B$5=2022,#REF!,IF('INHERENT MAP'!$B$5=2023,#REF!,IF('INHERENT MAP'!$B$5=2024,#REF!,#REF!))))</f>
        <v>0</v>
      </c>
      <c r="W383">
        <f>IF('INHERENT MAP'!$B$5=2021,'РЕЕСТР РИСКОВ_2023'!AB423,IF('INHERENT MAP'!$B$5=2022,#REF!,IF('INHERENT MAP'!$B$5=2023,#REF!,IF('INHERENT MAP'!$B$5=2024,#REF!,#REF!))))</f>
        <v>0</v>
      </c>
      <c r="X383" s="94">
        <f>IF('INHERENT MAP'!$B$5=2021,'РЕЕСТР РИСКОВ_2023'!AC423,IF('INHERENT MAP'!$B$5=2022,#REF!,IF('INHERENT MAP'!$B$5=2023,#REF!,IF('INHERENT MAP'!$B$5=2024,#REF!,#REF!))))</f>
        <v>0</v>
      </c>
      <c r="Y383">
        <f>IF('INHERENT MAP'!$B$5=2021,'РЕЕСТР РИСКОВ_2023'!AD423,IF('INHERENT MAP'!$B$5=2022,#REF!,IF('INHERENT MAP'!$B$5=2023,#REF!,IF('INHERENT MAP'!$B$5=2024,#REF!,#REF!))))</f>
        <v>0</v>
      </c>
      <c r="Z383">
        <f>IF('INHERENT MAP'!$B$5=2021,'РЕЕСТР РИСКОВ_2023'!AE423,IF('INHERENT MAP'!$B$5=2022,#REF!,IF('INHERENT MAP'!$B$5=2023,#REF!,IF('INHERENT MAP'!$B$5=2024,#REF!,#REF!))))</f>
        <v>0</v>
      </c>
      <c r="AA383">
        <f>IF('INHERENT MAP'!$B$5=2021,'РЕЕСТР РИСКОВ_2023'!AF423,IF('INHERENT MAP'!$B$5=2022,#REF!,IF('INHERENT MAP'!$B$5=2023,#REF!,IF('INHERENT MAP'!$B$5=2024,#REF!,#REF!))))</f>
        <v>0</v>
      </c>
      <c r="AB383">
        <f>IF('INHERENT MAP'!$B$5=2021,'РЕЕСТР РИСКОВ_2023'!AG423,IF('INHERENT MAP'!$B$5=2022,#REF!,IF('INHERENT MAP'!$B$5=2023,#REF!,IF('INHERENT MAP'!$B$5=2024,#REF!,#REF!))))</f>
        <v>0</v>
      </c>
      <c r="AC383">
        <f>IF('INHERENT MAP'!$B$5=2021,'РЕЕСТР РИСКОВ_2023'!AH423,IF('INHERENT MAP'!$B$5=2022,#REF!,IF('INHERENT MAP'!$B$5=2023,#REF!,IF('INHERENT MAP'!$B$5=2024,#REF!,#REF!))))</f>
        <v>0</v>
      </c>
      <c r="AD383">
        <f>IF('INHERENT MAP'!$B$5=2021,'РЕЕСТР РИСКОВ_2023'!AI423,IF('INHERENT MAP'!$B$5=2022,#REF!,IF('INHERENT MAP'!$B$5=2023,#REF!,IF('INHERENT MAP'!$B$5=2024,#REF!,#REF!))))</f>
        <v>0</v>
      </c>
      <c r="AE383">
        <f>IF('INHERENT MAP'!$B$5=2021,'РЕЕСТР РИСКОВ_2023'!AK423,IF('INHERENT MAP'!$B$5=2022,#REF!,IF('INHERENT MAP'!$B$5=2023,#REF!,IF('INHERENT MAP'!$B$5=2024,#REF!,#REF!))))</f>
        <v>0</v>
      </c>
      <c r="AF383">
        <f>IF('INHERENT MAP'!$B$5=2021,'РЕЕСТР РИСКОВ_2023'!AL423,IF('INHERENT MAP'!$B$5=2022,#REF!,IF('INHERENT MAP'!$B$5=2023,#REF!,IF('INHERENT MAP'!$B$5=2024,#REF!,#REF!))))</f>
        <v>0</v>
      </c>
      <c r="AG383">
        <f>IF('INHERENT MAP'!$B$5=2021,'РЕЕСТР РИСКОВ_2023'!AM423,IF('INHERENT MAP'!$B$5=2022,#REF!,IF('INHERENT MAP'!$B$5=2023,#REF!,IF('INHERENT MAP'!$B$5=2024,#REF!,#REF!))))</f>
        <v>0</v>
      </c>
      <c r="AH383">
        <f>IF('INHERENT MAP'!$B$5=2021,'РЕЕСТР РИСКОВ_2023'!AN423,IF('INHERENT MAP'!$B$5=2022,#REF!,IF('INHERENT MAP'!$B$5=2023,#REF!,IF('INHERENT MAP'!$B$5=2024,#REF!,#REF!))))</f>
        <v>0</v>
      </c>
      <c r="AI383">
        <f>IF('INHERENT MAP'!$B$5=2021,'РЕЕСТР РИСКОВ_2023'!AO423,IF('INHERENT MAP'!$B$5=2022,#REF!,IF('INHERENT MAP'!$B$5=2023,#REF!,IF('INHERENT MAP'!$B$5=2024,#REF!,#REF!))))</f>
        <v>0</v>
      </c>
      <c r="AJ383">
        <f>IF('INHERENT MAP'!$B$5=2021,'РЕЕСТР РИСКОВ_2023'!AP423,IF('INHERENT MAP'!$B$5=2022,#REF!,IF('INHERENT MAP'!$B$5=2023,#REF!,IF('INHERENT MAP'!$B$5=2024,#REF!,#REF!))))</f>
        <v>0</v>
      </c>
      <c r="AK383">
        <f>IF('РЕЕСТР РИСКОВ_2023'!AQ423="",AK382,'РЕЕСТР РИСКОВ_2023'!AQ423)</f>
        <v>-216</v>
      </c>
      <c r="AL383">
        <f>IF('РЕЕСТР РИСКОВ_2023'!AR423="",AL382,'РЕЕСТР РИСКОВ_2023'!AR423)</f>
        <v>0.12</v>
      </c>
      <c r="AM383" t="str">
        <f>IF('РЕЕСТР РИСКОВ_2023'!AS423="",AM382,'РЕЕСТР РИСКОВ_2023'!AS423)</f>
        <v>стоп</v>
      </c>
      <c r="AN383" t="str">
        <f>IF('РЕЕСТР РИСКОВ_2023'!AT423="",AN382,'РЕЕСТР РИСКОВ_2023'!AT423)</f>
        <v>стоп</v>
      </c>
      <c r="AO383" t="e">
        <f>IF('РЕЕСТР РИСКОВ_2023'!AU423="",AO382,'РЕЕСТР РИСКОВ_2023'!AU423)</f>
        <v>#REF!</v>
      </c>
    </row>
    <row r="384" spans="2:41">
      <c r="B384" t="str">
        <f>IF('INHERENT MAP'!$B$5=2021,IF('РЕЕСТР РИСКОВ_2023'!F424="",B383,'РЕЕСТР РИСКОВ_2023'!F424),IF('INHERENT MAP'!$B$5=2022,IF(#REF!="",B383,#REF!),IF('INHERENT MAP'!$B$5=2023,IF(#REF!="",B383,#REF!),IF('INHERENT MAP'!$B$5=2024,IF(#REF!="",B383,#REF!),IF('РЕЕСТР РИСКОВ_2023'!F424="",B383,'РЕЕСТР РИСКОВ_2023'!F424)))))</f>
        <v>ПРОЦЕНТНЫЙ РИСК</v>
      </c>
      <c r="C384" t="e">
        <f>IF('INHERENT MAP'!$B$5=2021,IF('РЕЕСТР РИСКОВ_2023'!G424="",C383,'РЕЕСТР РИСКОВ_2023'!G424),IF('INHERENT MAP'!$B$5=2022,IF(#REF!="",C383,#REF!),IF('INHERENT MAP'!$B$5=2023,IF(#REF!="",C383,#REF!),IF('INHERENT MAP'!$B$5=2024,IF(#REF!="",C383,#REF!),IF('РЕЕСТР РИСКОВ_2023'!G424="",C383,'РЕЕСТР РИСКОВ_2023'!G424)))))</f>
        <v>#REF!</v>
      </c>
      <c r="D384" t="str">
        <f>IF('INHERENT MAP'!$B$5=2021,IF('РЕЕСТР РИСКОВ_2023'!H424="",D383,'РЕЕСТР РИСКОВ_2023'!H424),IF('INHERENT MAP'!$B$5=2022,IF(#REF!="",D383,#REF!),IF('INHERENT MAP'!$B$5=2023,IF(#REF!="",D383,#REF!),IF('INHERENT MAP'!$B$5=2024,IF(#REF!="",D383,#REF!),IF('РЕЕСТР РИСКОВ_2023'!H424="",D383,'РЕЕСТР РИСКОВ_2023'!H424)))))</f>
        <v>IRR-1</v>
      </c>
      <c r="E384" t="str">
        <f>IF('INHERENT MAP'!$B$5=2021,IF('РЕЕСТР РИСКОВ_2023'!I424="",E383,'РЕЕСТР РИСКОВ_2023'!I424),IF('INHERENT MAP'!$B$5=2022,IF(#REF!="",E383,#REF!),IF('INHERENT MAP'!$B$5=2023,IF(#REF!="",E383,#REF!),IF('INHERENT MAP'!$B$5=2024,IF(#REF!="",E383,#REF!),IF('РЕЕСТР РИСКОВ_2023'!I424="",E383,'РЕЕСТР РИСКОВ_2023'!I424)))))</f>
        <v>ЦЗФ</v>
      </c>
      <c r="F384" t="str">
        <f>IF('INHERENT MAP'!$B$5=2021,IF('РЕЕСТР РИСКОВ_2023'!J424="",F383,'РЕЕСТР РИСКОВ_2023'!J424),IF('INHERENT MAP'!$B$5=2022,IF(#REF!="",F383,#REF!),IF('INHERENT MAP'!$B$5=2023,IF(#REF!="",F383,#REF!),IF('INHERENT MAP'!$B$5=2024,IF(#REF!="",F383,#REF!),IF('РЕЕСТР РИСКОВ_2023'!J424="",F383,'РЕЕСТР РИСКОВ_2023'!J424)))))</f>
        <v>Цзайм</v>
      </c>
      <c r="G384" t="str">
        <f>IF('INHERENT MAP'!$B$5=2021,IF('РЕЕСТР РИСКОВ_2023'!K424="",G383,'РЕЕСТР РИСКОВ_2023'!K424),IF('INHERENT MAP'!$B$5=2022,IF(#REF!="",G383,#REF!),IF('INHERENT MAP'!$B$5=2023,IF(#REF!="",G383,#REF!),IF('INHERENT MAP'!$B$5=2024,IF(#REF!="",G383,#REF!),IF('РЕЕСТР РИСКОВ_2023'!K424="",G383,'РЕЕСТР РИСКОВ_2023'!K424)))))</f>
        <v>Увеличение расходов по процентам на новые займы, а также текущие займы (с плавающей ставкой) в тенге.</v>
      </c>
      <c r="H384">
        <f>IF('INHERENT MAP'!$B$5=2021,'РЕЕСТР РИСКОВ_2023'!L424,IF('INHERENT MAP'!$B$5=2022,#REF!,IF('INHERENT MAP'!$B$5=2023,#REF!,IF('INHERENT MAP'!$B$5=2024,#REF!,#REF!))))</f>
        <v>0</v>
      </c>
      <c r="I384">
        <f>IF('INHERENT MAP'!$B$5=2021,'РЕЕСТР РИСКОВ_2023'!M424,IF('INHERENT MAP'!$B$5=2022,#REF!,IF('INHERENT MAP'!$B$5=2023,#REF!,IF('INHERENT MAP'!$B$5=2024,#REF!,#REF!))))</f>
        <v>0</v>
      </c>
      <c r="J384">
        <f>IF('INHERENT MAP'!$B$5=2021,'РЕЕСТР РИСКОВ_2023'!N424,IF('INHERENT MAP'!$B$5=2022,#REF!,IF('INHERENT MAP'!$B$5=2023,#REF!,IF('INHERENT MAP'!$B$5=2024,#REF!,#REF!))))</f>
        <v>0</v>
      </c>
      <c r="K384">
        <f>IF('INHERENT MAP'!$B$5=2021,'РЕЕСТР РИСКОВ_2023'!O424,IF('INHERENT MAP'!$B$5=2022,#REF!,IF('INHERENT MAP'!$B$5=2023,#REF!,IF('INHERENT MAP'!$B$5=2024,#REF!,#REF!))))</f>
        <v>0</v>
      </c>
      <c r="L384">
        <f>IF('INHERENT MAP'!$B$5=2021,'РЕЕСТР РИСКОВ_2023'!P424,IF('INHERENT MAP'!$B$5=2022,#REF!,IF('INHERENT MAP'!$B$5=2023,#REF!,IF('INHERENT MAP'!$B$5=2024,#REF!,#REF!))))</f>
        <v>0</v>
      </c>
      <c r="M384" t="str">
        <f>IF('INHERENT MAP'!$B$5=2021,IF('РЕЕСТР РИСКОВ_2023'!Q424="",M383,'РЕЕСТР РИСКОВ_2023'!Q424),IF('INHERENT MAP'!$B$5=2022,IF(#REF!="",M383,#REF!),IF('INHERENT MAP'!$B$5=2023,IF(#REF!="",M383,#REF!),IF('INHERENT MAP'!$B$5=2024,IF(#REF!="",M383,#REF!),IF('РЕЕСТР РИСКОВ_2023'!Q424="",M383,'РЕЕСТР РИСКОВ_2023'!Q424)))))</f>
        <v>Увеличение базовой ставки Национального банка Республики Казахстан до 16%</v>
      </c>
      <c r="N384" t="str">
        <f>IF('INHERENT MAP'!$B$5=2021,IF('РЕЕСТР РИСКОВ_2023'!R424="",N383,'РЕЕСТР РИСКОВ_2023'!R424),IF('INHERENT MAP'!$B$5=2022,IF(#REF!="",N383,#REF!),IF('INHERENT MAP'!$B$5=2023,IF(#REF!="",N383,#REF!),IF('INHERENT MAP'!$B$5=2024,IF(#REF!="",N383,#REF!),IF('РЕЕСТР РИСКОВ_2023'!R424="",N383,'РЕЕСТР РИСКОВ_2023'!R424)))))</f>
        <v>Рецессия экономики европейских стран</v>
      </c>
      <c r="O384">
        <f>'РЕЕСТР РИСКОВ_2023'!T424</f>
        <v>0</v>
      </c>
      <c r="P384" t="e">
        <f>IF('РЕЕСТР РИСКОВ_2023'!U424="",P383,'РЕЕСТР РИСКОВ_2023'!U424)</f>
        <v>#REF!</v>
      </c>
      <c r="Q384" t="str">
        <f>IF('РЕЕСТР РИСКОВ_2023'!V424="",Q383,'РЕЕСТР РИСКОВ_2023'!V424)</f>
        <v>Угрозы</v>
      </c>
      <c r="R384" t="e">
        <f>IF('РЕЕСТР РИСКОВ_2023'!W424="",R383,'РЕЕСТР РИСКОВ_2023'!W424)</f>
        <v>#REF!</v>
      </c>
      <c r="S384">
        <f>'РЕЕСТР РИСКОВ_2023'!X424</f>
        <v>0</v>
      </c>
      <c r="T384" s="94">
        <f>IF('INHERENT MAP'!$B$5=2021,'РЕЕСТР РИСКОВ_2023'!Y424,IF('INHERENT MAP'!$B$5=2022,#REF!,IF('INHERENT MAP'!$B$5=2023,#REF!,IF('INHERENT MAP'!$B$5=2024,#REF!,#REF!))))</f>
        <v>0</v>
      </c>
      <c r="U384">
        <f>IF('INHERENT MAP'!$B$5=2021,'РЕЕСТР РИСКОВ_2023'!Z424,IF('INHERENT MAP'!$B$5=2022,#REF!,IF('INHERENT MAP'!$B$5=2023,#REF!,IF('INHERENT MAP'!$B$5=2024,#REF!,#REF!))))</f>
        <v>0</v>
      </c>
      <c r="V384">
        <f>IF('INHERENT MAP'!$B$5=2021,'РЕЕСТР РИСКОВ_2023'!AA424,IF('INHERENT MAP'!$B$5=2022,#REF!,IF('INHERENT MAP'!$B$5=2023,#REF!,IF('INHERENT MAP'!$B$5=2024,#REF!,#REF!))))</f>
        <v>0</v>
      </c>
      <c r="W384">
        <f>IF('INHERENT MAP'!$B$5=2021,'РЕЕСТР РИСКОВ_2023'!AB424,IF('INHERENT MAP'!$B$5=2022,#REF!,IF('INHERENT MAP'!$B$5=2023,#REF!,IF('INHERENT MAP'!$B$5=2024,#REF!,#REF!))))</f>
        <v>0</v>
      </c>
      <c r="X384" s="94">
        <f>IF('INHERENT MAP'!$B$5=2021,'РЕЕСТР РИСКОВ_2023'!AC424,IF('INHERENT MAP'!$B$5=2022,#REF!,IF('INHERENT MAP'!$B$5=2023,#REF!,IF('INHERENT MAP'!$B$5=2024,#REF!,#REF!))))</f>
        <v>0</v>
      </c>
      <c r="Y384">
        <f>IF('INHERENT MAP'!$B$5=2021,'РЕЕСТР РИСКОВ_2023'!AD424,IF('INHERENT MAP'!$B$5=2022,#REF!,IF('INHERENT MAP'!$B$5=2023,#REF!,IF('INHERENT MAP'!$B$5=2024,#REF!,#REF!))))</f>
        <v>0</v>
      </c>
      <c r="Z384">
        <f>IF('INHERENT MAP'!$B$5=2021,'РЕЕСТР РИСКОВ_2023'!AE424,IF('INHERENT MAP'!$B$5=2022,#REF!,IF('INHERENT MAP'!$B$5=2023,#REF!,IF('INHERENT MAP'!$B$5=2024,#REF!,#REF!))))</f>
        <v>0</v>
      </c>
      <c r="AA384">
        <f>IF('INHERENT MAP'!$B$5=2021,'РЕЕСТР РИСКОВ_2023'!AF424,IF('INHERENT MAP'!$B$5=2022,#REF!,IF('INHERENT MAP'!$B$5=2023,#REF!,IF('INHERENT MAP'!$B$5=2024,#REF!,#REF!))))</f>
        <v>0</v>
      </c>
      <c r="AB384">
        <f>IF('INHERENT MAP'!$B$5=2021,'РЕЕСТР РИСКОВ_2023'!AG424,IF('INHERENT MAP'!$B$5=2022,#REF!,IF('INHERENT MAP'!$B$5=2023,#REF!,IF('INHERENT MAP'!$B$5=2024,#REF!,#REF!))))</f>
        <v>0</v>
      </c>
      <c r="AC384">
        <f>IF('INHERENT MAP'!$B$5=2021,'РЕЕСТР РИСКОВ_2023'!AH424,IF('INHERENT MAP'!$B$5=2022,#REF!,IF('INHERENT MAP'!$B$5=2023,#REF!,IF('INHERENT MAP'!$B$5=2024,#REF!,#REF!))))</f>
        <v>0</v>
      </c>
      <c r="AD384">
        <f>IF('INHERENT MAP'!$B$5=2021,'РЕЕСТР РИСКОВ_2023'!AI424,IF('INHERENT MAP'!$B$5=2022,#REF!,IF('INHERENT MAP'!$B$5=2023,#REF!,IF('INHERENT MAP'!$B$5=2024,#REF!,#REF!))))</f>
        <v>0</v>
      </c>
      <c r="AE384">
        <f>IF('INHERENT MAP'!$B$5=2021,'РЕЕСТР РИСКОВ_2023'!AK424,IF('INHERENT MAP'!$B$5=2022,#REF!,IF('INHERENT MAP'!$B$5=2023,#REF!,IF('INHERENT MAP'!$B$5=2024,#REF!,#REF!))))</f>
        <v>0</v>
      </c>
      <c r="AF384">
        <f>IF('INHERENT MAP'!$B$5=2021,'РЕЕСТР РИСКОВ_2023'!AL424,IF('INHERENT MAP'!$B$5=2022,#REF!,IF('INHERENT MAP'!$B$5=2023,#REF!,IF('INHERENT MAP'!$B$5=2024,#REF!,#REF!))))</f>
        <v>0</v>
      </c>
      <c r="AG384">
        <f>IF('INHERENT MAP'!$B$5=2021,'РЕЕСТР РИСКОВ_2023'!AM424,IF('INHERENT MAP'!$B$5=2022,#REF!,IF('INHERENT MAP'!$B$5=2023,#REF!,IF('INHERENT MAP'!$B$5=2024,#REF!,#REF!))))</f>
        <v>0</v>
      </c>
      <c r="AH384">
        <f>IF('INHERENT MAP'!$B$5=2021,'РЕЕСТР РИСКОВ_2023'!AN424,IF('INHERENT MAP'!$B$5=2022,#REF!,IF('INHERENT MAP'!$B$5=2023,#REF!,IF('INHERENT MAP'!$B$5=2024,#REF!,#REF!))))</f>
        <v>0</v>
      </c>
      <c r="AI384">
        <f>IF('INHERENT MAP'!$B$5=2021,'РЕЕСТР РИСКОВ_2023'!AO424,IF('INHERENT MAP'!$B$5=2022,#REF!,IF('INHERENT MAP'!$B$5=2023,#REF!,IF('INHERENT MAP'!$B$5=2024,#REF!,#REF!))))</f>
        <v>0</v>
      </c>
      <c r="AJ384">
        <f>IF('INHERENT MAP'!$B$5=2021,'РЕЕСТР РИСКОВ_2023'!AP424,IF('INHERENT MAP'!$B$5=2022,#REF!,IF('INHERENT MAP'!$B$5=2023,#REF!,IF('INHERENT MAP'!$B$5=2024,#REF!,#REF!))))</f>
        <v>0</v>
      </c>
      <c r="AK384">
        <f>IF('РЕЕСТР РИСКОВ_2023'!AQ424="",AK383,'РЕЕСТР РИСКОВ_2023'!AQ424)</f>
        <v>-216</v>
      </c>
      <c r="AL384">
        <f>IF('РЕЕСТР РИСКОВ_2023'!AR424="",AL383,'РЕЕСТР РИСКОВ_2023'!AR424)</f>
        <v>0.12</v>
      </c>
      <c r="AM384" t="str">
        <f>IF('РЕЕСТР РИСКОВ_2023'!AS424="",AM383,'РЕЕСТР РИСКОВ_2023'!AS424)</f>
        <v>стоп</v>
      </c>
      <c r="AN384" t="str">
        <f>IF('РЕЕСТР РИСКОВ_2023'!AT424="",AN383,'РЕЕСТР РИСКОВ_2023'!AT424)</f>
        <v>стоп</v>
      </c>
      <c r="AO384" t="e">
        <f>IF('РЕЕСТР РИСКОВ_2023'!AU424="",AO383,'РЕЕСТР РИСКОВ_2023'!AU424)</f>
        <v>#REF!</v>
      </c>
    </row>
    <row r="385" spans="2:41">
      <c r="B385" t="str">
        <f>IF('INHERENT MAP'!$B$5=2021,IF('РЕЕСТР РИСКОВ_2023'!F425="",B384,'РЕЕСТР РИСКОВ_2023'!F425),IF('INHERENT MAP'!$B$5=2022,IF(#REF!="",B384,#REF!),IF('INHERENT MAP'!$B$5=2023,IF(#REF!="",B384,#REF!),IF('INHERENT MAP'!$B$5=2024,IF(#REF!="",B384,#REF!),IF('РЕЕСТР РИСКОВ_2023'!F425="",B384,'РЕЕСТР РИСКОВ_2023'!F425)))))</f>
        <v>ПРОЦЕНТНЫЙ РИСК</v>
      </c>
      <c r="C385" t="e">
        <f>IF('INHERENT MAP'!$B$5=2021,IF('РЕЕСТР РИСКОВ_2023'!G425="",C384,'РЕЕСТР РИСКОВ_2023'!G425),IF('INHERENT MAP'!$B$5=2022,IF(#REF!="",C384,#REF!),IF('INHERENT MAP'!$B$5=2023,IF(#REF!="",C384,#REF!),IF('INHERENT MAP'!$B$5=2024,IF(#REF!="",C384,#REF!),IF('РЕЕСТР РИСКОВ_2023'!G425="",C384,'РЕЕСТР РИСКОВ_2023'!G425)))))</f>
        <v>#REF!</v>
      </c>
      <c r="D385" t="str">
        <f>IF('INHERENT MAP'!$B$5=2021,IF('РЕЕСТР РИСКОВ_2023'!H425="",D384,'РЕЕСТР РИСКОВ_2023'!H425),IF('INHERENT MAP'!$B$5=2022,IF(#REF!="",D384,#REF!),IF('INHERENT MAP'!$B$5=2023,IF(#REF!="",D384,#REF!),IF('INHERENT MAP'!$B$5=2024,IF(#REF!="",D384,#REF!),IF('РЕЕСТР РИСКОВ_2023'!H425="",D384,'РЕЕСТР РИСКОВ_2023'!H425)))))</f>
        <v>IRR-1</v>
      </c>
      <c r="E385" t="str">
        <f>IF('INHERENT MAP'!$B$5=2021,IF('РЕЕСТР РИСКОВ_2023'!I425="",E384,'РЕЕСТР РИСКОВ_2023'!I425),IF('INHERENT MAP'!$B$5=2022,IF(#REF!="",E384,#REF!),IF('INHERENT MAP'!$B$5=2023,IF(#REF!="",E384,#REF!),IF('INHERENT MAP'!$B$5=2024,IF(#REF!="",E384,#REF!),IF('РЕЕСТР РИСКОВ_2023'!I425="",E384,'РЕЕСТР РИСКОВ_2023'!I425)))))</f>
        <v>ЦЗФ</v>
      </c>
      <c r="F385" t="str">
        <f>IF('INHERENT MAP'!$B$5=2021,IF('РЕЕСТР РИСКОВ_2023'!J425="",F384,'РЕЕСТР РИСКОВ_2023'!J425),IF('INHERENT MAP'!$B$5=2022,IF(#REF!="",F384,#REF!),IF('INHERENT MAP'!$B$5=2023,IF(#REF!="",F384,#REF!),IF('INHERENT MAP'!$B$5=2024,IF(#REF!="",F384,#REF!),IF('РЕЕСТР РИСКОВ_2023'!J425="",F384,'РЕЕСТР РИСКОВ_2023'!J425)))))</f>
        <v>Цзайм</v>
      </c>
      <c r="G385" t="str">
        <f>IF('INHERENT MAP'!$B$5=2021,IF('РЕЕСТР РИСКОВ_2023'!K425="",G384,'РЕЕСТР РИСКОВ_2023'!K425),IF('INHERENT MAP'!$B$5=2022,IF(#REF!="",G384,#REF!),IF('INHERENT MAP'!$B$5=2023,IF(#REF!="",G384,#REF!),IF('INHERENT MAP'!$B$5=2024,IF(#REF!="",G384,#REF!),IF('РЕЕСТР РИСКОВ_2023'!K425="",G384,'РЕЕСТР РИСКОВ_2023'!K425)))))</f>
        <v>Увеличение расходов по процентам на новые займы, а также текущие займы (с плавающей ставкой) в тенге.</v>
      </c>
      <c r="H385">
        <f>IF('INHERENT MAP'!$B$5=2021,'РЕЕСТР РИСКОВ_2023'!L425,IF('INHERENT MAP'!$B$5=2022,#REF!,IF('INHERENT MAP'!$B$5=2023,#REF!,IF('INHERENT MAP'!$B$5=2024,#REF!,#REF!))))</f>
        <v>0</v>
      </c>
      <c r="I385">
        <f>IF('INHERENT MAP'!$B$5=2021,'РЕЕСТР РИСКОВ_2023'!M425,IF('INHERENT MAP'!$B$5=2022,#REF!,IF('INHERENT MAP'!$B$5=2023,#REF!,IF('INHERENT MAP'!$B$5=2024,#REF!,#REF!))))</f>
        <v>0</v>
      </c>
      <c r="J385">
        <f>IF('INHERENT MAP'!$B$5=2021,'РЕЕСТР РИСКОВ_2023'!N425,IF('INHERENT MAP'!$B$5=2022,#REF!,IF('INHERENT MAP'!$B$5=2023,#REF!,IF('INHERENT MAP'!$B$5=2024,#REF!,#REF!))))</f>
        <v>0</v>
      </c>
      <c r="K385">
        <f>IF('INHERENT MAP'!$B$5=2021,'РЕЕСТР РИСКОВ_2023'!O425,IF('INHERENT MAP'!$B$5=2022,#REF!,IF('INHERENT MAP'!$B$5=2023,#REF!,IF('INHERENT MAP'!$B$5=2024,#REF!,#REF!))))</f>
        <v>0</v>
      </c>
      <c r="L385">
        <f>IF('INHERENT MAP'!$B$5=2021,'РЕЕСТР РИСКОВ_2023'!P425,IF('INHERENT MAP'!$B$5=2022,#REF!,IF('INHERENT MAP'!$B$5=2023,#REF!,IF('INHERENT MAP'!$B$5=2024,#REF!,#REF!))))</f>
        <v>0</v>
      </c>
      <c r="M385" t="str">
        <f>IF('INHERENT MAP'!$B$5=2021,IF('РЕЕСТР РИСКОВ_2023'!Q425="",M384,'РЕЕСТР РИСКОВ_2023'!Q425),IF('INHERENT MAP'!$B$5=2022,IF(#REF!="",M384,#REF!),IF('INHERENT MAP'!$B$5=2023,IF(#REF!="",M384,#REF!),IF('INHERENT MAP'!$B$5=2024,IF(#REF!="",M384,#REF!),IF('РЕЕСТР РИСКОВ_2023'!Q425="",M384,'РЕЕСТР РИСКОВ_2023'!Q425)))))</f>
        <v>Увеличение базовой ставки Национального банка Республики Казахстан до 16%</v>
      </c>
      <c r="N385" t="str">
        <f>IF('INHERENT MAP'!$B$5=2021,IF('РЕЕСТР РИСКОВ_2023'!R425="",N384,'РЕЕСТР РИСКОВ_2023'!R425),IF('INHERENT MAP'!$B$5=2022,IF(#REF!="",N384,#REF!),IF('INHERENT MAP'!$B$5=2023,IF(#REF!="",N384,#REF!),IF('INHERENT MAP'!$B$5=2024,IF(#REF!="",N384,#REF!),IF('РЕЕСТР РИСКОВ_2023'!R425="",N384,'РЕЕСТР РИСКОВ_2023'!R425)))))</f>
        <v>Рецессия экономики европейских стран</v>
      </c>
      <c r="O385">
        <f>'РЕЕСТР РИСКОВ_2023'!T425</f>
        <v>0</v>
      </c>
      <c r="P385" t="e">
        <f>IF('РЕЕСТР РИСКОВ_2023'!U425="",P384,'РЕЕСТР РИСКОВ_2023'!U425)</f>
        <v>#REF!</v>
      </c>
      <c r="Q385" t="str">
        <f>IF('РЕЕСТР РИСКОВ_2023'!V425="",Q384,'РЕЕСТР РИСКОВ_2023'!V425)</f>
        <v>Угрозы</v>
      </c>
      <c r="R385" t="e">
        <f>IF('РЕЕСТР РИСКОВ_2023'!W425="",R384,'РЕЕСТР РИСКОВ_2023'!W425)</f>
        <v>#REF!</v>
      </c>
      <c r="S385">
        <f>'РЕЕСТР РИСКОВ_2023'!X425</f>
        <v>0</v>
      </c>
      <c r="T385" s="94">
        <f>IF('INHERENT MAP'!$B$5=2021,'РЕЕСТР РИСКОВ_2023'!Y425,IF('INHERENT MAP'!$B$5=2022,#REF!,IF('INHERENT MAP'!$B$5=2023,#REF!,IF('INHERENT MAP'!$B$5=2024,#REF!,#REF!))))</f>
        <v>0</v>
      </c>
      <c r="U385">
        <f>IF('INHERENT MAP'!$B$5=2021,'РЕЕСТР РИСКОВ_2023'!Z425,IF('INHERENT MAP'!$B$5=2022,#REF!,IF('INHERENT MAP'!$B$5=2023,#REF!,IF('INHERENT MAP'!$B$5=2024,#REF!,#REF!))))</f>
        <v>0</v>
      </c>
      <c r="V385">
        <f>IF('INHERENT MAP'!$B$5=2021,'РЕЕСТР РИСКОВ_2023'!AA425,IF('INHERENT MAP'!$B$5=2022,#REF!,IF('INHERENT MAP'!$B$5=2023,#REF!,IF('INHERENT MAP'!$B$5=2024,#REF!,#REF!))))</f>
        <v>0</v>
      </c>
      <c r="W385">
        <f>IF('INHERENT MAP'!$B$5=2021,'РЕЕСТР РИСКОВ_2023'!AB425,IF('INHERENT MAP'!$B$5=2022,#REF!,IF('INHERENT MAP'!$B$5=2023,#REF!,IF('INHERENT MAP'!$B$5=2024,#REF!,#REF!))))</f>
        <v>0</v>
      </c>
      <c r="X385" s="94">
        <f>IF('INHERENT MAP'!$B$5=2021,'РЕЕСТР РИСКОВ_2023'!AC425,IF('INHERENT MAP'!$B$5=2022,#REF!,IF('INHERENT MAP'!$B$5=2023,#REF!,IF('INHERENT MAP'!$B$5=2024,#REF!,#REF!))))</f>
        <v>0</v>
      </c>
      <c r="Y385">
        <f>IF('INHERENT MAP'!$B$5=2021,'РЕЕСТР РИСКОВ_2023'!AD425,IF('INHERENT MAP'!$B$5=2022,#REF!,IF('INHERENT MAP'!$B$5=2023,#REF!,IF('INHERENT MAP'!$B$5=2024,#REF!,#REF!))))</f>
        <v>0</v>
      </c>
      <c r="Z385">
        <f>IF('INHERENT MAP'!$B$5=2021,'РЕЕСТР РИСКОВ_2023'!AE425,IF('INHERENT MAP'!$B$5=2022,#REF!,IF('INHERENT MAP'!$B$5=2023,#REF!,IF('INHERENT MAP'!$B$5=2024,#REF!,#REF!))))</f>
        <v>0</v>
      </c>
      <c r="AA385">
        <f>IF('INHERENT MAP'!$B$5=2021,'РЕЕСТР РИСКОВ_2023'!AF425,IF('INHERENT MAP'!$B$5=2022,#REF!,IF('INHERENT MAP'!$B$5=2023,#REF!,IF('INHERENT MAP'!$B$5=2024,#REF!,#REF!))))</f>
        <v>0</v>
      </c>
      <c r="AB385">
        <f>IF('INHERENT MAP'!$B$5=2021,'РЕЕСТР РИСКОВ_2023'!AG425,IF('INHERENT MAP'!$B$5=2022,#REF!,IF('INHERENT MAP'!$B$5=2023,#REF!,IF('INHERENT MAP'!$B$5=2024,#REF!,#REF!))))</f>
        <v>0</v>
      </c>
      <c r="AC385">
        <f>IF('INHERENT MAP'!$B$5=2021,'РЕЕСТР РИСКОВ_2023'!AH425,IF('INHERENT MAP'!$B$5=2022,#REF!,IF('INHERENT MAP'!$B$5=2023,#REF!,IF('INHERENT MAP'!$B$5=2024,#REF!,#REF!))))</f>
        <v>0</v>
      </c>
      <c r="AD385">
        <f>IF('INHERENT MAP'!$B$5=2021,'РЕЕСТР РИСКОВ_2023'!AI425,IF('INHERENT MAP'!$B$5=2022,#REF!,IF('INHERENT MAP'!$B$5=2023,#REF!,IF('INHERENT MAP'!$B$5=2024,#REF!,#REF!))))</f>
        <v>0</v>
      </c>
      <c r="AE385">
        <f>IF('INHERENT MAP'!$B$5=2021,'РЕЕСТР РИСКОВ_2023'!AK425,IF('INHERENT MAP'!$B$5=2022,#REF!,IF('INHERENT MAP'!$B$5=2023,#REF!,IF('INHERENT MAP'!$B$5=2024,#REF!,#REF!))))</f>
        <v>0</v>
      </c>
      <c r="AF385">
        <f>IF('INHERENT MAP'!$B$5=2021,'РЕЕСТР РИСКОВ_2023'!AL425,IF('INHERENT MAP'!$B$5=2022,#REF!,IF('INHERENT MAP'!$B$5=2023,#REF!,IF('INHERENT MAP'!$B$5=2024,#REF!,#REF!))))</f>
        <v>0</v>
      </c>
      <c r="AG385">
        <f>IF('INHERENT MAP'!$B$5=2021,'РЕЕСТР РИСКОВ_2023'!AM425,IF('INHERENT MAP'!$B$5=2022,#REF!,IF('INHERENT MAP'!$B$5=2023,#REF!,IF('INHERENT MAP'!$B$5=2024,#REF!,#REF!))))</f>
        <v>0</v>
      </c>
      <c r="AH385">
        <f>IF('INHERENT MAP'!$B$5=2021,'РЕЕСТР РИСКОВ_2023'!AN425,IF('INHERENT MAP'!$B$5=2022,#REF!,IF('INHERENT MAP'!$B$5=2023,#REF!,IF('INHERENT MAP'!$B$5=2024,#REF!,#REF!))))</f>
        <v>0</v>
      </c>
      <c r="AI385">
        <f>IF('INHERENT MAP'!$B$5=2021,'РЕЕСТР РИСКОВ_2023'!AO425,IF('INHERENT MAP'!$B$5=2022,#REF!,IF('INHERENT MAP'!$B$5=2023,#REF!,IF('INHERENT MAP'!$B$5=2024,#REF!,#REF!))))</f>
        <v>0</v>
      </c>
      <c r="AJ385">
        <f>IF('INHERENT MAP'!$B$5=2021,'РЕЕСТР РИСКОВ_2023'!AP425,IF('INHERENT MAP'!$B$5=2022,#REF!,IF('INHERENT MAP'!$B$5=2023,#REF!,IF('INHERENT MAP'!$B$5=2024,#REF!,#REF!))))</f>
        <v>0</v>
      </c>
      <c r="AK385">
        <f>IF('РЕЕСТР РИСКОВ_2023'!AQ425="",AK384,'РЕЕСТР РИСКОВ_2023'!AQ425)</f>
        <v>-216</v>
      </c>
      <c r="AL385">
        <f>IF('РЕЕСТР РИСКОВ_2023'!AR425="",AL384,'РЕЕСТР РИСКОВ_2023'!AR425)</f>
        <v>0.12</v>
      </c>
      <c r="AM385" t="str">
        <f>IF('РЕЕСТР РИСКОВ_2023'!AS425="",AM384,'РЕЕСТР РИСКОВ_2023'!AS425)</f>
        <v>стоп</v>
      </c>
      <c r="AN385" t="str">
        <f>IF('РЕЕСТР РИСКОВ_2023'!AT425="",AN384,'РЕЕСТР РИСКОВ_2023'!AT425)</f>
        <v>стоп</v>
      </c>
      <c r="AO385" t="e">
        <f>IF('РЕЕСТР РИСКОВ_2023'!AU425="",AO384,'РЕЕСТР РИСКОВ_2023'!AU425)</f>
        <v>#REF!</v>
      </c>
    </row>
    <row r="386" spans="2:41">
      <c r="B386" t="str">
        <f>IF('INHERENT MAP'!$B$5=2021,IF('РЕЕСТР РИСКОВ_2023'!F426="",B385,'РЕЕСТР РИСКОВ_2023'!F426),IF('INHERENT MAP'!$B$5=2022,IF(#REF!="",B385,#REF!),IF('INHERENT MAP'!$B$5=2023,IF(#REF!="",B385,#REF!),IF('INHERENT MAP'!$B$5=2024,IF(#REF!="",B385,#REF!),IF('РЕЕСТР РИСКОВ_2023'!F426="",B385,'РЕЕСТР РИСКОВ_2023'!F426)))))</f>
        <v>ПРОЦЕНТНЫЙ РИСК</v>
      </c>
      <c r="C386" t="e">
        <f>IF('INHERENT MAP'!$B$5=2021,IF('РЕЕСТР РИСКОВ_2023'!G426="",C385,'РЕЕСТР РИСКОВ_2023'!G426),IF('INHERENT MAP'!$B$5=2022,IF(#REF!="",C385,#REF!),IF('INHERENT MAP'!$B$5=2023,IF(#REF!="",C385,#REF!),IF('INHERENT MAP'!$B$5=2024,IF(#REF!="",C385,#REF!),IF('РЕЕСТР РИСКОВ_2023'!G426="",C385,'РЕЕСТР РИСКОВ_2023'!G426)))))</f>
        <v>#REF!</v>
      </c>
      <c r="D386" t="str">
        <f>IF('INHERENT MAP'!$B$5=2021,IF('РЕЕСТР РИСКОВ_2023'!H426="",D385,'РЕЕСТР РИСКОВ_2023'!H426),IF('INHERENT MAP'!$B$5=2022,IF(#REF!="",D385,#REF!),IF('INHERENT MAP'!$B$5=2023,IF(#REF!="",D385,#REF!),IF('INHERENT MAP'!$B$5=2024,IF(#REF!="",D385,#REF!),IF('РЕЕСТР РИСКОВ_2023'!H426="",D385,'РЕЕСТР РИСКОВ_2023'!H426)))))</f>
        <v>IRR-1</v>
      </c>
      <c r="E386" t="str">
        <f>IF('INHERENT MAP'!$B$5=2021,IF('РЕЕСТР РИСКОВ_2023'!I426="",E385,'РЕЕСТР РИСКОВ_2023'!I426),IF('INHERENT MAP'!$B$5=2022,IF(#REF!="",E385,#REF!),IF('INHERENT MAP'!$B$5=2023,IF(#REF!="",E385,#REF!),IF('INHERENT MAP'!$B$5=2024,IF(#REF!="",E385,#REF!),IF('РЕЕСТР РИСКОВ_2023'!I426="",E385,'РЕЕСТР РИСКОВ_2023'!I426)))))</f>
        <v>ЦЗФ</v>
      </c>
      <c r="F386" t="str">
        <f>IF('INHERENT MAP'!$B$5=2021,IF('РЕЕСТР РИСКОВ_2023'!J426="",F385,'РЕЕСТР РИСКОВ_2023'!J426),IF('INHERENT MAP'!$B$5=2022,IF(#REF!="",F385,#REF!),IF('INHERENT MAP'!$B$5=2023,IF(#REF!="",F385,#REF!),IF('INHERENT MAP'!$B$5=2024,IF(#REF!="",F385,#REF!),IF('РЕЕСТР РИСКОВ_2023'!J426="",F385,'РЕЕСТР РИСКОВ_2023'!J426)))))</f>
        <v>Цзайм</v>
      </c>
      <c r="G386" t="str">
        <f>IF('INHERENT MAP'!$B$5=2021,IF('РЕЕСТР РИСКОВ_2023'!K426="",G385,'РЕЕСТР РИСКОВ_2023'!K426),IF('INHERENT MAP'!$B$5=2022,IF(#REF!="",G385,#REF!),IF('INHERENT MAP'!$B$5=2023,IF(#REF!="",G385,#REF!),IF('INHERENT MAP'!$B$5=2024,IF(#REF!="",G385,#REF!),IF('РЕЕСТР РИСКОВ_2023'!K426="",G385,'РЕЕСТР РИСКОВ_2023'!K426)))))</f>
        <v>Увеличение расходов по процентам на новые займы, а также текущие займы (с плавающей ставкой) в тенге.</v>
      </c>
      <c r="H386">
        <f>IF('INHERENT MAP'!$B$5=2021,'РЕЕСТР РИСКОВ_2023'!L426,IF('INHERENT MAP'!$B$5=2022,#REF!,IF('INHERENT MAP'!$B$5=2023,#REF!,IF('INHERENT MAP'!$B$5=2024,#REF!,#REF!))))</f>
        <v>0</v>
      </c>
      <c r="I386">
        <f>IF('INHERENT MAP'!$B$5=2021,'РЕЕСТР РИСКОВ_2023'!M426,IF('INHERENT MAP'!$B$5=2022,#REF!,IF('INHERENT MAP'!$B$5=2023,#REF!,IF('INHERENT MAP'!$B$5=2024,#REF!,#REF!))))</f>
        <v>0</v>
      </c>
      <c r="J386">
        <f>IF('INHERENT MAP'!$B$5=2021,'РЕЕСТР РИСКОВ_2023'!N426,IF('INHERENT MAP'!$B$5=2022,#REF!,IF('INHERENT MAP'!$B$5=2023,#REF!,IF('INHERENT MAP'!$B$5=2024,#REF!,#REF!))))</f>
        <v>0</v>
      </c>
      <c r="K386">
        <f>IF('INHERENT MAP'!$B$5=2021,'РЕЕСТР РИСКОВ_2023'!O426,IF('INHERENT MAP'!$B$5=2022,#REF!,IF('INHERENT MAP'!$B$5=2023,#REF!,IF('INHERENT MAP'!$B$5=2024,#REF!,#REF!))))</f>
        <v>0</v>
      </c>
      <c r="L386">
        <f>IF('INHERENT MAP'!$B$5=2021,'РЕЕСТР РИСКОВ_2023'!P426,IF('INHERENT MAP'!$B$5=2022,#REF!,IF('INHERENT MAP'!$B$5=2023,#REF!,IF('INHERENT MAP'!$B$5=2024,#REF!,#REF!))))</f>
        <v>0</v>
      </c>
      <c r="M386" t="str">
        <f>IF('INHERENT MAP'!$B$5=2021,IF('РЕЕСТР РИСКОВ_2023'!Q426="",M385,'РЕЕСТР РИСКОВ_2023'!Q426),IF('INHERENT MAP'!$B$5=2022,IF(#REF!="",M385,#REF!),IF('INHERENT MAP'!$B$5=2023,IF(#REF!="",M385,#REF!),IF('INHERENT MAP'!$B$5=2024,IF(#REF!="",M385,#REF!),IF('РЕЕСТР РИСКОВ_2023'!Q426="",M385,'РЕЕСТР РИСКОВ_2023'!Q426)))))</f>
        <v>Увеличение базовой ставки Национального банка Республики Казахстан до 16%</v>
      </c>
      <c r="N386" t="str">
        <f>IF('INHERENT MAP'!$B$5=2021,IF('РЕЕСТР РИСКОВ_2023'!R426="",N385,'РЕЕСТР РИСКОВ_2023'!R426),IF('INHERENT MAP'!$B$5=2022,IF(#REF!="",N385,#REF!),IF('INHERENT MAP'!$B$5=2023,IF(#REF!="",N385,#REF!),IF('INHERENT MAP'!$B$5=2024,IF(#REF!="",N385,#REF!),IF('РЕЕСТР РИСКОВ_2023'!R426="",N385,'РЕЕСТР РИСКОВ_2023'!R426)))))</f>
        <v>Рецессия экономики европейских стран</v>
      </c>
      <c r="O386">
        <f>'РЕЕСТР РИСКОВ_2023'!T426</f>
        <v>0</v>
      </c>
      <c r="P386" t="e">
        <f>IF('РЕЕСТР РИСКОВ_2023'!U426="",P385,'РЕЕСТР РИСКОВ_2023'!U426)</f>
        <v>#REF!</v>
      </c>
      <c r="Q386" t="str">
        <f>IF('РЕЕСТР РИСКОВ_2023'!V426="",Q385,'РЕЕСТР РИСКОВ_2023'!V426)</f>
        <v>Угрозы</v>
      </c>
      <c r="R386" t="e">
        <f>IF('РЕЕСТР РИСКОВ_2023'!W426="",R385,'РЕЕСТР РИСКОВ_2023'!W426)</f>
        <v>#REF!</v>
      </c>
      <c r="S386">
        <f>'РЕЕСТР РИСКОВ_2023'!X426</f>
        <v>0</v>
      </c>
      <c r="T386" s="94">
        <f>IF('INHERENT MAP'!$B$5=2021,'РЕЕСТР РИСКОВ_2023'!Y426,IF('INHERENT MAP'!$B$5=2022,#REF!,IF('INHERENT MAP'!$B$5=2023,#REF!,IF('INHERENT MAP'!$B$5=2024,#REF!,#REF!))))</f>
        <v>0</v>
      </c>
      <c r="U386">
        <f>IF('INHERENT MAP'!$B$5=2021,'РЕЕСТР РИСКОВ_2023'!Z426,IF('INHERENT MAP'!$B$5=2022,#REF!,IF('INHERENT MAP'!$B$5=2023,#REF!,IF('INHERENT MAP'!$B$5=2024,#REF!,#REF!))))</f>
        <v>0</v>
      </c>
      <c r="V386">
        <f>IF('INHERENT MAP'!$B$5=2021,'РЕЕСТР РИСКОВ_2023'!AA426,IF('INHERENT MAP'!$B$5=2022,#REF!,IF('INHERENT MAP'!$B$5=2023,#REF!,IF('INHERENT MAP'!$B$5=2024,#REF!,#REF!))))</f>
        <v>0</v>
      </c>
      <c r="W386">
        <f>IF('INHERENT MAP'!$B$5=2021,'РЕЕСТР РИСКОВ_2023'!AB426,IF('INHERENT MAP'!$B$5=2022,#REF!,IF('INHERENT MAP'!$B$5=2023,#REF!,IF('INHERENT MAP'!$B$5=2024,#REF!,#REF!))))</f>
        <v>0</v>
      </c>
      <c r="X386" s="94">
        <f>IF('INHERENT MAP'!$B$5=2021,'РЕЕСТР РИСКОВ_2023'!AC426,IF('INHERENT MAP'!$B$5=2022,#REF!,IF('INHERENT MAP'!$B$5=2023,#REF!,IF('INHERENT MAP'!$B$5=2024,#REF!,#REF!))))</f>
        <v>0</v>
      </c>
      <c r="Y386">
        <f>IF('INHERENT MAP'!$B$5=2021,'РЕЕСТР РИСКОВ_2023'!AD426,IF('INHERENT MAP'!$B$5=2022,#REF!,IF('INHERENT MAP'!$B$5=2023,#REF!,IF('INHERENT MAP'!$B$5=2024,#REF!,#REF!))))</f>
        <v>0</v>
      </c>
      <c r="Z386">
        <f>IF('INHERENT MAP'!$B$5=2021,'РЕЕСТР РИСКОВ_2023'!AE426,IF('INHERENT MAP'!$B$5=2022,#REF!,IF('INHERENT MAP'!$B$5=2023,#REF!,IF('INHERENT MAP'!$B$5=2024,#REF!,#REF!))))</f>
        <v>0</v>
      </c>
      <c r="AA386">
        <f>IF('INHERENT MAP'!$B$5=2021,'РЕЕСТР РИСКОВ_2023'!AF426,IF('INHERENT MAP'!$B$5=2022,#REF!,IF('INHERENT MAP'!$B$5=2023,#REF!,IF('INHERENT MAP'!$B$5=2024,#REF!,#REF!))))</f>
        <v>0</v>
      </c>
      <c r="AB386">
        <f>IF('INHERENT MAP'!$B$5=2021,'РЕЕСТР РИСКОВ_2023'!AG426,IF('INHERENT MAP'!$B$5=2022,#REF!,IF('INHERENT MAP'!$B$5=2023,#REF!,IF('INHERENT MAP'!$B$5=2024,#REF!,#REF!))))</f>
        <v>0</v>
      </c>
      <c r="AC386">
        <f>IF('INHERENT MAP'!$B$5=2021,'РЕЕСТР РИСКОВ_2023'!AH426,IF('INHERENT MAP'!$B$5=2022,#REF!,IF('INHERENT MAP'!$B$5=2023,#REF!,IF('INHERENT MAP'!$B$5=2024,#REF!,#REF!))))</f>
        <v>0</v>
      </c>
      <c r="AD386">
        <f>IF('INHERENT MAP'!$B$5=2021,'РЕЕСТР РИСКОВ_2023'!AI426,IF('INHERENT MAP'!$B$5=2022,#REF!,IF('INHERENT MAP'!$B$5=2023,#REF!,IF('INHERENT MAP'!$B$5=2024,#REF!,#REF!))))</f>
        <v>0</v>
      </c>
      <c r="AE386">
        <f>IF('INHERENT MAP'!$B$5=2021,'РЕЕСТР РИСКОВ_2023'!AK426,IF('INHERENT MAP'!$B$5=2022,#REF!,IF('INHERENT MAP'!$B$5=2023,#REF!,IF('INHERENT MAP'!$B$5=2024,#REF!,#REF!))))</f>
        <v>0</v>
      </c>
      <c r="AF386">
        <f>IF('INHERENT MAP'!$B$5=2021,'РЕЕСТР РИСКОВ_2023'!AL426,IF('INHERENT MAP'!$B$5=2022,#REF!,IF('INHERENT MAP'!$B$5=2023,#REF!,IF('INHERENT MAP'!$B$5=2024,#REF!,#REF!))))</f>
        <v>0</v>
      </c>
      <c r="AG386">
        <f>IF('INHERENT MAP'!$B$5=2021,'РЕЕСТР РИСКОВ_2023'!AM426,IF('INHERENT MAP'!$B$5=2022,#REF!,IF('INHERENT MAP'!$B$5=2023,#REF!,IF('INHERENT MAP'!$B$5=2024,#REF!,#REF!))))</f>
        <v>0</v>
      </c>
      <c r="AH386">
        <f>IF('INHERENT MAP'!$B$5=2021,'РЕЕСТР РИСКОВ_2023'!AN426,IF('INHERENT MAP'!$B$5=2022,#REF!,IF('INHERENT MAP'!$B$5=2023,#REF!,IF('INHERENT MAP'!$B$5=2024,#REF!,#REF!))))</f>
        <v>0</v>
      </c>
      <c r="AI386">
        <f>IF('INHERENT MAP'!$B$5=2021,'РЕЕСТР РИСКОВ_2023'!AO426,IF('INHERENT MAP'!$B$5=2022,#REF!,IF('INHERENT MAP'!$B$5=2023,#REF!,IF('INHERENT MAP'!$B$5=2024,#REF!,#REF!))))</f>
        <v>0</v>
      </c>
      <c r="AJ386">
        <f>IF('INHERENT MAP'!$B$5=2021,'РЕЕСТР РИСКОВ_2023'!AP426,IF('INHERENT MAP'!$B$5=2022,#REF!,IF('INHERENT MAP'!$B$5=2023,#REF!,IF('INHERENT MAP'!$B$5=2024,#REF!,#REF!))))</f>
        <v>0</v>
      </c>
      <c r="AK386">
        <f>IF('РЕЕСТР РИСКОВ_2023'!AQ426="",AK385,'РЕЕСТР РИСКОВ_2023'!AQ426)</f>
        <v>-216</v>
      </c>
      <c r="AL386">
        <f>IF('РЕЕСТР РИСКОВ_2023'!AR426="",AL385,'РЕЕСТР РИСКОВ_2023'!AR426)</f>
        <v>0.12</v>
      </c>
      <c r="AM386" t="str">
        <f>IF('РЕЕСТР РИСКОВ_2023'!AS426="",AM385,'РЕЕСТР РИСКОВ_2023'!AS426)</f>
        <v>стоп</v>
      </c>
      <c r="AN386" t="str">
        <f>IF('РЕЕСТР РИСКОВ_2023'!AT426="",AN385,'РЕЕСТР РИСКОВ_2023'!AT426)</f>
        <v>стоп</v>
      </c>
      <c r="AO386" t="e">
        <f>IF('РЕЕСТР РИСКОВ_2023'!AU426="",AO385,'РЕЕСТР РИСКОВ_2023'!AU426)</f>
        <v>#REF!</v>
      </c>
    </row>
    <row r="387" spans="2:41">
      <c r="B387" t="str">
        <f>IF('INHERENT MAP'!$B$5=2021,IF('РЕЕСТР РИСКОВ_2023'!F427="",B386,'РЕЕСТР РИСКОВ_2023'!F427),IF('INHERENT MAP'!$B$5=2022,IF(#REF!="",B386,#REF!),IF('INHERENT MAP'!$B$5=2023,IF(#REF!="",B386,#REF!),IF('INHERENT MAP'!$B$5=2024,IF(#REF!="",B386,#REF!),IF('РЕЕСТР РИСКОВ_2023'!F427="",B386,'РЕЕСТР РИСКОВ_2023'!F427)))))</f>
        <v>ПРОЦЕНТНЫЙ РИСК</v>
      </c>
      <c r="C387" t="e">
        <f>IF('INHERENT MAP'!$B$5=2021,IF('РЕЕСТР РИСКОВ_2023'!G427="",C386,'РЕЕСТР РИСКОВ_2023'!G427),IF('INHERENT MAP'!$B$5=2022,IF(#REF!="",C386,#REF!),IF('INHERENT MAP'!$B$5=2023,IF(#REF!="",C386,#REF!),IF('INHERENT MAP'!$B$5=2024,IF(#REF!="",C386,#REF!),IF('РЕЕСТР РИСКОВ_2023'!G427="",C386,'РЕЕСТР РИСКОВ_2023'!G427)))))</f>
        <v>#REF!</v>
      </c>
      <c r="D387" t="str">
        <f>IF('INHERENT MAP'!$B$5=2021,IF('РЕЕСТР РИСКОВ_2023'!H427="",D386,'РЕЕСТР РИСКОВ_2023'!H427),IF('INHERENT MAP'!$B$5=2022,IF(#REF!="",D386,#REF!),IF('INHERENT MAP'!$B$5=2023,IF(#REF!="",D386,#REF!),IF('INHERENT MAP'!$B$5=2024,IF(#REF!="",D386,#REF!),IF('РЕЕСТР РИСКОВ_2023'!H427="",D386,'РЕЕСТР РИСКОВ_2023'!H427)))))</f>
        <v>IRR-1</v>
      </c>
      <c r="E387" t="str">
        <f>IF('INHERENT MAP'!$B$5=2021,IF('РЕЕСТР РИСКОВ_2023'!I427="",E386,'РЕЕСТР РИСКОВ_2023'!I427),IF('INHERENT MAP'!$B$5=2022,IF(#REF!="",E386,#REF!),IF('INHERENT MAP'!$B$5=2023,IF(#REF!="",E386,#REF!),IF('INHERENT MAP'!$B$5=2024,IF(#REF!="",E386,#REF!),IF('РЕЕСТР РИСКОВ_2023'!I427="",E386,'РЕЕСТР РИСКОВ_2023'!I427)))))</f>
        <v>ЦЗФ</v>
      </c>
      <c r="F387" t="str">
        <f>IF('INHERENT MAP'!$B$5=2021,IF('РЕЕСТР РИСКОВ_2023'!J427="",F386,'РЕЕСТР РИСКОВ_2023'!J427),IF('INHERENT MAP'!$B$5=2022,IF(#REF!="",F386,#REF!),IF('INHERENT MAP'!$B$5=2023,IF(#REF!="",F386,#REF!),IF('INHERENT MAP'!$B$5=2024,IF(#REF!="",F386,#REF!),IF('РЕЕСТР РИСКОВ_2023'!J427="",F386,'РЕЕСТР РИСКОВ_2023'!J427)))))</f>
        <v>Цзайм</v>
      </c>
      <c r="G387" t="str">
        <f>IF('INHERENT MAP'!$B$5=2021,IF('РЕЕСТР РИСКОВ_2023'!K427="",G386,'РЕЕСТР РИСКОВ_2023'!K427),IF('INHERENT MAP'!$B$5=2022,IF(#REF!="",G386,#REF!),IF('INHERENT MAP'!$B$5=2023,IF(#REF!="",G386,#REF!),IF('INHERENT MAP'!$B$5=2024,IF(#REF!="",G386,#REF!),IF('РЕЕСТР РИСКОВ_2023'!K427="",G386,'РЕЕСТР РИСКОВ_2023'!K427)))))</f>
        <v>Увеличение расходов по процентам на новые займы, а также текущие займы (с плавающей ставкой) в тенге.</v>
      </c>
      <c r="H387">
        <f>IF('INHERENT MAP'!$B$5=2021,'РЕЕСТР РИСКОВ_2023'!L427,IF('INHERENT MAP'!$B$5=2022,#REF!,IF('INHERENT MAP'!$B$5=2023,#REF!,IF('INHERENT MAP'!$B$5=2024,#REF!,#REF!))))</f>
        <v>0</v>
      </c>
      <c r="I387">
        <f>IF('INHERENT MAP'!$B$5=2021,'РЕЕСТР РИСКОВ_2023'!M427,IF('INHERENT MAP'!$B$5=2022,#REF!,IF('INHERENT MAP'!$B$5=2023,#REF!,IF('INHERENT MAP'!$B$5=2024,#REF!,#REF!))))</f>
        <v>0</v>
      </c>
      <c r="J387">
        <f>IF('INHERENT MAP'!$B$5=2021,'РЕЕСТР РИСКОВ_2023'!N427,IF('INHERENT MAP'!$B$5=2022,#REF!,IF('INHERENT MAP'!$B$5=2023,#REF!,IF('INHERENT MAP'!$B$5=2024,#REF!,#REF!))))</f>
        <v>0</v>
      </c>
      <c r="K387">
        <f>IF('INHERENT MAP'!$B$5=2021,'РЕЕСТР РИСКОВ_2023'!O427,IF('INHERENT MAP'!$B$5=2022,#REF!,IF('INHERENT MAP'!$B$5=2023,#REF!,IF('INHERENT MAP'!$B$5=2024,#REF!,#REF!))))</f>
        <v>0</v>
      </c>
      <c r="L387">
        <f>IF('INHERENT MAP'!$B$5=2021,'РЕЕСТР РИСКОВ_2023'!P427,IF('INHERENT MAP'!$B$5=2022,#REF!,IF('INHERENT MAP'!$B$5=2023,#REF!,IF('INHERENT MAP'!$B$5=2024,#REF!,#REF!))))</f>
        <v>0</v>
      </c>
      <c r="M387" t="str">
        <f>IF('INHERENT MAP'!$B$5=2021,IF('РЕЕСТР РИСКОВ_2023'!Q427="",M386,'РЕЕСТР РИСКОВ_2023'!Q427),IF('INHERENT MAP'!$B$5=2022,IF(#REF!="",M386,#REF!),IF('INHERENT MAP'!$B$5=2023,IF(#REF!="",M386,#REF!),IF('INHERENT MAP'!$B$5=2024,IF(#REF!="",M386,#REF!),IF('РЕЕСТР РИСКОВ_2023'!Q427="",M386,'РЕЕСТР РИСКОВ_2023'!Q427)))))</f>
        <v>Увеличение базовой ставки Национального банка Республики Казахстан до 16%</v>
      </c>
      <c r="N387" t="str">
        <f>IF('INHERENT MAP'!$B$5=2021,IF('РЕЕСТР РИСКОВ_2023'!R427="",N386,'РЕЕСТР РИСКОВ_2023'!R427),IF('INHERENT MAP'!$B$5=2022,IF(#REF!="",N386,#REF!),IF('INHERENT MAP'!$B$5=2023,IF(#REF!="",N386,#REF!),IF('INHERENT MAP'!$B$5=2024,IF(#REF!="",N386,#REF!),IF('РЕЕСТР РИСКОВ_2023'!R427="",N386,'РЕЕСТР РИСКОВ_2023'!R427)))))</f>
        <v>Рецессия экономики европейских стран</v>
      </c>
      <c r="O387">
        <f>'РЕЕСТР РИСКОВ_2023'!T427</f>
        <v>0</v>
      </c>
      <c r="P387" t="e">
        <f>IF('РЕЕСТР РИСКОВ_2023'!U427="",P386,'РЕЕСТР РИСКОВ_2023'!U427)</f>
        <v>#REF!</v>
      </c>
      <c r="Q387" t="str">
        <f>IF('РЕЕСТР РИСКОВ_2023'!V427="",Q386,'РЕЕСТР РИСКОВ_2023'!V427)</f>
        <v>Угрозы</v>
      </c>
      <c r="R387" t="e">
        <f>IF('РЕЕСТР РИСКОВ_2023'!W427="",R386,'РЕЕСТР РИСКОВ_2023'!W427)</f>
        <v>#REF!</v>
      </c>
      <c r="S387">
        <f>'РЕЕСТР РИСКОВ_2023'!X427</f>
        <v>0</v>
      </c>
      <c r="T387" s="94">
        <f>IF('INHERENT MAP'!$B$5=2021,'РЕЕСТР РИСКОВ_2023'!Y427,IF('INHERENT MAP'!$B$5=2022,#REF!,IF('INHERENT MAP'!$B$5=2023,#REF!,IF('INHERENT MAP'!$B$5=2024,#REF!,#REF!))))</f>
        <v>0</v>
      </c>
      <c r="U387">
        <f>IF('INHERENT MAP'!$B$5=2021,'РЕЕСТР РИСКОВ_2023'!Z427,IF('INHERENT MAP'!$B$5=2022,#REF!,IF('INHERENT MAP'!$B$5=2023,#REF!,IF('INHERENT MAP'!$B$5=2024,#REF!,#REF!))))</f>
        <v>0</v>
      </c>
      <c r="V387">
        <f>IF('INHERENT MAP'!$B$5=2021,'РЕЕСТР РИСКОВ_2023'!AA427,IF('INHERENT MAP'!$B$5=2022,#REF!,IF('INHERENT MAP'!$B$5=2023,#REF!,IF('INHERENT MAP'!$B$5=2024,#REF!,#REF!))))</f>
        <v>0</v>
      </c>
      <c r="W387">
        <f>IF('INHERENT MAP'!$B$5=2021,'РЕЕСТР РИСКОВ_2023'!AB427,IF('INHERENT MAP'!$B$5=2022,#REF!,IF('INHERENT MAP'!$B$5=2023,#REF!,IF('INHERENT MAP'!$B$5=2024,#REF!,#REF!))))</f>
        <v>0</v>
      </c>
      <c r="X387" s="94">
        <f>IF('INHERENT MAP'!$B$5=2021,'РЕЕСТР РИСКОВ_2023'!AC427,IF('INHERENT MAP'!$B$5=2022,#REF!,IF('INHERENT MAP'!$B$5=2023,#REF!,IF('INHERENT MAP'!$B$5=2024,#REF!,#REF!))))</f>
        <v>0</v>
      </c>
      <c r="Y387">
        <f>IF('INHERENT MAP'!$B$5=2021,'РЕЕСТР РИСКОВ_2023'!AD427,IF('INHERENT MAP'!$B$5=2022,#REF!,IF('INHERENT MAP'!$B$5=2023,#REF!,IF('INHERENT MAP'!$B$5=2024,#REF!,#REF!))))</f>
        <v>0</v>
      </c>
      <c r="Z387">
        <f>IF('INHERENT MAP'!$B$5=2021,'РЕЕСТР РИСКОВ_2023'!AE427,IF('INHERENT MAP'!$B$5=2022,#REF!,IF('INHERENT MAP'!$B$5=2023,#REF!,IF('INHERENT MAP'!$B$5=2024,#REF!,#REF!))))</f>
        <v>0</v>
      </c>
      <c r="AA387">
        <f>IF('INHERENT MAP'!$B$5=2021,'РЕЕСТР РИСКОВ_2023'!AF427,IF('INHERENT MAP'!$B$5=2022,#REF!,IF('INHERENT MAP'!$B$5=2023,#REF!,IF('INHERENT MAP'!$B$5=2024,#REF!,#REF!))))</f>
        <v>0</v>
      </c>
      <c r="AB387">
        <f>IF('INHERENT MAP'!$B$5=2021,'РЕЕСТР РИСКОВ_2023'!AG427,IF('INHERENT MAP'!$B$5=2022,#REF!,IF('INHERENT MAP'!$B$5=2023,#REF!,IF('INHERENT MAP'!$B$5=2024,#REF!,#REF!))))</f>
        <v>0</v>
      </c>
      <c r="AC387">
        <f>IF('INHERENT MAP'!$B$5=2021,'РЕЕСТР РИСКОВ_2023'!AH427,IF('INHERENT MAP'!$B$5=2022,#REF!,IF('INHERENT MAP'!$B$5=2023,#REF!,IF('INHERENT MAP'!$B$5=2024,#REF!,#REF!))))</f>
        <v>0</v>
      </c>
      <c r="AD387">
        <f>IF('INHERENT MAP'!$B$5=2021,'РЕЕСТР РИСКОВ_2023'!AI427,IF('INHERENT MAP'!$B$5=2022,#REF!,IF('INHERENT MAP'!$B$5=2023,#REF!,IF('INHERENT MAP'!$B$5=2024,#REF!,#REF!))))</f>
        <v>0</v>
      </c>
      <c r="AE387">
        <f>IF('INHERENT MAP'!$B$5=2021,'РЕЕСТР РИСКОВ_2023'!AK427,IF('INHERENT MAP'!$B$5=2022,#REF!,IF('INHERENT MAP'!$B$5=2023,#REF!,IF('INHERENT MAP'!$B$5=2024,#REF!,#REF!))))</f>
        <v>0</v>
      </c>
      <c r="AF387">
        <f>IF('INHERENT MAP'!$B$5=2021,'РЕЕСТР РИСКОВ_2023'!AL427,IF('INHERENT MAP'!$B$5=2022,#REF!,IF('INHERENT MAP'!$B$5=2023,#REF!,IF('INHERENT MAP'!$B$5=2024,#REF!,#REF!))))</f>
        <v>0</v>
      </c>
      <c r="AG387">
        <f>IF('INHERENT MAP'!$B$5=2021,'РЕЕСТР РИСКОВ_2023'!AM427,IF('INHERENT MAP'!$B$5=2022,#REF!,IF('INHERENT MAP'!$B$5=2023,#REF!,IF('INHERENT MAP'!$B$5=2024,#REF!,#REF!))))</f>
        <v>0</v>
      </c>
      <c r="AH387">
        <f>IF('INHERENT MAP'!$B$5=2021,'РЕЕСТР РИСКОВ_2023'!AN427,IF('INHERENT MAP'!$B$5=2022,#REF!,IF('INHERENT MAP'!$B$5=2023,#REF!,IF('INHERENT MAP'!$B$5=2024,#REF!,#REF!))))</f>
        <v>0</v>
      </c>
      <c r="AI387">
        <f>IF('INHERENT MAP'!$B$5=2021,'РЕЕСТР РИСКОВ_2023'!AO427,IF('INHERENT MAP'!$B$5=2022,#REF!,IF('INHERENT MAP'!$B$5=2023,#REF!,IF('INHERENT MAP'!$B$5=2024,#REF!,#REF!))))</f>
        <v>0</v>
      </c>
      <c r="AJ387">
        <f>IF('INHERENT MAP'!$B$5=2021,'РЕЕСТР РИСКОВ_2023'!AP427,IF('INHERENT MAP'!$B$5=2022,#REF!,IF('INHERENT MAP'!$B$5=2023,#REF!,IF('INHERENT MAP'!$B$5=2024,#REF!,#REF!))))</f>
        <v>0</v>
      </c>
      <c r="AK387">
        <f>IF('РЕЕСТР РИСКОВ_2023'!AQ427="",AK386,'РЕЕСТР РИСКОВ_2023'!AQ427)</f>
        <v>-216</v>
      </c>
      <c r="AL387">
        <f>IF('РЕЕСТР РИСКОВ_2023'!AR427="",AL386,'РЕЕСТР РИСКОВ_2023'!AR427)</f>
        <v>0.12</v>
      </c>
      <c r="AM387" t="str">
        <f>IF('РЕЕСТР РИСКОВ_2023'!AS427="",AM386,'РЕЕСТР РИСКОВ_2023'!AS427)</f>
        <v>стоп</v>
      </c>
      <c r="AN387" t="str">
        <f>IF('РЕЕСТР РИСКОВ_2023'!AT427="",AN386,'РЕЕСТР РИСКОВ_2023'!AT427)</f>
        <v>стоп</v>
      </c>
      <c r="AO387" t="e">
        <f>IF('РЕЕСТР РИСКОВ_2023'!AU427="",AO386,'РЕЕСТР РИСКОВ_2023'!AU427)</f>
        <v>#REF!</v>
      </c>
    </row>
    <row r="388" spans="2:41">
      <c r="B388" t="str">
        <f>IF('INHERENT MAP'!$B$5=2021,IF('РЕЕСТР РИСКОВ_2023'!F428="",B387,'РЕЕСТР РИСКОВ_2023'!F428),IF('INHERENT MAP'!$B$5=2022,IF(#REF!="",B387,#REF!),IF('INHERENT MAP'!$B$5=2023,IF(#REF!="",B387,#REF!),IF('INHERENT MAP'!$B$5=2024,IF(#REF!="",B387,#REF!),IF('РЕЕСТР РИСКОВ_2023'!F428="",B387,'РЕЕСТР РИСКОВ_2023'!F428)))))</f>
        <v>ПРОЦЕНТНЫЙ РИСК</v>
      </c>
      <c r="C388" t="e">
        <f>IF('INHERENT MAP'!$B$5=2021,IF('РЕЕСТР РИСКОВ_2023'!G428="",C387,'РЕЕСТР РИСКОВ_2023'!G428),IF('INHERENT MAP'!$B$5=2022,IF(#REF!="",C387,#REF!),IF('INHERENT MAP'!$B$5=2023,IF(#REF!="",C387,#REF!),IF('INHERENT MAP'!$B$5=2024,IF(#REF!="",C387,#REF!),IF('РЕЕСТР РИСКОВ_2023'!G428="",C387,'РЕЕСТР РИСКОВ_2023'!G428)))))</f>
        <v>#REF!</v>
      </c>
      <c r="D388" t="str">
        <f>IF('INHERENT MAP'!$B$5=2021,IF('РЕЕСТР РИСКОВ_2023'!H428="",D387,'РЕЕСТР РИСКОВ_2023'!H428),IF('INHERENT MAP'!$B$5=2022,IF(#REF!="",D387,#REF!),IF('INHERENT MAP'!$B$5=2023,IF(#REF!="",D387,#REF!),IF('INHERENT MAP'!$B$5=2024,IF(#REF!="",D387,#REF!),IF('РЕЕСТР РИСКОВ_2023'!H428="",D387,'РЕЕСТР РИСКОВ_2023'!H428)))))</f>
        <v>IRR-1</v>
      </c>
      <c r="E388" t="str">
        <f>IF('INHERENT MAP'!$B$5=2021,IF('РЕЕСТР РИСКОВ_2023'!I428="",E387,'РЕЕСТР РИСКОВ_2023'!I428),IF('INHERENT MAP'!$B$5=2022,IF(#REF!="",E387,#REF!),IF('INHERENT MAP'!$B$5=2023,IF(#REF!="",E387,#REF!),IF('INHERENT MAP'!$B$5=2024,IF(#REF!="",E387,#REF!),IF('РЕЕСТР РИСКОВ_2023'!I428="",E387,'РЕЕСТР РИСКОВ_2023'!I428)))))</f>
        <v>ЦЗФ</v>
      </c>
      <c r="F388" t="str">
        <f>IF('INHERENT MAP'!$B$5=2021,IF('РЕЕСТР РИСКОВ_2023'!J428="",F387,'РЕЕСТР РИСКОВ_2023'!J428),IF('INHERENT MAP'!$B$5=2022,IF(#REF!="",F387,#REF!),IF('INHERENT MAP'!$B$5=2023,IF(#REF!="",F387,#REF!),IF('INHERENT MAP'!$B$5=2024,IF(#REF!="",F387,#REF!),IF('РЕЕСТР РИСКОВ_2023'!J428="",F387,'РЕЕСТР РИСКОВ_2023'!J428)))))</f>
        <v>Цзайм</v>
      </c>
      <c r="G388" t="str">
        <f>IF('INHERENT MAP'!$B$5=2021,IF('РЕЕСТР РИСКОВ_2023'!K428="",G387,'РЕЕСТР РИСКОВ_2023'!K428),IF('INHERENT MAP'!$B$5=2022,IF(#REF!="",G387,#REF!),IF('INHERENT MAP'!$B$5=2023,IF(#REF!="",G387,#REF!),IF('INHERENT MAP'!$B$5=2024,IF(#REF!="",G387,#REF!),IF('РЕЕСТР РИСКОВ_2023'!K428="",G387,'РЕЕСТР РИСКОВ_2023'!K428)))))</f>
        <v>Увеличение расходов по процентам на новые займы, а также текущие займы (с плавающей ставкой) в тенге.</v>
      </c>
      <c r="H388">
        <f>IF('INHERENT MAP'!$B$5=2021,'РЕЕСТР РИСКОВ_2023'!L428,IF('INHERENT MAP'!$B$5=2022,#REF!,IF('INHERENT MAP'!$B$5=2023,#REF!,IF('INHERENT MAP'!$B$5=2024,#REF!,#REF!))))</f>
        <v>0</v>
      </c>
      <c r="I388">
        <f>IF('INHERENT MAP'!$B$5=2021,'РЕЕСТР РИСКОВ_2023'!M428,IF('INHERENT MAP'!$B$5=2022,#REF!,IF('INHERENT MAP'!$B$5=2023,#REF!,IF('INHERENT MAP'!$B$5=2024,#REF!,#REF!))))</f>
        <v>0</v>
      </c>
      <c r="J388">
        <f>IF('INHERENT MAP'!$B$5=2021,'РЕЕСТР РИСКОВ_2023'!N428,IF('INHERENT MAP'!$B$5=2022,#REF!,IF('INHERENT MAP'!$B$5=2023,#REF!,IF('INHERENT MAP'!$B$5=2024,#REF!,#REF!))))</f>
        <v>0</v>
      </c>
      <c r="K388">
        <f>IF('INHERENT MAP'!$B$5=2021,'РЕЕСТР РИСКОВ_2023'!O428,IF('INHERENT MAP'!$B$5=2022,#REF!,IF('INHERENT MAP'!$B$5=2023,#REF!,IF('INHERENT MAP'!$B$5=2024,#REF!,#REF!))))</f>
        <v>0</v>
      </c>
      <c r="L388">
        <f>IF('INHERENT MAP'!$B$5=2021,'РЕЕСТР РИСКОВ_2023'!P428,IF('INHERENT MAP'!$B$5=2022,#REF!,IF('INHERENT MAP'!$B$5=2023,#REF!,IF('INHERENT MAP'!$B$5=2024,#REF!,#REF!))))</f>
        <v>0</v>
      </c>
      <c r="M388" t="str">
        <f>IF('INHERENT MAP'!$B$5=2021,IF('РЕЕСТР РИСКОВ_2023'!Q428="",M387,'РЕЕСТР РИСКОВ_2023'!Q428),IF('INHERENT MAP'!$B$5=2022,IF(#REF!="",M387,#REF!),IF('INHERENT MAP'!$B$5=2023,IF(#REF!="",M387,#REF!),IF('INHERENT MAP'!$B$5=2024,IF(#REF!="",M387,#REF!),IF('РЕЕСТР РИСКОВ_2023'!Q428="",M387,'РЕЕСТР РИСКОВ_2023'!Q428)))))</f>
        <v>Увеличение базовой ставки Национального банка Республики Казахстан до 16%</v>
      </c>
      <c r="N388" t="str">
        <f>IF('INHERENT MAP'!$B$5=2021,IF('РЕЕСТР РИСКОВ_2023'!R428="",N387,'РЕЕСТР РИСКОВ_2023'!R428),IF('INHERENT MAP'!$B$5=2022,IF(#REF!="",N387,#REF!),IF('INHERENT MAP'!$B$5=2023,IF(#REF!="",N387,#REF!),IF('INHERENT MAP'!$B$5=2024,IF(#REF!="",N387,#REF!),IF('РЕЕСТР РИСКОВ_2023'!R428="",N387,'РЕЕСТР РИСКОВ_2023'!R428)))))</f>
        <v>Рецессия экономики европейских стран</v>
      </c>
      <c r="O388">
        <f>'РЕЕСТР РИСКОВ_2023'!T428</f>
        <v>0</v>
      </c>
      <c r="P388" t="e">
        <f>IF('РЕЕСТР РИСКОВ_2023'!U428="",P387,'РЕЕСТР РИСКОВ_2023'!U428)</f>
        <v>#REF!</v>
      </c>
      <c r="Q388" t="str">
        <f>IF('РЕЕСТР РИСКОВ_2023'!V428="",Q387,'РЕЕСТР РИСКОВ_2023'!V428)</f>
        <v>Угрозы</v>
      </c>
      <c r="R388" t="e">
        <f>IF('РЕЕСТР РИСКОВ_2023'!W428="",R387,'РЕЕСТР РИСКОВ_2023'!W428)</f>
        <v>#REF!</v>
      </c>
      <c r="S388">
        <f>'РЕЕСТР РИСКОВ_2023'!X428</f>
        <v>0</v>
      </c>
      <c r="T388" s="94">
        <f>IF('INHERENT MAP'!$B$5=2021,'РЕЕСТР РИСКОВ_2023'!Y428,IF('INHERENT MAP'!$B$5=2022,#REF!,IF('INHERENT MAP'!$B$5=2023,#REF!,IF('INHERENT MAP'!$B$5=2024,#REF!,#REF!))))</f>
        <v>0</v>
      </c>
      <c r="U388">
        <f>IF('INHERENT MAP'!$B$5=2021,'РЕЕСТР РИСКОВ_2023'!Z428,IF('INHERENT MAP'!$B$5=2022,#REF!,IF('INHERENT MAP'!$B$5=2023,#REF!,IF('INHERENT MAP'!$B$5=2024,#REF!,#REF!))))</f>
        <v>0</v>
      </c>
      <c r="V388">
        <f>IF('INHERENT MAP'!$B$5=2021,'РЕЕСТР РИСКОВ_2023'!AA428,IF('INHERENT MAP'!$B$5=2022,#REF!,IF('INHERENT MAP'!$B$5=2023,#REF!,IF('INHERENT MAP'!$B$5=2024,#REF!,#REF!))))</f>
        <v>0</v>
      </c>
      <c r="W388">
        <f>IF('INHERENT MAP'!$B$5=2021,'РЕЕСТР РИСКОВ_2023'!AB428,IF('INHERENT MAP'!$B$5=2022,#REF!,IF('INHERENT MAP'!$B$5=2023,#REF!,IF('INHERENT MAP'!$B$5=2024,#REF!,#REF!))))</f>
        <v>0</v>
      </c>
      <c r="X388" s="94">
        <f>IF('INHERENT MAP'!$B$5=2021,'РЕЕСТР РИСКОВ_2023'!AC428,IF('INHERENT MAP'!$B$5=2022,#REF!,IF('INHERENT MAP'!$B$5=2023,#REF!,IF('INHERENT MAP'!$B$5=2024,#REF!,#REF!))))</f>
        <v>0</v>
      </c>
      <c r="Y388">
        <f>IF('INHERENT MAP'!$B$5=2021,'РЕЕСТР РИСКОВ_2023'!AD428,IF('INHERENT MAP'!$B$5=2022,#REF!,IF('INHERENT MAP'!$B$5=2023,#REF!,IF('INHERENT MAP'!$B$5=2024,#REF!,#REF!))))</f>
        <v>0</v>
      </c>
      <c r="Z388">
        <f>IF('INHERENT MAP'!$B$5=2021,'РЕЕСТР РИСКОВ_2023'!AE428,IF('INHERENT MAP'!$B$5=2022,#REF!,IF('INHERENT MAP'!$B$5=2023,#REF!,IF('INHERENT MAP'!$B$5=2024,#REF!,#REF!))))</f>
        <v>0</v>
      </c>
      <c r="AA388">
        <f>IF('INHERENT MAP'!$B$5=2021,'РЕЕСТР РИСКОВ_2023'!AF428,IF('INHERENT MAP'!$B$5=2022,#REF!,IF('INHERENT MAP'!$B$5=2023,#REF!,IF('INHERENT MAP'!$B$5=2024,#REF!,#REF!))))</f>
        <v>0</v>
      </c>
      <c r="AB388">
        <f>IF('INHERENT MAP'!$B$5=2021,'РЕЕСТР РИСКОВ_2023'!AG428,IF('INHERENT MAP'!$B$5=2022,#REF!,IF('INHERENT MAP'!$B$5=2023,#REF!,IF('INHERENT MAP'!$B$5=2024,#REF!,#REF!))))</f>
        <v>0</v>
      </c>
      <c r="AC388">
        <f>IF('INHERENT MAP'!$B$5=2021,'РЕЕСТР РИСКОВ_2023'!AH428,IF('INHERENT MAP'!$B$5=2022,#REF!,IF('INHERENT MAP'!$B$5=2023,#REF!,IF('INHERENT MAP'!$B$5=2024,#REF!,#REF!))))</f>
        <v>0</v>
      </c>
      <c r="AD388">
        <f>IF('INHERENT MAP'!$B$5=2021,'РЕЕСТР РИСКОВ_2023'!AI428,IF('INHERENT MAP'!$B$5=2022,#REF!,IF('INHERENT MAP'!$B$5=2023,#REF!,IF('INHERENT MAP'!$B$5=2024,#REF!,#REF!))))</f>
        <v>0</v>
      </c>
      <c r="AE388">
        <f>IF('INHERENT MAP'!$B$5=2021,'РЕЕСТР РИСКОВ_2023'!AK428,IF('INHERENT MAP'!$B$5=2022,#REF!,IF('INHERENT MAP'!$B$5=2023,#REF!,IF('INHERENT MAP'!$B$5=2024,#REF!,#REF!))))</f>
        <v>0</v>
      </c>
      <c r="AF388">
        <f>IF('INHERENT MAP'!$B$5=2021,'РЕЕСТР РИСКОВ_2023'!AL428,IF('INHERENT MAP'!$B$5=2022,#REF!,IF('INHERENT MAP'!$B$5=2023,#REF!,IF('INHERENT MAP'!$B$5=2024,#REF!,#REF!))))</f>
        <v>0</v>
      </c>
      <c r="AG388">
        <f>IF('INHERENT MAP'!$B$5=2021,'РЕЕСТР РИСКОВ_2023'!AM428,IF('INHERENT MAP'!$B$5=2022,#REF!,IF('INHERENT MAP'!$B$5=2023,#REF!,IF('INHERENT MAP'!$B$5=2024,#REF!,#REF!))))</f>
        <v>0</v>
      </c>
      <c r="AH388">
        <f>IF('INHERENT MAP'!$B$5=2021,'РЕЕСТР РИСКОВ_2023'!AN428,IF('INHERENT MAP'!$B$5=2022,#REF!,IF('INHERENT MAP'!$B$5=2023,#REF!,IF('INHERENT MAP'!$B$5=2024,#REF!,#REF!))))</f>
        <v>0</v>
      </c>
      <c r="AI388">
        <f>IF('INHERENT MAP'!$B$5=2021,'РЕЕСТР РИСКОВ_2023'!AO428,IF('INHERENT MAP'!$B$5=2022,#REF!,IF('INHERENT MAP'!$B$5=2023,#REF!,IF('INHERENT MAP'!$B$5=2024,#REF!,#REF!))))</f>
        <v>0</v>
      </c>
      <c r="AJ388">
        <f>IF('INHERENT MAP'!$B$5=2021,'РЕЕСТР РИСКОВ_2023'!AP428,IF('INHERENT MAP'!$B$5=2022,#REF!,IF('INHERENT MAP'!$B$5=2023,#REF!,IF('INHERENT MAP'!$B$5=2024,#REF!,#REF!))))</f>
        <v>0</v>
      </c>
      <c r="AK388">
        <f>IF('РЕЕСТР РИСКОВ_2023'!AQ428="",AK387,'РЕЕСТР РИСКОВ_2023'!AQ428)</f>
        <v>-216</v>
      </c>
      <c r="AL388">
        <f>IF('РЕЕСТР РИСКОВ_2023'!AR428="",AL387,'РЕЕСТР РИСКОВ_2023'!AR428)</f>
        <v>0.12</v>
      </c>
      <c r="AM388" t="str">
        <f>IF('РЕЕСТР РИСКОВ_2023'!AS428="",AM387,'РЕЕСТР РИСКОВ_2023'!AS428)</f>
        <v>стоп</v>
      </c>
      <c r="AN388" t="str">
        <f>IF('РЕЕСТР РИСКОВ_2023'!AT428="",AN387,'РЕЕСТР РИСКОВ_2023'!AT428)</f>
        <v>стоп</v>
      </c>
      <c r="AO388" t="e">
        <f>IF('РЕЕСТР РИСКОВ_2023'!AU428="",AO387,'РЕЕСТР РИСКОВ_2023'!AU428)</f>
        <v>#REF!</v>
      </c>
    </row>
    <row r="389" spans="2:41">
      <c r="B389" t="str">
        <f>IF('INHERENT MAP'!$B$5=2021,IF('РЕЕСТР РИСКОВ_2023'!F429="",B388,'РЕЕСТР РИСКОВ_2023'!F429),IF('INHERENT MAP'!$B$5=2022,IF(#REF!="",B388,#REF!),IF('INHERENT MAP'!$B$5=2023,IF(#REF!="",B388,#REF!),IF('INHERENT MAP'!$B$5=2024,IF(#REF!="",B388,#REF!),IF('РЕЕСТР РИСКОВ_2023'!F429="",B388,'РЕЕСТР РИСКОВ_2023'!F429)))))</f>
        <v>ПРОЦЕНТНЫЙ РИСК</v>
      </c>
      <c r="C389" t="e">
        <f>IF('INHERENT MAP'!$B$5=2021,IF('РЕЕСТР РИСКОВ_2023'!G429="",C388,'РЕЕСТР РИСКОВ_2023'!G429),IF('INHERENT MAP'!$B$5=2022,IF(#REF!="",C388,#REF!),IF('INHERENT MAP'!$B$5=2023,IF(#REF!="",C388,#REF!),IF('INHERENT MAP'!$B$5=2024,IF(#REF!="",C388,#REF!),IF('РЕЕСТР РИСКОВ_2023'!G429="",C388,'РЕЕСТР РИСКОВ_2023'!G429)))))</f>
        <v>#REF!</v>
      </c>
      <c r="D389" t="str">
        <f>IF('INHERENT MAP'!$B$5=2021,IF('РЕЕСТР РИСКОВ_2023'!H429="",D388,'РЕЕСТР РИСКОВ_2023'!H429),IF('INHERENT MAP'!$B$5=2022,IF(#REF!="",D388,#REF!),IF('INHERENT MAP'!$B$5=2023,IF(#REF!="",D388,#REF!),IF('INHERENT MAP'!$B$5=2024,IF(#REF!="",D388,#REF!),IF('РЕЕСТР РИСКОВ_2023'!H429="",D388,'РЕЕСТР РИСКОВ_2023'!H429)))))</f>
        <v>IRR-1</v>
      </c>
      <c r="E389" t="str">
        <f>IF('INHERENT MAP'!$B$5=2021,IF('РЕЕСТР РИСКОВ_2023'!I429="",E388,'РЕЕСТР РИСКОВ_2023'!I429),IF('INHERENT MAP'!$B$5=2022,IF(#REF!="",E388,#REF!),IF('INHERENT MAP'!$B$5=2023,IF(#REF!="",E388,#REF!),IF('INHERENT MAP'!$B$5=2024,IF(#REF!="",E388,#REF!),IF('РЕЕСТР РИСКОВ_2023'!I429="",E388,'РЕЕСТР РИСКОВ_2023'!I429)))))</f>
        <v>ЦЗФ</v>
      </c>
      <c r="F389" t="str">
        <f>IF('INHERENT MAP'!$B$5=2021,IF('РЕЕСТР РИСКОВ_2023'!J429="",F388,'РЕЕСТР РИСКОВ_2023'!J429),IF('INHERENT MAP'!$B$5=2022,IF(#REF!="",F388,#REF!),IF('INHERENT MAP'!$B$5=2023,IF(#REF!="",F388,#REF!),IF('INHERENT MAP'!$B$5=2024,IF(#REF!="",F388,#REF!),IF('РЕЕСТР РИСКОВ_2023'!J429="",F388,'РЕЕСТР РИСКОВ_2023'!J429)))))</f>
        <v>Цзайм</v>
      </c>
      <c r="G389" t="str">
        <f>IF('INHERENT MAP'!$B$5=2021,IF('РЕЕСТР РИСКОВ_2023'!K429="",G388,'РЕЕСТР РИСКОВ_2023'!K429),IF('INHERENT MAP'!$B$5=2022,IF(#REF!="",G388,#REF!),IF('INHERENT MAP'!$B$5=2023,IF(#REF!="",G388,#REF!),IF('INHERENT MAP'!$B$5=2024,IF(#REF!="",G388,#REF!),IF('РЕЕСТР РИСКОВ_2023'!K429="",G388,'РЕЕСТР РИСКОВ_2023'!K429)))))</f>
        <v>Увеличение расходов по процентам на новые займы, а также текущие займы (с плавающей ставкой) в тенге.</v>
      </c>
      <c r="H389">
        <f>IF('INHERENT MAP'!$B$5=2021,'РЕЕСТР РИСКОВ_2023'!L429,IF('INHERENT MAP'!$B$5=2022,#REF!,IF('INHERENT MAP'!$B$5=2023,#REF!,IF('INHERENT MAP'!$B$5=2024,#REF!,#REF!))))</f>
        <v>0</v>
      </c>
      <c r="I389">
        <f>IF('INHERENT MAP'!$B$5=2021,'РЕЕСТР РИСКОВ_2023'!M429,IF('INHERENT MAP'!$B$5=2022,#REF!,IF('INHERENT MAP'!$B$5=2023,#REF!,IF('INHERENT MAP'!$B$5=2024,#REF!,#REF!))))</f>
        <v>0</v>
      </c>
      <c r="J389">
        <f>IF('INHERENT MAP'!$B$5=2021,'РЕЕСТР РИСКОВ_2023'!N429,IF('INHERENT MAP'!$B$5=2022,#REF!,IF('INHERENT MAP'!$B$5=2023,#REF!,IF('INHERENT MAP'!$B$5=2024,#REF!,#REF!))))</f>
        <v>0</v>
      </c>
      <c r="K389">
        <f>IF('INHERENT MAP'!$B$5=2021,'РЕЕСТР РИСКОВ_2023'!O429,IF('INHERENT MAP'!$B$5=2022,#REF!,IF('INHERENT MAP'!$B$5=2023,#REF!,IF('INHERENT MAP'!$B$5=2024,#REF!,#REF!))))</f>
        <v>0</v>
      </c>
      <c r="L389">
        <f>IF('INHERENT MAP'!$B$5=2021,'РЕЕСТР РИСКОВ_2023'!P429,IF('INHERENT MAP'!$B$5=2022,#REF!,IF('INHERENT MAP'!$B$5=2023,#REF!,IF('INHERENT MAP'!$B$5=2024,#REF!,#REF!))))</f>
        <v>0</v>
      </c>
      <c r="M389" t="str">
        <f>IF('INHERENT MAP'!$B$5=2021,IF('РЕЕСТР РИСКОВ_2023'!Q429="",M388,'РЕЕСТР РИСКОВ_2023'!Q429),IF('INHERENT MAP'!$B$5=2022,IF(#REF!="",M388,#REF!),IF('INHERENT MAP'!$B$5=2023,IF(#REF!="",M388,#REF!),IF('INHERENT MAP'!$B$5=2024,IF(#REF!="",M388,#REF!),IF('РЕЕСТР РИСКОВ_2023'!Q429="",M388,'РЕЕСТР РИСКОВ_2023'!Q429)))))</f>
        <v>Увеличение базовой ставки Национального банка Республики Казахстан до 16%</v>
      </c>
      <c r="N389" t="str">
        <f>IF('INHERENT MAP'!$B$5=2021,IF('РЕЕСТР РИСКОВ_2023'!R429="",N388,'РЕЕСТР РИСКОВ_2023'!R429),IF('INHERENT MAP'!$B$5=2022,IF(#REF!="",N388,#REF!),IF('INHERENT MAP'!$B$5=2023,IF(#REF!="",N388,#REF!),IF('INHERENT MAP'!$B$5=2024,IF(#REF!="",N388,#REF!),IF('РЕЕСТР РИСКОВ_2023'!R429="",N388,'РЕЕСТР РИСКОВ_2023'!R429)))))</f>
        <v>Рецессия экономики европейских стран</v>
      </c>
      <c r="O389">
        <f>'РЕЕСТР РИСКОВ_2023'!T429</f>
        <v>0</v>
      </c>
      <c r="P389" t="e">
        <f>IF('РЕЕСТР РИСКОВ_2023'!U429="",P388,'РЕЕСТР РИСКОВ_2023'!U429)</f>
        <v>#REF!</v>
      </c>
      <c r="Q389" t="str">
        <f>IF('РЕЕСТР РИСКОВ_2023'!V429="",Q388,'РЕЕСТР РИСКОВ_2023'!V429)</f>
        <v>Угрозы</v>
      </c>
      <c r="R389" t="e">
        <f>IF('РЕЕСТР РИСКОВ_2023'!W429="",R388,'РЕЕСТР РИСКОВ_2023'!W429)</f>
        <v>#REF!</v>
      </c>
      <c r="S389">
        <f>'РЕЕСТР РИСКОВ_2023'!X429</f>
        <v>0</v>
      </c>
      <c r="T389" s="94">
        <f>IF('INHERENT MAP'!$B$5=2021,'РЕЕСТР РИСКОВ_2023'!Y429,IF('INHERENT MAP'!$B$5=2022,#REF!,IF('INHERENT MAP'!$B$5=2023,#REF!,IF('INHERENT MAP'!$B$5=2024,#REF!,#REF!))))</f>
        <v>0</v>
      </c>
      <c r="U389">
        <f>IF('INHERENT MAP'!$B$5=2021,'РЕЕСТР РИСКОВ_2023'!Z429,IF('INHERENT MAP'!$B$5=2022,#REF!,IF('INHERENT MAP'!$B$5=2023,#REF!,IF('INHERENT MAP'!$B$5=2024,#REF!,#REF!))))</f>
        <v>0</v>
      </c>
      <c r="V389">
        <f>IF('INHERENT MAP'!$B$5=2021,'РЕЕСТР РИСКОВ_2023'!AA429,IF('INHERENT MAP'!$B$5=2022,#REF!,IF('INHERENT MAP'!$B$5=2023,#REF!,IF('INHERENT MAP'!$B$5=2024,#REF!,#REF!))))</f>
        <v>0</v>
      </c>
      <c r="W389">
        <f>IF('INHERENT MAP'!$B$5=2021,'РЕЕСТР РИСКОВ_2023'!AB429,IF('INHERENT MAP'!$B$5=2022,#REF!,IF('INHERENT MAP'!$B$5=2023,#REF!,IF('INHERENT MAP'!$B$5=2024,#REF!,#REF!))))</f>
        <v>0</v>
      </c>
      <c r="X389" s="94">
        <f>IF('INHERENT MAP'!$B$5=2021,'РЕЕСТР РИСКОВ_2023'!AC429,IF('INHERENT MAP'!$B$5=2022,#REF!,IF('INHERENT MAP'!$B$5=2023,#REF!,IF('INHERENT MAP'!$B$5=2024,#REF!,#REF!))))</f>
        <v>0</v>
      </c>
      <c r="Y389">
        <f>IF('INHERENT MAP'!$B$5=2021,'РЕЕСТР РИСКОВ_2023'!AD429,IF('INHERENT MAP'!$B$5=2022,#REF!,IF('INHERENT MAP'!$B$5=2023,#REF!,IF('INHERENT MAP'!$B$5=2024,#REF!,#REF!))))</f>
        <v>0</v>
      </c>
      <c r="Z389">
        <f>IF('INHERENT MAP'!$B$5=2021,'РЕЕСТР РИСКОВ_2023'!AE429,IF('INHERENT MAP'!$B$5=2022,#REF!,IF('INHERENT MAP'!$B$5=2023,#REF!,IF('INHERENT MAP'!$B$5=2024,#REF!,#REF!))))</f>
        <v>0</v>
      </c>
      <c r="AA389">
        <f>IF('INHERENT MAP'!$B$5=2021,'РЕЕСТР РИСКОВ_2023'!AF429,IF('INHERENT MAP'!$B$5=2022,#REF!,IF('INHERENT MAP'!$B$5=2023,#REF!,IF('INHERENT MAP'!$B$5=2024,#REF!,#REF!))))</f>
        <v>0</v>
      </c>
      <c r="AB389">
        <f>IF('INHERENT MAP'!$B$5=2021,'РЕЕСТР РИСКОВ_2023'!AG429,IF('INHERENT MAP'!$B$5=2022,#REF!,IF('INHERENT MAP'!$B$5=2023,#REF!,IF('INHERENT MAP'!$B$5=2024,#REF!,#REF!))))</f>
        <v>0</v>
      </c>
      <c r="AC389">
        <f>IF('INHERENT MAP'!$B$5=2021,'РЕЕСТР РИСКОВ_2023'!AH429,IF('INHERENT MAP'!$B$5=2022,#REF!,IF('INHERENT MAP'!$B$5=2023,#REF!,IF('INHERENT MAP'!$B$5=2024,#REF!,#REF!))))</f>
        <v>0</v>
      </c>
      <c r="AD389">
        <f>IF('INHERENT MAP'!$B$5=2021,'РЕЕСТР РИСКОВ_2023'!AI429,IF('INHERENT MAP'!$B$5=2022,#REF!,IF('INHERENT MAP'!$B$5=2023,#REF!,IF('INHERENT MAP'!$B$5=2024,#REF!,#REF!))))</f>
        <v>0</v>
      </c>
      <c r="AE389">
        <f>IF('INHERENT MAP'!$B$5=2021,'РЕЕСТР РИСКОВ_2023'!AK429,IF('INHERENT MAP'!$B$5=2022,#REF!,IF('INHERENT MAP'!$B$5=2023,#REF!,IF('INHERENT MAP'!$B$5=2024,#REF!,#REF!))))</f>
        <v>0</v>
      </c>
      <c r="AF389">
        <f>IF('INHERENT MAP'!$B$5=2021,'РЕЕСТР РИСКОВ_2023'!AL429,IF('INHERENT MAP'!$B$5=2022,#REF!,IF('INHERENT MAP'!$B$5=2023,#REF!,IF('INHERENT MAP'!$B$5=2024,#REF!,#REF!))))</f>
        <v>0</v>
      </c>
      <c r="AG389">
        <f>IF('INHERENT MAP'!$B$5=2021,'РЕЕСТР РИСКОВ_2023'!AM429,IF('INHERENT MAP'!$B$5=2022,#REF!,IF('INHERENT MAP'!$B$5=2023,#REF!,IF('INHERENT MAP'!$B$5=2024,#REF!,#REF!))))</f>
        <v>0</v>
      </c>
      <c r="AH389">
        <f>IF('INHERENT MAP'!$B$5=2021,'РЕЕСТР РИСКОВ_2023'!AN429,IF('INHERENT MAP'!$B$5=2022,#REF!,IF('INHERENT MAP'!$B$5=2023,#REF!,IF('INHERENT MAP'!$B$5=2024,#REF!,#REF!))))</f>
        <v>0</v>
      </c>
      <c r="AI389">
        <f>IF('INHERENT MAP'!$B$5=2021,'РЕЕСТР РИСКОВ_2023'!AO429,IF('INHERENT MAP'!$B$5=2022,#REF!,IF('INHERENT MAP'!$B$5=2023,#REF!,IF('INHERENT MAP'!$B$5=2024,#REF!,#REF!))))</f>
        <v>0</v>
      </c>
      <c r="AJ389">
        <f>IF('INHERENT MAP'!$B$5=2021,'РЕЕСТР РИСКОВ_2023'!AP429,IF('INHERENT MAP'!$B$5=2022,#REF!,IF('INHERENT MAP'!$B$5=2023,#REF!,IF('INHERENT MAP'!$B$5=2024,#REF!,#REF!))))</f>
        <v>0</v>
      </c>
      <c r="AK389">
        <f>IF('РЕЕСТР РИСКОВ_2023'!AQ429="",AK388,'РЕЕСТР РИСКОВ_2023'!AQ429)</f>
        <v>-216</v>
      </c>
      <c r="AL389">
        <f>IF('РЕЕСТР РИСКОВ_2023'!AR429="",AL388,'РЕЕСТР РИСКОВ_2023'!AR429)</f>
        <v>0.12</v>
      </c>
      <c r="AM389" t="str">
        <f>IF('РЕЕСТР РИСКОВ_2023'!AS429="",AM388,'РЕЕСТР РИСКОВ_2023'!AS429)</f>
        <v>стоп</v>
      </c>
      <c r="AN389" t="str">
        <f>IF('РЕЕСТР РИСКОВ_2023'!AT429="",AN388,'РЕЕСТР РИСКОВ_2023'!AT429)</f>
        <v>стоп</v>
      </c>
      <c r="AO389" t="e">
        <f>IF('РЕЕСТР РИСКОВ_2023'!AU429="",AO388,'РЕЕСТР РИСКОВ_2023'!AU429)</f>
        <v>#REF!</v>
      </c>
    </row>
    <row r="390" spans="2:41">
      <c r="B390" t="str">
        <f>IF('INHERENT MAP'!$B$5=2021,IF('РЕЕСТР РИСКОВ_2023'!F430="",B389,'РЕЕСТР РИСКОВ_2023'!F430),IF('INHERENT MAP'!$B$5=2022,IF(#REF!="",B389,#REF!),IF('INHERENT MAP'!$B$5=2023,IF(#REF!="",B389,#REF!),IF('INHERENT MAP'!$B$5=2024,IF(#REF!="",B389,#REF!),IF('РЕЕСТР РИСКОВ_2023'!F430="",B389,'РЕЕСТР РИСКОВ_2023'!F430)))))</f>
        <v>ПРОЦЕНТНЫЙ РИСК</v>
      </c>
      <c r="C390" t="e">
        <f>IF('INHERENT MAP'!$B$5=2021,IF('РЕЕСТР РИСКОВ_2023'!G430="",C389,'РЕЕСТР РИСКОВ_2023'!G430),IF('INHERENT MAP'!$B$5=2022,IF(#REF!="",C389,#REF!),IF('INHERENT MAP'!$B$5=2023,IF(#REF!="",C389,#REF!),IF('INHERENT MAP'!$B$5=2024,IF(#REF!="",C389,#REF!),IF('РЕЕСТР РИСКОВ_2023'!G430="",C389,'РЕЕСТР РИСКОВ_2023'!G430)))))</f>
        <v>#REF!</v>
      </c>
      <c r="D390" t="str">
        <f>IF('INHERENT MAP'!$B$5=2021,IF('РЕЕСТР РИСКОВ_2023'!H430="",D389,'РЕЕСТР РИСКОВ_2023'!H430),IF('INHERENT MAP'!$B$5=2022,IF(#REF!="",D389,#REF!),IF('INHERENT MAP'!$B$5=2023,IF(#REF!="",D389,#REF!),IF('INHERENT MAP'!$B$5=2024,IF(#REF!="",D389,#REF!),IF('РЕЕСТР РИСКОВ_2023'!H430="",D389,'РЕЕСТР РИСКОВ_2023'!H430)))))</f>
        <v>IRR-1</v>
      </c>
      <c r="E390" t="str">
        <f>IF('INHERENT MAP'!$B$5=2021,IF('РЕЕСТР РИСКОВ_2023'!I430="",E389,'РЕЕСТР РИСКОВ_2023'!I430),IF('INHERENT MAP'!$B$5=2022,IF(#REF!="",E389,#REF!),IF('INHERENT MAP'!$B$5=2023,IF(#REF!="",E389,#REF!),IF('INHERENT MAP'!$B$5=2024,IF(#REF!="",E389,#REF!),IF('РЕЕСТР РИСКОВ_2023'!I430="",E389,'РЕЕСТР РИСКОВ_2023'!I430)))))</f>
        <v>ЦЗФ</v>
      </c>
      <c r="F390" t="str">
        <f>IF('INHERENT MAP'!$B$5=2021,IF('РЕЕСТР РИСКОВ_2023'!J430="",F389,'РЕЕСТР РИСКОВ_2023'!J430),IF('INHERENT MAP'!$B$5=2022,IF(#REF!="",F389,#REF!),IF('INHERENT MAP'!$B$5=2023,IF(#REF!="",F389,#REF!),IF('INHERENT MAP'!$B$5=2024,IF(#REF!="",F389,#REF!),IF('РЕЕСТР РИСКОВ_2023'!J430="",F389,'РЕЕСТР РИСКОВ_2023'!J430)))))</f>
        <v>Цзайм</v>
      </c>
      <c r="G390" t="str">
        <f>IF('INHERENT MAP'!$B$5=2021,IF('РЕЕСТР РИСКОВ_2023'!K430="",G389,'РЕЕСТР РИСКОВ_2023'!K430),IF('INHERENT MAP'!$B$5=2022,IF(#REF!="",G389,#REF!),IF('INHERENT MAP'!$B$5=2023,IF(#REF!="",G389,#REF!),IF('INHERENT MAP'!$B$5=2024,IF(#REF!="",G389,#REF!),IF('РЕЕСТР РИСКОВ_2023'!K430="",G389,'РЕЕСТР РИСКОВ_2023'!K430)))))</f>
        <v>Увеличение расходов по процентам на новые займы, а также текущие займы (с плавающей ставкой) в тенге.</v>
      </c>
      <c r="H390">
        <f>IF('INHERENT MAP'!$B$5=2021,'РЕЕСТР РИСКОВ_2023'!L430,IF('INHERENT MAP'!$B$5=2022,#REF!,IF('INHERENT MAP'!$B$5=2023,#REF!,IF('INHERENT MAP'!$B$5=2024,#REF!,#REF!))))</f>
        <v>0</v>
      </c>
      <c r="I390">
        <f>IF('INHERENT MAP'!$B$5=2021,'РЕЕСТР РИСКОВ_2023'!M430,IF('INHERENT MAP'!$B$5=2022,#REF!,IF('INHERENT MAP'!$B$5=2023,#REF!,IF('INHERENT MAP'!$B$5=2024,#REF!,#REF!))))</f>
        <v>0</v>
      </c>
      <c r="J390">
        <f>IF('INHERENT MAP'!$B$5=2021,'РЕЕСТР РИСКОВ_2023'!N430,IF('INHERENT MAP'!$B$5=2022,#REF!,IF('INHERENT MAP'!$B$5=2023,#REF!,IF('INHERENT MAP'!$B$5=2024,#REF!,#REF!))))</f>
        <v>0</v>
      </c>
      <c r="K390">
        <f>IF('INHERENT MAP'!$B$5=2021,'РЕЕСТР РИСКОВ_2023'!O430,IF('INHERENT MAP'!$B$5=2022,#REF!,IF('INHERENT MAP'!$B$5=2023,#REF!,IF('INHERENT MAP'!$B$5=2024,#REF!,#REF!))))</f>
        <v>0</v>
      </c>
      <c r="L390">
        <f>IF('INHERENT MAP'!$B$5=2021,'РЕЕСТР РИСКОВ_2023'!P430,IF('INHERENT MAP'!$B$5=2022,#REF!,IF('INHERENT MAP'!$B$5=2023,#REF!,IF('INHERENT MAP'!$B$5=2024,#REF!,#REF!))))</f>
        <v>0</v>
      </c>
      <c r="M390" t="str">
        <f>IF('INHERENT MAP'!$B$5=2021,IF('РЕЕСТР РИСКОВ_2023'!Q430="",M389,'РЕЕСТР РИСКОВ_2023'!Q430),IF('INHERENT MAP'!$B$5=2022,IF(#REF!="",M389,#REF!),IF('INHERENT MAP'!$B$5=2023,IF(#REF!="",M389,#REF!),IF('INHERENT MAP'!$B$5=2024,IF(#REF!="",M389,#REF!),IF('РЕЕСТР РИСКОВ_2023'!Q430="",M389,'РЕЕСТР РИСКОВ_2023'!Q430)))))</f>
        <v>Увеличение базовой ставки Национального банка Республики Казахстан до 16%</v>
      </c>
      <c r="N390" t="str">
        <f>IF('INHERENT MAP'!$B$5=2021,IF('РЕЕСТР РИСКОВ_2023'!R430="",N389,'РЕЕСТР РИСКОВ_2023'!R430),IF('INHERENT MAP'!$B$5=2022,IF(#REF!="",N389,#REF!),IF('INHERENT MAP'!$B$5=2023,IF(#REF!="",N389,#REF!),IF('INHERENT MAP'!$B$5=2024,IF(#REF!="",N389,#REF!),IF('РЕЕСТР РИСКОВ_2023'!R430="",N389,'РЕЕСТР РИСКОВ_2023'!R430)))))</f>
        <v>Рецессия экономики европейских стран</v>
      </c>
      <c r="O390">
        <f>'РЕЕСТР РИСКОВ_2023'!T430</f>
        <v>0</v>
      </c>
      <c r="P390" t="e">
        <f>IF('РЕЕСТР РИСКОВ_2023'!U430="",P389,'РЕЕСТР РИСКОВ_2023'!U430)</f>
        <v>#REF!</v>
      </c>
      <c r="Q390" t="str">
        <f>IF('РЕЕСТР РИСКОВ_2023'!V430="",Q389,'РЕЕСТР РИСКОВ_2023'!V430)</f>
        <v>Угрозы</v>
      </c>
      <c r="R390" t="e">
        <f>IF('РЕЕСТР РИСКОВ_2023'!W430="",R389,'РЕЕСТР РИСКОВ_2023'!W430)</f>
        <v>#REF!</v>
      </c>
      <c r="S390">
        <f>'РЕЕСТР РИСКОВ_2023'!X430</f>
        <v>0</v>
      </c>
      <c r="T390" s="94">
        <f>IF('INHERENT MAP'!$B$5=2021,'РЕЕСТР РИСКОВ_2023'!Y430,IF('INHERENT MAP'!$B$5=2022,#REF!,IF('INHERENT MAP'!$B$5=2023,#REF!,IF('INHERENT MAP'!$B$5=2024,#REF!,#REF!))))</f>
        <v>0</v>
      </c>
      <c r="U390">
        <f>IF('INHERENT MAP'!$B$5=2021,'РЕЕСТР РИСКОВ_2023'!Z430,IF('INHERENT MAP'!$B$5=2022,#REF!,IF('INHERENT MAP'!$B$5=2023,#REF!,IF('INHERENT MAP'!$B$5=2024,#REF!,#REF!))))</f>
        <v>0</v>
      </c>
      <c r="V390">
        <f>IF('INHERENT MAP'!$B$5=2021,'РЕЕСТР РИСКОВ_2023'!AA430,IF('INHERENT MAP'!$B$5=2022,#REF!,IF('INHERENT MAP'!$B$5=2023,#REF!,IF('INHERENT MAP'!$B$5=2024,#REF!,#REF!))))</f>
        <v>0</v>
      </c>
      <c r="W390">
        <f>IF('INHERENT MAP'!$B$5=2021,'РЕЕСТР РИСКОВ_2023'!AB430,IF('INHERENT MAP'!$B$5=2022,#REF!,IF('INHERENT MAP'!$B$5=2023,#REF!,IF('INHERENT MAP'!$B$5=2024,#REF!,#REF!))))</f>
        <v>0</v>
      </c>
      <c r="X390" s="94">
        <f>IF('INHERENT MAP'!$B$5=2021,'РЕЕСТР РИСКОВ_2023'!AC430,IF('INHERENT MAP'!$B$5=2022,#REF!,IF('INHERENT MAP'!$B$5=2023,#REF!,IF('INHERENT MAP'!$B$5=2024,#REF!,#REF!))))</f>
        <v>0</v>
      </c>
      <c r="Y390">
        <f>IF('INHERENT MAP'!$B$5=2021,'РЕЕСТР РИСКОВ_2023'!AD430,IF('INHERENT MAP'!$B$5=2022,#REF!,IF('INHERENT MAP'!$B$5=2023,#REF!,IF('INHERENT MAP'!$B$5=2024,#REF!,#REF!))))</f>
        <v>0</v>
      </c>
      <c r="Z390">
        <f>IF('INHERENT MAP'!$B$5=2021,'РЕЕСТР РИСКОВ_2023'!AE430,IF('INHERENT MAP'!$B$5=2022,#REF!,IF('INHERENT MAP'!$B$5=2023,#REF!,IF('INHERENT MAP'!$B$5=2024,#REF!,#REF!))))</f>
        <v>0</v>
      </c>
      <c r="AA390">
        <f>IF('INHERENT MAP'!$B$5=2021,'РЕЕСТР РИСКОВ_2023'!AF430,IF('INHERENT MAP'!$B$5=2022,#REF!,IF('INHERENT MAP'!$B$5=2023,#REF!,IF('INHERENT MAP'!$B$5=2024,#REF!,#REF!))))</f>
        <v>0</v>
      </c>
      <c r="AB390">
        <f>IF('INHERENT MAP'!$B$5=2021,'РЕЕСТР РИСКОВ_2023'!AG430,IF('INHERENT MAP'!$B$5=2022,#REF!,IF('INHERENT MAP'!$B$5=2023,#REF!,IF('INHERENT MAP'!$B$5=2024,#REF!,#REF!))))</f>
        <v>0</v>
      </c>
      <c r="AC390">
        <f>IF('INHERENT MAP'!$B$5=2021,'РЕЕСТР РИСКОВ_2023'!AH430,IF('INHERENT MAP'!$B$5=2022,#REF!,IF('INHERENT MAP'!$B$5=2023,#REF!,IF('INHERENT MAP'!$B$5=2024,#REF!,#REF!))))</f>
        <v>0</v>
      </c>
      <c r="AD390">
        <f>IF('INHERENT MAP'!$B$5=2021,'РЕЕСТР РИСКОВ_2023'!AI430,IF('INHERENT MAP'!$B$5=2022,#REF!,IF('INHERENT MAP'!$B$5=2023,#REF!,IF('INHERENT MAP'!$B$5=2024,#REF!,#REF!))))</f>
        <v>0</v>
      </c>
      <c r="AE390">
        <f>IF('INHERENT MAP'!$B$5=2021,'РЕЕСТР РИСКОВ_2023'!AK430,IF('INHERENT MAP'!$B$5=2022,#REF!,IF('INHERENT MAP'!$B$5=2023,#REF!,IF('INHERENT MAP'!$B$5=2024,#REF!,#REF!))))</f>
        <v>0</v>
      </c>
      <c r="AF390">
        <f>IF('INHERENT MAP'!$B$5=2021,'РЕЕСТР РИСКОВ_2023'!AL430,IF('INHERENT MAP'!$B$5=2022,#REF!,IF('INHERENT MAP'!$B$5=2023,#REF!,IF('INHERENT MAP'!$B$5=2024,#REF!,#REF!))))</f>
        <v>0</v>
      </c>
      <c r="AG390">
        <f>IF('INHERENT MAP'!$B$5=2021,'РЕЕСТР РИСКОВ_2023'!AM430,IF('INHERENT MAP'!$B$5=2022,#REF!,IF('INHERENT MAP'!$B$5=2023,#REF!,IF('INHERENT MAP'!$B$5=2024,#REF!,#REF!))))</f>
        <v>0</v>
      </c>
      <c r="AH390">
        <f>IF('INHERENT MAP'!$B$5=2021,'РЕЕСТР РИСКОВ_2023'!AN430,IF('INHERENT MAP'!$B$5=2022,#REF!,IF('INHERENT MAP'!$B$5=2023,#REF!,IF('INHERENT MAP'!$B$5=2024,#REF!,#REF!))))</f>
        <v>0</v>
      </c>
      <c r="AI390">
        <f>IF('INHERENT MAP'!$B$5=2021,'РЕЕСТР РИСКОВ_2023'!AO430,IF('INHERENT MAP'!$B$5=2022,#REF!,IF('INHERENT MAP'!$B$5=2023,#REF!,IF('INHERENT MAP'!$B$5=2024,#REF!,#REF!))))</f>
        <v>0</v>
      </c>
      <c r="AJ390">
        <f>IF('INHERENT MAP'!$B$5=2021,'РЕЕСТР РИСКОВ_2023'!AP430,IF('INHERENT MAP'!$B$5=2022,#REF!,IF('INHERENT MAP'!$B$5=2023,#REF!,IF('INHERENT MAP'!$B$5=2024,#REF!,#REF!))))</f>
        <v>0</v>
      </c>
      <c r="AK390">
        <f>IF('РЕЕСТР РИСКОВ_2023'!AQ430="",AK389,'РЕЕСТР РИСКОВ_2023'!AQ430)</f>
        <v>-216</v>
      </c>
      <c r="AL390">
        <f>IF('РЕЕСТР РИСКОВ_2023'!AR430="",AL389,'РЕЕСТР РИСКОВ_2023'!AR430)</f>
        <v>0.12</v>
      </c>
      <c r="AM390" t="str">
        <f>IF('РЕЕСТР РИСКОВ_2023'!AS430="",AM389,'РЕЕСТР РИСКОВ_2023'!AS430)</f>
        <v>стоп</v>
      </c>
      <c r="AN390" t="str">
        <f>IF('РЕЕСТР РИСКОВ_2023'!AT430="",AN389,'РЕЕСТР РИСКОВ_2023'!AT430)</f>
        <v>стоп</v>
      </c>
      <c r="AO390" t="e">
        <f>IF('РЕЕСТР РИСКОВ_2023'!AU430="",AO389,'РЕЕСТР РИСКОВ_2023'!AU430)</f>
        <v>#REF!</v>
      </c>
    </row>
    <row r="391" spans="2:41">
      <c r="B391" t="str">
        <f>IF('INHERENT MAP'!$B$5=2021,IF('РЕЕСТР РИСКОВ_2023'!F431="",B390,'РЕЕСТР РИСКОВ_2023'!F431),IF('INHERENT MAP'!$B$5=2022,IF(#REF!="",B390,#REF!),IF('INHERENT MAP'!$B$5=2023,IF(#REF!="",B390,#REF!),IF('INHERENT MAP'!$B$5=2024,IF(#REF!="",B390,#REF!),IF('РЕЕСТР РИСКОВ_2023'!F431="",B390,'РЕЕСТР РИСКОВ_2023'!F431)))))</f>
        <v>ПРОЦЕНТНЫЙ РИСК</v>
      </c>
      <c r="C391" t="e">
        <f>IF('INHERENT MAP'!$B$5=2021,IF('РЕЕСТР РИСКОВ_2023'!G431="",C390,'РЕЕСТР РИСКОВ_2023'!G431),IF('INHERENT MAP'!$B$5=2022,IF(#REF!="",C390,#REF!),IF('INHERENT MAP'!$B$5=2023,IF(#REF!="",C390,#REF!),IF('INHERENT MAP'!$B$5=2024,IF(#REF!="",C390,#REF!),IF('РЕЕСТР РИСКОВ_2023'!G431="",C390,'РЕЕСТР РИСКОВ_2023'!G431)))))</f>
        <v>#REF!</v>
      </c>
      <c r="D391" t="str">
        <f>IF('INHERENT MAP'!$B$5=2021,IF('РЕЕСТР РИСКОВ_2023'!H431="",D390,'РЕЕСТР РИСКОВ_2023'!H431),IF('INHERENT MAP'!$B$5=2022,IF(#REF!="",D390,#REF!),IF('INHERENT MAP'!$B$5=2023,IF(#REF!="",D390,#REF!),IF('INHERENT MAP'!$B$5=2024,IF(#REF!="",D390,#REF!),IF('РЕЕСТР РИСКОВ_2023'!H431="",D390,'РЕЕСТР РИСКОВ_2023'!H431)))))</f>
        <v>IRR-1</v>
      </c>
      <c r="E391" t="str">
        <f>IF('INHERENT MAP'!$B$5=2021,IF('РЕЕСТР РИСКОВ_2023'!I431="",E390,'РЕЕСТР РИСКОВ_2023'!I431),IF('INHERENT MAP'!$B$5=2022,IF(#REF!="",E390,#REF!),IF('INHERENT MAP'!$B$5=2023,IF(#REF!="",E390,#REF!),IF('INHERENT MAP'!$B$5=2024,IF(#REF!="",E390,#REF!),IF('РЕЕСТР РИСКОВ_2023'!I431="",E390,'РЕЕСТР РИСКОВ_2023'!I431)))))</f>
        <v>ЦЗФ</v>
      </c>
      <c r="F391" t="str">
        <f>IF('INHERENT MAP'!$B$5=2021,IF('РЕЕСТР РИСКОВ_2023'!J431="",F390,'РЕЕСТР РИСКОВ_2023'!J431),IF('INHERENT MAP'!$B$5=2022,IF(#REF!="",F390,#REF!),IF('INHERENT MAP'!$B$5=2023,IF(#REF!="",F390,#REF!),IF('INHERENT MAP'!$B$5=2024,IF(#REF!="",F390,#REF!),IF('РЕЕСТР РИСКОВ_2023'!J431="",F390,'РЕЕСТР РИСКОВ_2023'!J431)))))</f>
        <v>Цзайм</v>
      </c>
      <c r="G391" t="str">
        <f>IF('INHERENT MAP'!$B$5=2021,IF('РЕЕСТР РИСКОВ_2023'!K431="",G390,'РЕЕСТР РИСКОВ_2023'!K431),IF('INHERENT MAP'!$B$5=2022,IF(#REF!="",G390,#REF!),IF('INHERENT MAP'!$B$5=2023,IF(#REF!="",G390,#REF!),IF('INHERENT MAP'!$B$5=2024,IF(#REF!="",G390,#REF!),IF('РЕЕСТР РИСКОВ_2023'!K431="",G390,'РЕЕСТР РИСКОВ_2023'!K431)))))</f>
        <v>Увеличение расходов по процентам на новые займы, а также текущие займы (с плавающей ставкой) в тенге.</v>
      </c>
      <c r="H391">
        <f>IF('INHERENT MAP'!$B$5=2021,'РЕЕСТР РИСКОВ_2023'!L431,IF('INHERENT MAP'!$B$5=2022,#REF!,IF('INHERENT MAP'!$B$5=2023,#REF!,IF('INHERENT MAP'!$B$5=2024,#REF!,#REF!))))</f>
        <v>0</v>
      </c>
      <c r="I391">
        <f>IF('INHERENT MAP'!$B$5=2021,'РЕЕСТР РИСКОВ_2023'!M431,IF('INHERENT MAP'!$B$5=2022,#REF!,IF('INHERENT MAP'!$B$5=2023,#REF!,IF('INHERENT MAP'!$B$5=2024,#REF!,#REF!))))</f>
        <v>0</v>
      </c>
      <c r="J391">
        <f>IF('INHERENT MAP'!$B$5=2021,'РЕЕСТР РИСКОВ_2023'!N431,IF('INHERENT MAP'!$B$5=2022,#REF!,IF('INHERENT MAP'!$B$5=2023,#REF!,IF('INHERENT MAP'!$B$5=2024,#REF!,#REF!))))</f>
        <v>0</v>
      </c>
      <c r="K391">
        <f>IF('INHERENT MAP'!$B$5=2021,'РЕЕСТР РИСКОВ_2023'!O431,IF('INHERENT MAP'!$B$5=2022,#REF!,IF('INHERENT MAP'!$B$5=2023,#REF!,IF('INHERENT MAP'!$B$5=2024,#REF!,#REF!))))</f>
        <v>0</v>
      </c>
      <c r="L391">
        <f>IF('INHERENT MAP'!$B$5=2021,'РЕЕСТР РИСКОВ_2023'!P431,IF('INHERENT MAP'!$B$5=2022,#REF!,IF('INHERENT MAP'!$B$5=2023,#REF!,IF('INHERENT MAP'!$B$5=2024,#REF!,#REF!))))</f>
        <v>0</v>
      </c>
      <c r="M391" t="str">
        <f>IF('INHERENT MAP'!$B$5=2021,IF('РЕЕСТР РИСКОВ_2023'!Q431="",M390,'РЕЕСТР РИСКОВ_2023'!Q431),IF('INHERENT MAP'!$B$5=2022,IF(#REF!="",M390,#REF!),IF('INHERENT MAP'!$B$5=2023,IF(#REF!="",M390,#REF!),IF('INHERENT MAP'!$B$5=2024,IF(#REF!="",M390,#REF!),IF('РЕЕСТР РИСКОВ_2023'!Q431="",M390,'РЕЕСТР РИСКОВ_2023'!Q431)))))</f>
        <v>Увеличение базовой ставки Национального банка Республики Казахстан до 16%</v>
      </c>
      <c r="N391" t="str">
        <f>IF('INHERENT MAP'!$B$5=2021,IF('РЕЕСТР РИСКОВ_2023'!R431="",N390,'РЕЕСТР РИСКОВ_2023'!R431),IF('INHERENT MAP'!$B$5=2022,IF(#REF!="",N390,#REF!),IF('INHERENT MAP'!$B$5=2023,IF(#REF!="",N390,#REF!),IF('INHERENT MAP'!$B$5=2024,IF(#REF!="",N390,#REF!),IF('РЕЕСТР РИСКОВ_2023'!R431="",N390,'РЕЕСТР РИСКОВ_2023'!R431)))))</f>
        <v>Рецессия экономики европейских стран</v>
      </c>
      <c r="O391">
        <f>'РЕЕСТР РИСКОВ_2023'!T431</f>
        <v>0</v>
      </c>
      <c r="P391" t="e">
        <f>IF('РЕЕСТР РИСКОВ_2023'!U431="",P390,'РЕЕСТР РИСКОВ_2023'!U431)</f>
        <v>#REF!</v>
      </c>
      <c r="Q391" t="str">
        <f>IF('РЕЕСТР РИСКОВ_2023'!V431="",Q390,'РЕЕСТР РИСКОВ_2023'!V431)</f>
        <v>Угрозы</v>
      </c>
      <c r="R391" t="e">
        <f>IF('РЕЕСТР РИСКОВ_2023'!W431="",R390,'РЕЕСТР РИСКОВ_2023'!W431)</f>
        <v>#REF!</v>
      </c>
      <c r="S391">
        <f>'РЕЕСТР РИСКОВ_2023'!X431</f>
        <v>0</v>
      </c>
      <c r="T391" s="94">
        <f>IF('INHERENT MAP'!$B$5=2021,'РЕЕСТР РИСКОВ_2023'!Y431,IF('INHERENT MAP'!$B$5=2022,#REF!,IF('INHERENT MAP'!$B$5=2023,#REF!,IF('INHERENT MAP'!$B$5=2024,#REF!,#REF!))))</f>
        <v>0</v>
      </c>
      <c r="U391">
        <f>IF('INHERENT MAP'!$B$5=2021,'РЕЕСТР РИСКОВ_2023'!Z431,IF('INHERENT MAP'!$B$5=2022,#REF!,IF('INHERENT MAP'!$B$5=2023,#REF!,IF('INHERENT MAP'!$B$5=2024,#REF!,#REF!))))</f>
        <v>0</v>
      </c>
      <c r="V391">
        <f>IF('INHERENT MAP'!$B$5=2021,'РЕЕСТР РИСКОВ_2023'!AA431,IF('INHERENT MAP'!$B$5=2022,#REF!,IF('INHERENT MAP'!$B$5=2023,#REF!,IF('INHERENT MAP'!$B$5=2024,#REF!,#REF!))))</f>
        <v>0</v>
      </c>
      <c r="W391">
        <f>IF('INHERENT MAP'!$B$5=2021,'РЕЕСТР РИСКОВ_2023'!AB431,IF('INHERENT MAP'!$B$5=2022,#REF!,IF('INHERENT MAP'!$B$5=2023,#REF!,IF('INHERENT MAP'!$B$5=2024,#REF!,#REF!))))</f>
        <v>0</v>
      </c>
      <c r="X391" s="94">
        <f>IF('INHERENT MAP'!$B$5=2021,'РЕЕСТР РИСКОВ_2023'!AC431,IF('INHERENT MAP'!$B$5=2022,#REF!,IF('INHERENT MAP'!$B$5=2023,#REF!,IF('INHERENT MAP'!$B$5=2024,#REF!,#REF!))))</f>
        <v>0</v>
      </c>
      <c r="Y391">
        <f>IF('INHERENT MAP'!$B$5=2021,'РЕЕСТР РИСКОВ_2023'!AD431,IF('INHERENT MAP'!$B$5=2022,#REF!,IF('INHERENT MAP'!$B$5=2023,#REF!,IF('INHERENT MAP'!$B$5=2024,#REF!,#REF!))))</f>
        <v>0</v>
      </c>
      <c r="Z391">
        <f>IF('INHERENT MAP'!$B$5=2021,'РЕЕСТР РИСКОВ_2023'!AE431,IF('INHERENT MAP'!$B$5=2022,#REF!,IF('INHERENT MAP'!$B$5=2023,#REF!,IF('INHERENT MAP'!$B$5=2024,#REF!,#REF!))))</f>
        <v>0</v>
      </c>
      <c r="AA391">
        <f>IF('INHERENT MAP'!$B$5=2021,'РЕЕСТР РИСКОВ_2023'!AF431,IF('INHERENT MAP'!$B$5=2022,#REF!,IF('INHERENT MAP'!$B$5=2023,#REF!,IF('INHERENT MAP'!$B$5=2024,#REF!,#REF!))))</f>
        <v>0</v>
      </c>
      <c r="AB391">
        <f>IF('INHERENT MAP'!$B$5=2021,'РЕЕСТР РИСКОВ_2023'!AG431,IF('INHERENT MAP'!$B$5=2022,#REF!,IF('INHERENT MAP'!$B$5=2023,#REF!,IF('INHERENT MAP'!$B$5=2024,#REF!,#REF!))))</f>
        <v>0</v>
      </c>
      <c r="AC391">
        <f>IF('INHERENT MAP'!$B$5=2021,'РЕЕСТР РИСКОВ_2023'!AH431,IF('INHERENT MAP'!$B$5=2022,#REF!,IF('INHERENT MAP'!$B$5=2023,#REF!,IF('INHERENT MAP'!$B$5=2024,#REF!,#REF!))))</f>
        <v>0</v>
      </c>
      <c r="AD391">
        <f>IF('INHERENT MAP'!$B$5=2021,'РЕЕСТР РИСКОВ_2023'!AI431,IF('INHERENT MAP'!$B$5=2022,#REF!,IF('INHERENT MAP'!$B$5=2023,#REF!,IF('INHERENT MAP'!$B$5=2024,#REF!,#REF!))))</f>
        <v>0</v>
      </c>
      <c r="AE391">
        <f>IF('INHERENT MAP'!$B$5=2021,'РЕЕСТР РИСКОВ_2023'!AK431,IF('INHERENT MAP'!$B$5=2022,#REF!,IF('INHERENT MAP'!$B$5=2023,#REF!,IF('INHERENT MAP'!$B$5=2024,#REF!,#REF!))))</f>
        <v>0</v>
      </c>
      <c r="AF391">
        <f>IF('INHERENT MAP'!$B$5=2021,'РЕЕСТР РИСКОВ_2023'!AL431,IF('INHERENT MAP'!$B$5=2022,#REF!,IF('INHERENT MAP'!$B$5=2023,#REF!,IF('INHERENT MAP'!$B$5=2024,#REF!,#REF!))))</f>
        <v>0</v>
      </c>
      <c r="AG391">
        <f>IF('INHERENT MAP'!$B$5=2021,'РЕЕСТР РИСКОВ_2023'!AM431,IF('INHERENT MAP'!$B$5=2022,#REF!,IF('INHERENT MAP'!$B$5=2023,#REF!,IF('INHERENT MAP'!$B$5=2024,#REF!,#REF!))))</f>
        <v>0</v>
      </c>
      <c r="AH391">
        <f>IF('INHERENT MAP'!$B$5=2021,'РЕЕСТР РИСКОВ_2023'!AN431,IF('INHERENT MAP'!$B$5=2022,#REF!,IF('INHERENT MAP'!$B$5=2023,#REF!,IF('INHERENT MAP'!$B$5=2024,#REF!,#REF!))))</f>
        <v>0</v>
      </c>
      <c r="AI391">
        <f>IF('INHERENT MAP'!$B$5=2021,'РЕЕСТР РИСКОВ_2023'!AO431,IF('INHERENT MAP'!$B$5=2022,#REF!,IF('INHERENT MAP'!$B$5=2023,#REF!,IF('INHERENT MAP'!$B$5=2024,#REF!,#REF!))))</f>
        <v>0</v>
      </c>
      <c r="AJ391">
        <f>IF('INHERENT MAP'!$B$5=2021,'РЕЕСТР РИСКОВ_2023'!AP431,IF('INHERENT MAP'!$B$5=2022,#REF!,IF('INHERENT MAP'!$B$5=2023,#REF!,IF('INHERENT MAP'!$B$5=2024,#REF!,#REF!))))</f>
        <v>0</v>
      </c>
      <c r="AK391">
        <f>IF('РЕЕСТР РИСКОВ_2023'!AQ431="",AK390,'РЕЕСТР РИСКОВ_2023'!AQ431)</f>
        <v>-216</v>
      </c>
      <c r="AL391">
        <f>IF('РЕЕСТР РИСКОВ_2023'!AR431="",AL390,'РЕЕСТР РИСКОВ_2023'!AR431)</f>
        <v>0.12</v>
      </c>
      <c r="AM391" t="str">
        <f>IF('РЕЕСТР РИСКОВ_2023'!AS431="",AM390,'РЕЕСТР РИСКОВ_2023'!AS431)</f>
        <v>стоп</v>
      </c>
      <c r="AN391" t="str">
        <f>IF('РЕЕСТР РИСКОВ_2023'!AT431="",AN390,'РЕЕСТР РИСКОВ_2023'!AT431)</f>
        <v>стоп</v>
      </c>
      <c r="AO391" t="e">
        <f>IF('РЕЕСТР РИСКОВ_2023'!AU431="",AO390,'РЕЕСТР РИСКОВ_2023'!AU431)</f>
        <v>#REF!</v>
      </c>
    </row>
    <row r="392" spans="2:41">
      <c r="B392" t="str">
        <f>IF('INHERENT MAP'!$B$5=2021,IF('РЕЕСТР РИСКОВ_2023'!F432="",B391,'РЕЕСТР РИСКОВ_2023'!F432),IF('INHERENT MAP'!$B$5=2022,IF(#REF!="",B391,#REF!),IF('INHERENT MAP'!$B$5=2023,IF(#REF!="",B391,#REF!),IF('INHERENT MAP'!$B$5=2024,IF(#REF!="",B391,#REF!),IF('РЕЕСТР РИСКОВ_2023'!F432="",B391,'РЕЕСТР РИСКОВ_2023'!F432)))))</f>
        <v>ПРОЦЕНТНЫЙ РИСК</v>
      </c>
      <c r="C392" t="e">
        <f>IF('INHERENT MAP'!$B$5=2021,IF('РЕЕСТР РИСКОВ_2023'!G432="",C391,'РЕЕСТР РИСКОВ_2023'!G432),IF('INHERENT MAP'!$B$5=2022,IF(#REF!="",C391,#REF!),IF('INHERENT MAP'!$B$5=2023,IF(#REF!="",C391,#REF!),IF('INHERENT MAP'!$B$5=2024,IF(#REF!="",C391,#REF!),IF('РЕЕСТР РИСКОВ_2023'!G432="",C391,'РЕЕСТР РИСКОВ_2023'!G432)))))</f>
        <v>#REF!</v>
      </c>
      <c r="D392" t="str">
        <f>IF('INHERENT MAP'!$B$5=2021,IF('РЕЕСТР РИСКОВ_2023'!H432="",D391,'РЕЕСТР РИСКОВ_2023'!H432),IF('INHERENT MAP'!$B$5=2022,IF(#REF!="",D391,#REF!),IF('INHERENT MAP'!$B$5=2023,IF(#REF!="",D391,#REF!),IF('INHERENT MAP'!$B$5=2024,IF(#REF!="",D391,#REF!),IF('РЕЕСТР РИСКОВ_2023'!H432="",D391,'РЕЕСТР РИСКОВ_2023'!H432)))))</f>
        <v>IRR-1</v>
      </c>
      <c r="E392" t="str">
        <f>IF('INHERENT MAP'!$B$5=2021,IF('РЕЕСТР РИСКОВ_2023'!I432="",E391,'РЕЕСТР РИСКОВ_2023'!I432),IF('INHERENT MAP'!$B$5=2022,IF(#REF!="",E391,#REF!),IF('INHERENT MAP'!$B$5=2023,IF(#REF!="",E391,#REF!),IF('INHERENT MAP'!$B$5=2024,IF(#REF!="",E391,#REF!),IF('РЕЕСТР РИСКОВ_2023'!I432="",E391,'РЕЕСТР РИСКОВ_2023'!I432)))))</f>
        <v>ЦЗФ</v>
      </c>
      <c r="F392" t="str">
        <f>IF('INHERENT MAP'!$B$5=2021,IF('РЕЕСТР РИСКОВ_2023'!J432="",F391,'РЕЕСТР РИСКОВ_2023'!J432),IF('INHERENT MAP'!$B$5=2022,IF(#REF!="",F391,#REF!),IF('INHERENT MAP'!$B$5=2023,IF(#REF!="",F391,#REF!),IF('INHERENT MAP'!$B$5=2024,IF(#REF!="",F391,#REF!),IF('РЕЕСТР РИСКОВ_2023'!J432="",F391,'РЕЕСТР РИСКОВ_2023'!J432)))))</f>
        <v>Цзайм</v>
      </c>
      <c r="G392" t="str">
        <f>IF('INHERENT MAP'!$B$5=2021,IF('РЕЕСТР РИСКОВ_2023'!K432="",G391,'РЕЕСТР РИСКОВ_2023'!K432),IF('INHERENT MAP'!$B$5=2022,IF(#REF!="",G391,#REF!),IF('INHERENT MAP'!$B$5=2023,IF(#REF!="",G391,#REF!),IF('INHERENT MAP'!$B$5=2024,IF(#REF!="",G391,#REF!),IF('РЕЕСТР РИСКОВ_2023'!K432="",G391,'РЕЕСТР РИСКОВ_2023'!K432)))))</f>
        <v>Увеличение расходов по процентам на новые займы, а также текущие займы (с плавающей ставкой) в тенге.</v>
      </c>
      <c r="H392">
        <f>IF('INHERENT MAP'!$B$5=2021,'РЕЕСТР РИСКОВ_2023'!L432,IF('INHERENT MAP'!$B$5=2022,#REF!,IF('INHERENT MAP'!$B$5=2023,#REF!,IF('INHERENT MAP'!$B$5=2024,#REF!,#REF!))))</f>
        <v>0</v>
      </c>
      <c r="I392">
        <f>IF('INHERENT MAP'!$B$5=2021,'РЕЕСТР РИСКОВ_2023'!M432,IF('INHERENT MAP'!$B$5=2022,#REF!,IF('INHERENT MAP'!$B$5=2023,#REF!,IF('INHERENT MAP'!$B$5=2024,#REF!,#REF!))))</f>
        <v>0</v>
      </c>
      <c r="J392">
        <f>IF('INHERENT MAP'!$B$5=2021,'РЕЕСТР РИСКОВ_2023'!N432,IF('INHERENT MAP'!$B$5=2022,#REF!,IF('INHERENT MAP'!$B$5=2023,#REF!,IF('INHERENT MAP'!$B$5=2024,#REF!,#REF!))))</f>
        <v>0</v>
      </c>
      <c r="K392">
        <f>IF('INHERENT MAP'!$B$5=2021,'РЕЕСТР РИСКОВ_2023'!O432,IF('INHERENT MAP'!$B$5=2022,#REF!,IF('INHERENT MAP'!$B$5=2023,#REF!,IF('INHERENT MAP'!$B$5=2024,#REF!,#REF!))))</f>
        <v>0</v>
      </c>
      <c r="L392">
        <f>IF('INHERENT MAP'!$B$5=2021,'РЕЕСТР РИСКОВ_2023'!P432,IF('INHERENT MAP'!$B$5=2022,#REF!,IF('INHERENT MAP'!$B$5=2023,#REF!,IF('INHERENT MAP'!$B$5=2024,#REF!,#REF!))))</f>
        <v>0</v>
      </c>
      <c r="M392" t="str">
        <f>IF('INHERENT MAP'!$B$5=2021,IF('РЕЕСТР РИСКОВ_2023'!Q432="",M391,'РЕЕСТР РИСКОВ_2023'!Q432),IF('INHERENT MAP'!$B$5=2022,IF(#REF!="",M391,#REF!),IF('INHERENT MAP'!$B$5=2023,IF(#REF!="",M391,#REF!),IF('INHERENT MAP'!$B$5=2024,IF(#REF!="",M391,#REF!),IF('РЕЕСТР РИСКОВ_2023'!Q432="",M391,'РЕЕСТР РИСКОВ_2023'!Q432)))))</f>
        <v>Увеличение базовой ставки Национального банка Республики Казахстан до 16%</v>
      </c>
      <c r="N392" t="str">
        <f>IF('INHERENT MAP'!$B$5=2021,IF('РЕЕСТР РИСКОВ_2023'!R432="",N391,'РЕЕСТР РИСКОВ_2023'!R432),IF('INHERENT MAP'!$B$5=2022,IF(#REF!="",N391,#REF!),IF('INHERENT MAP'!$B$5=2023,IF(#REF!="",N391,#REF!),IF('INHERENT MAP'!$B$5=2024,IF(#REF!="",N391,#REF!),IF('РЕЕСТР РИСКОВ_2023'!R432="",N391,'РЕЕСТР РИСКОВ_2023'!R432)))))</f>
        <v>Рецессия экономики европейских стран</v>
      </c>
      <c r="O392">
        <f>'РЕЕСТР РИСКОВ_2023'!T432</f>
        <v>0</v>
      </c>
      <c r="P392" t="e">
        <f>IF('РЕЕСТР РИСКОВ_2023'!U432="",P391,'РЕЕСТР РИСКОВ_2023'!U432)</f>
        <v>#REF!</v>
      </c>
      <c r="Q392" t="str">
        <f>IF('РЕЕСТР РИСКОВ_2023'!V432="",Q391,'РЕЕСТР РИСКОВ_2023'!V432)</f>
        <v>Угрозы</v>
      </c>
      <c r="R392" t="e">
        <f>IF('РЕЕСТР РИСКОВ_2023'!W432="",R391,'РЕЕСТР РИСКОВ_2023'!W432)</f>
        <v>#REF!</v>
      </c>
      <c r="S392">
        <f>'РЕЕСТР РИСКОВ_2023'!X432</f>
        <v>0</v>
      </c>
      <c r="T392" s="94">
        <f>IF('INHERENT MAP'!$B$5=2021,'РЕЕСТР РИСКОВ_2023'!Y432,IF('INHERENT MAP'!$B$5=2022,#REF!,IF('INHERENT MAP'!$B$5=2023,#REF!,IF('INHERENT MAP'!$B$5=2024,#REF!,#REF!))))</f>
        <v>0</v>
      </c>
      <c r="U392">
        <f>IF('INHERENT MAP'!$B$5=2021,'РЕЕСТР РИСКОВ_2023'!Z432,IF('INHERENT MAP'!$B$5=2022,#REF!,IF('INHERENT MAP'!$B$5=2023,#REF!,IF('INHERENT MAP'!$B$5=2024,#REF!,#REF!))))</f>
        <v>0</v>
      </c>
      <c r="V392">
        <f>IF('INHERENT MAP'!$B$5=2021,'РЕЕСТР РИСКОВ_2023'!AA432,IF('INHERENT MAP'!$B$5=2022,#REF!,IF('INHERENT MAP'!$B$5=2023,#REF!,IF('INHERENT MAP'!$B$5=2024,#REF!,#REF!))))</f>
        <v>0</v>
      </c>
      <c r="W392">
        <f>IF('INHERENT MAP'!$B$5=2021,'РЕЕСТР РИСКОВ_2023'!AB432,IF('INHERENT MAP'!$B$5=2022,#REF!,IF('INHERENT MAP'!$B$5=2023,#REF!,IF('INHERENT MAP'!$B$5=2024,#REF!,#REF!))))</f>
        <v>0</v>
      </c>
      <c r="X392" s="94">
        <f>IF('INHERENT MAP'!$B$5=2021,'РЕЕСТР РИСКОВ_2023'!AC432,IF('INHERENT MAP'!$B$5=2022,#REF!,IF('INHERENT MAP'!$B$5=2023,#REF!,IF('INHERENT MAP'!$B$5=2024,#REF!,#REF!))))</f>
        <v>0</v>
      </c>
      <c r="Y392">
        <f>IF('INHERENT MAP'!$B$5=2021,'РЕЕСТР РИСКОВ_2023'!AD432,IF('INHERENT MAP'!$B$5=2022,#REF!,IF('INHERENT MAP'!$B$5=2023,#REF!,IF('INHERENT MAP'!$B$5=2024,#REF!,#REF!))))</f>
        <v>0</v>
      </c>
      <c r="Z392">
        <f>IF('INHERENT MAP'!$B$5=2021,'РЕЕСТР РИСКОВ_2023'!AE432,IF('INHERENT MAP'!$B$5=2022,#REF!,IF('INHERENT MAP'!$B$5=2023,#REF!,IF('INHERENT MAP'!$B$5=2024,#REF!,#REF!))))</f>
        <v>0</v>
      </c>
      <c r="AA392">
        <f>IF('INHERENT MAP'!$B$5=2021,'РЕЕСТР РИСКОВ_2023'!AF432,IF('INHERENT MAP'!$B$5=2022,#REF!,IF('INHERENT MAP'!$B$5=2023,#REF!,IF('INHERENT MAP'!$B$5=2024,#REF!,#REF!))))</f>
        <v>0</v>
      </c>
      <c r="AB392">
        <f>IF('INHERENT MAP'!$B$5=2021,'РЕЕСТР РИСКОВ_2023'!AG432,IF('INHERENT MAP'!$B$5=2022,#REF!,IF('INHERENT MAP'!$B$5=2023,#REF!,IF('INHERENT MAP'!$B$5=2024,#REF!,#REF!))))</f>
        <v>0</v>
      </c>
      <c r="AC392">
        <f>IF('INHERENT MAP'!$B$5=2021,'РЕЕСТР РИСКОВ_2023'!AH432,IF('INHERENT MAP'!$B$5=2022,#REF!,IF('INHERENT MAP'!$B$5=2023,#REF!,IF('INHERENT MAP'!$B$5=2024,#REF!,#REF!))))</f>
        <v>0</v>
      </c>
      <c r="AD392">
        <f>IF('INHERENT MAP'!$B$5=2021,'РЕЕСТР РИСКОВ_2023'!AI432,IF('INHERENT MAP'!$B$5=2022,#REF!,IF('INHERENT MAP'!$B$5=2023,#REF!,IF('INHERENT MAP'!$B$5=2024,#REF!,#REF!))))</f>
        <v>0</v>
      </c>
      <c r="AE392">
        <f>IF('INHERENT MAP'!$B$5=2021,'РЕЕСТР РИСКОВ_2023'!AK432,IF('INHERENT MAP'!$B$5=2022,#REF!,IF('INHERENT MAP'!$B$5=2023,#REF!,IF('INHERENT MAP'!$B$5=2024,#REF!,#REF!))))</f>
        <v>0</v>
      </c>
      <c r="AF392">
        <f>IF('INHERENT MAP'!$B$5=2021,'РЕЕСТР РИСКОВ_2023'!AL432,IF('INHERENT MAP'!$B$5=2022,#REF!,IF('INHERENT MAP'!$B$5=2023,#REF!,IF('INHERENT MAP'!$B$5=2024,#REF!,#REF!))))</f>
        <v>0</v>
      </c>
      <c r="AG392">
        <f>IF('INHERENT MAP'!$B$5=2021,'РЕЕСТР РИСКОВ_2023'!AM432,IF('INHERENT MAP'!$B$5=2022,#REF!,IF('INHERENT MAP'!$B$5=2023,#REF!,IF('INHERENT MAP'!$B$5=2024,#REF!,#REF!))))</f>
        <v>0</v>
      </c>
      <c r="AH392">
        <f>IF('INHERENT MAP'!$B$5=2021,'РЕЕСТР РИСКОВ_2023'!AN432,IF('INHERENT MAP'!$B$5=2022,#REF!,IF('INHERENT MAP'!$B$5=2023,#REF!,IF('INHERENT MAP'!$B$5=2024,#REF!,#REF!))))</f>
        <v>0</v>
      </c>
      <c r="AI392">
        <f>IF('INHERENT MAP'!$B$5=2021,'РЕЕСТР РИСКОВ_2023'!AO432,IF('INHERENT MAP'!$B$5=2022,#REF!,IF('INHERENT MAP'!$B$5=2023,#REF!,IF('INHERENT MAP'!$B$5=2024,#REF!,#REF!))))</f>
        <v>0</v>
      </c>
      <c r="AJ392">
        <f>IF('INHERENT MAP'!$B$5=2021,'РЕЕСТР РИСКОВ_2023'!AP432,IF('INHERENT MAP'!$B$5=2022,#REF!,IF('INHERENT MAP'!$B$5=2023,#REF!,IF('INHERENT MAP'!$B$5=2024,#REF!,#REF!))))</f>
        <v>0</v>
      </c>
      <c r="AK392">
        <f>IF('РЕЕСТР РИСКОВ_2023'!AQ432="",AK391,'РЕЕСТР РИСКОВ_2023'!AQ432)</f>
        <v>-216</v>
      </c>
      <c r="AL392">
        <f>IF('РЕЕСТР РИСКОВ_2023'!AR432="",AL391,'РЕЕСТР РИСКОВ_2023'!AR432)</f>
        <v>0.12</v>
      </c>
      <c r="AM392" t="str">
        <f>IF('РЕЕСТР РИСКОВ_2023'!AS432="",AM391,'РЕЕСТР РИСКОВ_2023'!AS432)</f>
        <v>стоп</v>
      </c>
      <c r="AN392" t="str">
        <f>IF('РЕЕСТР РИСКОВ_2023'!AT432="",AN391,'РЕЕСТР РИСКОВ_2023'!AT432)</f>
        <v>стоп</v>
      </c>
      <c r="AO392" t="e">
        <f>IF('РЕЕСТР РИСКОВ_2023'!AU432="",AO391,'РЕЕСТР РИСКОВ_2023'!AU432)</f>
        <v>#REF!</v>
      </c>
    </row>
    <row r="393" spans="2:41">
      <c r="B393" t="str">
        <f>IF('INHERENT MAP'!$B$5=2021,IF('РЕЕСТР РИСКОВ_2023'!F433="",B392,'РЕЕСТР РИСКОВ_2023'!F433),IF('INHERENT MAP'!$B$5=2022,IF(#REF!="",B392,#REF!),IF('INHERENT MAP'!$B$5=2023,IF(#REF!="",B392,#REF!),IF('INHERENT MAP'!$B$5=2024,IF(#REF!="",B392,#REF!),IF('РЕЕСТР РИСКОВ_2023'!F433="",B392,'РЕЕСТР РИСКОВ_2023'!F433)))))</f>
        <v>ПРОЦЕНТНЫЙ РИСК</v>
      </c>
      <c r="C393" t="e">
        <f>IF('INHERENT MAP'!$B$5=2021,IF('РЕЕСТР РИСКОВ_2023'!G433="",C392,'РЕЕСТР РИСКОВ_2023'!G433),IF('INHERENT MAP'!$B$5=2022,IF(#REF!="",C392,#REF!),IF('INHERENT MAP'!$B$5=2023,IF(#REF!="",C392,#REF!),IF('INHERENT MAP'!$B$5=2024,IF(#REF!="",C392,#REF!),IF('РЕЕСТР РИСКОВ_2023'!G433="",C392,'РЕЕСТР РИСКОВ_2023'!G433)))))</f>
        <v>#REF!</v>
      </c>
      <c r="D393" t="str">
        <f>IF('INHERENT MAP'!$B$5=2021,IF('РЕЕСТР РИСКОВ_2023'!H433="",D392,'РЕЕСТР РИСКОВ_2023'!H433),IF('INHERENT MAP'!$B$5=2022,IF(#REF!="",D392,#REF!),IF('INHERENT MAP'!$B$5=2023,IF(#REF!="",D392,#REF!),IF('INHERENT MAP'!$B$5=2024,IF(#REF!="",D392,#REF!),IF('РЕЕСТР РИСКОВ_2023'!H433="",D392,'РЕЕСТР РИСКОВ_2023'!H433)))))</f>
        <v>IRR-1</v>
      </c>
      <c r="E393" t="str">
        <f>IF('INHERENT MAP'!$B$5=2021,IF('РЕЕСТР РИСКОВ_2023'!I433="",E392,'РЕЕСТР РИСКОВ_2023'!I433),IF('INHERENT MAP'!$B$5=2022,IF(#REF!="",E392,#REF!),IF('INHERENT MAP'!$B$5=2023,IF(#REF!="",E392,#REF!),IF('INHERENT MAP'!$B$5=2024,IF(#REF!="",E392,#REF!),IF('РЕЕСТР РИСКОВ_2023'!I433="",E392,'РЕЕСТР РИСКОВ_2023'!I433)))))</f>
        <v>ЦЗФ</v>
      </c>
      <c r="F393" t="str">
        <f>IF('INHERENT MAP'!$B$5=2021,IF('РЕЕСТР РИСКОВ_2023'!J433="",F392,'РЕЕСТР РИСКОВ_2023'!J433),IF('INHERENT MAP'!$B$5=2022,IF(#REF!="",F392,#REF!),IF('INHERENT MAP'!$B$5=2023,IF(#REF!="",F392,#REF!),IF('INHERENT MAP'!$B$5=2024,IF(#REF!="",F392,#REF!),IF('РЕЕСТР РИСКОВ_2023'!J433="",F392,'РЕЕСТР РИСКОВ_2023'!J433)))))</f>
        <v>Цзайм</v>
      </c>
      <c r="G393" t="str">
        <f>IF('INHERENT MAP'!$B$5=2021,IF('РЕЕСТР РИСКОВ_2023'!K433="",G392,'РЕЕСТР РИСКОВ_2023'!K433),IF('INHERENT MAP'!$B$5=2022,IF(#REF!="",G392,#REF!),IF('INHERENT MAP'!$B$5=2023,IF(#REF!="",G392,#REF!),IF('INHERENT MAP'!$B$5=2024,IF(#REF!="",G392,#REF!),IF('РЕЕСТР РИСКОВ_2023'!K433="",G392,'РЕЕСТР РИСКОВ_2023'!K433)))))</f>
        <v>Увеличение расходов по процентам на новые займы, а также текущие займы (с плавающей ставкой) в тенге.</v>
      </c>
      <c r="H393">
        <f>IF('INHERENT MAP'!$B$5=2021,'РЕЕСТР РИСКОВ_2023'!L433,IF('INHERENT MAP'!$B$5=2022,#REF!,IF('INHERENT MAP'!$B$5=2023,#REF!,IF('INHERENT MAP'!$B$5=2024,#REF!,#REF!))))</f>
        <v>0</v>
      </c>
      <c r="I393">
        <f>IF('INHERENT MAP'!$B$5=2021,'РЕЕСТР РИСКОВ_2023'!M433,IF('INHERENT MAP'!$B$5=2022,#REF!,IF('INHERENT MAP'!$B$5=2023,#REF!,IF('INHERENT MAP'!$B$5=2024,#REF!,#REF!))))</f>
        <v>0</v>
      </c>
      <c r="J393">
        <f>IF('INHERENT MAP'!$B$5=2021,'РЕЕСТР РИСКОВ_2023'!N433,IF('INHERENT MAP'!$B$5=2022,#REF!,IF('INHERENT MAP'!$B$5=2023,#REF!,IF('INHERENT MAP'!$B$5=2024,#REF!,#REF!))))</f>
        <v>0</v>
      </c>
      <c r="K393">
        <f>IF('INHERENT MAP'!$B$5=2021,'РЕЕСТР РИСКОВ_2023'!O433,IF('INHERENT MAP'!$B$5=2022,#REF!,IF('INHERENT MAP'!$B$5=2023,#REF!,IF('INHERENT MAP'!$B$5=2024,#REF!,#REF!))))</f>
        <v>0</v>
      </c>
      <c r="L393">
        <f>IF('INHERENT MAP'!$B$5=2021,'РЕЕСТР РИСКОВ_2023'!P433,IF('INHERENT MAP'!$B$5=2022,#REF!,IF('INHERENT MAP'!$B$5=2023,#REF!,IF('INHERENT MAP'!$B$5=2024,#REF!,#REF!))))</f>
        <v>0</v>
      </c>
      <c r="M393" t="str">
        <f>IF('INHERENT MAP'!$B$5=2021,IF('РЕЕСТР РИСКОВ_2023'!Q433="",M392,'РЕЕСТР РИСКОВ_2023'!Q433),IF('INHERENT MAP'!$B$5=2022,IF(#REF!="",M392,#REF!),IF('INHERENT MAP'!$B$5=2023,IF(#REF!="",M392,#REF!),IF('INHERENT MAP'!$B$5=2024,IF(#REF!="",M392,#REF!),IF('РЕЕСТР РИСКОВ_2023'!Q433="",M392,'РЕЕСТР РИСКОВ_2023'!Q433)))))</f>
        <v>Увеличение базовой ставки Национального банка Республики Казахстан до 16%</v>
      </c>
      <c r="N393" t="str">
        <f>IF('INHERENT MAP'!$B$5=2021,IF('РЕЕСТР РИСКОВ_2023'!R433="",N392,'РЕЕСТР РИСКОВ_2023'!R433),IF('INHERENT MAP'!$B$5=2022,IF(#REF!="",N392,#REF!),IF('INHERENT MAP'!$B$5=2023,IF(#REF!="",N392,#REF!),IF('INHERENT MAP'!$B$5=2024,IF(#REF!="",N392,#REF!),IF('РЕЕСТР РИСКОВ_2023'!R433="",N392,'РЕЕСТР РИСКОВ_2023'!R433)))))</f>
        <v>Рецессия экономики европейских стран</v>
      </c>
      <c r="O393">
        <f>'РЕЕСТР РИСКОВ_2023'!T433</f>
        <v>0</v>
      </c>
      <c r="P393" t="e">
        <f>IF('РЕЕСТР РИСКОВ_2023'!U433="",P392,'РЕЕСТР РИСКОВ_2023'!U433)</f>
        <v>#REF!</v>
      </c>
      <c r="Q393" t="str">
        <f>IF('РЕЕСТР РИСКОВ_2023'!V433="",Q392,'РЕЕСТР РИСКОВ_2023'!V433)</f>
        <v>Угрозы</v>
      </c>
      <c r="R393" t="e">
        <f>IF('РЕЕСТР РИСКОВ_2023'!W433="",R392,'РЕЕСТР РИСКОВ_2023'!W433)</f>
        <v>#REF!</v>
      </c>
      <c r="S393">
        <f>'РЕЕСТР РИСКОВ_2023'!X433</f>
        <v>0</v>
      </c>
      <c r="T393" s="94">
        <f>IF('INHERENT MAP'!$B$5=2021,'РЕЕСТР РИСКОВ_2023'!Y433,IF('INHERENT MAP'!$B$5=2022,#REF!,IF('INHERENT MAP'!$B$5=2023,#REF!,IF('INHERENT MAP'!$B$5=2024,#REF!,#REF!))))</f>
        <v>0</v>
      </c>
      <c r="U393">
        <f>IF('INHERENT MAP'!$B$5=2021,'РЕЕСТР РИСКОВ_2023'!Z433,IF('INHERENT MAP'!$B$5=2022,#REF!,IF('INHERENT MAP'!$B$5=2023,#REF!,IF('INHERENT MAP'!$B$5=2024,#REF!,#REF!))))</f>
        <v>0</v>
      </c>
      <c r="V393">
        <f>IF('INHERENT MAP'!$B$5=2021,'РЕЕСТР РИСКОВ_2023'!AA433,IF('INHERENT MAP'!$B$5=2022,#REF!,IF('INHERENT MAP'!$B$5=2023,#REF!,IF('INHERENT MAP'!$B$5=2024,#REF!,#REF!))))</f>
        <v>0</v>
      </c>
      <c r="W393">
        <f>IF('INHERENT MAP'!$B$5=2021,'РЕЕСТР РИСКОВ_2023'!AB433,IF('INHERENT MAP'!$B$5=2022,#REF!,IF('INHERENT MAP'!$B$5=2023,#REF!,IF('INHERENT MAP'!$B$5=2024,#REF!,#REF!))))</f>
        <v>0</v>
      </c>
      <c r="X393" s="94">
        <f>IF('INHERENT MAP'!$B$5=2021,'РЕЕСТР РИСКОВ_2023'!AC433,IF('INHERENT MAP'!$B$5=2022,#REF!,IF('INHERENT MAP'!$B$5=2023,#REF!,IF('INHERENT MAP'!$B$5=2024,#REF!,#REF!))))</f>
        <v>0</v>
      </c>
      <c r="Y393">
        <f>IF('INHERENT MAP'!$B$5=2021,'РЕЕСТР РИСКОВ_2023'!AD433,IF('INHERENT MAP'!$B$5=2022,#REF!,IF('INHERENT MAP'!$B$5=2023,#REF!,IF('INHERENT MAP'!$B$5=2024,#REF!,#REF!))))</f>
        <v>0</v>
      </c>
      <c r="Z393">
        <f>IF('INHERENT MAP'!$B$5=2021,'РЕЕСТР РИСКОВ_2023'!AE433,IF('INHERENT MAP'!$B$5=2022,#REF!,IF('INHERENT MAP'!$B$5=2023,#REF!,IF('INHERENT MAP'!$B$5=2024,#REF!,#REF!))))</f>
        <v>0</v>
      </c>
      <c r="AA393">
        <f>IF('INHERENT MAP'!$B$5=2021,'РЕЕСТР РИСКОВ_2023'!AF433,IF('INHERENT MAP'!$B$5=2022,#REF!,IF('INHERENT MAP'!$B$5=2023,#REF!,IF('INHERENT MAP'!$B$5=2024,#REF!,#REF!))))</f>
        <v>0</v>
      </c>
      <c r="AB393">
        <f>IF('INHERENT MAP'!$B$5=2021,'РЕЕСТР РИСКОВ_2023'!AG433,IF('INHERENT MAP'!$B$5=2022,#REF!,IF('INHERENT MAP'!$B$5=2023,#REF!,IF('INHERENT MAP'!$B$5=2024,#REF!,#REF!))))</f>
        <v>0</v>
      </c>
      <c r="AC393">
        <f>IF('INHERENT MAP'!$B$5=2021,'РЕЕСТР РИСКОВ_2023'!AH433,IF('INHERENT MAP'!$B$5=2022,#REF!,IF('INHERENT MAP'!$B$5=2023,#REF!,IF('INHERENT MAP'!$B$5=2024,#REF!,#REF!))))</f>
        <v>0</v>
      </c>
      <c r="AD393">
        <f>IF('INHERENT MAP'!$B$5=2021,'РЕЕСТР РИСКОВ_2023'!AI433,IF('INHERENT MAP'!$B$5=2022,#REF!,IF('INHERENT MAP'!$B$5=2023,#REF!,IF('INHERENT MAP'!$B$5=2024,#REF!,#REF!))))</f>
        <v>0</v>
      </c>
      <c r="AE393">
        <f>IF('INHERENT MAP'!$B$5=2021,'РЕЕСТР РИСКОВ_2023'!AK433,IF('INHERENT MAP'!$B$5=2022,#REF!,IF('INHERENT MAP'!$B$5=2023,#REF!,IF('INHERENT MAP'!$B$5=2024,#REF!,#REF!))))</f>
        <v>0</v>
      </c>
      <c r="AF393">
        <f>IF('INHERENT MAP'!$B$5=2021,'РЕЕСТР РИСКОВ_2023'!AL433,IF('INHERENT MAP'!$B$5=2022,#REF!,IF('INHERENT MAP'!$B$5=2023,#REF!,IF('INHERENT MAP'!$B$5=2024,#REF!,#REF!))))</f>
        <v>0</v>
      </c>
      <c r="AG393">
        <f>IF('INHERENT MAP'!$B$5=2021,'РЕЕСТР РИСКОВ_2023'!AM433,IF('INHERENT MAP'!$B$5=2022,#REF!,IF('INHERENT MAP'!$B$5=2023,#REF!,IF('INHERENT MAP'!$B$5=2024,#REF!,#REF!))))</f>
        <v>0</v>
      </c>
      <c r="AH393">
        <f>IF('INHERENT MAP'!$B$5=2021,'РЕЕСТР РИСКОВ_2023'!AN433,IF('INHERENT MAP'!$B$5=2022,#REF!,IF('INHERENT MAP'!$B$5=2023,#REF!,IF('INHERENT MAP'!$B$5=2024,#REF!,#REF!))))</f>
        <v>0</v>
      </c>
      <c r="AI393">
        <f>IF('INHERENT MAP'!$B$5=2021,'РЕЕСТР РИСКОВ_2023'!AO433,IF('INHERENT MAP'!$B$5=2022,#REF!,IF('INHERENT MAP'!$B$5=2023,#REF!,IF('INHERENT MAP'!$B$5=2024,#REF!,#REF!))))</f>
        <v>0</v>
      </c>
      <c r="AJ393">
        <f>IF('INHERENT MAP'!$B$5=2021,'РЕЕСТР РИСКОВ_2023'!AP433,IF('INHERENT MAP'!$B$5=2022,#REF!,IF('INHERENT MAP'!$B$5=2023,#REF!,IF('INHERENT MAP'!$B$5=2024,#REF!,#REF!))))</f>
        <v>0</v>
      </c>
      <c r="AK393">
        <f>IF('РЕЕСТР РИСКОВ_2023'!AQ433="",AK392,'РЕЕСТР РИСКОВ_2023'!AQ433)</f>
        <v>-216</v>
      </c>
      <c r="AL393">
        <f>IF('РЕЕСТР РИСКОВ_2023'!AR433="",AL392,'РЕЕСТР РИСКОВ_2023'!AR433)</f>
        <v>0.12</v>
      </c>
      <c r="AM393" t="str">
        <f>IF('РЕЕСТР РИСКОВ_2023'!AS433="",AM392,'РЕЕСТР РИСКОВ_2023'!AS433)</f>
        <v>стоп</v>
      </c>
      <c r="AN393" t="str">
        <f>IF('РЕЕСТР РИСКОВ_2023'!AT433="",AN392,'РЕЕСТР РИСКОВ_2023'!AT433)</f>
        <v>стоп</v>
      </c>
      <c r="AO393" t="e">
        <f>IF('РЕЕСТР РИСКОВ_2023'!AU433="",AO392,'РЕЕСТР РИСКОВ_2023'!AU433)</f>
        <v>#REF!</v>
      </c>
    </row>
    <row r="394" spans="2:41">
      <c r="B394" t="str">
        <f>IF('INHERENT MAP'!$B$5=2021,IF('РЕЕСТР РИСКОВ_2023'!F434="",B393,'РЕЕСТР РИСКОВ_2023'!F434),IF('INHERENT MAP'!$B$5=2022,IF(#REF!="",B393,#REF!),IF('INHERENT MAP'!$B$5=2023,IF(#REF!="",B393,#REF!),IF('INHERENT MAP'!$B$5=2024,IF(#REF!="",B393,#REF!),IF('РЕЕСТР РИСКОВ_2023'!F434="",B393,'РЕЕСТР РИСКОВ_2023'!F434)))))</f>
        <v>ПРОЦЕНТНЫЙ РИСК</v>
      </c>
      <c r="C394" t="e">
        <f>IF('INHERENT MAP'!$B$5=2021,IF('РЕЕСТР РИСКОВ_2023'!G434="",C393,'РЕЕСТР РИСКОВ_2023'!G434),IF('INHERENT MAP'!$B$5=2022,IF(#REF!="",C393,#REF!),IF('INHERENT MAP'!$B$5=2023,IF(#REF!="",C393,#REF!),IF('INHERENT MAP'!$B$5=2024,IF(#REF!="",C393,#REF!),IF('РЕЕСТР РИСКОВ_2023'!G434="",C393,'РЕЕСТР РИСКОВ_2023'!G434)))))</f>
        <v>#REF!</v>
      </c>
      <c r="D394" t="str">
        <f>IF('INHERENT MAP'!$B$5=2021,IF('РЕЕСТР РИСКОВ_2023'!H434="",D393,'РЕЕСТР РИСКОВ_2023'!H434),IF('INHERENT MAP'!$B$5=2022,IF(#REF!="",D393,#REF!),IF('INHERENT MAP'!$B$5=2023,IF(#REF!="",D393,#REF!),IF('INHERENT MAP'!$B$5=2024,IF(#REF!="",D393,#REF!),IF('РЕЕСТР РИСКОВ_2023'!H434="",D393,'РЕЕСТР РИСКОВ_2023'!H434)))))</f>
        <v>IRR-1</v>
      </c>
      <c r="E394" t="str">
        <f>IF('INHERENT MAP'!$B$5=2021,IF('РЕЕСТР РИСКОВ_2023'!I434="",E393,'РЕЕСТР РИСКОВ_2023'!I434),IF('INHERENT MAP'!$B$5=2022,IF(#REF!="",E393,#REF!),IF('INHERENT MAP'!$B$5=2023,IF(#REF!="",E393,#REF!),IF('INHERENT MAP'!$B$5=2024,IF(#REF!="",E393,#REF!),IF('РЕЕСТР РИСКОВ_2023'!I434="",E393,'РЕЕСТР РИСКОВ_2023'!I434)))))</f>
        <v>ЦЗФ</v>
      </c>
      <c r="F394" t="str">
        <f>IF('INHERENT MAP'!$B$5=2021,IF('РЕЕСТР РИСКОВ_2023'!J434="",F393,'РЕЕСТР РИСКОВ_2023'!J434),IF('INHERENT MAP'!$B$5=2022,IF(#REF!="",F393,#REF!),IF('INHERENT MAP'!$B$5=2023,IF(#REF!="",F393,#REF!),IF('INHERENT MAP'!$B$5=2024,IF(#REF!="",F393,#REF!),IF('РЕЕСТР РИСКОВ_2023'!J434="",F393,'РЕЕСТР РИСКОВ_2023'!J434)))))</f>
        <v>Цзайм</v>
      </c>
      <c r="G394" t="str">
        <f>IF('INHERENT MAP'!$B$5=2021,IF('РЕЕСТР РИСКОВ_2023'!K434="",G393,'РЕЕСТР РИСКОВ_2023'!K434),IF('INHERENT MAP'!$B$5=2022,IF(#REF!="",G393,#REF!),IF('INHERENT MAP'!$B$5=2023,IF(#REF!="",G393,#REF!),IF('INHERENT MAP'!$B$5=2024,IF(#REF!="",G393,#REF!),IF('РЕЕСТР РИСКОВ_2023'!K434="",G393,'РЕЕСТР РИСКОВ_2023'!K434)))))</f>
        <v>Увеличение расходов по процентам на новые займы, а также текущие займы (с плавающей ставкой) в тенге.</v>
      </c>
      <c r="H394">
        <f>IF('INHERENT MAP'!$B$5=2021,'РЕЕСТР РИСКОВ_2023'!L434,IF('INHERENT MAP'!$B$5=2022,#REF!,IF('INHERENT MAP'!$B$5=2023,#REF!,IF('INHERENT MAP'!$B$5=2024,#REF!,#REF!))))</f>
        <v>0</v>
      </c>
      <c r="I394">
        <f>IF('INHERENT MAP'!$B$5=2021,'РЕЕСТР РИСКОВ_2023'!M434,IF('INHERENT MAP'!$B$5=2022,#REF!,IF('INHERENT MAP'!$B$5=2023,#REF!,IF('INHERENT MAP'!$B$5=2024,#REF!,#REF!))))</f>
        <v>0</v>
      </c>
      <c r="J394">
        <f>IF('INHERENT MAP'!$B$5=2021,'РЕЕСТР РИСКОВ_2023'!N434,IF('INHERENT MAP'!$B$5=2022,#REF!,IF('INHERENT MAP'!$B$5=2023,#REF!,IF('INHERENT MAP'!$B$5=2024,#REF!,#REF!))))</f>
        <v>0</v>
      </c>
      <c r="K394">
        <f>IF('INHERENT MAP'!$B$5=2021,'РЕЕСТР РИСКОВ_2023'!O434,IF('INHERENT MAP'!$B$5=2022,#REF!,IF('INHERENT MAP'!$B$5=2023,#REF!,IF('INHERENT MAP'!$B$5=2024,#REF!,#REF!))))</f>
        <v>0</v>
      </c>
      <c r="L394">
        <f>IF('INHERENT MAP'!$B$5=2021,'РЕЕСТР РИСКОВ_2023'!P434,IF('INHERENT MAP'!$B$5=2022,#REF!,IF('INHERENT MAP'!$B$5=2023,#REF!,IF('INHERENT MAP'!$B$5=2024,#REF!,#REF!))))</f>
        <v>0</v>
      </c>
      <c r="M394" t="str">
        <f>IF('INHERENT MAP'!$B$5=2021,IF('РЕЕСТР РИСКОВ_2023'!Q434="",M393,'РЕЕСТР РИСКОВ_2023'!Q434),IF('INHERENT MAP'!$B$5=2022,IF(#REF!="",M393,#REF!),IF('INHERENT MAP'!$B$5=2023,IF(#REF!="",M393,#REF!),IF('INHERENT MAP'!$B$5=2024,IF(#REF!="",M393,#REF!),IF('РЕЕСТР РИСКОВ_2023'!Q434="",M393,'РЕЕСТР РИСКОВ_2023'!Q434)))))</f>
        <v>Увеличение базовой ставки Национального банка Республики Казахстан до 16%</v>
      </c>
      <c r="N394" t="str">
        <f>IF('INHERENT MAP'!$B$5=2021,IF('РЕЕСТР РИСКОВ_2023'!R434="",N393,'РЕЕСТР РИСКОВ_2023'!R434),IF('INHERENT MAP'!$B$5=2022,IF(#REF!="",N393,#REF!),IF('INHERENT MAP'!$B$5=2023,IF(#REF!="",N393,#REF!),IF('INHERENT MAP'!$B$5=2024,IF(#REF!="",N393,#REF!),IF('РЕЕСТР РИСКОВ_2023'!R434="",N393,'РЕЕСТР РИСКОВ_2023'!R434)))))</f>
        <v>Рецессия экономики европейских стран</v>
      </c>
      <c r="O394">
        <f>'РЕЕСТР РИСКОВ_2023'!T434</f>
        <v>0</v>
      </c>
      <c r="P394" t="e">
        <f>IF('РЕЕСТР РИСКОВ_2023'!U434="",P393,'РЕЕСТР РИСКОВ_2023'!U434)</f>
        <v>#REF!</v>
      </c>
      <c r="Q394" t="str">
        <f>IF('РЕЕСТР РИСКОВ_2023'!V434="",Q393,'РЕЕСТР РИСКОВ_2023'!V434)</f>
        <v>Угрозы</v>
      </c>
      <c r="R394" t="e">
        <f>IF('РЕЕСТР РИСКОВ_2023'!W434="",R393,'РЕЕСТР РИСКОВ_2023'!W434)</f>
        <v>#REF!</v>
      </c>
      <c r="S394">
        <f>'РЕЕСТР РИСКОВ_2023'!X434</f>
        <v>0</v>
      </c>
      <c r="T394" s="94">
        <f>IF('INHERENT MAP'!$B$5=2021,'РЕЕСТР РИСКОВ_2023'!Y434,IF('INHERENT MAP'!$B$5=2022,#REF!,IF('INHERENT MAP'!$B$5=2023,#REF!,IF('INHERENT MAP'!$B$5=2024,#REF!,#REF!))))</f>
        <v>0</v>
      </c>
      <c r="U394">
        <f>IF('INHERENT MAP'!$B$5=2021,'РЕЕСТР РИСКОВ_2023'!Z434,IF('INHERENT MAP'!$B$5=2022,#REF!,IF('INHERENT MAP'!$B$5=2023,#REF!,IF('INHERENT MAP'!$B$5=2024,#REF!,#REF!))))</f>
        <v>0</v>
      </c>
      <c r="V394">
        <f>IF('INHERENT MAP'!$B$5=2021,'РЕЕСТР РИСКОВ_2023'!AA434,IF('INHERENT MAP'!$B$5=2022,#REF!,IF('INHERENT MAP'!$B$5=2023,#REF!,IF('INHERENT MAP'!$B$5=2024,#REF!,#REF!))))</f>
        <v>0</v>
      </c>
      <c r="W394">
        <f>IF('INHERENT MAP'!$B$5=2021,'РЕЕСТР РИСКОВ_2023'!AB434,IF('INHERENT MAP'!$B$5=2022,#REF!,IF('INHERENT MAP'!$B$5=2023,#REF!,IF('INHERENT MAP'!$B$5=2024,#REF!,#REF!))))</f>
        <v>0</v>
      </c>
      <c r="X394" s="94">
        <f>IF('INHERENT MAP'!$B$5=2021,'РЕЕСТР РИСКОВ_2023'!AC434,IF('INHERENT MAP'!$B$5=2022,#REF!,IF('INHERENT MAP'!$B$5=2023,#REF!,IF('INHERENT MAP'!$B$5=2024,#REF!,#REF!))))</f>
        <v>0</v>
      </c>
      <c r="Y394">
        <f>IF('INHERENT MAP'!$B$5=2021,'РЕЕСТР РИСКОВ_2023'!AD434,IF('INHERENT MAP'!$B$5=2022,#REF!,IF('INHERENT MAP'!$B$5=2023,#REF!,IF('INHERENT MAP'!$B$5=2024,#REF!,#REF!))))</f>
        <v>0</v>
      </c>
      <c r="Z394">
        <f>IF('INHERENT MAP'!$B$5=2021,'РЕЕСТР РИСКОВ_2023'!AE434,IF('INHERENT MAP'!$B$5=2022,#REF!,IF('INHERENT MAP'!$B$5=2023,#REF!,IF('INHERENT MAP'!$B$5=2024,#REF!,#REF!))))</f>
        <v>0</v>
      </c>
      <c r="AA394">
        <f>IF('INHERENT MAP'!$B$5=2021,'РЕЕСТР РИСКОВ_2023'!AF434,IF('INHERENT MAP'!$B$5=2022,#REF!,IF('INHERENT MAP'!$B$5=2023,#REF!,IF('INHERENT MAP'!$B$5=2024,#REF!,#REF!))))</f>
        <v>0</v>
      </c>
      <c r="AB394">
        <f>IF('INHERENT MAP'!$B$5=2021,'РЕЕСТР РИСКОВ_2023'!AG434,IF('INHERENT MAP'!$B$5=2022,#REF!,IF('INHERENT MAP'!$B$5=2023,#REF!,IF('INHERENT MAP'!$B$5=2024,#REF!,#REF!))))</f>
        <v>0</v>
      </c>
      <c r="AC394">
        <f>IF('INHERENT MAP'!$B$5=2021,'РЕЕСТР РИСКОВ_2023'!AH434,IF('INHERENT MAP'!$B$5=2022,#REF!,IF('INHERENT MAP'!$B$5=2023,#REF!,IF('INHERENT MAP'!$B$5=2024,#REF!,#REF!))))</f>
        <v>0</v>
      </c>
      <c r="AD394">
        <f>IF('INHERENT MAP'!$B$5=2021,'РЕЕСТР РИСКОВ_2023'!AI434,IF('INHERENT MAP'!$B$5=2022,#REF!,IF('INHERENT MAP'!$B$5=2023,#REF!,IF('INHERENT MAP'!$B$5=2024,#REF!,#REF!))))</f>
        <v>0</v>
      </c>
      <c r="AE394">
        <f>IF('INHERENT MAP'!$B$5=2021,'РЕЕСТР РИСКОВ_2023'!AK434,IF('INHERENT MAP'!$B$5=2022,#REF!,IF('INHERENT MAP'!$B$5=2023,#REF!,IF('INHERENT MAP'!$B$5=2024,#REF!,#REF!))))</f>
        <v>0</v>
      </c>
      <c r="AF394">
        <f>IF('INHERENT MAP'!$B$5=2021,'РЕЕСТР РИСКОВ_2023'!AL434,IF('INHERENT MAP'!$B$5=2022,#REF!,IF('INHERENT MAP'!$B$5=2023,#REF!,IF('INHERENT MAP'!$B$5=2024,#REF!,#REF!))))</f>
        <v>0</v>
      </c>
      <c r="AG394">
        <f>IF('INHERENT MAP'!$B$5=2021,'РЕЕСТР РИСКОВ_2023'!AM434,IF('INHERENT MAP'!$B$5=2022,#REF!,IF('INHERENT MAP'!$B$5=2023,#REF!,IF('INHERENT MAP'!$B$5=2024,#REF!,#REF!))))</f>
        <v>0</v>
      </c>
      <c r="AH394">
        <f>IF('INHERENT MAP'!$B$5=2021,'РЕЕСТР РИСКОВ_2023'!AN434,IF('INHERENT MAP'!$B$5=2022,#REF!,IF('INHERENT MAP'!$B$5=2023,#REF!,IF('INHERENT MAP'!$B$5=2024,#REF!,#REF!))))</f>
        <v>0</v>
      </c>
      <c r="AI394">
        <f>IF('INHERENT MAP'!$B$5=2021,'РЕЕСТР РИСКОВ_2023'!AO434,IF('INHERENT MAP'!$B$5=2022,#REF!,IF('INHERENT MAP'!$B$5=2023,#REF!,IF('INHERENT MAP'!$B$5=2024,#REF!,#REF!))))</f>
        <v>0</v>
      </c>
      <c r="AJ394">
        <f>IF('INHERENT MAP'!$B$5=2021,'РЕЕСТР РИСКОВ_2023'!AP434,IF('INHERENT MAP'!$B$5=2022,#REF!,IF('INHERENT MAP'!$B$5=2023,#REF!,IF('INHERENT MAP'!$B$5=2024,#REF!,#REF!))))</f>
        <v>0</v>
      </c>
      <c r="AK394">
        <f>IF('РЕЕСТР РИСКОВ_2023'!AQ434="",AK393,'РЕЕСТР РИСКОВ_2023'!AQ434)</f>
        <v>-216</v>
      </c>
      <c r="AL394">
        <f>IF('РЕЕСТР РИСКОВ_2023'!AR434="",AL393,'РЕЕСТР РИСКОВ_2023'!AR434)</f>
        <v>0.12</v>
      </c>
      <c r="AM394" t="str">
        <f>IF('РЕЕСТР РИСКОВ_2023'!AS434="",AM393,'РЕЕСТР РИСКОВ_2023'!AS434)</f>
        <v>стоп</v>
      </c>
      <c r="AN394" t="str">
        <f>IF('РЕЕСТР РИСКОВ_2023'!AT434="",AN393,'РЕЕСТР РИСКОВ_2023'!AT434)</f>
        <v>стоп</v>
      </c>
      <c r="AO394" t="e">
        <f>IF('РЕЕСТР РИСКОВ_2023'!AU434="",AO393,'РЕЕСТР РИСКОВ_2023'!AU434)</f>
        <v>#REF!</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AQ172"/>
  <sheetViews>
    <sheetView showGridLines="0" topLeftCell="A33" zoomScale="40" zoomScaleNormal="40" workbookViewId="0">
      <selection activeCell="BD55" sqref="BD55"/>
    </sheetView>
  </sheetViews>
  <sheetFormatPr defaultRowHeight="14.4"/>
  <cols>
    <col min="2" max="9" width="10" customWidth="1"/>
    <col min="10" max="10" width="11.44140625" customWidth="1"/>
    <col min="12" max="12" width="1.44140625" customWidth="1"/>
    <col min="18" max="18" width="1.44140625" customWidth="1"/>
    <col min="19" max="19" width="11.44140625" customWidth="1"/>
    <col min="20" max="20" width="11.109375" customWidth="1"/>
    <col min="28" max="28" width="3.44140625" customWidth="1"/>
    <col min="30" max="30" width="1" customWidth="1"/>
    <col min="32" max="32" width="7" customWidth="1"/>
    <col min="33" max="33" width="9.5546875" customWidth="1"/>
    <col min="34" max="34" width="9.88671875" customWidth="1"/>
    <col min="35" max="35" width="11.44140625" customWidth="1"/>
    <col min="36" max="36" width="0.88671875" customWidth="1"/>
    <col min="37" max="37" width="10.5546875" customWidth="1"/>
    <col min="38" max="38" width="14" customWidth="1"/>
    <col min="39" max="39" width="6.44140625" customWidth="1"/>
    <col min="40" max="40" width="8.44140625" customWidth="1"/>
    <col min="42" max="42" width="4.44140625" customWidth="1"/>
    <col min="43" max="43" width="39.109375" customWidth="1"/>
  </cols>
  <sheetData>
    <row r="1" spans="1:43" ht="35.25" customHeight="1">
      <c r="A1" s="922" t="s">
        <v>221</v>
      </c>
      <c r="B1" s="922"/>
      <c r="C1" s="922"/>
      <c r="D1" s="922"/>
      <c r="E1" s="922"/>
      <c r="F1" s="922"/>
      <c r="G1" s="922"/>
      <c r="H1" s="922"/>
      <c r="I1" s="922"/>
      <c r="J1" s="922"/>
      <c r="K1" s="922"/>
      <c r="L1" s="922"/>
      <c r="M1" s="922"/>
      <c r="N1" s="922"/>
      <c r="Q1" s="85"/>
      <c r="R1" s="85"/>
      <c r="S1" s="922"/>
      <c r="T1" s="922"/>
      <c r="U1" s="922"/>
      <c r="V1" s="922"/>
      <c r="W1" s="922"/>
      <c r="X1" s="922"/>
      <c r="Y1" s="922"/>
      <c r="AC1" s="936" t="s">
        <v>58</v>
      </c>
      <c r="AD1" s="936"/>
      <c r="AE1" s="936"/>
      <c r="AF1" s="936"/>
      <c r="AG1" s="936"/>
      <c r="AH1" s="936"/>
      <c r="AI1" s="936"/>
      <c r="AJ1" s="936"/>
      <c r="AK1" s="936"/>
      <c r="AL1" s="936"/>
      <c r="AM1" s="936"/>
      <c r="AN1" s="936"/>
      <c r="AO1" s="936"/>
    </row>
    <row r="2" spans="1:43" ht="6" hidden="1" customHeight="1">
      <c r="M2" s="81" t="s">
        <v>220</v>
      </c>
      <c r="N2" s="81"/>
      <c r="O2" s="81"/>
      <c r="P2" s="79" t="str">
        <f>-40000&amp;" mln.tenge"</f>
        <v>-40000 mln.tenge</v>
      </c>
      <c r="Q2" s="79"/>
      <c r="R2" s="79"/>
      <c r="S2" s="79"/>
      <c r="T2" s="79"/>
      <c r="U2" s="79"/>
      <c r="V2" s="79"/>
      <c r="W2" s="79"/>
      <c r="X2" s="79"/>
      <c r="Y2" s="79"/>
      <c r="Z2" s="79"/>
      <c r="AA2" s="79"/>
    </row>
    <row r="3" spans="1:43" ht="33" customHeight="1">
      <c r="M3" s="313"/>
      <c r="R3" s="82"/>
      <c r="S3" s="924" t="s">
        <v>406</v>
      </c>
      <c r="T3" s="924"/>
      <c r="U3" s="980">
        <v>-14000</v>
      </c>
      <c r="V3" s="980"/>
      <c r="W3" s="980"/>
      <c r="X3" s="980"/>
      <c r="Y3" s="980"/>
      <c r="Z3" s="928" t="s">
        <v>213</v>
      </c>
      <c r="AA3" s="928"/>
      <c r="AC3" s="961" t="s">
        <v>219</v>
      </c>
      <c r="AD3" s="43"/>
      <c r="AE3" s="964" t="s">
        <v>218</v>
      </c>
      <c r="AF3" s="965"/>
      <c r="AG3" s="965"/>
      <c r="AH3" s="965"/>
      <c r="AI3" s="939">
        <f>COUNTIF('РЕЕСТР РИСКОВ_2023'!$V$39:$V$230,"Сильные стороны")</f>
        <v>0</v>
      </c>
      <c r="AJ3" s="43"/>
      <c r="AK3" s="941" t="s">
        <v>217</v>
      </c>
      <c r="AL3" s="942"/>
      <c r="AM3" s="942"/>
      <c r="AN3" s="942"/>
      <c r="AO3" s="937">
        <f>COUNTIF('РЕЕСТР РИСКОВ_2023'!$V$39:$V$230,"Слабые стороны")</f>
        <v>28</v>
      </c>
    </row>
    <row r="4" spans="1:43" ht="21" customHeight="1">
      <c r="M4" s="313"/>
      <c r="R4" s="82"/>
      <c r="S4" s="924"/>
      <c r="T4" s="924"/>
      <c r="U4" s="980"/>
      <c r="V4" s="980"/>
      <c r="W4" s="980"/>
      <c r="X4" s="980"/>
      <c r="Y4" s="980"/>
      <c r="Z4" s="928"/>
      <c r="AA4" s="928"/>
      <c r="AC4" s="962"/>
      <c r="AD4" s="43"/>
      <c r="AE4" s="966"/>
      <c r="AF4" s="967"/>
      <c r="AG4" s="967"/>
      <c r="AH4" s="967"/>
      <c r="AI4" s="940"/>
      <c r="AJ4" s="43"/>
      <c r="AK4" s="943"/>
      <c r="AL4" s="944"/>
      <c r="AM4" s="944"/>
      <c r="AN4" s="944"/>
      <c r="AO4" s="938"/>
    </row>
    <row r="5" spans="1:43" ht="15" customHeight="1">
      <c r="M5" s="313"/>
      <c r="R5" s="82"/>
      <c r="S5" s="924"/>
      <c r="T5" s="924"/>
      <c r="U5" s="980"/>
      <c r="V5" s="980"/>
      <c r="W5" s="980"/>
      <c r="X5" s="980"/>
      <c r="Y5" s="980"/>
      <c r="Z5" s="928"/>
      <c r="AA5" s="928"/>
      <c r="AC5" s="962"/>
      <c r="AD5" s="43"/>
      <c r="AE5" s="233"/>
      <c r="AF5" s="228"/>
      <c r="AG5" s="228"/>
      <c r="AH5" s="228"/>
      <c r="AI5" s="234"/>
      <c r="AJ5" s="43"/>
      <c r="AK5" s="237"/>
      <c r="AL5" s="229"/>
      <c r="AM5" s="229"/>
      <c r="AN5" s="229"/>
      <c r="AO5" s="238"/>
    </row>
    <row r="6" spans="1:43" ht="6.75" customHeight="1">
      <c r="M6" s="313"/>
      <c r="R6" s="82"/>
      <c r="S6" s="924"/>
      <c r="T6" s="924"/>
      <c r="U6" s="980"/>
      <c r="V6" s="980"/>
      <c r="W6" s="980"/>
      <c r="X6" s="980"/>
      <c r="Y6" s="980"/>
      <c r="Z6" s="928"/>
      <c r="AA6" s="928"/>
      <c r="AC6" s="962"/>
      <c r="AD6" s="43"/>
      <c r="AE6" s="974">
        <v>0</v>
      </c>
      <c r="AF6" s="975"/>
      <c r="AG6" s="975"/>
      <c r="AH6" s="230"/>
      <c r="AI6" s="234"/>
      <c r="AJ6" s="43"/>
      <c r="AK6" s="976" t="str">
        <f>IFERROR('data dash'!#REF!+'data dash'!#REF!,"НЕТ ДАННЫХ")</f>
        <v>НЕТ ДАННЫХ</v>
      </c>
      <c r="AL6" s="977"/>
      <c r="AM6" s="977"/>
      <c r="AN6" s="231"/>
      <c r="AO6" s="238"/>
    </row>
    <row r="7" spans="1:43" ht="12" customHeight="1">
      <c r="S7" s="257"/>
      <c r="T7" s="257"/>
      <c r="U7" s="314"/>
      <c r="V7" s="314"/>
      <c r="W7" s="314"/>
      <c r="X7" s="314"/>
      <c r="Y7" s="314"/>
      <c r="AC7" s="962"/>
      <c r="AD7" s="43"/>
      <c r="AE7" s="974"/>
      <c r="AF7" s="975"/>
      <c r="AG7" s="975"/>
      <c r="AH7" s="230"/>
      <c r="AI7" s="234"/>
      <c r="AJ7" s="43"/>
      <c r="AK7" s="976"/>
      <c r="AL7" s="977"/>
      <c r="AM7" s="977"/>
      <c r="AN7" s="231"/>
      <c r="AO7" s="238"/>
    </row>
    <row r="8" spans="1:43" ht="15" customHeight="1">
      <c r="M8" s="313"/>
      <c r="R8" s="83"/>
      <c r="S8" s="925" t="s">
        <v>134</v>
      </c>
      <c r="T8" s="925"/>
      <c r="U8" s="970" t="e">
        <f>GETPIVOTDATA("Ожидаемые потери",'data dash'!#REF!)</f>
        <v>#REF!</v>
      </c>
      <c r="V8" s="970"/>
      <c r="W8" s="970"/>
      <c r="X8" s="970"/>
      <c r="Y8" s="970"/>
      <c r="Z8" s="929" t="s">
        <v>213</v>
      </c>
      <c r="AA8" s="929"/>
      <c r="AC8" s="962"/>
      <c r="AD8" s="43"/>
      <c r="AE8" s="974"/>
      <c r="AF8" s="975"/>
      <c r="AG8" s="975"/>
      <c r="AH8" s="230"/>
      <c r="AI8" s="234"/>
      <c r="AJ8" s="43"/>
      <c r="AK8" s="976"/>
      <c r="AL8" s="977"/>
      <c r="AM8" s="977"/>
      <c r="AN8" s="231"/>
      <c r="AO8" s="238"/>
      <c r="AQ8" s="80"/>
    </row>
    <row r="9" spans="1:43" ht="16.5" customHeight="1">
      <c r="M9" s="313"/>
      <c r="R9" s="83"/>
      <c r="S9" s="925"/>
      <c r="T9" s="925"/>
      <c r="U9" s="970"/>
      <c r="V9" s="970"/>
      <c r="W9" s="970"/>
      <c r="X9" s="970"/>
      <c r="Y9" s="970"/>
      <c r="Z9" s="929"/>
      <c r="AA9" s="929"/>
      <c r="AC9" s="962"/>
      <c r="AD9" s="43"/>
      <c r="AE9" s="974"/>
      <c r="AF9" s="975"/>
      <c r="AG9" s="975"/>
      <c r="AH9" s="978" t="s">
        <v>213</v>
      </c>
      <c r="AI9" s="979"/>
      <c r="AJ9" s="43"/>
      <c r="AK9" s="976"/>
      <c r="AL9" s="977"/>
      <c r="AM9" s="977"/>
      <c r="AN9" s="955" t="s">
        <v>213</v>
      </c>
      <c r="AO9" s="956"/>
    </row>
    <row r="10" spans="1:43" ht="15" customHeight="1">
      <c r="M10" s="313"/>
      <c r="R10" s="83"/>
      <c r="S10" s="925"/>
      <c r="T10" s="925"/>
      <c r="U10" s="970"/>
      <c r="V10" s="970"/>
      <c r="W10" s="970"/>
      <c r="X10" s="970"/>
      <c r="Y10" s="970"/>
      <c r="Z10" s="929"/>
      <c r="AA10" s="929"/>
      <c r="AC10" s="962"/>
      <c r="AD10" s="43"/>
      <c r="AE10" s="974"/>
      <c r="AF10" s="975"/>
      <c r="AG10" s="975"/>
      <c r="AH10" s="978"/>
      <c r="AI10" s="979"/>
      <c r="AJ10" s="43"/>
      <c r="AK10" s="976"/>
      <c r="AL10" s="977"/>
      <c r="AM10" s="977"/>
      <c r="AN10" s="955"/>
      <c r="AO10" s="956"/>
    </row>
    <row r="11" spans="1:43" ht="15" customHeight="1">
      <c r="M11" s="313"/>
      <c r="R11" s="83"/>
      <c r="S11" s="925"/>
      <c r="T11" s="925"/>
      <c r="U11" s="970"/>
      <c r="V11" s="970"/>
      <c r="W11" s="970"/>
      <c r="X11" s="970"/>
      <c r="Y11" s="970"/>
      <c r="Z11" s="929"/>
      <c r="AA11" s="929"/>
      <c r="AC11" s="962"/>
      <c r="AD11" s="43"/>
      <c r="AE11" s="974"/>
      <c r="AF11" s="975"/>
      <c r="AG11" s="975"/>
      <c r="AH11" s="230"/>
      <c r="AI11" s="234"/>
      <c r="AJ11" s="43"/>
      <c r="AK11" s="976"/>
      <c r="AL11" s="977"/>
      <c r="AM11" s="977"/>
      <c r="AN11" s="231"/>
      <c r="AO11" s="238"/>
    </row>
    <row r="12" spans="1:43" ht="12" customHeight="1">
      <c r="M12" s="313"/>
      <c r="R12" s="83"/>
      <c r="S12" s="925"/>
      <c r="T12" s="925"/>
      <c r="U12" s="970"/>
      <c r="V12" s="970"/>
      <c r="W12" s="970"/>
      <c r="X12" s="970"/>
      <c r="Y12" s="970"/>
      <c r="Z12" s="929"/>
      <c r="AA12" s="929"/>
      <c r="AC12" s="962"/>
      <c r="AD12" s="43"/>
      <c r="AE12" s="233"/>
      <c r="AF12" s="228"/>
      <c r="AG12" s="228"/>
      <c r="AH12" s="228"/>
      <c r="AI12" s="234"/>
      <c r="AJ12" s="43"/>
      <c r="AK12" s="237"/>
      <c r="AL12" s="229"/>
      <c r="AM12" s="229"/>
      <c r="AN12" s="229"/>
      <c r="AO12" s="238"/>
    </row>
    <row r="13" spans="1:43" ht="9" customHeight="1">
      <c r="S13" s="257"/>
      <c r="T13" s="257"/>
      <c r="U13" s="314"/>
      <c r="V13" s="314"/>
      <c r="W13" s="314"/>
      <c r="X13" s="314"/>
      <c r="Y13" s="314"/>
      <c r="AC13" s="963"/>
      <c r="AD13" s="43"/>
      <c r="AE13" s="235"/>
      <c r="AF13" s="232"/>
      <c r="AG13" s="232"/>
      <c r="AH13" s="232"/>
      <c r="AI13" s="236"/>
      <c r="AJ13" s="43"/>
      <c r="AK13" s="239"/>
      <c r="AL13" s="240"/>
      <c r="AM13" s="240"/>
      <c r="AN13" s="240"/>
      <c r="AO13" s="241"/>
    </row>
    <row r="14" spans="1:43" ht="3.75" customHeight="1">
      <c r="S14" s="257"/>
      <c r="T14" s="257"/>
      <c r="U14" s="314"/>
      <c r="V14" s="314"/>
      <c r="W14" s="314"/>
      <c r="X14" s="314"/>
      <c r="Y14" s="314"/>
      <c r="AC14" s="43"/>
      <c r="AD14" s="43"/>
      <c r="AE14" s="43"/>
      <c r="AF14" s="43"/>
      <c r="AG14" s="43"/>
      <c r="AH14" s="43"/>
      <c r="AI14" s="43"/>
      <c r="AJ14" s="43"/>
      <c r="AK14" s="43"/>
      <c r="AL14" s="43"/>
      <c r="AM14" s="43"/>
      <c r="AN14" s="43"/>
      <c r="AO14" s="43"/>
    </row>
    <row r="15" spans="1:43" ht="15" customHeight="1">
      <c r="M15" s="313"/>
      <c r="R15" s="227"/>
      <c r="S15" s="926" t="s">
        <v>408</v>
      </c>
      <c r="T15" s="926"/>
      <c r="U15" s="971" t="e">
        <f>#REF!</f>
        <v>#REF!</v>
      </c>
      <c r="V15" s="971"/>
      <c r="W15" s="971"/>
      <c r="X15" s="971"/>
      <c r="Y15" s="971"/>
      <c r="Z15" s="934" t="s">
        <v>407</v>
      </c>
      <c r="AA15" s="934"/>
      <c r="AC15" s="961" t="s">
        <v>216</v>
      </c>
      <c r="AD15" s="43"/>
      <c r="AE15" s="945" t="s">
        <v>215</v>
      </c>
      <c r="AF15" s="946"/>
      <c r="AG15" s="946"/>
      <c r="AH15" s="946"/>
      <c r="AI15" s="949">
        <f>COUNTIF('РЕЕСТР РИСКОВ_2023'!$V$39:$V$230,"Возможности")</f>
        <v>8</v>
      </c>
      <c r="AJ15" s="43"/>
      <c r="AK15" s="951" t="s">
        <v>214</v>
      </c>
      <c r="AL15" s="952"/>
      <c r="AM15" s="952"/>
      <c r="AN15" s="952"/>
      <c r="AO15" s="968">
        <f>COUNTIF('РЕЕСТР РИСКОВ_2023'!$V$39:$V$230,"Угрозы")</f>
        <v>57</v>
      </c>
    </row>
    <row r="16" spans="1:43" ht="15" customHeight="1">
      <c r="M16" s="313"/>
      <c r="R16" s="227"/>
      <c r="S16" s="926"/>
      <c r="T16" s="926"/>
      <c r="U16" s="971"/>
      <c r="V16" s="971"/>
      <c r="W16" s="971"/>
      <c r="X16" s="971"/>
      <c r="Y16" s="971"/>
      <c r="Z16" s="934"/>
      <c r="AA16" s="934"/>
      <c r="AC16" s="962"/>
      <c r="AD16" s="43"/>
      <c r="AE16" s="947"/>
      <c r="AF16" s="948"/>
      <c r="AG16" s="948"/>
      <c r="AH16" s="948"/>
      <c r="AI16" s="950"/>
      <c r="AJ16" s="43"/>
      <c r="AK16" s="953"/>
      <c r="AL16" s="954"/>
      <c r="AM16" s="954"/>
      <c r="AN16" s="954"/>
      <c r="AO16" s="969"/>
    </row>
    <row r="17" spans="1:41" ht="15" customHeight="1">
      <c r="M17" s="313"/>
      <c r="R17" s="227"/>
      <c r="S17" s="926"/>
      <c r="T17" s="926"/>
      <c r="U17" s="971"/>
      <c r="V17" s="971"/>
      <c r="W17" s="971"/>
      <c r="X17" s="971"/>
      <c r="Y17" s="971"/>
      <c r="Z17" s="934"/>
      <c r="AA17" s="934"/>
      <c r="AC17" s="962"/>
      <c r="AD17" s="43"/>
      <c r="AE17" s="242"/>
      <c r="AF17" s="243"/>
      <c r="AG17" s="243"/>
      <c r="AH17" s="243"/>
      <c r="AI17" s="244"/>
      <c r="AJ17" s="43"/>
      <c r="AK17" s="249"/>
      <c r="AL17" s="250"/>
      <c r="AM17" s="250"/>
      <c r="AN17" s="250"/>
      <c r="AO17" s="251"/>
    </row>
    <row r="18" spans="1:41" ht="15" customHeight="1">
      <c r="M18" s="313"/>
      <c r="R18" s="227"/>
      <c r="S18" s="926"/>
      <c r="T18" s="926"/>
      <c r="U18" s="971"/>
      <c r="V18" s="971"/>
      <c r="W18" s="971"/>
      <c r="X18" s="971"/>
      <c r="Y18" s="971"/>
      <c r="Z18" s="934"/>
      <c r="AA18" s="934"/>
      <c r="AC18" s="962"/>
      <c r="AD18" s="43"/>
      <c r="AE18" s="930" t="str">
        <f>IFERROR('data dash'!#REF!,"НЕТ ДАННЫХ")</f>
        <v>НЕТ ДАННЫХ</v>
      </c>
      <c r="AF18" s="931"/>
      <c r="AG18" s="931"/>
      <c r="AH18" s="245"/>
      <c r="AI18" s="244"/>
      <c r="AJ18" s="43"/>
      <c r="AK18" s="932" t="str">
        <f>IFERROR('data dash'!B7,"НЕТ ДАННЫХ")</f>
        <v>Income of intra-republican cargo turnover</v>
      </c>
      <c r="AL18" s="933"/>
      <c r="AM18" s="933"/>
      <c r="AN18" s="252"/>
      <c r="AO18" s="251"/>
    </row>
    <row r="19" spans="1:41" ht="15" customHeight="1">
      <c r="M19" s="313"/>
      <c r="R19" s="227"/>
      <c r="S19" s="926"/>
      <c r="T19" s="926"/>
      <c r="U19" s="971"/>
      <c r="V19" s="971"/>
      <c r="W19" s="971"/>
      <c r="X19" s="971"/>
      <c r="Y19" s="971"/>
      <c r="Z19" s="934"/>
      <c r="AA19" s="934"/>
      <c r="AC19" s="962"/>
      <c r="AD19" s="43"/>
      <c r="AE19" s="930"/>
      <c r="AF19" s="931"/>
      <c r="AG19" s="931"/>
      <c r="AH19" s="245"/>
      <c r="AI19" s="244"/>
      <c r="AJ19" s="43"/>
      <c r="AK19" s="932"/>
      <c r="AL19" s="933"/>
      <c r="AM19" s="933"/>
      <c r="AN19" s="252"/>
      <c r="AO19" s="251"/>
    </row>
    <row r="20" spans="1:41" ht="5.25" customHeight="1">
      <c r="S20" s="257"/>
      <c r="T20" s="257"/>
      <c r="U20" s="314"/>
      <c r="V20" s="314"/>
      <c r="W20" s="314"/>
      <c r="X20" s="314"/>
      <c r="Y20" s="314"/>
      <c r="AC20" s="962"/>
      <c r="AD20" s="43"/>
      <c r="AE20" s="930"/>
      <c r="AF20" s="931"/>
      <c r="AG20" s="931"/>
      <c r="AH20" s="245"/>
      <c r="AI20" s="244"/>
      <c r="AJ20" s="43"/>
      <c r="AK20" s="932"/>
      <c r="AL20" s="933"/>
      <c r="AM20" s="933"/>
      <c r="AN20" s="252"/>
      <c r="AO20" s="251"/>
    </row>
    <row r="21" spans="1:41" ht="9" customHeight="1">
      <c r="S21" s="257"/>
      <c r="T21" s="257"/>
      <c r="U21" s="314"/>
      <c r="V21" s="314"/>
      <c r="W21" s="314"/>
      <c r="X21" s="314"/>
      <c r="Y21" s="314"/>
      <c r="AC21" s="962"/>
      <c r="AD21" s="43"/>
      <c r="AE21" s="930"/>
      <c r="AF21" s="931"/>
      <c r="AG21" s="931"/>
      <c r="AH21" s="959" t="s">
        <v>213</v>
      </c>
      <c r="AI21" s="960"/>
      <c r="AJ21" s="43"/>
      <c r="AK21" s="932"/>
      <c r="AL21" s="933"/>
      <c r="AM21" s="933"/>
      <c r="AN21" s="957" t="s">
        <v>213</v>
      </c>
      <c r="AO21" s="958"/>
    </row>
    <row r="22" spans="1:41" ht="15" customHeight="1">
      <c r="M22" s="313"/>
      <c r="R22" s="84"/>
      <c r="S22" s="927" t="s">
        <v>116</v>
      </c>
      <c r="T22" s="927"/>
      <c r="U22" s="972" t="e">
        <f>GETPIVOTDATA("Остаточный риск",'data dash'!#REF!)</f>
        <v>#REF!</v>
      </c>
      <c r="V22" s="972"/>
      <c r="W22" s="972"/>
      <c r="X22" s="972"/>
      <c r="Y22" s="972"/>
      <c r="Z22" s="935" t="s">
        <v>213</v>
      </c>
      <c r="AA22" s="935"/>
      <c r="AC22" s="962"/>
      <c r="AD22" s="43"/>
      <c r="AE22" s="930"/>
      <c r="AF22" s="931"/>
      <c r="AG22" s="931"/>
      <c r="AH22" s="959"/>
      <c r="AI22" s="960"/>
      <c r="AJ22" s="43"/>
      <c r="AK22" s="932"/>
      <c r="AL22" s="933"/>
      <c r="AM22" s="933"/>
      <c r="AN22" s="957"/>
      <c r="AO22" s="958"/>
    </row>
    <row r="23" spans="1:41" ht="15" customHeight="1">
      <c r="M23" s="313"/>
      <c r="R23" s="84"/>
      <c r="S23" s="927"/>
      <c r="T23" s="927"/>
      <c r="U23" s="972"/>
      <c r="V23" s="972"/>
      <c r="W23" s="972"/>
      <c r="X23" s="972"/>
      <c r="Y23" s="972"/>
      <c r="Z23" s="935"/>
      <c r="AA23" s="935"/>
      <c r="AC23" s="962"/>
      <c r="AD23" s="43"/>
      <c r="AE23" s="930"/>
      <c r="AF23" s="931"/>
      <c r="AG23" s="931"/>
      <c r="AH23" s="245"/>
      <c r="AI23" s="244"/>
      <c r="AJ23" s="43"/>
      <c r="AK23" s="932"/>
      <c r="AL23" s="933"/>
      <c r="AM23" s="933"/>
      <c r="AN23" s="252"/>
      <c r="AO23" s="251"/>
    </row>
    <row r="24" spans="1:41" ht="15" customHeight="1">
      <c r="M24" s="313"/>
      <c r="R24" s="84"/>
      <c r="S24" s="927"/>
      <c r="T24" s="927"/>
      <c r="U24" s="972"/>
      <c r="V24" s="972"/>
      <c r="W24" s="972"/>
      <c r="X24" s="972"/>
      <c r="Y24" s="972"/>
      <c r="Z24" s="935"/>
      <c r="AA24" s="935"/>
      <c r="AC24" s="962"/>
      <c r="AD24" s="43"/>
      <c r="AE24" s="242"/>
      <c r="AF24" s="245"/>
      <c r="AG24" s="245"/>
      <c r="AH24" s="245"/>
      <c r="AI24" s="244"/>
      <c r="AJ24" s="43"/>
      <c r="AK24" s="253"/>
      <c r="AL24" s="252"/>
      <c r="AM24" s="252"/>
      <c r="AN24" s="252"/>
      <c r="AO24" s="251"/>
    </row>
    <row r="25" spans="1:41" ht="15" customHeight="1">
      <c r="M25" s="313"/>
      <c r="R25" s="84"/>
      <c r="S25" s="927"/>
      <c r="T25" s="927"/>
      <c r="U25" s="972"/>
      <c r="V25" s="972"/>
      <c r="W25" s="972"/>
      <c r="X25" s="972"/>
      <c r="Y25" s="972"/>
      <c r="Z25" s="935"/>
      <c r="AA25" s="935"/>
      <c r="AC25" s="962"/>
      <c r="AD25" s="43"/>
      <c r="AE25" s="242"/>
      <c r="AF25" s="243"/>
      <c r="AG25" s="243"/>
      <c r="AH25" s="243"/>
      <c r="AI25" s="244"/>
      <c r="AJ25" s="43"/>
      <c r="AK25" s="249"/>
      <c r="AL25" s="250"/>
      <c r="AM25" s="250"/>
      <c r="AN25" s="250"/>
      <c r="AO25" s="251"/>
    </row>
    <row r="26" spans="1:41" ht="19.5" customHeight="1">
      <c r="M26" s="313"/>
      <c r="R26" s="84"/>
      <c r="S26" s="927"/>
      <c r="T26" s="927"/>
      <c r="U26" s="972"/>
      <c r="V26" s="972"/>
      <c r="W26" s="972"/>
      <c r="X26" s="972"/>
      <c r="Y26" s="972"/>
      <c r="Z26" s="935"/>
      <c r="AA26" s="935"/>
      <c r="AC26" s="963"/>
      <c r="AD26" s="43"/>
      <c r="AE26" s="246"/>
      <c r="AF26" s="247"/>
      <c r="AG26" s="247"/>
      <c r="AH26" s="247"/>
      <c r="AI26" s="248"/>
      <c r="AJ26" s="43"/>
      <c r="AK26" s="254"/>
      <c r="AL26" s="255"/>
      <c r="AM26" s="255"/>
      <c r="AN26" s="255"/>
      <c r="AO26" s="256"/>
    </row>
    <row r="27" spans="1:41" ht="11.25" customHeight="1"/>
    <row r="28" spans="1:41" ht="33" customHeight="1">
      <c r="A28" s="922" t="s">
        <v>212</v>
      </c>
      <c r="B28" s="922"/>
      <c r="C28" s="922"/>
      <c r="D28" s="922"/>
      <c r="E28" s="922"/>
      <c r="F28" s="922"/>
      <c r="G28" s="922"/>
      <c r="H28" s="922"/>
      <c r="I28" s="922"/>
      <c r="J28" s="922"/>
      <c r="K28" s="922"/>
      <c r="L28" s="922"/>
      <c r="M28" s="922"/>
      <c r="N28" s="922"/>
      <c r="O28" s="922"/>
      <c r="P28" s="922"/>
      <c r="Q28" s="922"/>
      <c r="R28" s="922"/>
      <c r="S28" s="922"/>
      <c r="T28" s="922"/>
      <c r="U28" s="922"/>
      <c r="V28" s="922"/>
      <c r="W28" s="922"/>
      <c r="X28" s="922"/>
      <c r="Y28" s="922"/>
      <c r="Z28" s="922"/>
      <c r="AA28" s="922"/>
      <c r="AB28" s="922"/>
      <c r="AC28" s="922"/>
      <c r="AD28" s="922"/>
      <c r="AE28" s="922"/>
      <c r="AF28" s="922"/>
      <c r="AG28" s="922"/>
      <c r="AH28" s="922"/>
      <c r="AI28" s="922"/>
      <c r="AJ28" s="922"/>
      <c r="AK28" s="922"/>
      <c r="AL28" s="922"/>
      <c r="AM28" s="922"/>
      <c r="AN28" s="922"/>
      <c r="AO28" s="922"/>
    </row>
    <row r="29" spans="1:41" ht="28.5" customHeight="1"/>
    <row r="30" spans="1:41" ht="28.5" customHeight="1"/>
    <row r="31" spans="1:41" ht="15.75" customHeight="1"/>
    <row r="32" spans="1:41" ht="26.25" customHeight="1"/>
    <row r="33" spans="1:42" ht="26.25" customHeight="1"/>
    <row r="34" spans="1:42" ht="26.25" customHeight="1"/>
    <row r="35" spans="1:42" ht="26.25" customHeight="1"/>
    <row r="36" spans="1:42" ht="26.25" customHeight="1"/>
    <row r="37" spans="1:42" ht="26.25" customHeight="1">
      <c r="B37" s="923" t="s">
        <v>222</v>
      </c>
      <c r="C37" s="923"/>
      <c r="D37" s="923"/>
      <c r="E37" s="923"/>
      <c r="F37" s="923"/>
      <c r="G37" s="923"/>
      <c r="H37" s="923"/>
      <c r="I37" s="923"/>
      <c r="J37" s="923"/>
      <c r="K37" s="923"/>
      <c r="L37" s="923"/>
      <c r="Q37" s="923" t="s">
        <v>100</v>
      </c>
      <c r="R37" s="923"/>
      <c r="S37" s="923"/>
      <c r="T37" s="923"/>
      <c r="U37" s="923"/>
      <c r="V37" s="923"/>
      <c r="W37" s="923"/>
      <c r="X37" s="923"/>
      <c r="Y37" s="923"/>
      <c r="Z37" s="923"/>
      <c r="AA37" s="923"/>
    </row>
    <row r="38" spans="1:42" ht="25.5" customHeight="1">
      <c r="B38" s="923"/>
      <c r="C38" s="923"/>
      <c r="D38" s="923"/>
      <c r="E38" s="923"/>
      <c r="F38" s="923"/>
      <c r="G38" s="923"/>
      <c r="H38" s="923"/>
      <c r="I38" s="923"/>
      <c r="J38" s="923"/>
      <c r="K38" s="923"/>
      <c r="L38" s="923"/>
      <c r="Q38" s="923"/>
      <c r="R38" s="923"/>
      <c r="S38" s="923"/>
      <c r="T38" s="923"/>
      <c r="U38" s="923"/>
      <c r="V38" s="923"/>
      <c r="W38" s="923"/>
      <c r="X38" s="923"/>
      <c r="Y38" s="923"/>
      <c r="Z38" s="923"/>
      <c r="AA38" s="923"/>
      <c r="AC38" s="921" t="s">
        <v>404</v>
      </c>
      <c r="AD38" s="921"/>
      <c r="AE38" s="921"/>
      <c r="AF38" s="921"/>
      <c r="AG38" s="921"/>
      <c r="AH38" s="921"/>
      <c r="AI38" s="921"/>
      <c r="AJ38" s="921"/>
      <c r="AK38" s="921"/>
      <c r="AL38" s="973" t="s">
        <v>403</v>
      </c>
      <c r="AM38" s="973"/>
      <c r="AN38" s="973"/>
      <c r="AO38" s="973"/>
      <c r="AP38" s="973"/>
    </row>
    <row r="39" spans="1:42" ht="3" customHeight="1">
      <c r="AC39" s="226"/>
      <c r="AD39" s="226"/>
      <c r="AE39" s="226"/>
      <c r="AF39" s="226"/>
      <c r="AG39" s="226"/>
      <c r="AH39" s="226"/>
      <c r="AI39" s="226"/>
      <c r="AJ39" s="226"/>
      <c r="AK39" s="226"/>
      <c r="AL39" s="226"/>
      <c r="AM39" s="226"/>
      <c r="AN39" s="226"/>
      <c r="AO39" s="226"/>
    </row>
    <row r="40" spans="1:42" ht="36" customHeight="1">
      <c r="A40" s="859" t="s">
        <v>167</v>
      </c>
      <c r="B40" s="896">
        <f ca="1">IF(COUNTIF('INHERENT MAP'!$N$10:$N$57, "ВЕРОЯТНОСТЬ  1  ВЛИЯНИЕ  5")=0,"0",COUNTIF('INHERENT MAP'!$N$10:$N$57, "ВЕРОЯТНОСТЬ  1  ВЛИЯНИЕ  5"))+IF(COUNTIF('INHERENT MAP'!$U$10:$U$57, "ВЕРОЯТНОСТЬ  1  ВЛИЯНИЕ  5")=0,"0",COUNTIF('INHERENT MAP'!$U$10:$U$57, "ВЕРОЯТНОСТЬ  1  ВЛИЯНИЕ  5"))</f>
        <v>1</v>
      </c>
      <c r="C40" s="897"/>
      <c r="D40" s="884">
        <f ca="1">IF(COUNTIF('INHERENT MAP'!$N$10:$N$57, "ВЕРОЯТНОСТЬ  2  ВЛИЯНИЕ  5")=0,"0",COUNTIF('INHERENT MAP'!$N$10:$N$57, "ВЕРОЯТНОСТЬ  2  ВЛИЯНИЕ  5"))+IF(COUNTIF('INHERENT MAP'!$U$10:$U$57, "ВЕРОЯТНОСТЬ  2  ВЛИЯНИЕ  5")=0,"0",COUNTIF('INHERENT MAP'!$U$10:$U$57, "ВЕРОЯТНОСТЬ  2  ВЛИЯНИЕ  5"))</f>
        <v>6</v>
      </c>
      <c r="E40" s="885"/>
      <c r="F40" s="884">
        <f ca="1">IF(COUNTIF('INHERENT MAP'!$N$10:$N$57, "ВЕРОЯТНОСТЬ  3  ВЛИЯНИЕ  5")=0,"0",COUNTIF('INHERENT MAP'!$N$10:$N$57, "ВЕРОЯТНОСТЬ  3  ВЛИЯНИЕ  5"))+IF(COUNTIF('INHERENT MAP'!$U$10:$U$57, "ВЕРОЯТНОСТЬ  3  ВЛИЯНИЕ  5")=0,"0",COUNTIF('INHERENT MAP'!$U$10:$U$57, "ВЕРОЯТНОСТЬ  3  ВЛИЯНИЕ  5"))</f>
        <v>8</v>
      </c>
      <c r="G40" s="885"/>
      <c r="H40" s="903">
        <f ca="1">IF(COUNTIF('INHERENT MAP'!$N$10:$N$57, "ВЕРОЯТНОСТЬ  4  ВЛИЯНИЕ  5")=0,"0",COUNTIF('INHERENT MAP'!$N$10:$N$57, "ВЕРОЯТНОСТЬ  4  ВЛИЯНИЕ  5"))+IF(COUNTIF('INHERENT MAP'!$U$10:$U$57, "ВЕРОЯТНОСТЬ  4  ВЛИЯНИЕ  5")=0,"0",COUNTIF('INHERENT MAP'!$U$10:$U$57, "ВЕРОЯТНОСТЬ  4  ВЛИЯНИЕ  5"))</f>
        <v>7</v>
      </c>
      <c r="I40" s="904"/>
      <c r="J40" s="903">
        <f ca="1">IF(COUNTIF('INHERENT MAP'!$N$10:$N$57,"ВЕРОЯТНОСТЬ  5  ВЛИЯНИЕ  5")=0,"0",COUNTIF('INHERENT MAP'!$N$10:$N$57,"ВЕРОЯТНОСТЬ  5  ВЛИЯНИЕ  5"))+IF(COUNTIF('INHERENT MAP'!$U$10:$U$57,"ВЕРОЯТНОСТЬ  5  ВЛИЯНИЕ  5")=0,"0",COUNTIF('INHERENT MAP'!$U$10:$U$57,"ВЕРОЯТНОСТЬ  5  ВЛИЯНИЕ  5")+IF(COUNTIF('INHERENT MAP'!$AC$10:$AC$57,"ВЕРОЯТНОСТЬ  5  ВЛИЯНИЕ  5")=0,"0",COUNTIF('INHERENT MAP'!$AC$10:$AC$57,"ВЕРОЯТНОСТЬ  5  ВЛИЯНИЕ  5")))</f>
        <v>6</v>
      </c>
      <c r="K40" s="904"/>
      <c r="AC40" s="915" t="e">
        <f>IF('data dash'!#REF!=0,"",'data dash'!#REF!)</f>
        <v>#REF!</v>
      </c>
      <c r="AD40" s="916"/>
      <c r="AE40" s="916"/>
      <c r="AF40" s="916"/>
      <c r="AG40" s="916"/>
      <c r="AH40" s="916"/>
      <c r="AI40" s="916"/>
      <c r="AJ40" s="916"/>
      <c r="AK40" s="916"/>
      <c r="AL40" s="917"/>
      <c r="AM40" s="909" t="e">
        <f>IF('data dash'!#REF!=0,"",'data dash'!#REF!)</f>
        <v>#REF!</v>
      </c>
      <c r="AN40" s="910"/>
      <c r="AO40" s="911"/>
    </row>
    <row r="41" spans="1:42" ht="36" customHeight="1">
      <c r="A41" s="859"/>
      <c r="B41" s="898"/>
      <c r="C41" s="899"/>
      <c r="D41" s="886"/>
      <c r="E41" s="887"/>
      <c r="F41" s="886"/>
      <c r="G41" s="887"/>
      <c r="H41" s="905"/>
      <c r="I41" s="906"/>
      <c r="J41" s="905"/>
      <c r="K41" s="906"/>
      <c r="AC41" s="918"/>
      <c r="AD41" s="919"/>
      <c r="AE41" s="919"/>
      <c r="AF41" s="919"/>
      <c r="AG41" s="919"/>
      <c r="AH41" s="919"/>
      <c r="AI41" s="919"/>
      <c r="AJ41" s="919"/>
      <c r="AK41" s="919"/>
      <c r="AL41" s="920"/>
      <c r="AM41" s="912"/>
      <c r="AN41" s="913"/>
      <c r="AO41" s="914"/>
    </row>
    <row r="42" spans="1:42" ht="36" customHeight="1">
      <c r="A42" s="859"/>
      <c r="B42" s="900"/>
      <c r="C42" s="901"/>
      <c r="D42" s="888"/>
      <c r="E42" s="889"/>
      <c r="F42" s="888"/>
      <c r="G42" s="889"/>
      <c r="H42" s="907"/>
      <c r="I42" s="908"/>
      <c r="J42" s="907"/>
      <c r="K42" s="908"/>
      <c r="AC42" s="915" t="e">
        <f>IF('data dash'!#REF!=0,"",'data dash'!#REF!)</f>
        <v>#REF!</v>
      </c>
      <c r="AD42" s="916"/>
      <c r="AE42" s="916"/>
      <c r="AF42" s="916"/>
      <c r="AG42" s="916"/>
      <c r="AH42" s="916"/>
      <c r="AI42" s="916"/>
      <c r="AJ42" s="916"/>
      <c r="AK42" s="916"/>
      <c r="AL42" s="917"/>
      <c r="AM42" s="909" t="e">
        <f>IF('data dash'!#REF!=0,"",'data dash'!#REF!)</f>
        <v>#REF!</v>
      </c>
      <c r="AN42" s="910"/>
      <c r="AO42" s="911"/>
    </row>
    <row r="43" spans="1:42" ht="36" customHeight="1">
      <c r="A43" s="859"/>
      <c r="B43" s="896">
        <f ca="1">IF(COUNTIF('INHERENT MAP'!$N$10:$N$57, "ВЕРОЯТНОСТЬ  1  ВЛИЯНИЕ  4")=0,"0",COUNTIF('INHERENT MAP'!$N$10:$N$57, "ВЕРОЯТНОСТЬ  1  ВЛИЯНИЕ  4"))+IF(COUNTIF('INHERENT MAP'!$U$10:$U$57, "ВЕРОЯТНОСТЬ  1  ВЛИЯНИЕ  4")=0,"0",COUNTIF('INHERENT MAP'!$U$10:$U$57, "ВЕРОЯТНОСТЬ  1  ВЛИЯНИЕ  4"))</f>
        <v>0</v>
      </c>
      <c r="C43" s="897"/>
      <c r="D43" s="884">
        <f ca="1">IF(COUNTIF('INHERENT MAP'!$N$10:$N$57, "ВЕРОЯТНОСТЬ  2  ВЛИЯНИЕ  4")=0,"0",COUNTIF('INHERENT MAP'!$N$10:$N$57, "ВЕРОЯТНОСТЬ  2  ВЛИЯНИЕ  4"))+IF(COUNTIF('INHERENT MAP'!$U$10:$U$57, "ВЕРОЯТНОСТЬ  2  ВЛИЯНИЕ  4")=0,"0",COUNTIF('INHERENT MAP'!$U$10:$U$57, "ВЕРОЯТНОСТЬ  2  ВЛИЯНИЕ  4"))</f>
        <v>0</v>
      </c>
      <c r="E43" s="885"/>
      <c r="F43" s="884">
        <f ca="1">IF(COUNTIF('INHERENT MAP'!$N$10:$N$57, "ВЕРОЯТНОСТЬ  3  ВЛИЯНИЕ  4")=0,"0",COUNTIF('INHERENT MAP'!$N$10:$N$57, "ВЕРОЯТНОСТЬ  3  ВЛИЯНИЕ  4"))+IF(COUNTIF('INHERENT MAP'!$U$10:$U$57, "ВЕРОЯТНОСТЬ  3  ВЛИЯНИЕ  4")=0,"0",COUNTIF('INHERENT MAP'!$U$10:$U$57, "ВЕРОЯТНОСТЬ  3  ВЛИЯНИЕ  4"))</f>
        <v>0</v>
      </c>
      <c r="G43" s="885"/>
      <c r="H43" s="884">
        <f ca="1">IF(COUNTIF('INHERENT MAP'!$N$10:$N$57, "ВЕРОЯТНОСТЬ  4  ВЛИЯНИЕ  4")=0,"0",COUNTIF('INHERENT MAP'!$N$10:$N$57, "ВЕРОЯТНОСТЬ  4  ВЛИЯНИЕ  4"))+IF(COUNTIF('INHERENT MAP'!$U$10:$U$57, "ВЕРОЯТНОСТЬ  4  ВЛИЯНИЕ  4")=0,"0",COUNTIF('INHERENT MAP'!$U$10:$U$57, "ВЕРОЯТНОСТЬ  4  ВЛИЯНИЕ  4"))</f>
        <v>1</v>
      </c>
      <c r="I43" s="885"/>
      <c r="J43" s="903">
        <f ca="1">IF(COUNTIF('INHERENT MAP'!$N$10:$N$57, "ВЕРОЯТНОСТЬ  5  ВЛИЯНИЕ  4")=0,"0",COUNTIF('INHERENT MAP'!$N$10:$N$57, "ВЕРОЯТНОСТЬ  5  ВЛИЯНИЕ  4"))+IF(COUNTIF('INHERENT MAP'!$U$10:$U$57, "ВЕРОЯТНОСТЬ  5  ВЛИЯНИЕ  4")=0,"0",COUNTIF('INHERENT MAP'!$U$10:$U$57, "ВЕРОЯТНОСТЬ  5  ВЛИЯНИЕ  4"))</f>
        <v>0</v>
      </c>
      <c r="K43" s="904"/>
      <c r="AC43" s="918"/>
      <c r="AD43" s="919"/>
      <c r="AE43" s="919"/>
      <c r="AF43" s="919"/>
      <c r="AG43" s="919"/>
      <c r="AH43" s="919"/>
      <c r="AI43" s="919"/>
      <c r="AJ43" s="919"/>
      <c r="AK43" s="919"/>
      <c r="AL43" s="920"/>
      <c r="AM43" s="912"/>
      <c r="AN43" s="913"/>
      <c r="AO43" s="914"/>
    </row>
    <row r="44" spans="1:42" ht="36" customHeight="1">
      <c r="A44" s="859"/>
      <c r="B44" s="898"/>
      <c r="C44" s="899"/>
      <c r="D44" s="886"/>
      <c r="E44" s="887"/>
      <c r="F44" s="886"/>
      <c r="G44" s="887"/>
      <c r="H44" s="886"/>
      <c r="I44" s="887"/>
      <c r="J44" s="905"/>
      <c r="K44" s="906"/>
      <c r="AC44" s="915" t="e">
        <f>IF('data dash'!#REF!=0,"",'data dash'!#REF!)</f>
        <v>#REF!</v>
      </c>
      <c r="AD44" s="916"/>
      <c r="AE44" s="916"/>
      <c r="AF44" s="916"/>
      <c r="AG44" s="916"/>
      <c r="AH44" s="916"/>
      <c r="AI44" s="916"/>
      <c r="AJ44" s="916"/>
      <c r="AK44" s="916"/>
      <c r="AL44" s="917"/>
      <c r="AM44" s="909" t="e">
        <f>IF('data dash'!#REF!=0,"",'data dash'!#REF!)</f>
        <v>#REF!</v>
      </c>
      <c r="AN44" s="910"/>
      <c r="AO44" s="911"/>
    </row>
    <row r="45" spans="1:42" ht="36" customHeight="1">
      <c r="A45" s="859"/>
      <c r="B45" s="900"/>
      <c r="C45" s="901"/>
      <c r="D45" s="888"/>
      <c r="E45" s="889"/>
      <c r="F45" s="888"/>
      <c r="G45" s="889"/>
      <c r="H45" s="888"/>
      <c r="I45" s="889"/>
      <c r="J45" s="907"/>
      <c r="K45" s="908"/>
      <c r="AC45" s="918"/>
      <c r="AD45" s="919"/>
      <c r="AE45" s="919"/>
      <c r="AF45" s="919"/>
      <c r="AG45" s="919"/>
      <c r="AH45" s="919"/>
      <c r="AI45" s="919"/>
      <c r="AJ45" s="919"/>
      <c r="AK45" s="919"/>
      <c r="AL45" s="920"/>
      <c r="AM45" s="912"/>
      <c r="AN45" s="913"/>
      <c r="AO45" s="914"/>
    </row>
    <row r="46" spans="1:42" ht="36" customHeight="1">
      <c r="A46" s="859"/>
      <c r="B46" s="896">
        <f ca="1">IF(COUNTIF('INHERENT MAP'!$N$10:$N$57, "ВЕРОЯТНОСТЬ  1  ВЛИЯНИЕ  3")=0,"0",COUNTIF('INHERENT MAP'!$N$10:$N$57, "ВЕРОЯТНОСТЬ  1  ВЛИЯНИЕ  3"))+IF(COUNTIF('INHERENT MAP'!$U$10:$U$57, "ВЕРОЯТНОСТЬ  1  ВЛИЯНИЕ  3")=0,"0",COUNTIF('INHERENT MAP'!$U$10:$U$57, "ВЕРОЯТНОСТЬ  1  ВЛИЯНИЕ  3"))</f>
        <v>0</v>
      </c>
      <c r="C46" s="897"/>
      <c r="D46" s="896">
        <f ca="1">IF(COUNTIF('INHERENT MAP'!$N$10:$N$57, "ВЕРОЯТНОСТЬ  2  ВЛИЯНИЕ  3")=0,"0",COUNTIF('INHERENT MAP'!$N$10:$N$57, "ВЕРОЯТНОСТЬ  2  ВЛИЯНИЕ  3"))+IF(COUNTIF('INHERENT MAP'!$U$10:$U$57, "ВЕРОЯТНОСТЬ  2  ВЛИЯНИЕ  3")=0,"0",COUNTIF('INHERENT MAP'!$U$10:$U$57, "ВЕРОЯТНОСТЬ  2  ВЛИЯНИЕ  3"))</f>
        <v>0</v>
      </c>
      <c r="E46" s="897"/>
      <c r="F46" s="884">
        <f ca="1">IF(COUNTIF('INHERENT MAP'!$N$10:$N$57, "ВЕРОЯТНОСТЬ  3  ВЛИЯНИЕ  3")=0,"0",COUNTIF('INHERENT MAP'!$N$10:$N$57, "ВЕРОЯТНОСТЬ  3  ВЛИЯНИЕ  3"))+IF(COUNTIF('INHERENT MAP'!$U$10:$U$57, "ВЕРОЯТНОСТЬ  3  ВЛИЯНИЕ  3")=0,"0",COUNTIF('INHERENT MAP'!$U$10:$U$57, "ВЕРОЯТНОСТЬ  3  ВЛИЯНИЕ  3"))</f>
        <v>1</v>
      </c>
      <c r="G46" s="885"/>
      <c r="H46" s="884">
        <f ca="1">IF(COUNTIF('INHERENT MAP'!$N$10:$N$57, "ВЕРОЯТНОСТЬ  4  ВЛИЯНИЕ  3")=0,"0",COUNTIF('INHERENT MAP'!$N$10:$N$57, "ВЕРОЯТНОСТЬ  4  ВЛИЯНИЕ  3"))+IF(COUNTIF('INHERENT MAP'!$U$10:$U$57, "ВЕРОЯТНОСТЬ  4  ВЛИЯНИЕ  3")=0,"0",COUNTIF('INHERENT MAP'!$U$10:$U$57, "ВЕРОЯТНОСТЬ  4  ВЛИЯНИЕ  3"))</f>
        <v>2</v>
      </c>
      <c r="I46" s="885"/>
      <c r="J46" s="884">
        <f ca="1">IF(COUNTIF('INHERENT MAP'!$N$10:$N$57, "ВЕРОЯТНОСТЬ  5  ВЛИЯНИЕ  3")=0,"0",COUNTIF('INHERENT MAP'!$N$10:$N$57, "ВЕРОЯТНОСТЬ  5  ВЛИЯНИЕ  3"))+IF(COUNTIF('INHERENT MAP'!$U$10:$U$57, "ВЕРОЯТНОСТЬ  5  ВЛИЯНИЕ  3")=0,"0",COUNTIF('INHERENT MAP'!$U$10:$U$57, "ВЕРОЯТНОСТЬ  5  ВЛИЯНИЕ  3"))</f>
        <v>1</v>
      </c>
      <c r="K46" s="885"/>
      <c r="AC46" s="915" t="str">
        <f>IF('data dash'!AC7=0,"",'data dash'!AC7)</f>
        <v/>
      </c>
      <c r="AD46" s="916"/>
      <c r="AE46" s="916"/>
      <c r="AF46" s="916"/>
      <c r="AG46" s="916"/>
      <c r="AH46" s="916"/>
      <c r="AI46" s="916"/>
      <c r="AJ46" s="916"/>
      <c r="AK46" s="916"/>
      <c r="AL46" s="917"/>
      <c r="AM46" s="909" t="str">
        <f>IF('data dash'!AD7=0,"",'data dash'!AD7)</f>
        <v/>
      </c>
      <c r="AN46" s="910"/>
      <c r="AO46" s="911"/>
    </row>
    <row r="47" spans="1:42" ht="36" customHeight="1">
      <c r="A47" s="859"/>
      <c r="B47" s="898"/>
      <c r="C47" s="899"/>
      <c r="D47" s="898"/>
      <c r="E47" s="899"/>
      <c r="F47" s="886"/>
      <c r="G47" s="887"/>
      <c r="H47" s="886"/>
      <c r="I47" s="887"/>
      <c r="J47" s="886"/>
      <c r="K47" s="887"/>
      <c r="AC47" s="918"/>
      <c r="AD47" s="919"/>
      <c r="AE47" s="919"/>
      <c r="AF47" s="919"/>
      <c r="AG47" s="919"/>
      <c r="AH47" s="919"/>
      <c r="AI47" s="919"/>
      <c r="AJ47" s="919"/>
      <c r="AK47" s="919"/>
      <c r="AL47" s="920"/>
      <c r="AM47" s="912"/>
      <c r="AN47" s="913"/>
      <c r="AO47" s="914"/>
    </row>
    <row r="48" spans="1:42" ht="36" customHeight="1">
      <c r="A48" s="859"/>
      <c r="B48" s="900"/>
      <c r="C48" s="901"/>
      <c r="D48" s="900"/>
      <c r="E48" s="901"/>
      <c r="F48" s="888"/>
      <c r="G48" s="889"/>
      <c r="H48" s="888"/>
      <c r="I48" s="889"/>
      <c r="J48" s="888"/>
      <c r="K48" s="889"/>
      <c r="AC48" s="915" t="str">
        <f>IF('data dash'!AC8=0,"",'data dash'!AC8)</f>
        <v/>
      </c>
      <c r="AD48" s="916"/>
      <c r="AE48" s="916"/>
      <c r="AF48" s="916"/>
      <c r="AG48" s="916"/>
      <c r="AH48" s="916"/>
      <c r="AI48" s="916"/>
      <c r="AJ48" s="916"/>
      <c r="AK48" s="916"/>
      <c r="AL48" s="917"/>
      <c r="AM48" s="909" t="str">
        <f>IF('data dash'!AD8=0,"",'data dash'!AD8)</f>
        <v/>
      </c>
      <c r="AN48" s="910"/>
      <c r="AO48" s="911"/>
    </row>
    <row r="49" spans="1:41" ht="36" customHeight="1">
      <c r="A49" s="859"/>
      <c r="B49" s="890">
        <f ca="1">IF(COUNTIF('INHERENT MAP'!$N$10:$N$57, "ВЕРОЯТНОСТЬ  1  ВЛИЯНИЕ  2")=0,"0",COUNTIF('INHERENT MAP'!$N$10:$N$57, "ВЕРОЯТНОСТЬ  1  ВЛИЯНИЕ  2"))+IF(COUNTIF('INHERENT MAP'!$U$10:$U$57, "ВЕРОЯТНОСТЬ  1  ВЛИЯНИЕ  2")=0,"0",COUNTIF('INHERENT MAP'!$U$10:$U$57, "ВЕРОЯТНОСТЬ  1  ВЛИЯНИЕ  2"))</f>
        <v>0</v>
      </c>
      <c r="C49" s="891"/>
      <c r="D49" s="896">
        <f ca="1">IF(COUNTIF('INHERENT MAP'!$N$10:$N$57, "ВЕРОЯТНОСТЬ  2  ВЛИЯНИЕ  2")=0,"0",COUNTIF('INHERENT MAP'!$N$10:$N$57, "ВЕРОЯТНОСТЬ  2  ВЛИЯНИЕ  2"))+IF(COUNTIF('INHERENT MAP'!$U$10:$U$57, "ВЕРОЯТНОСТЬ  2  ВЛИЯНИЕ  2")=0,"0",COUNTIF('INHERENT MAP'!$U$10:$U$57, "ВЕРОЯТНОСТЬ  2  ВЛИЯНИЕ  2"))</f>
        <v>0</v>
      </c>
      <c r="E49" s="897"/>
      <c r="F49" s="896">
        <f ca="1">IF(COUNTIF('INHERENT MAP'!$N$10:$N$57, "ВЕРОЯТНОСТЬ  3  ВЛИЯНИЕ  2")=0,"0",COUNTIF('INHERENT MAP'!$N$10:$N$57, "ВЕРОЯТНОСТЬ  3  ВЛИЯНИЕ  2"))+IF(COUNTIF('INHERENT MAP'!$U$10:$U$57, "ВЕРОЯТНОСТЬ  3  ВЛИЯНИЕ  2")=0,"0",COUNTIF('INHERENT MAP'!$U$10:$U$57, "ВЕРОЯТНОСТЬ  3  ВЛИЯНИЕ  2"))</f>
        <v>1</v>
      </c>
      <c r="G49" s="897"/>
      <c r="H49" s="884">
        <f ca="1">IF(COUNTIF('INHERENT MAP'!$N$10:$N$57, "ВЕРОЯТНОСТЬ  4  ВЛИЯНИЕ  2")=0,"0",COUNTIF('INHERENT MAP'!$N$10:$N$57, "ВЕРОЯТНОСТЬ  4  ВЛИЯНИЕ  2"))+IF(COUNTIF('INHERENT MAP'!$U$10:$U$57, "ВЕРОЯТНОСТЬ  4  ВЛИЯНИЕ  2")=0,"0",COUNTIF('INHERENT MAP'!$U$10:$U$57, "ВЕРОЯТНОСТЬ  4  ВЛИЯНИЕ  2"))</f>
        <v>1</v>
      </c>
      <c r="I49" s="885"/>
      <c r="J49" s="884">
        <f ca="1">IF(COUNTIF('INHERENT MAP'!$N$10:$N$57, "ВЕРОЯТНОСТЬ  5  ВЛИЯНИЕ  2")=0,"0",COUNTIF('INHERENT MAP'!$N$10:$N$57, "ВЕРОЯТНОСТЬ  5  ВЛИЯНИЕ  2"))+IF(COUNTIF('INHERENT MAP'!$U$10:$U$57, "ВЕРОЯТНОСТЬ  5  ВЛИЯНИЕ  2")=0,"0",COUNTIF('INHERENT MAP'!$U$10:$U$57, "ВЕРОЯТНОСТЬ  5  ВЛИЯНИЕ  2"))</f>
        <v>0</v>
      </c>
      <c r="K49" s="885"/>
      <c r="AC49" s="918"/>
      <c r="AD49" s="919"/>
      <c r="AE49" s="919"/>
      <c r="AF49" s="919"/>
      <c r="AG49" s="919"/>
      <c r="AH49" s="919"/>
      <c r="AI49" s="919"/>
      <c r="AJ49" s="919"/>
      <c r="AK49" s="919"/>
      <c r="AL49" s="920"/>
      <c r="AM49" s="912"/>
      <c r="AN49" s="913"/>
      <c r="AO49" s="914"/>
    </row>
    <row r="50" spans="1:41" ht="36" customHeight="1">
      <c r="A50" s="859"/>
      <c r="B50" s="892"/>
      <c r="C50" s="893"/>
      <c r="D50" s="898"/>
      <c r="E50" s="899"/>
      <c r="F50" s="898"/>
      <c r="G50" s="899"/>
      <c r="H50" s="886"/>
      <c r="I50" s="887"/>
      <c r="J50" s="886"/>
      <c r="K50" s="887"/>
      <c r="AC50" s="915" t="str">
        <f>IF('data dash'!AC9=0,"",'data dash'!AC9)</f>
        <v/>
      </c>
      <c r="AD50" s="916"/>
      <c r="AE50" s="916"/>
      <c r="AF50" s="916"/>
      <c r="AG50" s="916"/>
      <c r="AH50" s="916"/>
      <c r="AI50" s="916"/>
      <c r="AJ50" s="916"/>
      <c r="AK50" s="916"/>
      <c r="AL50" s="917"/>
      <c r="AM50" s="909" t="str">
        <f>IF('data dash'!AD9=0,"",'data dash'!AD9)</f>
        <v/>
      </c>
      <c r="AN50" s="910"/>
      <c r="AO50" s="911"/>
    </row>
    <row r="51" spans="1:41" ht="36" customHeight="1">
      <c r="A51" s="859"/>
      <c r="B51" s="894"/>
      <c r="C51" s="895"/>
      <c r="D51" s="900"/>
      <c r="E51" s="901"/>
      <c r="F51" s="900"/>
      <c r="G51" s="901"/>
      <c r="H51" s="888"/>
      <c r="I51" s="889"/>
      <c r="J51" s="888"/>
      <c r="K51" s="889"/>
      <c r="AC51" s="918"/>
      <c r="AD51" s="919"/>
      <c r="AE51" s="919"/>
      <c r="AF51" s="919"/>
      <c r="AG51" s="919"/>
      <c r="AH51" s="919"/>
      <c r="AI51" s="919"/>
      <c r="AJ51" s="919"/>
      <c r="AK51" s="919"/>
      <c r="AL51" s="920"/>
      <c r="AM51" s="912"/>
      <c r="AN51" s="913"/>
      <c r="AO51" s="914"/>
    </row>
    <row r="52" spans="1:41" ht="36" customHeight="1">
      <c r="A52" s="859"/>
      <c r="B52" s="890">
        <f ca="1">IF(COUNTIF('INHERENT MAP'!$N$10:$N$57, "ВЕРОЯТНОСТЬ  1  ВЛИЯНИЕ  1")=0,"0",COUNTIF('INHERENT MAP'!$N$10:$N$57, "ВЕРОЯТНОСТЬ  1  ВЛИЯНИЕ  1"))+IF(COUNTIF('INHERENT MAP'!$U$10:$U$57, "ВЕРОЯТНОСТЬ  1  ВЛИЯНИЕ  1")=0,"0",COUNTIF('INHERENT MAP'!$U$10:$U$57, "ВЕРОЯТНОСТЬ  1  ВЛИЯНИЕ  1"))</f>
        <v>9</v>
      </c>
      <c r="C52" s="891"/>
      <c r="D52" s="890">
        <f ca="1">IF(COUNTIF('INHERENT MAP'!$N$10:$N$57, "ВЕРОЯТНОСТЬ  2  ВЛИЯНИЕ  1")=0,"0",COUNTIF('INHERENT MAP'!$N$10:$N$57, "ВЕРОЯТНОСТЬ  2  ВЛИЯНИЕ  1"))+IF(COUNTIF('INHERENT MAP'!$U$10:$U$57, "ВЕРОЯТНОСТЬ  2  ВЛИЯНИЕ  1")=0,"0",COUNTIF('INHERENT MAP'!$U$10:$U$57, "ВЕРОЯТНОСТЬ  2  ВЛИЯНИЕ  1"))</f>
        <v>3</v>
      </c>
      <c r="E52" s="891"/>
      <c r="F52" s="896">
        <f ca="1">IF(COUNTIF('INHERENT MAP'!$N$10:$N$57, "ВЕРОЯТНОСТЬ  3  ВЛИЯНИЕ  1")=0,"0",COUNTIF('INHERENT MAP'!$N$10:$N$57, "ВЕРОЯТНОСТЬ  3  ВЛИЯНИЕ  1"))+IF(COUNTIF('INHERENT MAP'!$U$10:$U$57, "ВЕРОЯТНОСТЬ  3  ВЛИЯНИЕ  1")=0,"0",COUNTIF('INHERENT MAP'!$U$10:$U$57, "ВЕРОЯТНОСТЬ  3  ВЛИЯНИЕ  1"))</f>
        <v>6</v>
      </c>
      <c r="G52" s="897"/>
      <c r="H52" s="896">
        <f ca="1">IF(COUNTIF('INHERENT MAP'!$N$10:$N$57, "ВЕРОЯТНОСТЬ  4  ВЛИЯНИЕ  1")=0,"0",COUNTIF('INHERENT MAP'!$N$10:$N$57, "ВЕРОЯТНОСТЬ  4  ВЛИЯНИЕ  1"))+IF(COUNTIF('INHERENT MAP'!$U$10:$U$57, "ВЕРОЯТНОСТЬ  4  ВЛИЯНИЕ  1")=0,"0",COUNTIF('INHERENT MAP'!$U$10:$U$57, "ВЕРОЯТНОСТЬ  4  ВЛИЯНИЕ  1"))</f>
        <v>5</v>
      </c>
      <c r="I52" s="897"/>
      <c r="J52" s="896">
        <f ca="1">IF(COUNTIF('INHERENT MAP'!$N$10:$N$57, "ВЕРОЯТНОСТЬ  5  ВЛИЯНИЕ  1")=0,"0",COUNTIF('INHERENT MAP'!$N$10:$N$57, "ВЕРОЯТНОСТЬ  5  ВЛИЯНИЕ  1"))+IF(COUNTIF('INHERENT MAP'!$U$10:$U$57, "ВЕРОЯТНОСТЬ  5  ВЛИЯНИЕ  1")=0,"0",COUNTIF('INHERENT MAP'!$U$10:$U$57, "ВЕРОЯТНОСТЬ  5  ВЛИЯНИЕ  1"))</f>
        <v>10</v>
      </c>
      <c r="K52" s="897"/>
      <c r="AC52" s="915" t="str">
        <f>IF('data dash'!AC10=0,"",'data dash'!AC10)</f>
        <v/>
      </c>
      <c r="AD52" s="916"/>
      <c r="AE52" s="916"/>
      <c r="AF52" s="916"/>
      <c r="AG52" s="916"/>
      <c r="AH52" s="916"/>
      <c r="AI52" s="916"/>
      <c r="AJ52" s="916"/>
      <c r="AK52" s="916"/>
      <c r="AL52" s="917"/>
      <c r="AM52" s="909" t="str">
        <f>IF('data dash'!AD10=0,"",'data dash'!AD10)</f>
        <v/>
      </c>
      <c r="AN52" s="910"/>
      <c r="AO52" s="911"/>
    </row>
    <row r="53" spans="1:41" ht="39.75" customHeight="1">
      <c r="A53" s="859"/>
      <c r="B53" s="892"/>
      <c r="C53" s="893"/>
      <c r="D53" s="892"/>
      <c r="E53" s="893"/>
      <c r="F53" s="898"/>
      <c r="G53" s="899"/>
      <c r="H53" s="898"/>
      <c r="I53" s="899"/>
      <c r="J53" s="898"/>
      <c r="K53" s="899"/>
      <c r="AC53" s="918"/>
      <c r="AD53" s="919"/>
      <c r="AE53" s="919"/>
      <c r="AF53" s="919"/>
      <c r="AG53" s="919"/>
      <c r="AH53" s="919"/>
      <c r="AI53" s="919"/>
      <c r="AJ53" s="919"/>
      <c r="AK53" s="919"/>
      <c r="AL53" s="920"/>
      <c r="AM53" s="912"/>
      <c r="AN53" s="913"/>
      <c r="AO53" s="914"/>
    </row>
    <row r="54" spans="1:41" ht="36" customHeight="1">
      <c r="A54" s="859"/>
      <c r="B54" s="894"/>
      <c r="C54" s="895"/>
      <c r="D54" s="894"/>
      <c r="E54" s="895"/>
      <c r="F54" s="900"/>
      <c r="G54" s="901"/>
      <c r="H54" s="900"/>
      <c r="I54" s="901"/>
      <c r="J54" s="900"/>
      <c r="K54" s="901"/>
      <c r="AC54" s="915" t="e">
        <f>IF('data dash'!#REF!=0,"",'data dash'!#REF!)</f>
        <v>#REF!</v>
      </c>
      <c r="AD54" s="916"/>
      <c r="AE54" s="916"/>
      <c r="AF54" s="916"/>
      <c r="AG54" s="916"/>
      <c r="AH54" s="916"/>
      <c r="AI54" s="916"/>
      <c r="AJ54" s="916"/>
      <c r="AK54" s="916"/>
      <c r="AL54" s="917"/>
      <c r="AM54" s="909" t="e">
        <f>IF('data dash'!#REF!=0,"",'data dash'!#REF!)</f>
        <v>#REF!</v>
      </c>
      <c r="AN54" s="910"/>
      <c r="AO54" s="911"/>
    </row>
    <row r="55" spans="1:41" ht="36" customHeight="1">
      <c r="B55" s="858" t="s">
        <v>100</v>
      </c>
      <c r="C55" s="858"/>
      <c r="D55" s="858"/>
      <c r="E55" s="858"/>
      <c r="F55" s="858"/>
      <c r="G55" s="858"/>
      <c r="H55" s="858"/>
      <c r="I55" s="858"/>
      <c r="J55" s="858"/>
      <c r="K55" s="858"/>
      <c r="AC55" s="918"/>
      <c r="AD55" s="919"/>
      <c r="AE55" s="919"/>
      <c r="AF55" s="919"/>
      <c r="AG55" s="919"/>
      <c r="AH55" s="919"/>
      <c r="AI55" s="919"/>
      <c r="AJ55" s="919"/>
      <c r="AK55" s="919"/>
      <c r="AL55" s="920"/>
      <c r="AM55" s="912"/>
      <c r="AN55" s="913"/>
      <c r="AO55" s="914"/>
    </row>
    <row r="56" spans="1:41" ht="36" customHeight="1">
      <c r="B56" s="902" t="s">
        <v>223</v>
      </c>
      <c r="C56" s="902"/>
      <c r="D56" s="902"/>
      <c r="E56" s="902"/>
      <c r="F56" s="902"/>
      <c r="G56" s="902"/>
      <c r="H56" s="902"/>
      <c r="I56" s="902"/>
      <c r="J56" s="902"/>
      <c r="K56" s="902"/>
      <c r="AC56" s="915" t="e">
        <f>IF('data dash'!#REF!=0,"",'data dash'!#REF!)</f>
        <v>#REF!</v>
      </c>
      <c r="AD56" s="916"/>
      <c r="AE56" s="916"/>
      <c r="AF56" s="916"/>
      <c r="AG56" s="916"/>
      <c r="AH56" s="916"/>
      <c r="AI56" s="916"/>
      <c r="AJ56" s="916"/>
      <c r="AK56" s="916"/>
      <c r="AL56" s="917"/>
      <c r="AM56" s="909" t="e">
        <f>IF('data dash'!#REF!=0,"",'data dash'!#REF!)</f>
        <v>#REF!</v>
      </c>
      <c r="AN56" s="910"/>
      <c r="AO56" s="911"/>
    </row>
    <row r="57" spans="1:41" ht="36" customHeight="1">
      <c r="A57" s="859" t="s">
        <v>167</v>
      </c>
      <c r="B57" s="866">
        <f ca="1">IF(SUMIF('INHERENT MAP'!$N$10:$N$57, "ВЕРОЯТНОСТЬ  1  ВЛИЯНИЕ  5",'INHERENT MAP'!$P$10:$P$28)=0,"0",SUMIF('INHERENT MAP'!$N$10:$N$57, "ВЕРОЯТНОСТЬ  1  ВЛИЯНИЕ  5",'INHERENT MAP'!$P$10:$P$28))+IF(SUMIF('INHERENT MAP'!$U$10:$U$57, "ВЕРОЯТНОСТЬ  1  ВЛИЯНИЕ  5",'INHERENT MAP'!$AE$9:$AE$58)=0,"0",SUMIF('INHERENT MAP'!$U$10:$U$57, "ВЕРОЯТНОСТЬ  1  ВЛИЯНИЕ  5",'INHERENT MAP'!$AE$9:$AE$58))</f>
        <v>-37848</v>
      </c>
      <c r="C57" s="867"/>
      <c r="D57" s="872">
        <f ca="1">IF(SUMIF('INHERENT MAP'!$N$10:$N$57, "ВЕРОЯТНОСТЬ  2  ВЛИЯНИЕ  5",'INHERENT MAP'!$P$10:$P$28)=0,"0",SUMIF('INHERENT MAP'!$N$10:$N$57, "ВЕРОЯТНОСТЬ  2  ВЛИЯНИЕ  5",'INHERENT MAP'!$P$10:$P$28))+IF(SUMIF('INHERENT MAP'!$U$10:$U$57, "ВЕРОЯТНОСТЬ  2  ВЛИЯНИЕ  5",'INHERENT MAP'!$AE$9:$AE$58)=0,"0",SUMIF('INHERENT MAP'!$U$10:$U$57, "ВЕРОЯТНОСТЬ  2  ВЛИЯНИЕ  5",'INHERENT MAP'!$AE$9:$AE$58))</f>
        <v>-39090.749497227567</v>
      </c>
      <c r="E57" s="873"/>
      <c r="F57" s="878">
        <f ca="1">IF(SUMIF('INHERENT MAP'!$N$10:$N$57, "ВЕРОЯТНОСТЬ  3  ВЛИЯНИЕ  5",'INHERENT MAP'!$P$10:$P$28)=0,"0",SUMIF('INHERENT MAP'!$N$10:$N$57, "ВЕРОЯТНОСТЬ  3  ВЛИЯНИЕ  5",'INHERENT MAP'!$P$10:$P$28))+IF(SUMIF('INHERENT MAP'!$U$10:$U$57, "ВЕРОЯТНОСТЬ  3  ВЛИЯНИЕ  5",'INHERENT MAP'!$AE$9:$AE$58)=0,"0",SUMIF('INHERENT MAP'!$U$10:$U$57, "ВЕРОЯТНОСТЬ  3  ВЛИЯНИЕ  5",'INHERENT MAP'!$AE$9:$AE$58))</f>
        <v>-10553</v>
      </c>
      <c r="G57" s="879"/>
      <c r="H57" s="878">
        <f ca="1">IF(SUMIF('INHERENT MAP'!$N$10:$N$57, "ВЕРОЯТНОСТЬ  4  ВЛИЯНИЕ  5",'INHERENT MAP'!$P$10:$P$28)=0,"0",SUMIF('INHERENT MAP'!$N$10:$N$57, "ВЕРОЯТНОСТЬ  4  ВЛИЯНИЕ  5",'INHERENT MAP'!$P$10:$P$28))+IF(SUMIF('INHERENT MAP'!$U$10:$U$57, "ВЕРОЯТНОСТЬ  4  ВЛИЯНИЕ  5",'INHERENT MAP'!$AE$9:$AE$58)=0,"0",SUMIF('INHERENT MAP'!$U$10:$U$57, "ВЕРОЯТНОСТЬ  4  ВЛИЯНИЕ  5",'INHERENT MAP'!$AE$9:$AE$58))</f>
        <v>-76502.400000000023</v>
      </c>
      <c r="I57" s="879"/>
      <c r="J57" s="878">
        <f ca="1">IF(SUMIF('INHERENT MAP'!$N$10:$N$57, "ВЕРОЯТНОСТЬ  5  ВЛИЯНИЕ  5",'INHERENT MAP'!$P$10:$P$28)=0,"0",SUMIF('INHERENT MAP'!$N$10:$N$57, "ВЕРОЯТНОСТЬ  5  ВЛИЯНИЕ  5",'INHERENT MAP'!$P$10:$P$28))+IF(SUMIF('INHERENT MAP'!$U$10:$U$57, "ВЕРОЯТНОСТЬ  5  ВЛИЯНИЕ  5",'INHERENT MAP'!$AE$9:$AE$58)=0,"0",SUMIF('INHERENT MAP'!$U$10:$U$57, "ВЕРОЯТНОСТЬ  5  ВЛИЯНИЕ  5",'INHERENT MAP'!$AE$9:$AE$58))</f>
        <v>-154096.94000999999</v>
      </c>
      <c r="K57" s="879"/>
      <c r="AC57" s="918"/>
      <c r="AD57" s="919"/>
      <c r="AE57" s="919"/>
      <c r="AF57" s="919"/>
      <c r="AG57" s="919"/>
      <c r="AH57" s="919"/>
      <c r="AI57" s="919"/>
      <c r="AJ57" s="919"/>
      <c r="AK57" s="919"/>
      <c r="AL57" s="920"/>
      <c r="AM57" s="912"/>
      <c r="AN57" s="913"/>
      <c r="AO57" s="914"/>
    </row>
    <row r="58" spans="1:41" ht="36" customHeight="1">
      <c r="A58" s="859"/>
      <c r="B58" s="868"/>
      <c r="C58" s="869"/>
      <c r="D58" s="874"/>
      <c r="E58" s="875"/>
      <c r="F58" s="880"/>
      <c r="G58" s="881"/>
      <c r="H58" s="880"/>
      <c r="I58" s="881"/>
      <c r="J58" s="880"/>
      <c r="K58" s="881"/>
      <c r="AC58" s="915" t="e">
        <f>IF('data dash'!#REF!=0,"",'data dash'!#REF!)</f>
        <v>#REF!</v>
      </c>
      <c r="AD58" s="916"/>
      <c r="AE58" s="916"/>
      <c r="AF58" s="916"/>
      <c r="AG58" s="916"/>
      <c r="AH58" s="916"/>
      <c r="AI58" s="916"/>
      <c r="AJ58" s="916"/>
      <c r="AK58" s="916"/>
      <c r="AL58" s="917"/>
      <c r="AM58" s="909" t="e">
        <f>IF('data dash'!#REF!=0,"",'data dash'!#REF!)</f>
        <v>#REF!</v>
      </c>
      <c r="AN58" s="910"/>
      <c r="AO58" s="911"/>
    </row>
    <row r="59" spans="1:41" ht="36" customHeight="1">
      <c r="A59" s="859"/>
      <c r="B59" s="870"/>
      <c r="C59" s="871"/>
      <c r="D59" s="876"/>
      <c r="E59" s="877"/>
      <c r="F59" s="882"/>
      <c r="G59" s="883"/>
      <c r="H59" s="882"/>
      <c r="I59" s="883"/>
      <c r="J59" s="882"/>
      <c r="K59" s="883"/>
      <c r="AC59" s="918"/>
      <c r="AD59" s="919"/>
      <c r="AE59" s="919"/>
      <c r="AF59" s="919"/>
      <c r="AG59" s="919"/>
      <c r="AH59" s="919"/>
      <c r="AI59" s="919"/>
      <c r="AJ59" s="919"/>
      <c r="AK59" s="919"/>
      <c r="AL59" s="920"/>
      <c r="AM59" s="912"/>
      <c r="AN59" s="913"/>
      <c r="AO59" s="914"/>
    </row>
    <row r="60" spans="1:41" ht="36" customHeight="1">
      <c r="A60" s="859"/>
      <c r="B60" s="866">
        <f ca="1">IF(SUMIF('INHERENT MAP'!$N$10:$N$57, "ВЕРОЯТНОСТЬ  1  ВЛИЯНИЕ  4",'INHERENT MAP'!$P$10:$P$28)=0,"0",SUMIF('INHERENT MAP'!$N$10:$N$57, "ВЕРОЯТНОСТЬ  1  ВЛИЯНИЕ  4",'INHERENT MAP'!$P$10:$P$28))+IF(SUMIF('INHERENT MAP'!$U$10:$U$57, "ВЕРОЯТНОСТЬ  1  ВЛИЯНИЕ  4",'INHERENT MAP'!$AE$9:$AE$58)=0,"0",SUMIF('INHERENT MAP'!$U$10:$U$57, "ВЕРОЯТНОСТЬ  1  ВЛИЯНИЕ  4",'INHERENT MAP'!$AE$9:$AE$58))</f>
        <v>0</v>
      </c>
      <c r="C60" s="867"/>
      <c r="D60" s="872">
        <f ca="1">IF(SUMIF('INHERENT MAP'!$N$10:$N$57, "ВЕРОЯТНОСТЬ  2  ВЛИЯНИЕ  4",'INHERENT MAP'!$P$10:$P$28)=0,"0",SUMIF('INHERENT MAP'!$N$10:$N$57, "ВЕРОЯТНОСТЬ  2  ВЛИЯНИЕ  4",'INHERENT MAP'!$P$10:$P$28))+IF(SUMIF('INHERENT MAP'!$U$10:$U$57, "ВЕРОЯТНОСТЬ  2  ВЛИЯНИЕ  4",'INHERENT MAP'!$AE$9:$AE$58)=0,"0",SUMIF('INHERENT MAP'!$U$10:$U$57, "ВЕРОЯТНОСТЬ  2  ВЛИЯНИЕ  4",'INHERENT MAP'!$AE$9:$AE$58))</f>
        <v>0</v>
      </c>
      <c r="E60" s="873"/>
      <c r="F60" s="872">
        <f ca="1">IF(SUMIF('INHERENT MAP'!$N$10:$N$57, "ВЕРОЯТНОСТЬ  3  ВЛИЯНИЕ  4",'INHERENT MAP'!$P$10:$P$28)=0,"0",SUMIF('INHERENT MAP'!$N$10:$N$57, "ВЕРОЯТНОСТЬ  3  ВЛИЯНИЕ  4",'INHERENT MAP'!$P$10:$P$28))+IF(SUMIF('INHERENT MAP'!$U$10:$U$57, "ВЕРОЯТНОСТЬ  3  ВЛИЯНИЕ  4",'INHERENT MAP'!$AE$9:$AE$58)=0,"0",SUMIF('INHERENT MAP'!$U$10:$U$57, "ВЕРОЯТНОСТЬ  3  ВЛИЯНИЕ  4",'INHERENT MAP'!$AE$9:$AE$58))</f>
        <v>0</v>
      </c>
      <c r="G60" s="873"/>
      <c r="H60" s="878">
        <f ca="1">IF(SUMIF('INHERENT MAP'!$N$10:$N$57, "ВЕРОЯТНОСТЬ  4  ВЛИЯНИЕ  4",'INHERENT MAP'!$P$10:$P$28)=0,"0",SUMIF('INHERENT MAP'!$N$10:$N$57, "ВЕРОЯТНОСТЬ  4  ВЛИЯНИЕ  4",'INHERENT MAP'!$P$10:$P$28))+IF(SUMIF('INHERENT MAP'!$U$10:$U$57, "ВЕРОЯТНОСТЬ  4  ВЛИЯНИЕ  4",'INHERENT MAP'!$AE$9:$AE$58)=0,"0",SUMIF('INHERENT MAP'!$U$10:$U$57, "ВЕРОЯТНОСТЬ  4  ВЛИЯНИЕ  4",'INHERENT MAP'!$AE$9:$AE$58))</f>
        <v>-1757.53</v>
      </c>
      <c r="I60" s="879"/>
      <c r="J60" s="878">
        <f ca="1">IF(SUMIF('INHERENT MAP'!$N$10:$N$57, "ВЕРОЯТНОСТЬ  5  ВЛИЯНИЕ  4",'INHERENT MAP'!$P$10:$P$28)=0,"0",SUMIF('INHERENT MAP'!$N$10:$N$57, "ВЕРОЯТНОСТЬ  5  ВЛИЯНИЕ  4",'INHERENT MAP'!$P$10:$P$28))+IF(SUMIF('INHERENT MAP'!$U$10:$U$57, "ВЕРОЯТНОСТЬ  5  ВЛИЯНИЕ  4",'INHERENT MAP'!$AE$9:$AE$58)=0,"0",SUMIF('INHERENT MAP'!$U$10:$U$57, "ВЕРОЯТНОСТЬ  5  ВЛИЯНИЕ  4",'INHERENT MAP'!$AE$9:$AE$58))</f>
        <v>0</v>
      </c>
      <c r="K60" s="879"/>
      <c r="AC60" s="915" t="e">
        <f>IF('data dash'!#REF!=0,"",'data dash'!#REF!)</f>
        <v>#REF!</v>
      </c>
      <c r="AD60" s="916"/>
      <c r="AE60" s="916"/>
      <c r="AF60" s="916"/>
      <c r="AG60" s="916"/>
      <c r="AH60" s="916"/>
      <c r="AI60" s="916"/>
      <c r="AJ60" s="916"/>
      <c r="AK60" s="916"/>
      <c r="AL60" s="917"/>
      <c r="AM60" s="909" t="e">
        <f>IF('data dash'!#REF!=0,"",'data dash'!#REF!)</f>
        <v>#REF!</v>
      </c>
      <c r="AN60" s="910"/>
      <c r="AO60" s="911"/>
    </row>
    <row r="61" spans="1:41" ht="36" customHeight="1">
      <c r="A61" s="859"/>
      <c r="B61" s="868"/>
      <c r="C61" s="869"/>
      <c r="D61" s="874"/>
      <c r="E61" s="875"/>
      <c r="F61" s="874"/>
      <c r="G61" s="875"/>
      <c r="H61" s="880"/>
      <c r="I61" s="881"/>
      <c r="J61" s="880"/>
      <c r="K61" s="881"/>
      <c r="AC61" s="918"/>
      <c r="AD61" s="919"/>
      <c r="AE61" s="919"/>
      <c r="AF61" s="919"/>
      <c r="AG61" s="919"/>
      <c r="AH61" s="919"/>
      <c r="AI61" s="919"/>
      <c r="AJ61" s="919"/>
      <c r="AK61" s="919"/>
      <c r="AL61" s="920"/>
      <c r="AM61" s="912"/>
      <c r="AN61" s="913"/>
      <c r="AO61" s="914"/>
    </row>
    <row r="62" spans="1:41" ht="36" customHeight="1">
      <c r="A62" s="859"/>
      <c r="B62" s="870"/>
      <c r="C62" s="871"/>
      <c r="D62" s="876"/>
      <c r="E62" s="877"/>
      <c r="F62" s="876"/>
      <c r="G62" s="877"/>
      <c r="H62" s="882"/>
      <c r="I62" s="883"/>
      <c r="J62" s="882"/>
      <c r="K62" s="883"/>
      <c r="AC62" s="915" t="e">
        <f>IF('data dash'!#REF!=0,"",'data dash'!#REF!)</f>
        <v>#REF!</v>
      </c>
      <c r="AD62" s="916"/>
      <c r="AE62" s="916"/>
      <c r="AF62" s="916"/>
      <c r="AG62" s="916"/>
      <c r="AH62" s="916"/>
      <c r="AI62" s="916"/>
      <c r="AJ62" s="916"/>
      <c r="AK62" s="916"/>
      <c r="AL62" s="917"/>
      <c r="AM62" s="909" t="e">
        <f>IF('data dash'!#REF!=0,"",'data dash'!#REF!)</f>
        <v>#REF!</v>
      </c>
      <c r="AN62" s="910"/>
      <c r="AO62" s="911"/>
    </row>
    <row r="63" spans="1:41" ht="36" customHeight="1">
      <c r="A63" s="859"/>
      <c r="B63" s="866">
        <f ca="1">IF(SUMIF('INHERENT MAP'!$N$10:$N$57, "ВЕРОЯТНОСТЬ  1  ВЛИЯНИЕ  3",'INHERENT MAP'!$P$10:$P$28)=0,"0",SUMIF('INHERENT MAP'!$N$10:$N$57, "ВЕРОЯТНОСТЬ  1  ВЛИЯНИЕ  3",'INHERENT MAP'!$P$10:$P$28))+IF(SUMIF('INHERENT MAP'!$U$10:$U$57, "ВЕРОЯТНОСТЬ  1  ВЛИЯНИЕ  3",'INHERENT MAP'!$AE$9:$AE$58)=0,"0",SUMIF('INHERENT MAP'!$U$10:$U$57, "ВЕРОЯТНОСТЬ  1  ВЛИЯНИЕ  3",'INHERENT MAP'!$AE$9:$AE$58))</f>
        <v>0</v>
      </c>
      <c r="C63" s="867"/>
      <c r="D63" s="866">
        <f ca="1">IF(SUMIF('INHERENT MAP'!$N$10:$N$57, "ВЕРОЯТНОСТЬ  2  ВЛИЯНИЕ  3",'INHERENT MAP'!$P$10:$P$28)=0,"0",SUMIF('INHERENT MAP'!$N$10:$N$57, "ВЕРОЯТНОСТЬ  2  ВЛИЯНИЕ  3",'INHERENT MAP'!$P$10:$P$28))+IF(SUMIF('INHERENT MAP'!$U$10:$U$57, "ВЕРОЯТНОСТЬ  2  ВЛИЯНИЕ  3",'INHERENT MAP'!$AE$9:$AE$58)=0,"0",SUMIF('INHERENT MAP'!$U$10:$U$57, "ВЕРОЯТНОСТЬ  2  ВЛИЯНИЕ  3",'INHERENT MAP'!$AE$9:$AE$58))</f>
        <v>0</v>
      </c>
      <c r="E63" s="867"/>
      <c r="F63" s="872">
        <f ca="1">IF(SUMIF('INHERENT MAP'!$N$10:$N$57, "ВЕРОЯТНОСТЬ  3  ВЛИЯНИЕ  3",'INHERENT MAP'!$P$10:$P$28)=0,"0",SUMIF('INHERENT MAP'!$N$10:$N$57, "ВЕРОЯТНОСТЬ  3  ВЛИЯНИЕ  3",'INHERENT MAP'!$P$10:$P$28))+IF(SUMIF('INHERENT MAP'!$U$10:$U$57, "ВЕРОЯТНОСТЬ  3  ВЛИЯНИЕ  3",'INHERENT MAP'!$AE$9:$AE$58)=0,"0",SUMIF('INHERENT MAP'!$U$10:$U$57, "ВЕРОЯТНОСТЬ  3  ВЛИЯНИЕ  3",'INHERENT MAP'!$AE$9:$AE$58))</f>
        <v>-955.01400000000001</v>
      </c>
      <c r="G63" s="873"/>
      <c r="H63" s="872">
        <f ca="1">IF(SUMIF('INHERENT MAP'!$N$10:$N$57, "ВЕРОЯТНОСТЬ  4  ВЛИЯНИЕ  3",'INHERENT MAP'!$P$10:$P$28)=0,"0",SUMIF('INHERENT MAP'!$N$10:$N$57, "ВЕРОЯТНОСТЬ  4  ВЛИЯНИЕ  3",'INHERENT MAP'!$P$10:$P$28))+IF(SUMIF('INHERENT MAP'!$U$10:$U$57, "ВЕРОЯТНОСТЬ  4  ВЛИЯНИЕ  3",'INHERENT MAP'!$AE$9:$AE$58)=0,"0",SUMIF('INHERENT MAP'!$U$10:$U$57, "ВЕРОЯТНОСТЬ  4  ВЛИЯНИЕ  3",'INHERENT MAP'!$AE$9:$AE$58))</f>
        <v>-577</v>
      </c>
      <c r="I63" s="873"/>
      <c r="J63" s="878">
        <f ca="1">IF(SUMIF('INHERENT MAP'!$N$10:$N$57, "ВЕРОЯТНОСТЬ  5  ВЛИЯНИЕ  3",'INHERENT MAP'!$P$10:$P$28)=0,"0",SUMIF('INHERENT MAP'!$N$10:$N$57, "ВЕРОЯТНОСТЬ  5  ВЛИЯНИЕ  3",'INHERENT MAP'!$P$10:$P$28))+IF(SUMIF('INHERENT MAP'!$U$10:$U$57, "ВЕРОЯТНОСТЬ  5  ВЛИЯНИЕ  3",'INHERENT MAP'!$AE$9:$AE$58)=0,"0",SUMIF('INHERENT MAP'!$U$10:$U$57, "ВЕРОЯТНОСТЬ  5  ВЛИЯНИЕ  3",'INHERENT MAP'!$AE$9:$AE$58))</f>
        <v>-69886.5</v>
      </c>
      <c r="K63" s="879"/>
      <c r="AC63" s="918"/>
      <c r="AD63" s="919"/>
      <c r="AE63" s="919"/>
      <c r="AF63" s="919"/>
      <c r="AG63" s="919"/>
      <c r="AH63" s="919"/>
      <c r="AI63" s="919"/>
      <c r="AJ63" s="919"/>
      <c r="AK63" s="919"/>
      <c r="AL63" s="920"/>
      <c r="AM63" s="912"/>
      <c r="AN63" s="913"/>
      <c r="AO63" s="914"/>
    </row>
    <row r="64" spans="1:41" ht="36" customHeight="1">
      <c r="A64" s="859"/>
      <c r="B64" s="868"/>
      <c r="C64" s="869"/>
      <c r="D64" s="868"/>
      <c r="E64" s="869"/>
      <c r="F64" s="874"/>
      <c r="G64" s="875"/>
      <c r="H64" s="874"/>
      <c r="I64" s="875"/>
      <c r="J64" s="880"/>
      <c r="K64" s="881"/>
      <c r="AC64" s="915" t="e">
        <f>IF('data dash'!#REF!=0,"",'data dash'!#REF!)</f>
        <v>#REF!</v>
      </c>
      <c r="AD64" s="916"/>
      <c r="AE64" s="916"/>
      <c r="AF64" s="916"/>
      <c r="AG64" s="916"/>
      <c r="AH64" s="916"/>
      <c r="AI64" s="916"/>
      <c r="AJ64" s="916"/>
      <c r="AK64" s="916"/>
      <c r="AL64" s="917"/>
      <c r="AM64" s="909" t="e">
        <f>IF('data dash'!#REF!=0,"",'data dash'!#REF!)</f>
        <v>#REF!</v>
      </c>
      <c r="AN64" s="910"/>
      <c r="AO64" s="911"/>
    </row>
    <row r="65" spans="1:41" ht="36" customHeight="1">
      <c r="A65" s="859"/>
      <c r="B65" s="870"/>
      <c r="C65" s="871"/>
      <c r="D65" s="870"/>
      <c r="E65" s="871"/>
      <c r="F65" s="876"/>
      <c r="G65" s="877"/>
      <c r="H65" s="876"/>
      <c r="I65" s="877"/>
      <c r="J65" s="882"/>
      <c r="K65" s="883"/>
      <c r="AC65" s="918"/>
      <c r="AD65" s="919"/>
      <c r="AE65" s="919"/>
      <c r="AF65" s="919"/>
      <c r="AG65" s="919"/>
      <c r="AH65" s="919"/>
      <c r="AI65" s="919"/>
      <c r="AJ65" s="919"/>
      <c r="AK65" s="919"/>
      <c r="AL65" s="920"/>
      <c r="AM65" s="912"/>
      <c r="AN65" s="913"/>
      <c r="AO65" s="914"/>
    </row>
    <row r="66" spans="1:41" ht="36" customHeight="1">
      <c r="A66" s="859"/>
      <c r="B66" s="860">
        <f ca="1">IF(SUMIF('INHERENT MAP'!$N$10:$N$57, "ВЕРОЯТНОСТЬ  1  ВЛИЯНИЕ  2",'INHERENT MAP'!$P$10:$P$28)=0,"0",SUMIF('INHERENT MAP'!$N$10:$N$57, "ВЕРОЯТНОСТЬ  1  ВЛИЯНИЕ  2",'INHERENT MAP'!$P$10:$P$28))+IF(SUMIF('INHERENT MAP'!$U$10:$U$57, "ВЕРОЯТНОСТЬ  1  ВЛИЯНИЕ  2",'INHERENT MAP'!$AE$9:$AE$58)=0,"0",SUMIF('INHERENT MAP'!$U$10:$U$57, "ВЕРОЯТНОСТЬ  1  ВЛИЯНИЕ  2",'INHERENT MAP'!$AE$9:$AE$58))</f>
        <v>0</v>
      </c>
      <c r="C66" s="861"/>
      <c r="D66" s="866">
        <f ca="1">IF(SUMIF('INHERENT MAP'!$N$10:$N$57, "ВЕРОЯТНОСТЬ  2  ВЛИЯНИЕ  2",'INHERENT MAP'!$P$10:$P$28)=0,"0",SUMIF('INHERENT MAP'!$N$10:$N$57, "ВЕРОЯТНОСТЬ  2  ВЛИЯНИЕ  2",'INHERENT MAP'!$P$10:$P$28))+IF(SUMIF('INHERENT MAP'!$U$10:$U$57, "ВЕРОЯТНОСТЬ  2  ВЛИЯНИЕ  2",'INHERENT MAP'!$AE$9:$AE$58)=0,"0",SUMIF('INHERENT MAP'!$U$10:$U$57, "ВЕРОЯТНОСТЬ  2  ВЛИЯНИЕ  2",'INHERENT MAP'!$AE$9:$AE$58))</f>
        <v>0</v>
      </c>
      <c r="E66" s="867"/>
      <c r="F66" s="866">
        <f ca="1">IF(SUMIF('INHERENT MAP'!$N$10:$N$57, "ВЕРОЯТНОСТЬ  3  ВЛИЯНИЕ  2",'INHERENT MAP'!$P$10:$P$28)=0,"0",SUMIF('INHERENT MAP'!$N$10:$N$57, "ВЕРОЯТНОСТЬ  3  ВЛИЯНИЕ  2",'INHERENT MAP'!$P$10:$P$28))+IF(SUMIF('INHERENT MAP'!$U$10:$U$57, "ВЕРОЯТНОСТЬ  3  ВЛИЯНИЕ  2",'INHERENT MAP'!$AE$9:$AE$58)=0,"0",SUMIF('INHERENT MAP'!$U$10:$U$57, "ВЕРОЯТНОСТЬ  3  ВЛИЯНИЕ  2",'INHERENT MAP'!$AE$9:$AE$58))</f>
        <v>0</v>
      </c>
      <c r="G66" s="867"/>
      <c r="H66" s="872">
        <f ca="1">IF(SUMIF('INHERENT MAP'!$N$10:$N$57, "ВЕРОЯТНОСТЬ  4  ВЛИЯНИЕ  2",'INHERENT MAP'!$P$10:$P$28)=0,"0",SUMIF('INHERENT MAP'!$N$10:$N$57, "ВЕРОЯТНОСТЬ  4  ВЛИЯНИЕ  2",'INHERENT MAP'!$P$10:$P$28))+IF(SUMIF('INHERENT MAP'!$U$10:$U$57, "ВЕРОЯТНОСТЬ  4  ВЛИЯНИЕ  2",'INHERENT MAP'!$AE$9:$AE$58)=0,"0",SUMIF('INHERENT MAP'!$U$10:$U$57, "ВЕРОЯТНОСТЬ  4  ВЛИЯНИЕ  2",'INHERENT MAP'!$AE$9:$AE$58))</f>
        <v>0</v>
      </c>
      <c r="I66" s="873"/>
      <c r="J66" s="872">
        <f ca="1">IF(SUMIF('INHERENT MAP'!$N$10:$N$57, "ВЕРОЯТНОСТЬ  5  ВЛИЯНИЕ  2",'INHERENT MAP'!$P$10:$P$28)=0,"0",SUMIF('INHERENT MAP'!$N$10:$N$57, "ВЕРОЯТНОСТЬ  5  ВЛИЯНИЕ  2",'INHERENT MAP'!$P$10:$P$28))+IF(SUMIF('INHERENT MAP'!$U$10:$U$57, "ВЕРОЯТНОСТЬ  5  ВЛИЯНИЕ  2",'INHERENT MAP'!$AE$9:$AE$58)=0,"0",SUMIF('INHERENT MAP'!$U$10:$U$57, "ВЕРОЯТНОСТЬ  5  ВЛИЯНИЕ  2",'INHERENT MAP'!$AE$9:$AE$58))</f>
        <v>0</v>
      </c>
      <c r="K66" s="873"/>
      <c r="AC66" s="915" t="e">
        <f>IF('data dash'!#REF!=0,"",'data dash'!#REF!)</f>
        <v>#REF!</v>
      </c>
      <c r="AD66" s="916"/>
      <c r="AE66" s="916"/>
      <c r="AF66" s="916"/>
      <c r="AG66" s="916"/>
      <c r="AH66" s="916"/>
      <c r="AI66" s="916"/>
      <c r="AJ66" s="916"/>
      <c r="AK66" s="916"/>
      <c r="AL66" s="917"/>
      <c r="AM66" s="909" t="e">
        <f>IF('data dash'!#REF!=0,"",'data dash'!#REF!)</f>
        <v>#REF!</v>
      </c>
      <c r="AN66" s="910"/>
      <c r="AO66" s="911"/>
    </row>
    <row r="67" spans="1:41" ht="36" customHeight="1">
      <c r="A67" s="859"/>
      <c r="B67" s="862"/>
      <c r="C67" s="863"/>
      <c r="D67" s="868"/>
      <c r="E67" s="869"/>
      <c r="F67" s="868"/>
      <c r="G67" s="869"/>
      <c r="H67" s="874"/>
      <c r="I67" s="875"/>
      <c r="J67" s="874"/>
      <c r="K67" s="875"/>
      <c r="AC67" s="918"/>
      <c r="AD67" s="919"/>
      <c r="AE67" s="919"/>
      <c r="AF67" s="919"/>
      <c r="AG67" s="919"/>
      <c r="AH67" s="919"/>
      <c r="AI67" s="919"/>
      <c r="AJ67" s="919"/>
      <c r="AK67" s="919"/>
      <c r="AL67" s="920"/>
      <c r="AM67" s="912"/>
      <c r="AN67" s="913"/>
      <c r="AO67" s="914"/>
    </row>
    <row r="68" spans="1:41" ht="36" customHeight="1">
      <c r="A68" s="859"/>
      <c r="B68" s="864"/>
      <c r="C68" s="865"/>
      <c r="D68" s="870"/>
      <c r="E68" s="871"/>
      <c r="F68" s="870"/>
      <c r="G68" s="871"/>
      <c r="H68" s="876"/>
      <c r="I68" s="877"/>
      <c r="J68" s="876"/>
      <c r="K68" s="877"/>
      <c r="AC68" s="915" t="e">
        <f>IF('data dash'!#REF!=0,"",'data dash'!#REF!)</f>
        <v>#REF!</v>
      </c>
      <c r="AD68" s="916"/>
      <c r="AE68" s="916"/>
      <c r="AF68" s="916"/>
      <c r="AG68" s="916"/>
      <c r="AH68" s="916"/>
      <c r="AI68" s="916"/>
      <c r="AJ68" s="916"/>
      <c r="AK68" s="916"/>
      <c r="AL68" s="917"/>
      <c r="AM68" s="909" t="e">
        <f>IF('data dash'!#REF!=0,"",'data dash'!#REF!)</f>
        <v>#REF!</v>
      </c>
      <c r="AN68" s="910"/>
      <c r="AO68" s="911"/>
    </row>
    <row r="69" spans="1:41" ht="36" customHeight="1">
      <c r="A69" s="859"/>
      <c r="B69" s="860">
        <f ca="1">IF(SUMIF('INHERENT MAP'!$N$10:$N$57, "ВЕРОЯТНОСТЬ  1  ВЛИЯНИЕ  1",'INHERENT MAP'!$P$10:$P$28)=0,"0",SUMIF('INHERENT MAP'!$N$10:$N$57, "ВЕРОЯТНОСТЬ  1  ВЛИЯНИЕ  1",'INHERENT MAP'!$P$10:$P$28))+IF(SUMIF('INHERENT MAP'!$U$10:$U$57, "ВЕРОЯТНОСТЬ  1  ВЛИЯНИЕ  1",'INHERENT MAP'!$AE$9:$AE$58)=0,"0",SUMIF('INHERENT MAP'!$U$10:$U$57, "ВЕРОЯТНОСТЬ  1  ВЛИЯНИЕ  1",'INHERENT MAP'!$AE$9:$AE$58))</f>
        <v>-15</v>
      </c>
      <c r="C69" s="861"/>
      <c r="D69" s="860">
        <f ca="1">IF(SUMIF('INHERENT MAP'!$N$10:$N$57, "ВЕРОЯТНОСТЬ  2  ВЛИЯНИЕ  1",'INHERENT MAP'!$P$10:$P$28)=0,"0",SUMIF('INHERENT MAP'!$N$10:$N$57, "ВЕРОЯТНОСТЬ  2  ВЛИЯНИЕ  1",'INHERENT MAP'!$P$10:$P$28))+IF(SUMIF('INHERENT MAP'!$U$10:$U$57, "ВЕРОЯТНОСТЬ  2  ВЛИЯНИЕ  1",'INHERENT MAP'!$AE$9:$AE$58)=0,"0",SUMIF('INHERENT MAP'!$U$10:$U$57, "ВЕРОЯТНОСТЬ  2  ВЛИЯНИЕ  1",'INHERENT MAP'!$AE$9:$AE$58))</f>
        <v>1715.1306880989828</v>
      </c>
      <c r="E69" s="861"/>
      <c r="F69" s="866">
        <f ca="1">IF(SUMIF('INHERENT MAP'!$N$10:$N$57, "ВЕРОЯТНОСТЬ  3  ВЛИЯНИЕ  1",'INHERENT MAP'!$P$10:$P$28)=0,"0",SUMIF('INHERENT MAP'!$N$10:$N$57, "ВЕРОЯТНОСТЬ  3  ВЛИЯНИЕ  1",'INHERENT MAP'!$P$10:$P$28))+IF(SUMIF('INHERENT MAP'!$U$10:$U$57, "ВЕРОЯТНОСТЬ  3  ВЛИЯНИЕ  1",'INHERENT MAP'!$AE$9:$AE$58)=0,"0",SUMIF('INHERENT MAP'!$U$10:$U$57, "ВЕРОЯТНОСТЬ  3  ВЛИЯНИЕ  1",'INHERENT MAP'!$AE$9:$AE$58))</f>
        <v>-50504.4</v>
      </c>
      <c r="G69" s="867"/>
      <c r="H69" s="866">
        <f ca="1">IF(SUMIF('INHERENT MAP'!$N$10:$N$57, "ВЕРОЯТНОСТЬ  4  ВЛИЯНИЕ  1",'INHERENT MAP'!$P$10:$P$28)=0,"0",SUMIF('INHERENT MAP'!$N$10:$N$57, "ВЕРОЯТНОСТЬ  4  ВЛИЯНИЕ  1",'INHERENT MAP'!$P$10:$P$28))+IF(SUMIF('INHERENT MAP'!$U$10:$U$57, "ВЕРОЯТНОСТЬ  4  ВЛИЯНИЕ  1",'INHERENT MAP'!$AE$9:$AE$58)=0,"0",SUMIF('INHERENT MAP'!$U$10:$U$57, "ВЕРОЯТНОСТЬ  4  ВЛИЯНИЕ  1",'INHERENT MAP'!$AE$9:$AE$58))</f>
        <v>-13600</v>
      </c>
      <c r="I69" s="867"/>
      <c r="J69" s="866">
        <f ca="1">IF(SUMIF('INHERENT MAP'!$N$10:$N$57, "ВЕРОЯТНОСТЬ  5  ВЛИЯНИЕ  1",'INHERENT MAP'!$P$10:$P$28)=0,"0",SUMIF('INHERENT MAP'!$N$10:$N$57, "ВЕРОЯТНОСТЬ  5  ВЛИЯНИЕ  1",'INHERENT MAP'!$P$10:$P$28))+IF(SUMIF('INHERENT MAP'!$U$10:$U$57, "ВЕРОЯТНОСТЬ  5  ВЛИЯНИЕ  1",'INHERENT MAP'!$AE$9:$AE$58)=0,"0",SUMIF('INHERENT MAP'!$U$10:$U$57, "ВЕРОЯТНОСТЬ  5  ВЛИЯНИЕ  1",'INHERENT MAP'!$AE$9:$AE$58))</f>
        <v>3991.6901719453786</v>
      </c>
      <c r="K69" s="867"/>
      <c r="AC69" s="918"/>
      <c r="AD69" s="919"/>
      <c r="AE69" s="919"/>
      <c r="AF69" s="919"/>
      <c r="AG69" s="919"/>
      <c r="AH69" s="919"/>
      <c r="AI69" s="919"/>
      <c r="AJ69" s="919"/>
      <c r="AK69" s="919"/>
      <c r="AL69" s="920"/>
      <c r="AM69" s="912"/>
      <c r="AN69" s="913"/>
      <c r="AO69" s="914"/>
    </row>
    <row r="70" spans="1:41" ht="36" customHeight="1">
      <c r="A70" s="859"/>
      <c r="B70" s="862"/>
      <c r="C70" s="863"/>
      <c r="D70" s="862"/>
      <c r="E70" s="863"/>
      <c r="F70" s="868"/>
      <c r="G70" s="869"/>
      <c r="H70" s="868"/>
      <c r="I70" s="869"/>
      <c r="J70" s="868"/>
      <c r="K70" s="869"/>
      <c r="AC70" s="915" t="e">
        <f>IF('data dash'!#REF!=0,"",'data dash'!#REF!)</f>
        <v>#REF!</v>
      </c>
      <c r="AD70" s="916"/>
      <c r="AE70" s="916"/>
      <c r="AF70" s="916"/>
      <c r="AG70" s="916"/>
      <c r="AH70" s="916"/>
      <c r="AI70" s="916"/>
      <c r="AJ70" s="916"/>
      <c r="AK70" s="916"/>
      <c r="AL70" s="917"/>
      <c r="AM70" s="909" t="e">
        <f>IF('data dash'!#REF!=0,"",'data dash'!#REF!)</f>
        <v>#REF!</v>
      </c>
      <c r="AN70" s="910"/>
      <c r="AO70" s="911"/>
    </row>
    <row r="71" spans="1:41" ht="36" customHeight="1">
      <c r="A71" s="859"/>
      <c r="B71" s="864"/>
      <c r="C71" s="865"/>
      <c r="D71" s="864"/>
      <c r="E71" s="865"/>
      <c r="F71" s="870"/>
      <c r="G71" s="871"/>
      <c r="H71" s="870"/>
      <c r="I71" s="871"/>
      <c r="J71" s="870"/>
      <c r="K71" s="871"/>
      <c r="AC71" s="918"/>
      <c r="AD71" s="919"/>
      <c r="AE71" s="919"/>
      <c r="AF71" s="919"/>
      <c r="AG71" s="919"/>
      <c r="AH71" s="919"/>
      <c r="AI71" s="919"/>
      <c r="AJ71" s="919"/>
      <c r="AK71" s="919"/>
      <c r="AL71" s="920"/>
      <c r="AM71" s="912"/>
      <c r="AN71" s="913"/>
      <c r="AO71" s="914"/>
    </row>
    <row r="72" spans="1:41" ht="21">
      <c r="B72" s="858" t="s">
        <v>100</v>
      </c>
      <c r="C72" s="858"/>
      <c r="D72" s="858"/>
      <c r="E72" s="858"/>
      <c r="F72" s="858"/>
      <c r="G72" s="858"/>
      <c r="H72" s="858"/>
      <c r="I72" s="858"/>
      <c r="J72" s="858"/>
      <c r="K72" s="858"/>
      <c r="AD72" s="78"/>
    </row>
    <row r="73" spans="1:41">
      <c r="AD73" s="78"/>
    </row>
    <row r="74" spans="1:41">
      <c r="AD74" s="78"/>
    </row>
    <row r="75" spans="1:41">
      <c r="AD75" s="78"/>
    </row>
    <row r="76" spans="1:41">
      <c r="AD76" s="78"/>
    </row>
    <row r="77" spans="1:41">
      <c r="AD77" s="78"/>
    </row>
    <row r="78" spans="1:41">
      <c r="AD78" s="78"/>
    </row>
    <row r="79" spans="1:41">
      <c r="AD79" s="78"/>
    </row>
    <row r="80" spans="1:41">
      <c r="AD80" s="78"/>
    </row>
    <row r="81" spans="30:30">
      <c r="AD81" s="78"/>
    </row>
    <row r="82" spans="30:30">
      <c r="AD82" s="78"/>
    </row>
    <row r="83" spans="30:30">
      <c r="AD83" s="78"/>
    </row>
    <row r="84" spans="30:30">
      <c r="AD84" s="78"/>
    </row>
    <row r="85" spans="30:30">
      <c r="AD85" s="78"/>
    </row>
    <row r="86" spans="30:30">
      <c r="AD86" s="78"/>
    </row>
    <row r="87" spans="30:30">
      <c r="AD87" s="78"/>
    </row>
    <row r="88" spans="30:30">
      <c r="AD88" s="78"/>
    </row>
    <row r="89" spans="30:30">
      <c r="AD89" s="78"/>
    </row>
    <row r="90" spans="30:30">
      <c r="AD90" s="78"/>
    </row>
    <row r="91" spans="30:30">
      <c r="AD91" s="78"/>
    </row>
    <row r="92" spans="30:30">
      <c r="AD92" s="78"/>
    </row>
    <row r="93" spans="30:30">
      <c r="AD93" s="78"/>
    </row>
    <row r="94" spans="30:30">
      <c r="AD94" s="78"/>
    </row>
    <row r="95" spans="30:30">
      <c r="AD95" s="78"/>
    </row>
    <row r="96" spans="30:30">
      <c r="AD96" s="78"/>
    </row>
    <row r="97" spans="30:30">
      <c r="AD97" s="78"/>
    </row>
    <row r="98" spans="30:30">
      <c r="AD98" s="78"/>
    </row>
    <row r="99" spans="30:30">
      <c r="AD99" s="78"/>
    </row>
    <row r="100" spans="30:30">
      <c r="AD100" s="78"/>
    </row>
    <row r="101" spans="30:30">
      <c r="AD101" s="78"/>
    </row>
    <row r="102" spans="30:30">
      <c r="AD102" s="78"/>
    </row>
    <row r="103" spans="30:30">
      <c r="AD103" s="78"/>
    </row>
    <row r="104" spans="30:30">
      <c r="AD104" s="78"/>
    </row>
    <row r="105" spans="30:30">
      <c r="AD105" s="78"/>
    </row>
    <row r="106" spans="30:30">
      <c r="AD106" s="78"/>
    </row>
    <row r="107" spans="30:30">
      <c r="AD107" s="78"/>
    </row>
    <row r="108" spans="30:30">
      <c r="AD108" s="78"/>
    </row>
    <row r="109" spans="30:30">
      <c r="AD109" s="78"/>
    </row>
    <row r="110" spans="30:30">
      <c r="AD110" s="78"/>
    </row>
    <row r="111" spans="30:30">
      <c r="AD111" s="78"/>
    </row>
    <row r="112" spans="30:30">
      <c r="AD112" s="78"/>
    </row>
    <row r="113" spans="30:30">
      <c r="AD113" s="78"/>
    </row>
    <row r="114" spans="30:30">
      <c r="AD114" s="78"/>
    </row>
    <row r="115" spans="30:30">
      <c r="AD115" s="78"/>
    </row>
    <row r="116" spans="30:30">
      <c r="AD116" s="78"/>
    </row>
    <row r="117" spans="30:30">
      <c r="AD117" s="78"/>
    </row>
    <row r="118" spans="30:30">
      <c r="AD118" s="78"/>
    </row>
    <row r="119" spans="30:30">
      <c r="AD119" s="78"/>
    </row>
    <row r="120" spans="30:30">
      <c r="AD120" s="78"/>
    </row>
    <row r="121" spans="30:30">
      <c r="AD121" s="78"/>
    </row>
    <row r="122" spans="30:30">
      <c r="AD122" s="78"/>
    </row>
    <row r="123" spans="30:30">
      <c r="AD123" s="78"/>
    </row>
    <row r="124" spans="30:30">
      <c r="AD124" s="78"/>
    </row>
    <row r="125" spans="30:30">
      <c r="AD125" s="78"/>
    </row>
    <row r="126" spans="30:30">
      <c r="AD126" s="78"/>
    </row>
    <row r="127" spans="30:30">
      <c r="AD127" s="78"/>
    </row>
    <row r="128" spans="30:30">
      <c r="AD128" s="78"/>
    </row>
    <row r="129" spans="30:30">
      <c r="AD129" s="78"/>
    </row>
    <row r="130" spans="30:30">
      <c r="AD130" s="78"/>
    </row>
    <row r="131" spans="30:30">
      <c r="AD131" s="78"/>
    </row>
    <row r="132" spans="30:30">
      <c r="AD132" s="78"/>
    </row>
    <row r="133" spans="30:30">
      <c r="AD133" s="78"/>
    </row>
    <row r="134" spans="30:30">
      <c r="AD134" s="78"/>
    </row>
    <row r="135" spans="30:30">
      <c r="AD135" s="78"/>
    </row>
    <row r="136" spans="30:30">
      <c r="AD136" s="78"/>
    </row>
    <row r="137" spans="30:30">
      <c r="AD137" s="78"/>
    </row>
    <row r="138" spans="30:30">
      <c r="AD138" s="78"/>
    </row>
    <row r="139" spans="30:30">
      <c r="AD139" s="78"/>
    </row>
    <row r="140" spans="30:30">
      <c r="AD140" s="78"/>
    </row>
    <row r="141" spans="30:30">
      <c r="AD141" s="78"/>
    </row>
    <row r="142" spans="30:30">
      <c r="AD142" s="78"/>
    </row>
    <row r="143" spans="30:30">
      <c r="AD143" s="78"/>
    </row>
    <row r="144" spans="30:30">
      <c r="AD144" s="78"/>
    </row>
    <row r="145" spans="30:30">
      <c r="AD145" s="78"/>
    </row>
    <row r="146" spans="30:30">
      <c r="AD146" s="78"/>
    </row>
    <row r="147" spans="30:30">
      <c r="AD147" s="78"/>
    </row>
    <row r="148" spans="30:30">
      <c r="AD148" s="78"/>
    </row>
    <row r="149" spans="30:30">
      <c r="AD149" s="78"/>
    </row>
    <row r="150" spans="30:30">
      <c r="AD150" s="78"/>
    </row>
    <row r="151" spans="30:30">
      <c r="AD151" s="78"/>
    </row>
    <row r="152" spans="30:30">
      <c r="AD152" s="78"/>
    </row>
    <row r="153" spans="30:30">
      <c r="AD153" s="78"/>
    </row>
    <row r="154" spans="30:30">
      <c r="AD154" s="78"/>
    </row>
    <row r="155" spans="30:30">
      <c r="AD155" s="78"/>
    </row>
    <row r="156" spans="30:30">
      <c r="AD156" s="78"/>
    </row>
    <row r="157" spans="30:30">
      <c r="AD157" s="78"/>
    </row>
    <row r="158" spans="30:30">
      <c r="AD158" s="78"/>
    </row>
    <row r="159" spans="30:30">
      <c r="AD159" s="78"/>
    </row>
    <row r="160" spans="30:30">
      <c r="AD160" s="78"/>
    </row>
    <row r="161" spans="30:30">
      <c r="AD161" s="78"/>
    </row>
    <row r="162" spans="30:30">
      <c r="AD162" s="78"/>
    </row>
    <row r="163" spans="30:30">
      <c r="AD163" s="78"/>
    </row>
    <row r="164" spans="30:30">
      <c r="AD164" s="78"/>
    </row>
    <row r="165" spans="30:30">
      <c r="AD165" s="78"/>
    </row>
    <row r="166" spans="30:30">
      <c r="AD166" s="78"/>
    </row>
    <row r="167" spans="30:30">
      <c r="AD167" s="78"/>
    </row>
    <row r="168" spans="30:30">
      <c r="AD168" s="78"/>
    </row>
    <row r="169" spans="30:30">
      <c r="AD169" s="78"/>
    </row>
    <row r="170" spans="30:30">
      <c r="AD170" s="78"/>
    </row>
    <row r="171" spans="30:30">
      <c r="AD171" s="78"/>
    </row>
    <row r="172" spans="30:30">
      <c r="AD172" s="78"/>
    </row>
  </sheetData>
  <mergeCells count="125">
    <mergeCell ref="U8:Y12"/>
    <mergeCell ref="U15:Y19"/>
    <mergeCell ref="U22:Y26"/>
    <mergeCell ref="AC56:AL57"/>
    <mergeCell ref="AM40:AO41"/>
    <mergeCell ref="AM42:AO43"/>
    <mergeCell ref="AM44:AO45"/>
    <mergeCell ref="AC40:AL41"/>
    <mergeCell ref="AC42:AL43"/>
    <mergeCell ref="AC44:AL45"/>
    <mergeCell ref="AC46:AL47"/>
    <mergeCell ref="AL38:AP38"/>
    <mergeCell ref="AE6:AG11"/>
    <mergeCell ref="AK6:AM11"/>
    <mergeCell ref="AH9:AI10"/>
    <mergeCell ref="AM50:AO51"/>
    <mergeCell ref="AM52:AO53"/>
    <mergeCell ref="AM54:AO55"/>
    <mergeCell ref="AM56:AO57"/>
    <mergeCell ref="U3:Y6"/>
    <mergeCell ref="AM62:AO63"/>
    <mergeCell ref="AM64:AO65"/>
    <mergeCell ref="AM66:AO67"/>
    <mergeCell ref="AM68:AO69"/>
    <mergeCell ref="AM70:AO71"/>
    <mergeCell ref="AC58:AL59"/>
    <mergeCell ref="AC60:AL61"/>
    <mergeCell ref="AC62:AL63"/>
    <mergeCell ref="AC64:AL65"/>
    <mergeCell ref="AC66:AL67"/>
    <mergeCell ref="AC68:AL69"/>
    <mergeCell ref="AC70:AL71"/>
    <mergeCell ref="AM58:AO59"/>
    <mergeCell ref="AM60:AO61"/>
    <mergeCell ref="AC1:AO1"/>
    <mergeCell ref="AO3:AO4"/>
    <mergeCell ref="AI3:AI4"/>
    <mergeCell ref="AK3:AN4"/>
    <mergeCell ref="AE15:AH16"/>
    <mergeCell ref="AI15:AI16"/>
    <mergeCell ref="AK15:AN16"/>
    <mergeCell ref="AN9:AO10"/>
    <mergeCell ref="AN21:AO22"/>
    <mergeCell ref="AH21:AI22"/>
    <mergeCell ref="AC3:AC13"/>
    <mergeCell ref="AE3:AH4"/>
    <mergeCell ref="AO15:AO16"/>
    <mergeCell ref="AC15:AC26"/>
    <mergeCell ref="A40:A54"/>
    <mergeCell ref="S1:Y1"/>
    <mergeCell ref="B37:L38"/>
    <mergeCell ref="A1:N1"/>
    <mergeCell ref="AC50:AL51"/>
    <mergeCell ref="AC52:AL53"/>
    <mergeCell ref="AC54:AL55"/>
    <mergeCell ref="S3:T6"/>
    <mergeCell ref="S8:T12"/>
    <mergeCell ref="S15:T19"/>
    <mergeCell ref="S22:T26"/>
    <mergeCell ref="Q37:AA38"/>
    <mergeCell ref="Z3:AA6"/>
    <mergeCell ref="Z8:AA12"/>
    <mergeCell ref="AE18:AG23"/>
    <mergeCell ref="AK18:AM23"/>
    <mergeCell ref="B46:C48"/>
    <mergeCell ref="Z15:AA19"/>
    <mergeCell ref="Z22:AA26"/>
    <mergeCell ref="A28:AO28"/>
    <mergeCell ref="B40:C42"/>
    <mergeCell ref="D40:E42"/>
    <mergeCell ref="F40:G42"/>
    <mergeCell ref="H40:I42"/>
    <mergeCell ref="J40:K42"/>
    <mergeCell ref="AM46:AO47"/>
    <mergeCell ref="AC48:AL49"/>
    <mergeCell ref="AM48:AO49"/>
    <mergeCell ref="AC38:AK38"/>
    <mergeCell ref="J57:K59"/>
    <mergeCell ref="B43:C45"/>
    <mergeCell ref="D43:E45"/>
    <mergeCell ref="F43:G45"/>
    <mergeCell ref="H43:I45"/>
    <mergeCell ref="J43:K45"/>
    <mergeCell ref="H60:I62"/>
    <mergeCell ref="J60:K62"/>
    <mergeCell ref="J46:K48"/>
    <mergeCell ref="B49:C51"/>
    <mergeCell ref="D49:E51"/>
    <mergeCell ref="F49:G51"/>
    <mergeCell ref="H49:I51"/>
    <mergeCell ref="J49:K51"/>
    <mergeCell ref="B56:K56"/>
    <mergeCell ref="D52:E54"/>
    <mergeCell ref="F52:G54"/>
    <mergeCell ref="H52:I54"/>
    <mergeCell ref="J52:K54"/>
    <mergeCell ref="D46:E48"/>
    <mergeCell ref="F46:G48"/>
    <mergeCell ref="H46:I48"/>
    <mergeCell ref="B60:C62"/>
    <mergeCell ref="B52:C54"/>
    <mergeCell ref="B72:K72"/>
    <mergeCell ref="A57:A71"/>
    <mergeCell ref="B69:C71"/>
    <mergeCell ref="D69:E71"/>
    <mergeCell ref="F69:G71"/>
    <mergeCell ref="H69:I71"/>
    <mergeCell ref="J69:K71"/>
    <mergeCell ref="B55:K55"/>
    <mergeCell ref="B63:C65"/>
    <mergeCell ref="D63:E65"/>
    <mergeCell ref="F63:G65"/>
    <mergeCell ref="H63:I65"/>
    <mergeCell ref="J63:K65"/>
    <mergeCell ref="B66:C68"/>
    <mergeCell ref="D66:E68"/>
    <mergeCell ref="F66:G68"/>
    <mergeCell ref="H66:I68"/>
    <mergeCell ref="J66:K68"/>
    <mergeCell ref="B57:C59"/>
    <mergeCell ref="D57:E59"/>
    <mergeCell ref="F57:G59"/>
    <mergeCell ref="H57:I59"/>
    <mergeCell ref="D60:E62"/>
    <mergeCell ref="F60:G62"/>
  </mergeCells>
  <conditionalFormatting sqref="AM40:AO41">
    <cfRule type="cellIs" dxfId="693" priority="111" operator="greaterThan">
      <formula>-499</formula>
    </cfRule>
    <cfRule type="cellIs" dxfId="692" priority="163" operator="between">
      <formula>-999</formula>
      <formula>-500</formula>
    </cfRule>
    <cfRule type="cellIs" dxfId="691" priority="196" operator="between">
      <formula>-2999</formula>
      <formula>-1000</formula>
    </cfRule>
    <cfRule type="cellIs" dxfId="690" priority="204" operator="lessThan">
      <formula>-3000</formula>
    </cfRule>
  </conditionalFormatting>
  <conditionalFormatting sqref="AM42:AO43">
    <cfRule type="cellIs" dxfId="689" priority="107" operator="greaterThan">
      <formula>-499</formula>
    </cfRule>
    <cfRule type="cellIs" dxfId="688" priority="108" operator="between">
      <formula>-999</formula>
      <formula>-500</formula>
    </cfRule>
    <cfRule type="cellIs" dxfId="687" priority="109" operator="between">
      <formula>-2999</formula>
      <formula>-1000</formula>
    </cfRule>
    <cfRule type="cellIs" dxfId="686" priority="110" operator="lessThan">
      <formula>-3000</formula>
    </cfRule>
  </conditionalFormatting>
  <conditionalFormatting sqref="AM44:AO45">
    <cfRule type="cellIs" dxfId="685" priority="103" operator="greaterThan">
      <formula>-499</formula>
    </cfRule>
    <cfRule type="cellIs" dxfId="684" priority="104" operator="between">
      <formula>-999</formula>
      <formula>-500</formula>
    </cfRule>
    <cfRule type="cellIs" dxfId="683" priority="105" operator="between">
      <formula>-2999</formula>
      <formula>-1000</formula>
    </cfRule>
    <cfRule type="cellIs" dxfId="682" priority="106" operator="lessThan">
      <formula>-3000</formula>
    </cfRule>
  </conditionalFormatting>
  <conditionalFormatting sqref="AM46:AO47">
    <cfRule type="cellIs" dxfId="681" priority="99" operator="greaterThan">
      <formula>-499</formula>
    </cfRule>
    <cfRule type="cellIs" dxfId="680" priority="100" operator="between">
      <formula>-999</formula>
      <formula>-500</formula>
    </cfRule>
    <cfRule type="cellIs" dxfId="679" priority="101" operator="between">
      <formula>-2999</formula>
      <formula>-1000</formula>
    </cfRule>
    <cfRule type="cellIs" dxfId="678" priority="102" operator="lessThan">
      <formula>-3000</formula>
    </cfRule>
  </conditionalFormatting>
  <conditionalFormatting sqref="AM48:AO49">
    <cfRule type="cellIs" dxfId="677" priority="95" operator="greaterThan">
      <formula>-499</formula>
    </cfRule>
    <cfRule type="cellIs" dxfId="676" priority="96" operator="between">
      <formula>-999</formula>
      <formula>-500</formula>
    </cfRule>
    <cfRule type="cellIs" dxfId="675" priority="97" operator="between">
      <formula>-2999</formula>
      <formula>-1000</formula>
    </cfRule>
    <cfRule type="cellIs" dxfId="674" priority="98" operator="lessThan">
      <formula>-3000</formula>
    </cfRule>
  </conditionalFormatting>
  <conditionalFormatting sqref="AM50:AO51">
    <cfRule type="cellIs" dxfId="673" priority="91" operator="greaterThan">
      <formula>-499</formula>
    </cfRule>
    <cfRule type="cellIs" dxfId="672" priority="92" operator="between">
      <formula>-999</formula>
      <formula>-500</formula>
    </cfRule>
    <cfRule type="cellIs" dxfId="671" priority="93" operator="between">
      <formula>-2999</formula>
      <formula>-1000</formula>
    </cfRule>
    <cfRule type="cellIs" dxfId="670" priority="94" operator="lessThan">
      <formula>-3000</formula>
    </cfRule>
  </conditionalFormatting>
  <conditionalFormatting sqref="AM52:AO53">
    <cfRule type="cellIs" dxfId="669" priority="87" operator="greaterThan">
      <formula>-499</formula>
    </cfRule>
    <cfRule type="cellIs" dxfId="668" priority="88" operator="between">
      <formula>-999</formula>
      <formula>-500</formula>
    </cfRule>
    <cfRule type="cellIs" dxfId="667" priority="89" operator="between">
      <formula>-2999</formula>
      <formula>-1000</formula>
    </cfRule>
    <cfRule type="cellIs" dxfId="666" priority="90" operator="lessThan">
      <formula>-3000</formula>
    </cfRule>
  </conditionalFormatting>
  <conditionalFormatting sqref="AM54:AO55">
    <cfRule type="cellIs" dxfId="665" priority="83" operator="greaterThan">
      <formula>-499</formula>
    </cfRule>
    <cfRule type="cellIs" dxfId="664" priority="84" operator="between">
      <formula>-999</formula>
      <formula>-500</formula>
    </cfRule>
    <cfRule type="cellIs" dxfId="663" priority="85" operator="between">
      <formula>-2999</formula>
      <formula>-1000</formula>
    </cfRule>
    <cfRule type="cellIs" dxfId="662" priority="86" operator="lessThan">
      <formula>-3000</formula>
    </cfRule>
  </conditionalFormatting>
  <conditionalFormatting sqref="AM56:AO57">
    <cfRule type="cellIs" dxfId="661" priority="79" operator="greaterThan">
      <formula>-499</formula>
    </cfRule>
    <cfRule type="cellIs" dxfId="660" priority="80" operator="between">
      <formula>-999</formula>
      <formula>-500</formula>
    </cfRule>
    <cfRule type="cellIs" dxfId="659" priority="81" operator="between">
      <formula>-2999</formula>
      <formula>-1000</formula>
    </cfRule>
    <cfRule type="cellIs" dxfId="658" priority="82" operator="lessThan">
      <formula>-3000</formula>
    </cfRule>
  </conditionalFormatting>
  <conditionalFormatting sqref="AM58:AO59">
    <cfRule type="cellIs" dxfId="657" priority="75" operator="greaterThan">
      <formula>-499</formula>
    </cfRule>
    <cfRule type="cellIs" dxfId="656" priority="76" operator="between">
      <formula>-999</formula>
      <formula>-500</formula>
    </cfRule>
    <cfRule type="cellIs" dxfId="655" priority="77" operator="between">
      <formula>-2999</formula>
      <formula>-1000</formula>
    </cfRule>
    <cfRule type="cellIs" dxfId="654" priority="78" operator="lessThan">
      <formula>-3000</formula>
    </cfRule>
  </conditionalFormatting>
  <conditionalFormatting sqref="AM60:AO61">
    <cfRule type="cellIs" dxfId="653" priority="71" operator="greaterThan">
      <formula>-499</formula>
    </cfRule>
    <cfRule type="cellIs" dxfId="652" priority="72" operator="between">
      <formula>-999</formula>
      <formula>-500</formula>
    </cfRule>
    <cfRule type="cellIs" dxfId="651" priority="73" operator="between">
      <formula>-2999</formula>
      <formula>-1000</formula>
    </cfRule>
    <cfRule type="cellIs" dxfId="650" priority="74" operator="lessThan">
      <formula>-3000</formula>
    </cfRule>
  </conditionalFormatting>
  <conditionalFormatting sqref="AM62:AO63">
    <cfRule type="cellIs" dxfId="649" priority="67" operator="greaterThan">
      <formula>-499</formula>
    </cfRule>
    <cfRule type="cellIs" dxfId="648" priority="68" operator="between">
      <formula>-999</formula>
      <formula>-500</formula>
    </cfRule>
    <cfRule type="cellIs" dxfId="647" priority="69" operator="between">
      <formula>-2999</formula>
      <formula>-1000</formula>
    </cfRule>
    <cfRule type="cellIs" dxfId="646" priority="70" operator="lessThan">
      <formula>-3000</formula>
    </cfRule>
  </conditionalFormatting>
  <conditionalFormatting sqref="AM64:AO65">
    <cfRule type="cellIs" dxfId="645" priority="63" operator="greaterThan">
      <formula>-499</formula>
    </cfRule>
    <cfRule type="cellIs" dxfId="644" priority="64" operator="between">
      <formula>-999</formula>
      <formula>-500</formula>
    </cfRule>
    <cfRule type="cellIs" dxfId="643" priority="65" operator="between">
      <formula>-2999</formula>
      <formula>-1000</formula>
    </cfRule>
    <cfRule type="cellIs" dxfId="642" priority="66" operator="lessThan">
      <formula>-3000</formula>
    </cfRule>
  </conditionalFormatting>
  <conditionalFormatting sqref="AM66:AO67">
    <cfRule type="cellIs" dxfId="641" priority="59" operator="greaterThan">
      <formula>-499</formula>
    </cfRule>
    <cfRule type="cellIs" dxfId="640" priority="60" operator="between">
      <formula>-999</formula>
      <formula>-500</formula>
    </cfRule>
    <cfRule type="cellIs" dxfId="639" priority="61" operator="between">
      <formula>-2999</formula>
      <formula>-1000</formula>
    </cfRule>
    <cfRule type="cellIs" dxfId="638" priority="62" operator="lessThan">
      <formula>-3000</formula>
    </cfRule>
  </conditionalFormatting>
  <conditionalFormatting sqref="AM68:AO69">
    <cfRule type="cellIs" dxfId="637" priority="55" operator="greaterThan">
      <formula>-499</formula>
    </cfRule>
    <cfRule type="cellIs" dxfId="636" priority="56" operator="between">
      <formula>-999</formula>
      <formula>-500</formula>
    </cfRule>
    <cfRule type="cellIs" dxfId="635" priority="57" operator="between">
      <formula>-2999</formula>
      <formula>-1000</formula>
    </cfRule>
    <cfRule type="cellIs" dxfId="634" priority="58" operator="lessThan">
      <formula>-3000</formula>
    </cfRule>
  </conditionalFormatting>
  <conditionalFormatting sqref="AM70:AO71">
    <cfRule type="cellIs" dxfId="633" priority="51" operator="greaterThan">
      <formula>-499</formula>
    </cfRule>
    <cfRule type="cellIs" dxfId="632" priority="52" operator="between">
      <formula>-999</formula>
      <formula>-500</formula>
    </cfRule>
    <cfRule type="cellIs" dxfId="631" priority="53" operator="between">
      <formula>-2999</formula>
      <formula>-1000</formula>
    </cfRule>
    <cfRule type="cellIs" dxfId="630" priority="54" operator="lessThan">
      <formula>-3000</formula>
    </cfRule>
  </conditionalFormatting>
  <conditionalFormatting sqref="B40:C42">
    <cfRule type="cellIs" dxfId="629" priority="50" operator="equal">
      <formula>0</formula>
    </cfRule>
  </conditionalFormatting>
  <conditionalFormatting sqref="B43:C45">
    <cfRule type="cellIs" dxfId="628" priority="49" operator="equal">
      <formula>0</formula>
    </cfRule>
  </conditionalFormatting>
  <conditionalFormatting sqref="B46:C48">
    <cfRule type="cellIs" dxfId="627" priority="48" operator="equal">
      <formula>0</formula>
    </cfRule>
  </conditionalFormatting>
  <conditionalFormatting sqref="D46:E48">
    <cfRule type="cellIs" dxfId="626" priority="47" operator="equal">
      <formula>0</formula>
    </cfRule>
  </conditionalFormatting>
  <conditionalFormatting sqref="D49:E51">
    <cfRule type="cellIs" dxfId="625" priority="46" operator="equal">
      <formula>0</formula>
    </cfRule>
  </conditionalFormatting>
  <conditionalFormatting sqref="F49:G51">
    <cfRule type="cellIs" dxfId="624" priority="45" operator="equal">
      <formula>0</formula>
    </cfRule>
  </conditionalFormatting>
  <conditionalFormatting sqref="F52:G54">
    <cfRule type="cellIs" dxfId="623" priority="44" operator="equal">
      <formula>0</formula>
    </cfRule>
  </conditionalFormatting>
  <conditionalFormatting sqref="H52:I54">
    <cfRule type="cellIs" dxfId="622" priority="43" operator="equal">
      <formula>0</formula>
    </cfRule>
  </conditionalFormatting>
  <conditionalFormatting sqref="J52:K54">
    <cfRule type="cellIs" dxfId="621" priority="42" operator="equal">
      <formula>0</formula>
    </cfRule>
  </conditionalFormatting>
  <conditionalFormatting sqref="D40:E42">
    <cfRule type="cellIs" dxfId="620" priority="41" operator="equal">
      <formula>0</formula>
    </cfRule>
  </conditionalFormatting>
  <conditionalFormatting sqref="D43:E45">
    <cfRule type="cellIs" dxfId="619" priority="40" operator="equal">
      <formula>0</formula>
    </cfRule>
  </conditionalFormatting>
  <conditionalFormatting sqref="F43:G45">
    <cfRule type="cellIs" dxfId="618" priority="39" operator="equal">
      <formula>0</formula>
    </cfRule>
  </conditionalFormatting>
  <conditionalFormatting sqref="F46:G48">
    <cfRule type="cellIs" dxfId="617" priority="38" operator="equal">
      <formula>0</formula>
    </cfRule>
  </conditionalFormatting>
  <conditionalFormatting sqref="H46:I48">
    <cfRule type="cellIs" dxfId="616" priority="37" operator="equal">
      <formula>0</formula>
    </cfRule>
  </conditionalFormatting>
  <conditionalFormatting sqref="H49:I51">
    <cfRule type="cellIs" dxfId="615" priority="36" operator="equal">
      <formula>0</formula>
    </cfRule>
  </conditionalFormatting>
  <conditionalFormatting sqref="J49:K51">
    <cfRule type="cellIs" dxfId="614" priority="35" operator="equal">
      <formula>0</formula>
    </cfRule>
  </conditionalFormatting>
  <conditionalFormatting sqref="F40:G42">
    <cfRule type="cellIs" dxfId="613" priority="34" operator="equal">
      <formula>0</formula>
    </cfRule>
  </conditionalFormatting>
  <conditionalFormatting sqref="H40:I42">
    <cfRule type="cellIs" dxfId="612" priority="33" operator="equal">
      <formula>0</formula>
    </cfRule>
  </conditionalFormatting>
  <conditionalFormatting sqref="J40:K42">
    <cfRule type="cellIs" dxfId="611" priority="32" operator="equal">
      <formula>0</formula>
    </cfRule>
  </conditionalFormatting>
  <conditionalFormatting sqref="J43:K45">
    <cfRule type="cellIs" dxfId="610" priority="31" operator="equal">
      <formula>0</formula>
    </cfRule>
  </conditionalFormatting>
  <conditionalFormatting sqref="H43:I45">
    <cfRule type="cellIs" dxfId="609" priority="30" operator="equal">
      <formula>0</formula>
    </cfRule>
  </conditionalFormatting>
  <conditionalFormatting sqref="J46:K48">
    <cfRule type="cellIs" dxfId="608" priority="29" operator="equal">
      <formula>0</formula>
    </cfRule>
  </conditionalFormatting>
  <conditionalFormatting sqref="B49:C51">
    <cfRule type="cellIs" dxfId="607" priority="28" operator="equal">
      <formula>0</formula>
    </cfRule>
  </conditionalFormatting>
  <conditionalFormatting sqref="B52:C54">
    <cfRule type="cellIs" dxfId="606" priority="27" operator="equal">
      <formula>0</formula>
    </cfRule>
  </conditionalFormatting>
  <conditionalFormatting sqref="D52:E54">
    <cfRule type="cellIs" dxfId="605" priority="26" operator="equal">
      <formula>0</formula>
    </cfRule>
  </conditionalFormatting>
  <conditionalFormatting sqref="B57:C59">
    <cfRule type="cellIs" dxfId="604" priority="25" operator="equal">
      <formula>0</formula>
    </cfRule>
  </conditionalFormatting>
  <conditionalFormatting sqref="B60:C62">
    <cfRule type="cellIs" dxfId="603" priority="24" operator="equal">
      <formula>0</formula>
    </cfRule>
  </conditionalFormatting>
  <conditionalFormatting sqref="B63:C65">
    <cfRule type="cellIs" dxfId="602" priority="23" operator="equal">
      <formula>0</formula>
    </cfRule>
  </conditionalFormatting>
  <conditionalFormatting sqref="D63:E65">
    <cfRule type="cellIs" dxfId="601" priority="22" operator="equal">
      <formula>0</formula>
    </cfRule>
  </conditionalFormatting>
  <conditionalFormatting sqref="D66:E68">
    <cfRule type="cellIs" dxfId="600" priority="21" operator="equal">
      <formula>0</formula>
    </cfRule>
  </conditionalFormatting>
  <conditionalFormatting sqref="F66:G68">
    <cfRule type="cellIs" dxfId="599" priority="20" operator="equal">
      <formula>0</formula>
    </cfRule>
  </conditionalFormatting>
  <conditionalFormatting sqref="F69:G71">
    <cfRule type="cellIs" dxfId="598" priority="19" operator="equal">
      <formula>0</formula>
    </cfRule>
  </conditionalFormatting>
  <conditionalFormatting sqref="H69:I71">
    <cfRule type="cellIs" dxfId="597" priority="18" operator="equal">
      <formula>0</formula>
    </cfRule>
  </conditionalFormatting>
  <conditionalFormatting sqref="J69:K71">
    <cfRule type="cellIs" dxfId="596" priority="17" operator="equal">
      <formula>0</formula>
    </cfRule>
  </conditionalFormatting>
  <conditionalFormatting sqref="B66:C68">
    <cfRule type="cellIs" dxfId="595" priority="16" operator="equal">
      <formula>0</formula>
    </cfRule>
  </conditionalFormatting>
  <conditionalFormatting sqref="B69:C71">
    <cfRule type="cellIs" dxfId="594" priority="15" operator="equal">
      <formula>0</formula>
    </cfRule>
  </conditionalFormatting>
  <conditionalFormatting sqref="D69:E71">
    <cfRule type="cellIs" dxfId="593" priority="14" operator="equal">
      <formula>0</formula>
    </cfRule>
  </conditionalFormatting>
  <conditionalFormatting sqref="D57:E59">
    <cfRule type="cellIs" dxfId="592" priority="13" operator="equal">
      <formula>0</formula>
    </cfRule>
  </conditionalFormatting>
  <conditionalFormatting sqref="D60:E62">
    <cfRule type="cellIs" dxfId="591" priority="12" operator="equal">
      <formula>0</formula>
    </cfRule>
  </conditionalFormatting>
  <conditionalFormatting sqref="F60:G62">
    <cfRule type="cellIs" dxfId="590" priority="11" operator="equal">
      <formula>0</formula>
    </cfRule>
  </conditionalFormatting>
  <conditionalFormatting sqref="F63:G65">
    <cfRule type="cellIs" dxfId="589" priority="10" operator="equal">
      <formula>0</formula>
    </cfRule>
  </conditionalFormatting>
  <conditionalFormatting sqref="H63:I65">
    <cfRule type="cellIs" dxfId="588" priority="9" operator="equal">
      <formula>0</formula>
    </cfRule>
  </conditionalFormatting>
  <conditionalFormatting sqref="H66:I68">
    <cfRule type="cellIs" dxfId="587" priority="8" operator="equal">
      <formula>0</formula>
    </cfRule>
  </conditionalFormatting>
  <conditionalFormatting sqref="J66:K68">
    <cfRule type="cellIs" dxfId="586" priority="7" operator="equal">
      <formula>0</formula>
    </cfRule>
  </conditionalFormatting>
  <conditionalFormatting sqref="J63:K65">
    <cfRule type="cellIs" dxfId="585" priority="6" operator="equal">
      <formula>0</formula>
    </cfRule>
  </conditionalFormatting>
  <conditionalFormatting sqref="J60:K62">
    <cfRule type="cellIs" dxfId="584" priority="5" operator="equal">
      <formula>0</formula>
    </cfRule>
  </conditionalFormatting>
  <conditionalFormatting sqref="H60:I62">
    <cfRule type="cellIs" dxfId="583" priority="4" operator="equal">
      <formula>0</formula>
    </cfRule>
  </conditionalFormatting>
  <conditionalFormatting sqref="F57:G59">
    <cfRule type="cellIs" dxfId="582" priority="3" operator="equal">
      <formula>0</formula>
    </cfRule>
  </conditionalFormatting>
  <conditionalFormatting sqref="H57:I59">
    <cfRule type="cellIs" dxfId="581" priority="2" operator="equal">
      <formula>0</formula>
    </cfRule>
  </conditionalFormatting>
  <conditionalFormatting sqref="J57:K59">
    <cfRule type="cellIs" dxfId="580" priority="1" operator="equal">
      <formula>0</formula>
    </cfRule>
  </conditionalFormatting>
  <pageMargins left="0.7" right="0.7" top="0.75" bottom="0.75" header="0.3" footer="0.3"/>
  <pageSetup paperSize="9" orientation="portrait" horizontalDpi="300" verticalDpi="300" r:id="rId1"/>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C000"/>
    <pageSetUpPr fitToPage="1"/>
  </sheetPr>
  <dimension ref="B1:AX312"/>
  <sheetViews>
    <sheetView tabSelected="1" topLeftCell="A259" zoomScale="30" zoomScaleNormal="30" zoomScaleSheetLayoutView="25" zoomScalePageLayoutView="10" workbookViewId="0">
      <selection activeCell="H272" sqref="H272:H273"/>
    </sheetView>
  </sheetViews>
  <sheetFormatPr defaultColWidth="8.88671875" defaultRowHeight="18" outlineLevelCol="1"/>
  <cols>
    <col min="1" max="1" width="1.109375" style="2" customWidth="1"/>
    <col min="2" max="2" width="13.5546875" style="3" customWidth="1"/>
    <col min="3" max="3" width="23.5546875" style="3" customWidth="1"/>
    <col min="4" max="5" width="8.44140625" style="3" customWidth="1"/>
    <col min="6" max="6" width="60.88671875" style="3" customWidth="1"/>
    <col min="7" max="7" width="12.88671875" style="3" hidden="1" customWidth="1"/>
    <col min="8" max="8" width="10.5546875" style="3" customWidth="1"/>
    <col min="9" max="9" width="9.5546875" style="46" customWidth="1" collapsed="1"/>
    <col min="10" max="10" width="12.88671875" style="3" customWidth="1"/>
    <col min="11" max="11" width="62.6640625" style="46" customWidth="1"/>
    <col min="12" max="12" width="9.5546875" style="46" customWidth="1"/>
    <col min="13" max="13" width="11.6640625" style="46" customWidth="1"/>
    <col min="14" max="16" width="9.5546875" style="46" customWidth="1"/>
    <col min="17" max="17" width="209.5546875" style="71" customWidth="1"/>
    <col min="18" max="18" width="177.88671875" style="376" customWidth="1" outlineLevel="1"/>
    <col min="19" max="19" width="139.5546875" style="376" customWidth="1" outlineLevel="1"/>
    <col min="20" max="20" width="32" style="3" customWidth="1" outlineLevel="1"/>
    <col min="21" max="21" width="10.88671875" style="3" customWidth="1" outlineLevel="1"/>
    <col min="22" max="22" width="5.44140625" style="3" customWidth="1"/>
    <col min="23" max="23" width="35.77734375" style="3" customWidth="1"/>
    <col min="24" max="24" width="0.44140625" style="3" customWidth="1"/>
    <col min="25" max="25" width="9.44140625" style="46" customWidth="1"/>
    <col min="26" max="26" width="22.109375" style="3" customWidth="1"/>
    <col min="27" max="27" width="30.6640625" style="3" customWidth="1"/>
    <col min="28" max="28" width="54.109375" style="3" customWidth="1"/>
    <col min="29" max="29" width="16.5546875" style="76" customWidth="1"/>
    <col min="30" max="30" width="15.44140625" style="3" customWidth="1"/>
    <col min="31" max="31" width="26" style="3" customWidth="1"/>
    <col min="32" max="32" width="13" style="3" customWidth="1"/>
    <col min="33" max="33" width="7.109375" style="3" customWidth="1"/>
    <col min="34" max="34" width="8.109375" style="2" customWidth="1"/>
    <col min="35" max="35" width="255.6640625" style="2" customWidth="1"/>
    <col min="36" max="36" width="15.6640625" style="2" customWidth="1"/>
    <col min="37" max="37" width="17.109375" style="2" customWidth="1"/>
    <col min="38" max="38" width="10.44140625" style="2" customWidth="1"/>
    <col min="39" max="39" width="10.44140625" style="121" customWidth="1"/>
    <col min="40" max="40" width="15.88671875" style="2" customWidth="1"/>
    <col min="41" max="41" width="12.5546875" style="2" customWidth="1"/>
    <col min="42" max="42" width="16.88671875" style="2" customWidth="1"/>
    <col min="43" max="43" width="39.33203125" style="2" customWidth="1"/>
    <col min="44" max="44" width="17.5546875" style="2" customWidth="1"/>
    <col min="45" max="46" width="12.5546875" style="2" customWidth="1"/>
    <col min="47" max="47" width="8.88671875" style="2" customWidth="1"/>
    <col min="48" max="16384" width="8.88671875" style="2"/>
  </cols>
  <sheetData>
    <row r="1" spans="2:43" ht="191.1" customHeight="1">
      <c r="B1" s="11"/>
      <c r="C1" s="11"/>
      <c r="D1" s="11"/>
      <c r="E1" s="11"/>
      <c r="F1" s="11"/>
      <c r="G1" s="11"/>
      <c r="H1" s="11"/>
      <c r="I1" s="44"/>
      <c r="J1" s="11"/>
      <c r="K1" s="44"/>
      <c r="L1" s="44"/>
      <c r="M1" s="44"/>
      <c r="N1" s="44"/>
      <c r="O1" s="44"/>
      <c r="P1" s="44"/>
      <c r="Q1" s="88"/>
      <c r="R1" s="372"/>
      <c r="S1" s="372"/>
      <c r="T1" s="11"/>
      <c r="U1" s="11"/>
      <c r="V1" s="11"/>
      <c r="W1" s="11"/>
      <c r="X1" s="11"/>
      <c r="Y1" s="44"/>
      <c r="Z1" s="11"/>
      <c r="AA1" s="11"/>
      <c r="AB1" s="11"/>
      <c r="AC1" s="75"/>
      <c r="AD1" s="11"/>
      <c r="AE1" s="11"/>
      <c r="AF1" s="11"/>
      <c r="AG1" s="11"/>
      <c r="AH1" s="15"/>
      <c r="AI1" s="15"/>
      <c r="AJ1" s="15"/>
      <c r="AK1" s="15"/>
      <c r="AL1" s="15"/>
      <c r="AM1" s="120"/>
      <c r="AN1" s="1346" t="s">
        <v>1696</v>
      </c>
      <c r="AO1" s="1346"/>
      <c r="AP1" s="1346"/>
      <c r="AQ1" s="1346"/>
    </row>
    <row r="2" spans="2:43" ht="20.399999999999999" customHeight="1">
      <c r="B2" s="1330" t="s">
        <v>524</v>
      </c>
      <c r="C2" s="1330"/>
      <c r="D2" s="1330"/>
      <c r="E2" s="1330"/>
      <c r="F2" s="1330"/>
      <c r="G2" s="1330"/>
      <c r="H2" s="1330"/>
      <c r="I2" s="1330"/>
      <c r="J2" s="1330"/>
      <c r="K2" s="1330"/>
      <c r="L2" s="1330"/>
      <c r="M2" s="1330"/>
      <c r="N2" s="1330"/>
      <c r="O2" s="1330"/>
      <c r="P2" s="1330"/>
      <c r="Q2" s="1330"/>
      <c r="R2" s="1330"/>
      <c r="S2" s="1330"/>
      <c r="T2" s="1330"/>
      <c r="U2" s="1330"/>
      <c r="V2" s="1330"/>
      <c r="W2" s="1330"/>
      <c r="X2" s="1330"/>
      <c r="Y2" s="1330"/>
      <c r="Z2" s="1330"/>
      <c r="AA2" s="1330"/>
      <c r="AB2" s="1330"/>
      <c r="AC2" s="1330"/>
      <c r="AD2" s="1330"/>
      <c r="AE2" s="1330"/>
      <c r="AF2" s="1330"/>
      <c r="AG2" s="1330"/>
      <c r="AH2" s="1330"/>
      <c r="AI2" s="1330"/>
      <c r="AJ2" s="1330"/>
      <c r="AK2" s="1330"/>
      <c r="AL2" s="1330"/>
      <c r="AM2" s="1330"/>
      <c r="AN2" s="1330"/>
      <c r="AO2" s="1330"/>
      <c r="AP2" s="15"/>
      <c r="AQ2" s="15"/>
    </row>
    <row r="3" spans="2:43" ht="14.4" customHeight="1">
      <c r="B3" s="1330"/>
      <c r="C3" s="1330"/>
      <c r="D3" s="1330"/>
      <c r="E3" s="1330"/>
      <c r="F3" s="1330"/>
      <c r="G3" s="1330"/>
      <c r="H3" s="1330"/>
      <c r="I3" s="1330"/>
      <c r="J3" s="1330"/>
      <c r="K3" s="1330"/>
      <c r="L3" s="1330"/>
      <c r="M3" s="1330"/>
      <c r="N3" s="1330"/>
      <c r="O3" s="1330"/>
      <c r="P3" s="1330"/>
      <c r="Q3" s="1330"/>
      <c r="R3" s="1330"/>
      <c r="S3" s="1330"/>
      <c r="T3" s="1330"/>
      <c r="U3" s="1330"/>
      <c r="V3" s="1330"/>
      <c r="W3" s="1330"/>
      <c r="X3" s="1330"/>
      <c r="Y3" s="1330"/>
      <c r="Z3" s="1330"/>
      <c r="AA3" s="1330"/>
      <c r="AB3" s="1330"/>
      <c r="AC3" s="1330"/>
      <c r="AD3" s="1330"/>
      <c r="AE3" s="1330"/>
      <c r="AF3" s="1330"/>
      <c r="AG3" s="1330"/>
      <c r="AH3" s="1330"/>
      <c r="AI3" s="1330"/>
      <c r="AJ3" s="1330"/>
      <c r="AK3" s="1330"/>
      <c r="AL3" s="1330"/>
      <c r="AM3" s="1330"/>
      <c r="AN3" s="1330"/>
      <c r="AO3" s="1330"/>
      <c r="AP3" s="8"/>
      <c r="AQ3" s="8"/>
    </row>
    <row r="4" spans="2:43" ht="31.35" customHeight="1">
      <c r="B4" s="1330"/>
      <c r="C4" s="1330"/>
      <c r="D4" s="1330"/>
      <c r="E4" s="1330"/>
      <c r="F4" s="1330"/>
      <c r="G4" s="1330"/>
      <c r="H4" s="1330"/>
      <c r="I4" s="1330"/>
      <c r="J4" s="1330"/>
      <c r="K4" s="1330"/>
      <c r="L4" s="1330"/>
      <c r="M4" s="1330"/>
      <c r="N4" s="1330"/>
      <c r="O4" s="1330"/>
      <c r="P4" s="1330"/>
      <c r="Q4" s="1330"/>
      <c r="R4" s="1330"/>
      <c r="S4" s="1330"/>
      <c r="T4" s="1330"/>
      <c r="U4" s="1330"/>
      <c r="V4" s="1330"/>
      <c r="W4" s="1330"/>
      <c r="X4" s="1330"/>
      <c r="Y4" s="1330"/>
      <c r="Z4" s="1330"/>
      <c r="AA4" s="1330"/>
      <c r="AB4" s="1330"/>
      <c r="AC4" s="1330"/>
      <c r="AD4" s="1330"/>
      <c r="AE4" s="1330"/>
      <c r="AF4" s="1330"/>
      <c r="AG4" s="1330"/>
      <c r="AH4" s="1330"/>
      <c r="AI4" s="1330"/>
      <c r="AJ4" s="1330"/>
      <c r="AK4" s="1330"/>
      <c r="AL4" s="1330"/>
      <c r="AM4" s="1330"/>
      <c r="AN4" s="1330"/>
      <c r="AO4" s="1330"/>
      <c r="AP4" s="8"/>
      <c r="AQ4" s="8"/>
    </row>
    <row r="5" spans="2:43" ht="13.65" customHeight="1">
      <c r="B5" s="8"/>
      <c r="C5" s="8"/>
      <c r="D5" s="8"/>
      <c r="E5" s="8"/>
      <c r="F5" s="8"/>
      <c r="G5" s="8"/>
      <c r="H5" s="8"/>
      <c r="I5" s="7"/>
      <c r="J5" s="8"/>
      <c r="K5" s="7"/>
      <c r="L5" s="7"/>
      <c r="M5" s="7"/>
      <c r="N5" s="7"/>
      <c r="O5" s="7"/>
      <c r="P5" s="7"/>
      <c r="Q5" s="89"/>
      <c r="R5" s="373"/>
      <c r="S5" s="373"/>
      <c r="T5" s="8"/>
      <c r="U5" s="8"/>
      <c r="V5" s="8"/>
      <c r="W5" s="8"/>
      <c r="X5" s="8"/>
      <c r="Y5" s="7"/>
      <c r="Z5" s="8"/>
      <c r="AA5" s="8"/>
      <c r="AB5" s="8"/>
      <c r="AC5" s="8"/>
      <c r="AD5" s="72"/>
      <c r="AE5" s="8"/>
      <c r="AF5" s="8"/>
      <c r="AG5" s="8"/>
      <c r="AH5" s="8"/>
      <c r="AI5" s="8"/>
      <c r="AJ5" s="8"/>
      <c r="AK5" s="8"/>
      <c r="AL5" s="8"/>
      <c r="AM5" s="7"/>
      <c r="AN5" s="8"/>
      <c r="AO5" s="8"/>
      <c r="AP5" s="8"/>
      <c r="AQ5" s="8"/>
    </row>
    <row r="6" spans="2:43" ht="54" customHeight="1">
      <c r="B6" s="1366" t="s">
        <v>140</v>
      </c>
      <c r="C6" s="1367"/>
      <c r="D6" s="1367"/>
      <c r="E6" s="1367"/>
      <c r="F6" s="1367"/>
      <c r="G6" s="1367"/>
      <c r="H6" s="1367"/>
      <c r="I6" s="1367"/>
      <c r="J6" s="1367"/>
      <c r="K6" s="1367"/>
      <c r="L6" s="295"/>
      <c r="M6" s="295"/>
      <c r="N6" s="295"/>
      <c r="O6" s="295"/>
      <c r="P6" s="53"/>
      <c r="Q6" s="88"/>
      <c r="R6" s="372"/>
      <c r="S6" s="372"/>
      <c r="T6" s="11"/>
      <c r="U6" s="11"/>
      <c r="V6" s="16"/>
      <c r="W6" s="11"/>
      <c r="X6" s="11"/>
      <c r="Y6" s="44"/>
      <c r="Z6" s="11"/>
      <c r="AA6" s="11"/>
      <c r="AB6" s="11"/>
      <c r="AC6" s="75"/>
      <c r="AD6" s="11"/>
      <c r="AE6" s="11"/>
      <c r="AF6" s="8"/>
      <c r="AG6" s="1368"/>
      <c r="AH6" s="1368"/>
      <c r="AI6" s="1368"/>
      <c r="AJ6" s="47"/>
      <c r="AK6" s="8"/>
      <c r="AL6" s="8"/>
      <c r="AM6" s="7"/>
      <c r="AN6" s="8"/>
      <c r="AO6" s="8"/>
      <c r="AP6" s="8"/>
      <c r="AQ6" s="8"/>
    </row>
    <row r="7" spans="2:43" ht="51.75" customHeight="1">
      <c r="B7" s="1369" t="s">
        <v>141</v>
      </c>
      <c r="C7" s="1370"/>
      <c r="D7" s="632" t="s">
        <v>142</v>
      </c>
      <c r="E7" s="632" t="s">
        <v>143</v>
      </c>
      <c r="F7" s="1336" t="s">
        <v>144</v>
      </c>
      <c r="G7" s="1336"/>
      <c r="H7" s="1336"/>
      <c r="I7" s="1336"/>
      <c r="J7" s="1336"/>
      <c r="K7" s="1336"/>
      <c r="L7" s="296"/>
      <c r="M7" s="296"/>
      <c r="N7" s="296"/>
      <c r="O7" s="296"/>
      <c r="P7" s="53"/>
      <c r="Q7" s="88"/>
      <c r="R7" s="372"/>
      <c r="S7" s="372"/>
      <c r="T7" s="11"/>
      <c r="U7" s="11"/>
      <c r="V7" s="16"/>
      <c r="W7" s="11"/>
      <c r="X7" s="11"/>
      <c r="Y7" s="44"/>
      <c r="Z7" s="11"/>
      <c r="AA7" s="11"/>
      <c r="AB7" s="11"/>
      <c r="AC7" s="75"/>
      <c r="AD7" s="11"/>
      <c r="AE7" s="11"/>
      <c r="AF7" s="8"/>
      <c r="AG7" s="47"/>
      <c r="AH7" s="47"/>
      <c r="AI7" s="47"/>
      <c r="AJ7" s="47"/>
      <c r="AK7" s="8"/>
      <c r="AL7" s="8"/>
      <c r="AM7" s="7"/>
      <c r="AN7" s="8"/>
      <c r="AO7" s="8"/>
    </row>
    <row r="8" spans="2:43" ht="37.200000000000003" customHeight="1">
      <c r="B8" s="1337" t="s">
        <v>66</v>
      </c>
      <c r="C8" s="1338"/>
      <c r="D8" s="48"/>
      <c r="E8" s="41" t="s">
        <v>59</v>
      </c>
      <c r="F8" s="1331" t="s">
        <v>646</v>
      </c>
      <c r="G8" s="1332"/>
      <c r="H8" s="1332"/>
      <c r="I8" s="1332"/>
      <c r="J8" s="1332"/>
      <c r="K8" s="1333"/>
      <c r="L8" s="53"/>
      <c r="M8" s="53"/>
      <c r="N8" s="53"/>
      <c r="O8" s="53"/>
      <c r="P8" s="53"/>
      <c r="Q8" s="88"/>
      <c r="R8" s="372"/>
      <c r="S8" s="372"/>
      <c r="T8" s="11"/>
      <c r="U8" s="11"/>
      <c r="V8" s="17"/>
      <c r="W8" s="11"/>
      <c r="X8" s="11"/>
      <c r="Y8" s="44"/>
      <c r="Z8" s="1364"/>
      <c r="AA8" s="1364"/>
      <c r="AB8" s="1389" t="s">
        <v>354</v>
      </c>
      <c r="AC8" s="1389"/>
      <c r="AD8" s="1389"/>
      <c r="AE8" s="1389"/>
      <c r="AF8" s="1389"/>
      <c r="AG8" s="1389"/>
      <c r="AH8" s="1389"/>
      <c r="AI8" s="15"/>
      <c r="AJ8" s="15"/>
      <c r="AK8" s="7"/>
      <c r="AL8" s="7"/>
      <c r="AM8" s="7"/>
      <c r="AN8" s="7"/>
      <c r="AO8" s="7"/>
      <c r="AP8" s="7"/>
      <c r="AQ8" s="7"/>
    </row>
    <row r="9" spans="2:43" ht="46.2" customHeight="1">
      <c r="B9" s="1337" t="s">
        <v>357</v>
      </c>
      <c r="C9" s="1338"/>
      <c r="D9" s="48"/>
      <c r="E9" s="127" t="s">
        <v>57</v>
      </c>
      <c r="F9" s="1331" t="s">
        <v>67</v>
      </c>
      <c r="G9" s="1332"/>
      <c r="H9" s="1332"/>
      <c r="I9" s="1332"/>
      <c r="J9" s="1332"/>
      <c r="K9" s="1333"/>
      <c r="L9" s="185"/>
      <c r="M9" s="185"/>
      <c r="N9" s="185"/>
      <c r="O9" s="185"/>
      <c r="P9" s="53"/>
      <c r="Q9" s="88"/>
      <c r="R9" s="372"/>
      <c r="S9" s="372"/>
      <c r="T9" s="11"/>
      <c r="U9" s="11"/>
      <c r="V9" s="17"/>
      <c r="W9" s="11"/>
      <c r="X9" s="11"/>
      <c r="Y9" s="44"/>
      <c r="Z9" s="1364"/>
      <c r="AA9" s="1364"/>
      <c r="AB9" s="1389"/>
      <c r="AC9" s="1389"/>
      <c r="AD9" s="1389"/>
      <c r="AE9" s="1389"/>
      <c r="AF9" s="1389"/>
      <c r="AG9" s="1389"/>
      <c r="AH9" s="1389"/>
      <c r="AI9" s="15"/>
      <c r="AJ9" s="15"/>
      <c r="AK9" s="7"/>
      <c r="AL9" s="7"/>
      <c r="AM9" s="7"/>
      <c r="AN9" s="7"/>
      <c r="AO9" s="7"/>
      <c r="AP9" s="7"/>
      <c r="AQ9" s="7"/>
    </row>
    <row r="10" spans="2:43" ht="39.9" customHeight="1">
      <c r="B10" s="1337" t="s">
        <v>68</v>
      </c>
      <c r="C10" s="1338"/>
      <c r="D10" s="48"/>
      <c r="E10" s="41" t="s">
        <v>12</v>
      </c>
      <c r="F10" s="1331" t="s">
        <v>1168</v>
      </c>
      <c r="G10" s="1332"/>
      <c r="H10" s="1332"/>
      <c r="I10" s="1332"/>
      <c r="J10" s="1332"/>
      <c r="K10" s="1333"/>
      <c r="L10" s="53"/>
      <c r="M10" s="53"/>
      <c r="N10" s="53"/>
      <c r="O10" s="53"/>
      <c r="P10" s="53"/>
      <c r="Q10" s="88"/>
      <c r="R10" s="372"/>
      <c r="S10" s="372"/>
      <c r="T10" s="11"/>
      <c r="U10" s="11"/>
      <c r="V10" s="17"/>
      <c r="W10" s="11"/>
      <c r="X10" s="11"/>
      <c r="Y10" s="44"/>
      <c r="Z10" s="1364"/>
      <c r="AA10" s="1364"/>
      <c r="AB10" s="1347">
        <f>SUM(AE41:AE279)</f>
        <v>-360256.1718454131</v>
      </c>
      <c r="AC10" s="1348"/>
      <c r="AD10" s="1348"/>
      <c r="AE10" s="1348"/>
      <c r="AF10" s="1348"/>
      <c r="AG10" s="1348"/>
      <c r="AH10" s="1349"/>
      <c r="AI10" s="15"/>
      <c r="AJ10" s="15"/>
      <c r="AK10" s="8"/>
      <c r="AL10" s="8"/>
      <c r="AM10" s="7"/>
      <c r="AN10" s="8"/>
      <c r="AO10" s="8"/>
      <c r="AP10" s="8"/>
      <c r="AQ10" s="8"/>
    </row>
    <row r="11" spans="2:43" ht="35.25" customHeight="1">
      <c r="B11" s="1337" t="s">
        <v>69</v>
      </c>
      <c r="C11" s="1338"/>
      <c r="D11" s="48"/>
      <c r="E11" s="127" t="s">
        <v>13</v>
      </c>
      <c r="F11" s="1331" t="s">
        <v>70</v>
      </c>
      <c r="G11" s="1332"/>
      <c r="H11" s="1332"/>
      <c r="I11" s="1332"/>
      <c r="J11" s="1332"/>
      <c r="K11" s="1333"/>
      <c r="L11" s="185"/>
      <c r="M11" s="185"/>
      <c r="N11" s="185"/>
      <c r="O11" s="185"/>
      <c r="P11" s="53"/>
      <c r="Q11" s="88"/>
      <c r="R11" s="372"/>
      <c r="S11" s="372"/>
      <c r="T11" s="11"/>
      <c r="U11" s="11"/>
      <c r="V11" s="17"/>
      <c r="W11" s="11"/>
      <c r="X11" s="11"/>
      <c r="Y11" s="44"/>
      <c r="Z11" s="8"/>
      <c r="AA11" s="8"/>
      <c r="AB11" s="1350"/>
      <c r="AC11" s="1351"/>
      <c r="AD11" s="1351"/>
      <c r="AE11" s="1351"/>
      <c r="AF11" s="1351"/>
      <c r="AG11" s="1351"/>
      <c r="AH11" s="1352"/>
      <c r="AI11" s="15"/>
      <c r="AJ11" s="15"/>
      <c r="AK11" s="8"/>
      <c r="AL11" s="8"/>
      <c r="AM11" s="7"/>
      <c r="AN11" s="8"/>
      <c r="AO11" s="8"/>
      <c r="AP11" s="8"/>
      <c r="AQ11" s="8"/>
    </row>
    <row r="12" spans="2:43" ht="35.25" customHeight="1">
      <c r="B12" s="1337" t="s">
        <v>71</v>
      </c>
      <c r="C12" s="1338"/>
      <c r="D12" s="49"/>
      <c r="E12" s="42" t="s">
        <v>14</v>
      </c>
      <c r="F12" s="1331" t="s">
        <v>72</v>
      </c>
      <c r="G12" s="1332"/>
      <c r="H12" s="1332"/>
      <c r="I12" s="1332"/>
      <c r="J12" s="1332"/>
      <c r="K12" s="1333"/>
      <c r="L12" s="53"/>
      <c r="M12" s="53"/>
      <c r="N12" s="53"/>
      <c r="O12" s="53"/>
      <c r="P12" s="53"/>
      <c r="Q12" s="88"/>
      <c r="R12" s="372"/>
      <c r="S12" s="372"/>
      <c r="T12" s="11"/>
      <c r="U12" s="11"/>
      <c r="V12" s="18"/>
      <c r="W12" s="11"/>
      <c r="X12" s="11"/>
      <c r="Y12" s="44"/>
      <c r="Z12" s="8"/>
      <c r="AA12" s="8"/>
      <c r="AB12" s="125"/>
      <c r="AC12" s="75"/>
      <c r="AD12" s="11"/>
      <c r="AE12" s="11"/>
      <c r="AF12" s="8"/>
      <c r="AG12" s="11"/>
      <c r="AH12" s="15"/>
      <c r="AI12" s="15"/>
      <c r="AJ12" s="15"/>
      <c r="AK12" s="8"/>
      <c r="AL12" s="14"/>
      <c r="AM12" s="55"/>
      <c r="AN12" s="8"/>
      <c r="AO12" s="8"/>
      <c r="AP12" s="8"/>
      <c r="AQ12" s="8"/>
    </row>
    <row r="13" spans="2:43" ht="35.25" customHeight="1">
      <c r="B13" s="1337" t="s">
        <v>73</v>
      </c>
      <c r="C13" s="1338"/>
      <c r="D13" s="48"/>
      <c r="E13" s="41" t="s">
        <v>160</v>
      </c>
      <c r="F13" s="1331" t="s">
        <v>647</v>
      </c>
      <c r="G13" s="1332"/>
      <c r="H13" s="1332"/>
      <c r="I13" s="1332"/>
      <c r="J13" s="1332"/>
      <c r="K13" s="1333"/>
      <c r="L13" s="53"/>
      <c r="M13" s="53"/>
      <c r="N13" s="53"/>
      <c r="O13" s="53"/>
      <c r="P13" s="53"/>
      <c r="Q13" s="88"/>
      <c r="R13" s="372"/>
      <c r="S13" s="372"/>
      <c r="T13" s="11"/>
      <c r="U13" s="11"/>
      <c r="V13" s="14"/>
      <c r="W13" s="13"/>
      <c r="X13" s="11"/>
      <c r="Y13" s="44"/>
      <c r="Z13" s="11"/>
      <c r="AA13" s="8"/>
      <c r="AB13" s="1388" t="s">
        <v>355</v>
      </c>
      <c r="AC13" s="1388"/>
      <c r="AD13" s="1388"/>
      <c r="AE13" s="1388"/>
      <c r="AF13" s="1388"/>
      <c r="AG13" s="1388"/>
      <c r="AH13" s="1388"/>
      <c r="AI13" s="15"/>
      <c r="AJ13" s="15"/>
      <c r="AK13" s="8"/>
      <c r="AL13" s="8"/>
      <c r="AM13" s="7"/>
      <c r="AN13" s="8"/>
      <c r="AO13" s="8"/>
      <c r="AP13" s="15"/>
      <c r="AQ13" s="15"/>
    </row>
    <row r="14" spans="2:43" ht="44.4" customHeight="1">
      <c r="B14" s="1337" t="s">
        <v>74</v>
      </c>
      <c r="C14" s="1338"/>
      <c r="D14" s="48"/>
      <c r="E14" s="127" t="s">
        <v>1163</v>
      </c>
      <c r="F14" s="1331" t="s">
        <v>75</v>
      </c>
      <c r="G14" s="1332"/>
      <c r="H14" s="1332"/>
      <c r="I14" s="1332"/>
      <c r="J14" s="1332"/>
      <c r="K14" s="1333"/>
      <c r="L14" s="185"/>
      <c r="M14" s="185"/>
      <c r="N14" s="185"/>
      <c r="O14" s="185"/>
      <c r="P14" s="53"/>
      <c r="Q14" s="88"/>
      <c r="R14" s="372"/>
      <c r="S14" s="372"/>
      <c r="T14" s="11"/>
      <c r="U14" s="11"/>
      <c r="V14" s="14"/>
      <c r="W14" s="11"/>
      <c r="X14" s="11"/>
      <c r="Y14" s="44"/>
      <c r="Z14" s="11"/>
      <c r="AA14" s="8"/>
      <c r="AB14" s="1388"/>
      <c r="AC14" s="1388"/>
      <c r="AD14" s="1388"/>
      <c r="AE14" s="1388"/>
      <c r="AF14" s="1388"/>
      <c r="AG14" s="1388"/>
      <c r="AH14" s="1388"/>
      <c r="AI14" s="15"/>
      <c r="AJ14" s="15"/>
      <c r="AK14" s="8"/>
      <c r="AL14" s="8"/>
      <c r="AM14" s="7"/>
      <c r="AN14" s="8"/>
      <c r="AO14" s="8"/>
      <c r="AP14" s="15"/>
      <c r="AQ14" s="15"/>
    </row>
    <row r="15" spans="2:43" ht="35.25" customHeight="1">
      <c r="B15" s="1337" t="s">
        <v>76</v>
      </c>
      <c r="C15" s="1338"/>
      <c r="D15" s="48"/>
      <c r="E15" s="41" t="s">
        <v>60</v>
      </c>
      <c r="F15" s="1331" t="s">
        <v>77</v>
      </c>
      <c r="G15" s="1332"/>
      <c r="H15" s="1332"/>
      <c r="I15" s="1332"/>
      <c r="J15" s="1332"/>
      <c r="K15" s="1333"/>
      <c r="L15" s="53"/>
      <c r="M15" s="53"/>
      <c r="N15" s="53"/>
      <c r="O15" s="53"/>
      <c r="P15" s="53"/>
      <c r="Q15" s="88"/>
      <c r="R15" s="372"/>
      <c r="S15" s="372"/>
      <c r="T15" s="11"/>
      <c r="U15" s="11"/>
      <c r="V15" s="14"/>
      <c r="W15" s="11"/>
      <c r="X15" s="11"/>
      <c r="Y15" s="44"/>
      <c r="Z15" s="11"/>
      <c r="AA15" s="8"/>
      <c r="AB15" s="1347">
        <f>SUM(AP41:AP273)</f>
        <v>-197048.00851223772</v>
      </c>
      <c r="AC15" s="1348"/>
      <c r="AD15" s="1348"/>
      <c r="AE15" s="1348"/>
      <c r="AF15" s="1348"/>
      <c r="AG15" s="1348"/>
      <c r="AH15" s="1349"/>
      <c r="AI15" s="15"/>
      <c r="AJ15" s="15"/>
      <c r="AK15" s="8"/>
      <c r="AL15" s="8"/>
      <c r="AM15" s="7"/>
      <c r="AN15" s="8"/>
      <c r="AO15" s="8"/>
      <c r="AP15" s="15"/>
      <c r="AQ15" s="15"/>
    </row>
    <row r="16" spans="2:43" ht="35.25" customHeight="1">
      <c r="B16" s="1337" t="s">
        <v>78</v>
      </c>
      <c r="C16" s="1338"/>
      <c r="D16" s="48"/>
      <c r="E16" s="41" t="s">
        <v>358</v>
      </c>
      <c r="F16" s="1331" t="s">
        <v>517</v>
      </c>
      <c r="G16" s="1332"/>
      <c r="H16" s="1332"/>
      <c r="I16" s="1332"/>
      <c r="J16" s="1332"/>
      <c r="K16" s="1333"/>
      <c r="L16" s="53"/>
      <c r="M16" s="53"/>
      <c r="N16" s="53"/>
      <c r="O16" s="53"/>
      <c r="P16" s="53"/>
      <c r="Q16" s="88"/>
      <c r="R16" s="372"/>
      <c r="S16" s="372"/>
      <c r="T16" s="11"/>
      <c r="U16" s="11"/>
      <c r="V16" s="14"/>
      <c r="W16" s="11"/>
      <c r="X16" s="11"/>
      <c r="Y16" s="44"/>
      <c r="Z16" s="11"/>
      <c r="AA16" s="8"/>
      <c r="AB16" s="1390"/>
      <c r="AC16" s="1391"/>
      <c r="AD16" s="1391"/>
      <c r="AE16" s="1391"/>
      <c r="AF16" s="1391"/>
      <c r="AG16" s="1391"/>
      <c r="AH16" s="1392"/>
      <c r="AI16" s="15"/>
      <c r="AJ16" s="15"/>
      <c r="AK16" s="8"/>
      <c r="AL16" s="8"/>
      <c r="AM16" s="7"/>
      <c r="AN16" s="8"/>
      <c r="AO16" s="16"/>
      <c r="AP16" s="15"/>
      <c r="AQ16" s="16"/>
    </row>
    <row r="17" spans="2:43" ht="35.25" customHeight="1">
      <c r="B17" s="1337" t="s">
        <v>79</v>
      </c>
      <c r="C17" s="1338"/>
      <c r="D17" s="48"/>
      <c r="E17" s="41" t="s">
        <v>16</v>
      </c>
      <c r="F17" s="1331" t="s">
        <v>267</v>
      </c>
      <c r="G17" s="1332"/>
      <c r="H17" s="1332"/>
      <c r="I17" s="1332"/>
      <c r="J17" s="1332"/>
      <c r="K17" s="1333"/>
      <c r="L17" s="53"/>
      <c r="M17" s="53"/>
      <c r="N17" s="53"/>
      <c r="O17" s="53"/>
      <c r="P17" s="53"/>
      <c r="Q17" s="88"/>
      <c r="R17" s="372"/>
      <c r="S17" s="372"/>
      <c r="T17" s="11"/>
      <c r="U17" s="11"/>
      <c r="V17" s="14"/>
      <c r="W17" s="11"/>
      <c r="X17" s="11"/>
      <c r="Y17" s="44"/>
      <c r="Z17" s="11"/>
      <c r="AA17" s="15"/>
      <c r="AB17" s="1350"/>
      <c r="AC17" s="1351"/>
      <c r="AD17" s="1351"/>
      <c r="AE17" s="1351"/>
      <c r="AF17" s="1351"/>
      <c r="AG17" s="1351"/>
      <c r="AH17" s="1352"/>
      <c r="AI17" s="15"/>
      <c r="AJ17" s="15"/>
      <c r="AK17" s="8"/>
      <c r="AL17" s="8"/>
      <c r="AM17" s="7"/>
      <c r="AN17" s="8"/>
      <c r="AO17" s="18"/>
      <c r="AP17" s="8"/>
      <c r="AQ17" s="18"/>
    </row>
    <row r="18" spans="2:43" ht="98.4" customHeight="1">
      <c r="B18" s="1337" t="s">
        <v>80</v>
      </c>
      <c r="C18" s="1338"/>
      <c r="D18" s="48"/>
      <c r="E18" s="41" t="s">
        <v>360</v>
      </c>
      <c r="F18" s="1331" t="s">
        <v>648</v>
      </c>
      <c r="G18" s="1332"/>
      <c r="H18" s="1332"/>
      <c r="I18" s="1332"/>
      <c r="J18" s="1332"/>
      <c r="K18" s="1333"/>
      <c r="L18" s="53"/>
      <c r="M18" s="53"/>
      <c r="N18" s="53"/>
      <c r="O18" s="53"/>
      <c r="P18" s="53"/>
      <c r="Q18" s="88"/>
      <c r="R18" s="372"/>
      <c r="S18" s="372"/>
      <c r="T18" s="11"/>
      <c r="U18" s="11"/>
      <c r="V18" s="14"/>
      <c r="W18" s="11"/>
      <c r="X18" s="11"/>
      <c r="Y18" s="44"/>
      <c r="Z18" s="11"/>
      <c r="AA18" s="15"/>
      <c r="AB18" s="15"/>
      <c r="AC18" s="12"/>
      <c r="AD18" s="73"/>
      <c r="AE18" s="11"/>
      <c r="AF18" s="11"/>
      <c r="AG18" s="11"/>
      <c r="AH18" s="15"/>
      <c r="AI18" s="15"/>
      <c r="AJ18" s="15"/>
      <c r="AK18" s="8"/>
      <c r="AL18" s="8"/>
      <c r="AM18" s="7"/>
      <c r="AN18" s="8"/>
      <c r="AO18" s="18"/>
      <c r="AP18" s="8"/>
      <c r="AQ18" s="18"/>
    </row>
    <row r="19" spans="2:43" ht="35.25" customHeight="1">
      <c r="B19" s="1337" t="s">
        <v>161</v>
      </c>
      <c r="C19" s="1338"/>
      <c r="D19" s="48"/>
      <c r="E19" s="41" t="s">
        <v>366</v>
      </c>
      <c r="F19" s="1331"/>
      <c r="G19" s="1332"/>
      <c r="H19" s="1332"/>
      <c r="I19" s="1332"/>
      <c r="J19" s="1332"/>
      <c r="K19" s="1333"/>
      <c r="L19" s="53"/>
      <c r="M19" s="53"/>
      <c r="N19" s="53"/>
      <c r="O19" s="53"/>
      <c r="P19" s="53"/>
      <c r="Q19" s="90"/>
      <c r="R19" s="374"/>
      <c r="S19" s="374"/>
      <c r="T19" s="14"/>
      <c r="U19" s="14"/>
      <c r="V19" s="14"/>
      <c r="W19" s="11"/>
      <c r="X19" s="14"/>
      <c r="Y19" s="55"/>
      <c r="Z19" s="11"/>
      <c r="AA19" s="15"/>
      <c r="AB19" s="1396" t="s">
        <v>356</v>
      </c>
      <c r="AC19" s="1396"/>
      <c r="AD19" s="1396"/>
      <c r="AE19" s="1396"/>
      <c r="AF19" s="1396"/>
      <c r="AG19" s="1396"/>
      <c r="AH19" s="1396"/>
      <c r="AI19" s="15"/>
      <c r="AJ19" s="15"/>
      <c r="AK19" s="8"/>
      <c r="AL19" s="8"/>
      <c r="AM19" s="7"/>
      <c r="AN19" s="8"/>
      <c r="AO19" s="18"/>
      <c r="AP19" s="15"/>
      <c r="AQ19" s="18"/>
    </row>
    <row r="20" spans="2:43" ht="48.6" customHeight="1">
      <c r="B20" s="1337" t="s">
        <v>127</v>
      </c>
      <c r="C20" s="1338"/>
      <c r="D20" s="48"/>
      <c r="E20" s="41" t="s">
        <v>24</v>
      </c>
      <c r="F20" s="1331" t="s">
        <v>81</v>
      </c>
      <c r="G20" s="1332"/>
      <c r="H20" s="1332"/>
      <c r="I20" s="1332"/>
      <c r="J20" s="1332"/>
      <c r="K20" s="1333"/>
      <c r="L20" s="53"/>
      <c r="M20" s="53"/>
      <c r="N20" s="53"/>
      <c r="O20" s="53"/>
      <c r="P20" s="53"/>
      <c r="Q20" s="90"/>
      <c r="R20" s="374"/>
      <c r="S20" s="374"/>
      <c r="T20" s="14"/>
      <c r="U20" s="14"/>
      <c r="V20" s="14"/>
      <c r="W20" s="11"/>
      <c r="X20" s="14"/>
      <c r="Y20" s="55"/>
      <c r="Z20" s="11"/>
      <c r="AA20" s="15"/>
      <c r="AB20" s="1396"/>
      <c r="AC20" s="1396"/>
      <c r="AD20" s="1396"/>
      <c r="AE20" s="1396"/>
      <c r="AF20" s="1396"/>
      <c r="AG20" s="1396"/>
      <c r="AH20" s="1396"/>
      <c r="AI20" s="15"/>
      <c r="AJ20" s="15"/>
      <c r="AK20" s="8"/>
      <c r="AL20" s="8"/>
      <c r="AM20" s="7"/>
      <c r="AN20" s="8"/>
      <c r="AO20" s="18"/>
      <c r="AP20" s="15"/>
      <c r="AQ20" s="18"/>
    </row>
    <row r="21" spans="2:43" ht="35.25" customHeight="1">
      <c r="B21" s="1337" t="s">
        <v>82</v>
      </c>
      <c r="C21" s="1338"/>
      <c r="D21" s="48"/>
      <c r="E21" s="41" t="s">
        <v>17</v>
      </c>
      <c r="F21" s="1331"/>
      <c r="G21" s="1332"/>
      <c r="H21" s="1332"/>
      <c r="I21" s="1332"/>
      <c r="J21" s="1332"/>
      <c r="K21" s="1333"/>
      <c r="L21" s="53"/>
      <c r="M21" s="53"/>
      <c r="N21" s="53"/>
      <c r="O21" s="53"/>
      <c r="P21" s="53"/>
      <c r="Q21" s="90"/>
      <c r="R21" s="374"/>
      <c r="S21" s="374"/>
      <c r="T21" s="14"/>
      <c r="U21" s="14"/>
      <c r="V21" s="14"/>
      <c r="W21" s="11"/>
      <c r="X21" s="14"/>
      <c r="Y21" s="55"/>
      <c r="Z21" s="11"/>
      <c r="AA21" s="15"/>
      <c r="AB21" s="1347">
        <f>(AB10-AB15)*-1</f>
        <v>163208.16333317538</v>
      </c>
      <c r="AC21" s="1348"/>
      <c r="AD21" s="1348"/>
      <c r="AE21" s="1348"/>
      <c r="AF21" s="1348"/>
      <c r="AG21" s="1348"/>
      <c r="AH21" s="1349"/>
      <c r="AI21" s="15"/>
      <c r="AJ21" s="15"/>
      <c r="AK21" s="8"/>
      <c r="AL21" s="8"/>
      <c r="AM21" s="7"/>
      <c r="AN21" s="8"/>
      <c r="AO21" s="16"/>
      <c r="AP21" s="15"/>
      <c r="AQ21" s="16"/>
    </row>
    <row r="22" spans="2:43" ht="35.25" customHeight="1">
      <c r="B22" s="1337" t="s">
        <v>126</v>
      </c>
      <c r="C22" s="1338"/>
      <c r="D22" s="48"/>
      <c r="E22" s="41" t="s">
        <v>25</v>
      </c>
      <c r="F22" s="1331" t="s">
        <v>265</v>
      </c>
      <c r="G22" s="1332"/>
      <c r="H22" s="1332"/>
      <c r="I22" s="1332"/>
      <c r="J22" s="1332"/>
      <c r="K22" s="1333"/>
      <c r="L22" s="53"/>
      <c r="M22" s="53"/>
      <c r="N22" s="53"/>
      <c r="O22" s="53"/>
      <c r="P22" s="53"/>
      <c r="Q22" s="90"/>
      <c r="R22" s="374"/>
      <c r="S22" s="374"/>
      <c r="T22" s="14"/>
      <c r="U22" s="14"/>
      <c r="V22" s="14"/>
      <c r="W22" s="11"/>
      <c r="X22" s="14"/>
      <c r="Y22" s="55"/>
      <c r="Z22" s="11"/>
      <c r="AA22" s="15"/>
      <c r="AB22" s="1390"/>
      <c r="AC22" s="1391"/>
      <c r="AD22" s="1391"/>
      <c r="AE22" s="1391"/>
      <c r="AF22" s="1391"/>
      <c r="AG22" s="1391"/>
      <c r="AH22" s="1392"/>
      <c r="AI22" s="15"/>
      <c r="AJ22" s="15"/>
      <c r="AK22" s="8"/>
      <c r="AL22" s="8"/>
      <c r="AM22" s="7"/>
      <c r="AN22" s="8"/>
      <c r="AO22" s="17"/>
      <c r="AP22" s="15"/>
      <c r="AQ22" s="17"/>
    </row>
    <row r="23" spans="2:43" ht="35.25" customHeight="1">
      <c r="B23" s="1337" t="s">
        <v>83</v>
      </c>
      <c r="C23" s="1338"/>
      <c r="D23" s="48"/>
      <c r="E23" s="41" t="s">
        <v>26</v>
      </c>
      <c r="F23" s="1331" t="s">
        <v>84</v>
      </c>
      <c r="G23" s="1332"/>
      <c r="H23" s="1332"/>
      <c r="I23" s="1332"/>
      <c r="J23" s="1332"/>
      <c r="K23" s="1333"/>
      <c r="L23" s="53"/>
      <c r="M23" s="53"/>
      <c r="N23" s="53"/>
      <c r="O23" s="53"/>
      <c r="P23" s="53"/>
      <c r="Q23" s="90"/>
      <c r="R23" s="374"/>
      <c r="S23" s="374"/>
      <c r="T23" s="14"/>
      <c r="U23" s="14"/>
      <c r="V23" s="14"/>
      <c r="W23" s="11"/>
      <c r="X23" s="14"/>
      <c r="Y23" s="55"/>
      <c r="Z23" s="11"/>
      <c r="AA23" s="15"/>
      <c r="AB23" s="1350"/>
      <c r="AC23" s="1351"/>
      <c r="AD23" s="1351"/>
      <c r="AE23" s="1351"/>
      <c r="AF23" s="1351"/>
      <c r="AG23" s="1351"/>
      <c r="AH23" s="1352"/>
      <c r="AI23" s="15"/>
      <c r="AJ23" s="15"/>
      <c r="AK23" s="8"/>
      <c r="AL23" s="8"/>
      <c r="AM23" s="7"/>
      <c r="AN23" s="8"/>
      <c r="AO23" s="17"/>
      <c r="AP23" s="8"/>
      <c r="AQ23" s="17"/>
    </row>
    <row r="24" spans="2:43" ht="35.25" customHeight="1">
      <c r="B24" s="1337" t="s">
        <v>85</v>
      </c>
      <c r="C24" s="1338"/>
      <c r="D24" s="48"/>
      <c r="E24" s="41" t="s">
        <v>15</v>
      </c>
      <c r="F24" s="1331" t="s">
        <v>86</v>
      </c>
      <c r="G24" s="1332"/>
      <c r="H24" s="1332"/>
      <c r="I24" s="1332"/>
      <c r="J24" s="1332"/>
      <c r="K24" s="1333"/>
      <c r="L24" s="53"/>
      <c r="M24" s="53"/>
      <c r="N24" s="53"/>
      <c r="O24" s="53"/>
      <c r="P24" s="53"/>
      <c r="Q24" s="90"/>
      <c r="R24" s="374"/>
      <c r="S24" s="374"/>
      <c r="T24" s="14"/>
      <c r="U24" s="14"/>
      <c r="V24" s="14"/>
      <c r="W24" s="11"/>
      <c r="X24" s="14"/>
      <c r="Y24" s="55"/>
      <c r="Z24" s="8"/>
      <c r="AA24" s="8"/>
      <c r="AB24" s="1400">
        <f>1-AB15/AB10</f>
        <v>0.45303363575186284</v>
      </c>
      <c r="AC24" s="1401"/>
      <c r="AD24" s="1401"/>
      <c r="AE24" s="1401"/>
      <c r="AF24" s="1401"/>
      <c r="AG24" s="1401"/>
      <c r="AH24" s="1402"/>
      <c r="AI24" s="15"/>
      <c r="AJ24" s="15"/>
      <c r="AK24" s="8"/>
      <c r="AL24" s="8"/>
      <c r="AM24" s="7"/>
      <c r="AN24" s="8"/>
      <c r="AO24" s="17"/>
      <c r="AP24" s="8"/>
      <c r="AQ24" s="17"/>
    </row>
    <row r="25" spans="2:43" ht="35.25" customHeight="1">
      <c r="B25" s="1337" t="s">
        <v>312</v>
      </c>
      <c r="C25" s="1338"/>
      <c r="D25" s="48"/>
      <c r="E25" s="41" t="s">
        <v>313</v>
      </c>
      <c r="F25" s="1331"/>
      <c r="G25" s="1332"/>
      <c r="H25" s="1332"/>
      <c r="I25" s="1332"/>
      <c r="J25" s="1332"/>
      <c r="K25" s="1333"/>
      <c r="L25" s="53"/>
      <c r="M25" s="53"/>
      <c r="N25" s="53"/>
      <c r="O25" s="53"/>
      <c r="P25" s="53"/>
      <c r="Q25" s="90"/>
      <c r="R25" s="374"/>
      <c r="S25" s="374"/>
      <c r="T25" s="14"/>
      <c r="U25" s="14"/>
      <c r="V25" s="14"/>
      <c r="W25" s="11"/>
      <c r="X25" s="11"/>
      <c r="Y25" s="44"/>
      <c r="Z25" s="8"/>
      <c r="AA25" s="8"/>
      <c r="AB25" s="1403"/>
      <c r="AC25" s="1404"/>
      <c r="AD25" s="1404"/>
      <c r="AE25" s="1404"/>
      <c r="AF25" s="1404"/>
      <c r="AG25" s="1404"/>
      <c r="AH25" s="1405"/>
      <c r="AI25" s="15"/>
      <c r="AJ25" s="15"/>
      <c r="AK25" s="8"/>
      <c r="AL25" s="8"/>
      <c r="AM25" s="7"/>
      <c r="AN25" s="8"/>
      <c r="AO25" s="17"/>
      <c r="AP25" s="15"/>
      <c r="AQ25" s="17"/>
    </row>
    <row r="26" spans="2:43" ht="35.25" customHeight="1">
      <c r="B26" s="1410" t="s">
        <v>87</v>
      </c>
      <c r="C26" s="1411"/>
      <c r="D26" s="52"/>
      <c r="E26" s="50" t="s">
        <v>62</v>
      </c>
      <c r="F26" s="1331" t="s">
        <v>88</v>
      </c>
      <c r="G26" s="1332"/>
      <c r="H26" s="1332"/>
      <c r="I26" s="1332"/>
      <c r="J26" s="1332"/>
      <c r="K26" s="1333"/>
      <c r="L26" s="53"/>
      <c r="M26" s="53"/>
      <c r="N26" s="53"/>
      <c r="O26" s="53"/>
      <c r="P26" s="53"/>
      <c r="Q26" s="90"/>
      <c r="R26" s="374"/>
      <c r="S26" s="374"/>
      <c r="T26" s="14"/>
      <c r="U26" s="14"/>
      <c r="V26" s="14"/>
      <c r="W26" s="11"/>
      <c r="X26" s="11"/>
      <c r="Y26" s="44"/>
      <c r="Z26" s="8"/>
      <c r="AA26" s="8"/>
      <c r="AB26" s="1406"/>
      <c r="AC26" s="1407"/>
      <c r="AD26" s="1407"/>
      <c r="AE26" s="1407"/>
      <c r="AF26" s="1407"/>
      <c r="AG26" s="1407"/>
      <c r="AH26" s="1408"/>
      <c r="AI26" s="15"/>
      <c r="AJ26" s="15"/>
      <c r="AK26" s="8"/>
      <c r="AL26" s="8"/>
      <c r="AM26" s="7"/>
      <c r="AN26" s="8"/>
      <c r="AO26" s="18"/>
      <c r="AP26" s="15"/>
      <c r="AQ26" s="18"/>
    </row>
    <row r="27" spans="2:43" ht="35.25" customHeight="1">
      <c r="B27" s="1342" t="s">
        <v>409</v>
      </c>
      <c r="C27" s="1363"/>
      <c r="D27" s="52"/>
      <c r="E27" s="41" t="s">
        <v>410</v>
      </c>
      <c r="F27" s="1331"/>
      <c r="G27" s="1332"/>
      <c r="H27" s="1332"/>
      <c r="I27" s="1332"/>
      <c r="J27" s="1332"/>
      <c r="K27" s="1333"/>
      <c r="L27" s="53"/>
      <c r="M27" s="53"/>
      <c r="N27" s="53"/>
      <c r="O27" s="53"/>
      <c r="P27" s="53"/>
      <c r="Q27" s="90"/>
      <c r="R27" s="374"/>
      <c r="S27" s="374"/>
      <c r="T27" s="14"/>
      <c r="U27" s="14"/>
      <c r="V27" s="14"/>
      <c r="W27" s="11"/>
      <c r="X27" s="11"/>
      <c r="Y27" s="12"/>
      <c r="Z27" s="17"/>
      <c r="AA27" s="17"/>
      <c r="AB27" s="17"/>
      <c r="AC27" s="12"/>
      <c r="AD27" s="73"/>
      <c r="AE27" s="12"/>
      <c r="AF27" s="8"/>
      <c r="AG27" s="8"/>
      <c r="AH27" s="8"/>
      <c r="AI27" s="8"/>
      <c r="AJ27" s="8"/>
      <c r="AK27" s="8"/>
      <c r="AL27" s="8"/>
      <c r="AM27" s="7"/>
      <c r="AN27" s="8"/>
      <c r="AO27" s="8"/>
      <c r="AP27" s="15"/>
      <c r="AQ27" s="8"/>
    </row>
    <row r="28" spans="2:43" ht="35.25" customHeight="1">
      <c r="B28" s="1342" t="s">
        <v>89</v>
      </c>
      <c r="C28" s="1342"/>
      <c r="D28" s="52"/>
      <c r="E28" s="41" t="s">
        <v>359</v>
      </c>
      <c r="F28" s="1331" t="s">
        <v>266</v>
      </c>
      <c r="G28" s="1332"/>
      <c r="H28" s="1332"/>
      <c r="I28" s="1332"/>
      <c r="J28" s="1332"/>
      <c r="K28" s="1333"/>
      <c r="L28" s="53"/>
      <c r="M28" s="53"/>
      <c r="N28" s="53"/>
      <c r="O28" s="53"/>
      <c r="P28" s="54"/>
      <c r="Q28" s="90"/>
      <c r="R28" s="374"/>
      <c r="S28" s="374"/>
      <c r="T28" s="14"/>
      <c r="U28" s="14"/>
      <c r="V28" s="14"/>
      <c r="W28" s="11"/>
      <c r="X28" s="11"/>
      <c r="Y28" s="12"/>
      <c r="Z28" s="17"/>
      <c r="AA28" s="17"/>
      <c r="AB28" s="17"/>
      <c r="AC28" s="12"/>
      <c r="AD28" s="73"/>
      <c r="AE28" s="12"/>
      <c r="AF28" s="8"/>
      <c r="AG28" s="8"/>
      <c r="AH28" s="8"/>
      <c r="AI28" s="8"/>
      <c r="AJ28" s="8"/>
      <c r="AK28" s="8"/>
      <c r="AL28" s="8"/>
      <c r="AM28" s="7"/>
      <c r="AN28" s="8"/>
      <c r="AO28" s="8"/>
      <c r="AP28" s="8"/>
      <c r="AQ28" s="8"/>
    </row>
    <row r="29" spans="2:43" ht="48" customHeight="1">
      <c r="B29" s="1342" t="s">
        <v>90</v>
      </c>
      <c r="C29" s="1342"/>
      <c r="D29" s="48"/>
      <c r="E29" s="41" t="s">
        <v>61</v>
      </c>
      <c r="F29" s="1331" t="s">
        <v>649</v>
      </c>
      <c r="G29" s="1332"/>
      <c r="H29" s="1332"/>
      <c r="I29" s="1332"/>
      <c r="J29" s="1332"/>
      <c r="K29" s="1333"/>
      <c r="L29" s="53"/>
      <c r="M29" s="53"/>
      <c r="N29" s="53"/>
      <c r="O29" s="582"/>
      <c r="P29" s="53"/>
      <c r="Q29" s="90"/>
      <c r="R29" s="374"/>
      <c r="S29" s="374"/>
      <c r="T29" s="14"/>
      <c r="U29" s="14"/>
      <c r="V29" s="14"/>
      <c r="W29" s="11"/>
      <c r="X29" s="11"/>
      <c r="Y29" s="12"/>
      <c r="Z29" s="17"/>
      <c r="AA29" s="17"/>
      <c r="AB29" s="17"/>
      <c r="AC29" s="12"/>
      <c r="AD29" s="73"/>
      <c r="AE29" s="12"/>
      <c r="AF29" s="8"/>
      <c r="AG29" s="8"/>
      <c r="AH29" s="8"/>
      <c r="AI29" s="8"/>
      <c r="AJ29" s="8"/>
      <c r="AK29" s="8"/>
      <c r="AL29" s="8"/>
      <c r="AM29" s="7"/>
      <c r="AN29" s="8"/>
      <c r="AO29" s="8"/>
      <c r="AP29" s="8"/>
      <c r="AQ29" s="8"/>
    </row>
    <row r="30" spans="2:43" ht="35.25" customHeight="1">
      <c r="B30" s="1342" t="s">
        <v>838</v>
      </c>
      <c r="C30" s="1342"/>
      <c r="D30" s="48"/>
      <c r="E30" s="41" t="s">
        <v>1160</v>
      </c>
      <c r="F30" s="1331" t="s">
        <v>1026</v>
      </c>
      <c r="G30" s="1332"/>
      <c r="H30" s="1332"/>
      <c r="I30" s="1332"/>
      <c r="J30" s="1332"/>
      <c r="K30" s="1333"/>
      <c r="L30" s="51"/>
      <c r="M30" s="51"/>
      <c r="N30" s="51"/>
      <c r="O30" s="583"/>
      <c r="P30" s="51"/>
      <c r="Q30" s="90"/>
      <c r="R30" s="374"/>
      <c r="S30" s="374"/>
      <c r="T30" s="14"/>
      <c r="U30" s="14"/>
      <c r="V30" s="14"/>
      <c r="W30" s="11"/>
      <c r="X30" s="11"/>
      <c r="Y30" s="12"/>
      <c r="Z30" s="17"/>
      <c r="AA30" s="17"/>
      <c r="AB30" s="17"/>
      <c r="AC30" s="12"/>
      <c r="AD30" s="73"/>
      <c r="AE30" s="12"/>
      <c r="AF30" s="8"/>
      <c r="AG30" s="8"/>
      <c r="AH30" s="8"/>
      <c r="AI30" s="8"/>
      <c r="AJ30" s="8"/>
      <c r="AK30" s="8"/>
      <c r="AL30" s="8"/>
      <c r="AM30" s="7"/>
      <c r="AN30" s="8"/>
      <c r="AO30" s="8"/>
      <c r="AP30" s="8"/>
      <c r="AQ30" s="8"/>
    </row>
    <row r="31" spans="2:43" ht="35.25" customHeight="1">
      <c r="B31" s="1342" t="s">
        <v>844</v>
      </c>
      <c r="C31" s="1342"/>
      <c r="D31" s="48"/>
      <c r="E31" s="41" t="s">
        <v>1161</v>
      </c>
      <c r="F31" s="1331" t="s">
        <v>1164</v>
      </c>
      <c r="G31" s="1332"/>
      <c r="H31" s="1332"/>
      <c r="I31" s="1332"/>
      <c r="J31" s="1332"/>
      <c r="K31" s="1333"/>
      <c r="L31" s="51"/>
      <c r="M31" s="51"/>
      <c r="N31" s="51"/>
      <c r="O31" s="583"/>
      <c r="P31" s="51"/>
      <c r="Q31" s="90"/>
      <c r="R31" s="374"/>
      <c r="S31" s="374"/>
      <c r="T31" s="14"/>
      <c r="U31" s="14"/>
      <c r="V31" s="14"/>
      <c r="W31" s="11"/>
      <c r="X31" s="11"/>
      <c r="Y31" s="12"/>
      <c r="Z31" s="17"/>
      <c r="AA31" s="17"/>
      <c r="AB31" s="17"/>
      <c r="AC31" s="12"/>
      <c r="AD31" s="73"/>
      <c r="AE31" s="12"/>
      <c r="AF31" s="8"/>
      <c r="AG31" s="8"/>
      <c r="AH31" s="8"/>
      <c r="AI31" s="8"/>
      <c r="AJ31" s="8"/>
      <c r="AK31" s="8"/>
      <c r="AL31" s="8"/>
      <c r="AM31" s="7"/>
      <c r="AN31" s="8"/>
      <c r="AO31" s="8"/>
      <c r="AP31" s="8"/>
      <c r="AQ31" s="8"/>
    </row>
    <row r="32" spans="2:43" ht="35.25" customHeight="1">
      <c r="B32" s="1342" t="s">
        <v>847</v>
      </c>
      <c r="C32" s="1342"/>
      <c r="D32" s="48"/>
      <c r="E32" s="41" t="s">
        <v>1162</v>
      </c>
      <c r="F32" s="1331" t="s">
        <v>1165</v>
      </c>
      <c r="G32" s="1332"/>
      <c r="H32" s="1332"/>
      <c r="I32" s="1332"/>
      <c r="J32" s="1332"/>
      <c r="K32" s="1333"/>
      <c r="L32" s="51"/>
      <c r="M32" s="51"/>
      <c r="N32" s="51"/>
      <c r="O32" s="583"/>
      <c r="P32" s="51"/>
      <c r="Q32" s="90"/>
      <c r="R32" s="374"/>
      <c r="S32" s="374"/>
      <c r="T32" s="14"/>
      <c r="U32" s="14"/>
      <c r="V32" s="14"/>
      <c r="W32" s="11"/>
      <c r="X32" s="11"/>
      <c r="Y32" s="12"/>
      <c r="Z32" s="17"/>
      <c r="AA32" s="17"/>
      <c r="AB32" s="17"/>
      <c r="AC32" s="12"/>
      <c r="AD32" s="73"/>
      <c r="AE32" s="12"/>
      <c r="AF32" s="8"/>
      <c r="AG32" s="8"/>
      <c r="AH32" s="8"/>
      <c r="AI32" s="8"/>
      <c r="AJ32" s="8"/>
      <c r="AK32" s="8"/>
      <c r="AL32" s="8"/>
      <c r="AM32" s="7"/>
      <c r="AN32" s="8"/>
      <c r="AO32" s="8"/>
      <c r="AP32" s="8"/>
      <c r="AQ32" s="8"/>
    </row>
    <row r="33" spans="2:50" ht="51" customHeight="1">
      <c r="B33" s="1342" t="s">
        <v>848</v>
      </c>
      <c r="C33" s="1342"/>
      <c r="D33" s="48"/>
      <c r="E33" s="41" t="s">
        <v>1163</v>
      </c>
      <c r="F33" s="1331" t="s">
        <v>75</v>
      </c>
      <c r="G33" s="1332"/>
      <c r="H33" s="1332"/>
      <c r="I33" s="1332"/>
      <c r="J33" s="1332"/>
      <c r="K33" s="1333"/>
      <c r="L33" s="51"/>
      <c r="M33" s="51"/>
      <c r="N33" s="51"/>
      <c r="O33" s="1409"/>
      <c r="P33" s="1409"/>
      <c r="Q33" s="1409"/>
      <c r="R33" s="374"/>
      <c r="S33" s="374"/>
      <c r="T33" s="14"/>
      <c r="U33" s="14"/>
      <c r="V33" s="14"/>
      <c r="W33" s="11"/>
      <c r="X33" s="11"/>
      <c r="Y33" s="12"/>
      <c r="Z33" s="17"/>
      <c r="AA33" s="17"/>
      <c r="AB33" s="17"/>
      <c r="AC33" s="12"/>
      <c r="AD33" s="73"/>
      <c r="AE33" s="12"/>
      <c r="AF33" s="8"/>
      <c r="AG33" s="8"/>
      <c r="AH33" s="8"/>
      <c r="AI33" s="8"/>
      <c r="AJ33" s="8"/>
      <c r="AK33" s="8"/>
      <c r="AL33" s="8"/>
      <c r="AM33" s="7"/>
      <c r="AN33" s="8"/>
      <c r="AO33" s="8"/>
      <c r="AP33" s="8"/>
      <c r="AQ33" s="8"/>
    </row>
    <row r="34" spans="2:50" ht="24" customHeight="1">
      <c r="B34" s="1342" t="s">
        <v>845</v>
      </c>
      <c r="C34" s="1342"/>
      <c r="D34" s="48"/>
      <c r="E34" s="41" t="s">
        <v>1169</v>
      </c>
      <c r="F34" s="1331" t="s">
        <v>1167</v>
      </c>
      <c r="G34" s="1332"/>
      <c r="H34" s="1332"/>
      <c r="I34" s="1332"/>
      <c r="J34" s="1332"/>
      <c r="K34" s="1333"/>
      <c r="L34" s="51"/>
      <c r="M34" s="51"/>
      <c r="N34" s="51"/>
      <c r="O34" s="1409"/>
      <c r="P34" s="1409"/>
      <c r="Q34" s="1409"/>
      <c r="R34" s="374"/>
      <c r="S34" s="374"/>
      <c r="T34" s="14"/>
      <c r="U34" s="14"/>
      <c r="V34" s="14"/>
      <c r="W34" s="11"/>
      <c r="X34" s="11"/>
      <c r="Y34" s="12"/>
      <c r="Z34" s="17"/>
      <c r="AA34" s="17"/>
      <c r="AB34" s="17"/>
      <c r="AC34" s="12"/>
      <c r="AD34" s="73"/>
      <c r="AE34" s="12"/>
      <c r="AF34" s="8"/>
      <c r="AG34" s="8"/>
      <c r="AH34" s="8"/>
      <c r="AI34" s="8"/>
      <c r="AJ34" s="8"/>
      <c r="AK34" s="8"/>
      <c r="AL34" s="8"/>
      <c r="AM34" s="7"/>
      <c r="AN34" s="8"/>
      <c r="AO34" s="8"/>
      <c r="AP34" s="8"/>
      <c r="AQ34" s="8"/>
    </row>
    <row r="35" spans="2:50" ht="71.25" customHeight="1">
      <c r="B35" s="1342" t="s">
        <v>846</v>
      </c>
      <c r="C35" s="1342"/>
      <c r="D35" s="48"/>
      <c r="E35" s="41" t="s">
        <v>1170</v>
      </c>
      <c r="F35" s="1331" t="s">
        <v>1166</v>
      </c>
      <c r="G35" s="1332"/>
      <c r="H35" s="1332"/>
      <c r="I35" s="1332"/>
      <c r="J35" s="1332"/>
      <c r="K35" s="1333"/>
      <c r="L35" s="51"/>
      <c r="M35" s="51"/>
      <c r="N35" s="51"/>
      <c r="O35" s="1409"/>
      <c r="P35" s="1409"/>
      <c r="Q35" s="1409"/>
      <c r="R35" s="374"/>
      <c r="S35" s="374"/>
      <c r="T35" s="14"/>
      <c r="U35" s="14"/>
      <c r="V35" s="14"/>
      <c r="W35" s="11"/>
      <c r="X35" s="11"/>
      <c r="Y35" s="12"/>
      <c r="Z35" s="17"/>
      <c r="AA35" s="17"/>
      <c r="AB35" s="17"/>
      <c r="AC35" s="12"/>
      <c r="AD35" s="73"/>
      <c r="AE35" s="12"/>
      <c r="AF35" s="8"/>
      <c r="AG35" s="8"/>
      <c r="AH35" s="8"/>
      <c r="AI35" s="8"/>
      <c r="AJ35" s="8"/>
      <c r="AK35" s="8"/>
      <c r="AL35" s="8"/>
      <c r="AM35" s="7"/>
      <c r="AN35" s="8"/>
      <c r="AO35" s="8"/>
      <c r="AP35" s="8"/>
      <c r="AQ35" s="8"/>
    </row>
    <row r="36" spans="2:50" ht="49.5" customHeight="1">
      <c r="B36" s="1342" t="s">
        <v>1320</v>
      </c>
      <c r="C36" s="1342"/>
      <c r="D36" s="48"/>
      <c r="E36" s="41" t="s">
        <v>1321</v>
      </c>
      <c r="F36" s="1331" t="s">
        <v>1334</v>
      </c>
      <c r="G36" s="1332"/>
      <c r="H36" s="1332"/>
      <c r="I36" s="1332"/>
      <c r="J36" s="1332"/>
      <c r="K36" s="1333"/>
      <c r="L36" s="45"/>
      <c r="M36" s="45"/>
      <c r="N36" s="45"/>
      <c r="O36" s="45"/>
      <c r="P36" s="45"/>
      <c r="Q36" s="91"/>
      <c r="R36" s="375"/>
      <c r="S36" s="375"/>
      <c r="T36" s="9"/>
      <c r="U36" s="9"/>
      <c r="V36" s="9"/>
      <c r="W36" s="9"/>
      <c r="X36" s="9"/>
      <c r="Y36" s="45"/>
      <c r="Z36" s="9"/>
      <c r="AA36" s="9">
        <f>IF((AA41/($AA$41+$AA$42+$AA$43+$AA$44+$AA$45+$AA$47+$AA$50)*Y41)+(AA42/($AA$41+$AA$42+$AA$43+$AA$44+$AA$45+$AA$47+$AA$50)*Y42)+(AA45/($AA$41+$AA$42+$AA$43+$AA$44+$AA$45+$AA$47+$AA$50)*Y45)+(AA47/($AA$41+$AA$42+$AA$43+$AA$44+$AA$45+$AA$47+$AA$50)*Y47+(AA50/($AA$41+$AA$42+$AA$43+$AA$44+$AA$45+$AA$47+$AA$50)*Y50))&gt;=100%,100%,((AA41/($AA$41+$AA$42+$AA$43+$AA$44+$AA$45+$AA$47+$AA$50)*Y41)+(AA42/($AA$41+$AA$42+$AA$43+$AA$44+$AA$45+$AA$47+$AA$50)*Y42)+(AA45/($AA$41+$AA$42+$AA$43+$AA$44+$AA$45+$AA$47+$AA$50)*Y45)+(AA47/($AA$41+$AA$42+$AA$43+$AA$44+$AA$45+$AA$47+$AA$50)*Y47)+(AA50/($AA$41+$AA$42+$AA$43+$AA$44+$AA$45+$AA$47+$AA$50)*Y50)))</f>
        <v>0.99084175724693513</v>
      </c>
      <c r="AB36" s="9"/>
      <c r="AC36" s="9"/>
      <c r="AD36" s="74"/>
      <c r="AE36" s="9"/>
      <c r="AF36" s="9"/>
      <c r="AG36" s="9"/>
      <c r="AH36" s="9"/>
      <c r="AI36" s="9"/>
      <c r="AJ36" s="9"/>
      <c r="AK36" s="9"/>
      <c r="AL36" s="9"/>
      <c r="AM36" s="45"/>
      <c r="AN36" s="9"/>
      <c r="AO36" s="9"/>
      <c r="AP36" s="9"/>
      <c r="AQ36" s="9"/>
    </row>
    <row r="37" spans="2:50" ht="49.5" customHeight="1">
      <c r="B37" s="1340"/>
      <c r="C37" s="1340"/>
      <c r="D37" s="1340"/>
      <c r="E37" s="1341"/>
      <c r="F37" s="1374"/>
      <c r="G37" s="1375"/>
      <c r="H37" s="1375"/>
      <c r="I37" s="1375"/>
      <c r="J37" s="1375"/>
      <c r="K37" s="1375"/>
      <c r="L37" s="1375"/>
      <c r="M37" s="1375"/>
      <c r="N37" s="1375"/>
      <c r="O37" s="1375"/>
      <c r="P37" s="1375"/>
      <c r="Q37" s="1375"/>
      <c r="R37" s="1375"/>
      <c r="S37" s="1375"/>
      <c r="T37" s="1375"/>
      <c r="U37" s="1375"/>
      <c r="V37" s="1375"/>
      <c r="W37" s="1375"/>
      <c r="X37" s="1376"/>
      <c r="Y37" s="1415"/>
      <c r="Z37" s="1340"/>
      <c r="AA37" s="1340"/>
      <c r="AB37" s="1340"/>
      <c r="AC37" s="1340"/>
      <c r="AD37" s="1340"/>
      <c r="AE37" s="1340"/>
      <c r="AF37" s="1341"/>
      <c r="AG37" s="516"/>
      <c r="AH37" s="1412"/>
      <c r="AI37" s="1413"/>
      <c r="AJ37" s="1413"/>
      <c r="AK37" s="1413"/>
      <c r="AL37" s="1414"/>
      <c r="AM37" s="517"/>
      <c r="AN37" s="1305"/>
      <c r="AO37" s="1306"/>
      <c r="AP37" s="1306"/>
      <c r="AQ37" s="1306"/>
    </row>
    <row r="38" spans="2:50" s="10" customFormat="1" ht="49.5" customHeight="1">
      <c r="B38" s="1397" t="s">
        <v>367</v>
      </c>
      <c r="C38" s="1398"/>
      <c r="D38" s="1399"/>
      <c r="E38" s="1399"/>
      <c r="F38" s="1377" t="s">
        <v>118</v>
      </c>
      <c r="G38" s="1378"/>
      <c r="H38" s="1378"/>
      <c r="I38" s="1378"/>
      <c r="J38" s="1378"/>
      <c r="K38" s="1378"/>
      <c r="L38" s="1378"/>
      <c r="M38" s="1378"/>
      <c r="N38" s="1378"/>
      <c r="O38" s="1378"/>
      <c r="P38" s="1378"/>
      <c r="Q38" s="1378"/>
      <c r="R38" s="1378"/>
      <c r="S38" s="1378"/>
      <c r="T38" s="1378"/>
      <c r="U38" s="1378"/>
      <c r="V38" s="1378"/>
      <c r="W38" s="1378"/>
      <c r="X38" s="1379"/>
      <c r="Y38" s="1383" t="s">
        <v>117</v>
      </c>
      <c r="Z38" s="1384"/>
      <c r="AA38" s="1384"/>
      <c r="AB38" s="1384"/>
      <c r="AC38" s="1384"/>
      <c r="AD38" s="1384"/>
      <c r="AE38" s="1384"/>
      <c r="AF38" s="1385"/>
      <c r="AG38" s="1386"/>
      <c r="AH38" s="1353" t="s">
        <v>368</v>
      </c>
      <c r="AI38" s="1354"/>
      <c r="AJ38" s="1354"/>
      <c r="AK38" s="1354"/>
      <c r="AL38" s="1355"/>
      <c r="AM38" s="130"/>
      <c r="AN38" s="1360" t="s">
        <v>116</v>
      </c>
      <c r="AO38" s="1361"/>
      <c r="AP38" s="1361"/>
      <c r="AQ38" s="1362"/>
    </row>
    <row r="39" spans="2:50" ht="58.5" customHeight="1">
      <c r="B39" s="1381" t="s">
        <v>91</v>
      </c>
      <c r="C39" s="1357" t="s">
        <v>1471</v>
      </c>
      <c r="D39" s="1359"/>
      <c r="E39" s="1299"/>
      <c r="F39" s="1339" t="s">
        <v>570</v>
      </c>
      <c r="G39" s="1371" t="s">
        <v>145</v>
      </c>
      <c r="H39" s="1373" t="s">
        <v>94</v>
      </c>
      <c r="I39" s="1301" t="s">
        <v>95</v>
      </c>
      <c r="J39" s="1301" t="s">
        <v>261</v>
      </c>
      <c r="K39" s="1335" t="s">
        <v>96</v>
      </c>
      <c r="L39" s="1298" t="s">
        <v>23</v>
      </c>
      <c r="M39" s="1299"/>
      <c r="N39" s="1299"/>
      <c r="O39" s="1299"/>
      <c r="P39" s="1300"/>
      <c r="Q39" s="1335" t="s">
        <v>637</v>
      </c>
      <c r="R39" s="1335" t="s">
        <v>949</v>
      </c>
      <c r="S39" s="1335" t="s">
        <v>950</v>
      </c>
      <c r="T39" s="1301" t="s">
        <v>97</v>
      </c>
      <c r="U39" s="1380" t="s">
        <v>98</v>
      </c>
      <c r="V39" s="1334" t="s">
        <v>58</v>
      </c>
      <c r="W39" s="1317" t="s">
        <v>99</v>
      </c>
      <c r="X39" s="1318"/>
      <c r="Y39" s="1319" t="s">
        <v>100</v>
      </c>
      <c r="Z39" s="1319" t="s">
        <v>102</v>
      </c>
      <c r="AA39" s="1319" t="s">
        <v>101</v>
      </c>
      <c r="AB39" s="1387" t="s">
        <v>376</v>
      </c>
      <c r="AC39" s="1356" t="s">
        <v>237</v>
      </c>
      <c r="AD39" s="1356" t="s">
        <v>135</v>
      </c>
      <c r="AE39" s="1365" t="s">
        <v>132</v>
      </c>
      <c r="AF39" s="1395" t="s">
        <v>103</v>
      </c>
      <c r="AG39" s="1395" t="s">
        <v>104</v>
      </c>
      <c r="AH39" s="1393" t="s">
        <v>105</v>
      </c>
      <c r="AI39" s="1288" t="s">
        <v>106</v>
      </c>
      <c r="AJ39" s="1290" t="s">
        <v>966</v>
      </c>
      <c r="AK39" s="1290" t="s">
        <v>107</v>
      </c>
      <c r="AL39" s="1290" t="s">
        <v>108</v>
      </c>
      <c r="AM39" s="1296" t="s">
        <v>109</v>
      </c>
      <c r="AN39" s="1312" t="s">
        <v>297</v>
      </c>
      <c r="AO39" s="1307" t="s">
        <v>167</v>
      </c>
      <c r="AP39" s="1307" t="s">
        <v>110</v>
      </c>
      <c r="AQ39" s="1309"/>
      <c r="AR39" s="6"/>
    </row>
    <row r="40" spans="2:50" s="1" customFormat="1" ht="264" customHeight="1" thickBot="1">
      <c r="B40" s="1382"/>
      <c r="C40" s="1358"/>
      <c r="D40" s="128" t="s">
        <v>92</v>
      </c>
      <c r="E40" s="129" t="s">
        <v>93</v>
      </c>
      <c r="F40" s="1339"/>
      <c r="G40" s="1372"/>
      <c r="H40" s="1373"/>
      <c r="I40" s="1301"/>
      <c r="J40" s="1301"/>
      <c r="K40" s="1335"/>
      <c r="L40" s="197" t="s">
        <v>375</v>
      </c>
      <c r="M40" s="198" t="s">
        <v>380</v>
      </c>
      <c r="N40" s="199" t="s">
        <v>372</v>
      </c>
      <c r="O40" s="200" t="s">
        <v>373</v>
      </c>
      <c r="P40" s="201" t="s">
        <v>374</v>
      </c>
      <c r="Q40" s="1335"/>
      <c r="R40" s="1335"/>
      <c r="S40" s="1335"/>
      <c r="T40" s="1301"/>
      <c r="U40" s="1380"/>
      <c r="V40" s="1334"/>
      <c r="W40" s="1317"/>
      <c r="X40" s="1318"/>
      <c r="Y40" s="1319"/>
      <c r="Z40" s="1319"/>
      <c r="AA40" s="1319"/>
      <c r="AB40" s="1387"/>
      <c r="AC40" s="1356"/>
      <c r="AD40" s="1356"/>
      <c r="AE40" s="1365"/>
      <c r="AF40" s="1395"/>
      <c r="AG40" s="1395"/>
      <c r="AH40" s="1394" t="s">
        <v>5</v>
      </c>
      <c r="AI40" s="1289" t="s">
        <v>6</v>
      </c>
      <c r="AJ40" s="1291" t="s">
        <v>7</v>
      </c>
      <c r="AK40" s="1291" t="s">
        <v>7</v>
      </c>
      <c r="AL40" s="1291" t="s">
        <v>8</v>
      </c>
      <c r="AM40" s="1297"/>
      <c r="AN40" s="1313"/>
      <c r="AO40" s="1308"/>
      <c r="AP40" s="1308"/>
      <c r="AQ40" s="1310"/>
      <c r="AR40" s="5">
        <v>1</v>
      </c>
      <c r="AS40" s="1">
        <v>0.5</v>
      </c>
      <c r="AT40" s="1">
        <v>0.3</v>
      </c>
    </row>
    <row r="41" spans="2:50" s="4" customFormat="1" ht="347.25" customHeight="1">
      <c r="B41" s="1428" t="s">
        <v>0</v>
      </c>
      <c r="C41" s="1430" t="s">
        <v>369</v>
      </c>
      <c r="D41" s="1432"/>
      <c r="E41" s="1447" t="s">
        <v>245</v>
      </c>
      <c r="F41" s="1063" t="s">
        <v>73</v>
      </c>
      <c r="G41" s="1069" t="s">
        <v>262</v>
      </c>
      <c r="H41" s="1010" t="s">
        <v>178</v>
      </c>
      <c r="I41" s="1040" t="s">
        <v>447</v>
      </c>
      <c r="J41" s="1040" t="s">
        <v>529</v>
      </c>
      <c r="K41" s="984" t="s">
        <v>384</v>
      </c>
      <c r="L41" s="1076">
        <v>354032</v>
      </c>
      <c r="M41" s="1076"/>
      <c r="N41" s="1076"/>
      <c r="O41" s="1076"/>
      <c r="P41" s="1076">
        <f>L41+AE41</f>
        <v>339578.71216973336</v>
      </c>
      <c r="Q41" s="633" t="s">
        <v>268</v>
      </c>
      <c r="R41" s="633" t="s">
        <v>730</v>
      </c>
      <c r="S41" s="633" t="s">
        <v>1610</v>
      </c>
      <c r="T41" s="633" t="s">
        <v>531</v>
      </c>
      <c r="U41" s="634"/>
      <c r="V41" s="635" t="s">
        <v>130</v>
      </c>
      <c r="W41" s="636" t="s">
        <v>532</v>
      </c>
      <c r="X41" s="637"/>
      <c r="Y41" s="638">
        <v>1</v>
      </c>
      <c r="Z41" s="639">
        <v>-15630</v>
      </c>
      <c r="AA41" s="639">
        <f>Y41*Z41</f>
        <v>-15630</v>
      </c>
      <c r="AB41" s="639" t="s">
        <v>533</v>
      </c>
      <c r="AC41" s="1279">
        <f>IF((AA41/($AA$41+$AA$42+$AA$43+$AA$44+$AA$45+$AA$47+$AA$50)*Y41)+(AA42/($AA$41+$AA$42+$AA$43+$AA$44+$AA$45+$AA$47+$AA$50)*Y42)+(AA45/($AA$41+$AA$42+$AA$43+$AA$44+$AA$45+$AA$47+$AA$50)*Y45)+(AA47/($AA$41+$AA$42+$AA$43+$AA$44+$AA$45+$AA$47+$AA$50)*Y47+(AA50/($AA$41+$AA$42+$AA$43+$AA$44+$AA$45+$AA$47+$AA$50)*Y50))&gt;=100%,100%,((AA41/($AA$41+$AA$42+$AA$43+$AA$44+$AA$45+$AA$47+$AA$50)*Y41)+(AA42/($AA$41+$AA$42+$AA$43+$AA$44+$AA$45+$AA$47+$AA$50)*Y42)+(AA45/($AA$41+$AA$42+$AA$43+$AA$44+$AA$45+$AA$47+$AA$50)*Y45)+(AA47/($AA$41+$AA$42+$AA$43+$AA$44+$AA$45+$AA$47+$AA$50)*Y47)+(AA50/($AA$41+$AA$42+$AA$43+$AA$44+$AA$45+$AA$47+$AA$50)*Y50)))</f>
        <v>0.99084175724693513</v>
      </c>
      <c r="AD41" s="1020">
        <f>SUM(Z41:Z50)</f>
        <v>-14586.878000000001</v>
      </c>
      <c r="AE41" s="1020">
        <f>AC41*AD41</f>
        <v>-14453.28783026666</v>
      </c>
      <c r="AF41" s="1276" t="s">
        <v>114</v>
      </c>
      <c r="AG41" s="1326" t="s">
        <v>115</v>
      </c>
      <c r="AH41" s="640"/>
      <c r="AI41" s="641" t="s">
        <v>534</v>
      </c>
      <c r="AJ41" s="267"/>
      <c r="AK41" s="267" t="s">
        <v>535</v>
      </c>
      <c r="AL41" s="56"/>
      <c r="AM41" s="278" t="s">
        <v>349</v>
      </c>
      <c r="AN41" s="280">
        <f>IF(Z41&gt;0,Y41,IF(AM41="низкая",Y41*$AR$40,IF(AM41="средняя",Y41*$AS$40,IF(AM41="высокая",Y41*$AT$40,0))))</f>
        <v>0.5</v>
      </c>
      <c r="AO41" s="281">
        <f>IF(Z41&gt;0,Z41,IF($AM41="низкая",Z41*$AR$40,IF(AM41="средняя",Z41*$AS$40,IF(AM41="высокая",Z41*$AT$40,0))))</f>
        <v>-7815</v>
      </c>
      <c r="AP41" s="282">
        <f>AN41*AO41</f>
        <v>-3907.5</v>
      </c>
      <c r="AQ41" s="282">
        <f>IF(AA41&gt;0,AA41,IF(AM41="низкая",AA41*$AR$40,IF(AM41="средняя",AA41*$AS$40,IF(AM41="высокая",AA41*$AT$40))))</f>
        <v>-7815</v>
      </c>
      <c r="AR41" s="1225">
        <f>AT41/AS41</f>
        <v>0.63546049019662942</v>
      </c>
      <c r="AS41" s="1024">
        <f>SUM(AO41:AO50)</f>
        <v>-6050.8779999999997</v>
      </c>
      <c r="AT41" s="1024">
        <f>SUM(AQ41:AQ50)</f>
        <v>-3845.0939000000003</v>
      </c>
      <c r="AV41" s="4">
        <f>COUNTIF(AM37:AM276,"высокая")</f>
        <v>10</v>
      </c>
      <c r="AW41" s="4">
        <f>COUNTIF(AM37:AM276,"средняя")</f>
        <v>83</v>
      </c>
      <c r="AX41" s="4">
        <f>COUNTIF(AM37:AM276,"низкая")</f>
        <v>48</v>
      </c>
    </row>
    <row r="42" spans="2:50" s="4" customFormat="1" ht="134.25" customHeight="1">
      <c r="B42" s="1429"/>
      <c r="C42" s="1431"/>
      <c r="D42" s="1433"/>
      <c r="E42" s="1448"/>
      <c r="F42" s="1064"/>
      <c r="G42" s="1070"/>
      <c r="H42" s="1014"/>
      <c r="I42" s="1041"/>
      <c r="J42" s="1041"/>
      <c r="K42" s="985"/>
      <c r="L42" s="1077"/>
      <c r="M42" s="1077"/>
      <c r="N42" s="1077"/>
      <c r="O42" s="1077"/>
      <c r="P42" s="1077"/>
      <c r="Q42" s="1012" t="s">
        <v>431</v>
      </c>
      <c r="R42" s="642" t="s">
        <v>731</v>
      </c>
      <c r="S42" s="642" t="s">
        <v>1611</v>
      </c>
      <c r="T42" s="643" t="s">
        <v>952</v>
      </c>
      <c r="U42" s="1176"/>
      <c r="V42" s="1185" t="s">
        <v>130</v>
      </c>
      <c r="W42" s="644" t="s">
        <v>734</v>
      </c>
      <c r="X42" s="645"/>
      <c r="Y42" s="646">
        <v>1</v>
      </c>
      <c r="Z42" s="639">
        <v>0</v>
      </c>
      <c r="AA42" s="639">
        <f>Z42*Y42</f>
        <v>0</v>
      </c>
      <c r="AB42" s="647" t="s">
        <v>539</v>
      </c>
      <c r="AC42" s="1280"/>
      <c r="AD42" s="1021"/>
      <c r="AE42" s="1021"/>
      <c r="AF42" s="1118"/>
      <c r="AG42" s="1327"/>
      <c r="AH42" s="1293"/>
      <c r="AI42" s="1264" t="s">
        <v>964</v>
      </c>
      <c r="AJ42" s="418"/>
      <c r="AK42" s="1292" t="s">
        <v>136</v>
      </c>
      <c r="AL42" s="1311"/>
      <c r="AM42" s="1204" t="s">
        <v>348</v>
      </c>
      <c r="AN42" s="1206">
        <f>IF(Z42&gt;0,Y42,IF(AM42="низкая",Y42*$AR$40,IF(AM42="средняя",Y42*$AS$40,IF(AM42="высокая",Y42*$AT$40,0))))</f>
        <v>1</v>
      </c>
      <c r="AO42" s="1203">
        <f>IF(Z42&gt;0,Z42,IF($AM42="низкая",Z42*$AR$40,IF(AM42="средняя",Z42*$AS$40,IF(AM42="высокая",Z42*$AT$40,0))))</f>
        <v>0</v>
      </c>
      <c r="AP42" s="1205">
        <f>AN42*AO42</f>
        <v>0</v>
      </c>
      <c r="AQ42" s="1219">
        <f>IF(AA42&gt;0,AA42,IF(AM42="низкая",AA42*$AR$40,IF(AM42="средняя",AA42*$AS$40,IF(AM42="высокая",AA42*$AT$40))))</f>
        <v>0</v>
      </c>
      <c r="AR42" s="1226"/>
      <c r="AS42" s="1025"/>
      <c r="AT42" s="1025"/>
    </row>
    <row r="43" spans="2:50" s="4" customFormat="1" ht="69" customHeight="1">
      <c r="B43" s="1429"/>
      <c r="C43" s="1431"/>
      <c r="D43" s="1433"/>
      <c r="E43" s="1448"/>
      <c r="F43" s="1064"/>
      <c r="G43" s="1070"/>
      <c r="H43" s="1014"/>
      <c r="I43" s="1041"/>
      <c r="J43" s="1041"/>
      <c r="K43" s="985"/>
      <c r="L43" s="1077"/>
      <c r="M43" s="1077"/>
      <c r="N43" s="1077"/>
      <c r="O43" s="1077"/>
      <c r="P43" s="1077"/>
      <c r="Q43" s="1278"/>
      <c r="R43" s="642" t="s">
        <v>428</v>
      </c>
      <c r="S43" s="642" t="s">
        <v>1612</v>
      </c>
      <c r="T43" s="643"/>
      <c r="U43" s="1176"/>
      <c r="V43" s="1185"/>
      <c r="W43" s="636" t="s">
        <v>425</v>
      </c>
      <c r="X43" s="645"/>
      <c r="Y43" s="646">
        <v>1</v>
      </c>
      <c r="Z43" s="639">
        <v>0</v>
      </c>
      <c r="AA43" s="639">
        <f>Z43*Y43</f>
        <v>0</v>
      </c>
      <c r="AB43" s="647"/>
      <c r="AC43" s="1280"/>
      <c r="AD43" s="1021"/>
      <c r="AE43" s="1021"/>
      <c r="AF43" s="1118"/>
      <c r="AG43" s="1327"/>
      <c r="AH43" s="1294"/>
      <c r="AI43" s="1264"/>
      <c r="AJ43" s="418"/>
      <c r="AK43" s="1292"/>
      <c r="AL43" s="1311"/>
      <c r="AM43" s="1204"/>
      <c r="AN43" s="1206"/>
      <c r="AO43" s="1203"/>
      <c r="AP43" s="1205"/>
      <c r="AQ43" s="1220"/>
      <c r="AR43" s="1226"/>
      <c r="AS43" s="1025"/>
      <c r="AT43" s="1025"/>
    </row>
    <row r="44" spans="2:50" s="4" customFormat="1" ht="109.5" customHeight="1">
      <c r="B44" s="1429"/>
      <c r="C44" s="1431"/>
      <c r="D44" s="1433"/>
      <c r="E44" s="1448"/>
      <c r="F44" s="1064"/>
      <c r="G44" s="1070"/>
      <c r="H44" s="1014"/>
      <c r="I44" s="1041"/>
      <c r="J44" s="1041"/>
      <c r="K44" s="985"/>
      <c r="L44" s="1077"/>
      <c r="M44" s="1077"/>
      <c r="N44" s="1077"/>
      <c r="O44" s="1077"/>
      <c r="P44" s="1077"/>
      <c r="Q44" s="1278"/>
      <c r="R44" s="649" t="s">
        <v>422</v>
      </c>
      <c r="S44" s="642" t="s">
        <v>1614</v>
      </c>
      <c r="T44" s="634"/>
      <c r="U44" s="1176"/>
      <c r="V44" s="1185"/>
      <c r="W44" s="636" t="s">
        <v>424</v>
      </c>
      <c r="X44" s="645"/>
      <c r="Y44" s="646">
        <v>1</v>
      </c>
      <c r="Z44" s="639">
        <v>0</v>
      </c>
      <c r="AA44" s="639">
        <f>Z44*Y44</f>
        <v>0</v>
      </c>
      <c r="AB44" s="647"/>
      <c r="AC44" s="1280"/>
      <c r="AD44" s="1021"/>
      <c r="AE44" s="1021"/>
      <c r="AF44" s="1118"/>
      <c r="AG44" s="1327"/>
      <c r="AH44" s="1294"/>
      <c r="AI44" s="1264"/>
      <c r="AJ44" s="418"/>
      <c r="AK44" s="1292"/>
      <c r="AL44" s="1311"/>
      <c r="AM44" s="1204"/>
      <c r="AN44" s="1206"/>
      <c r="AO44" s="1203"/>
      <c r="AP44" s="1205"/>
      <c r="AQ44" s="1220"/>
      <c r="AR44" s="1226"/>
      <c r="AS44" s="1025"/>
      <c r="AT44" s="1025"/>
    </row>
    <row r="45" spans="2:50" s="4" customFormat="1" ht="81" customHeight="1">
      <c r="B45" s="1429"/>
      <c r="C45" s="1431"/>
      <c r="D45" s="1433"/>
      <c r="E45" s="1448"/>
      <c r="F45" s="1064"/>
      <c r="G45" s="1070"/>
      <c r="H45" s="1014"/>
      <c r="I45" s="1041"/>
      <c r="J45" s="1041"/>
      <c r="K45" s="985"/>
      <c r="L45" s="1077"/>
      <c r="M45" s="1077"/>
      <c r="N45" s="1077"/>
      <c r="O45" s="1077"/>
      <c r="P45" s="1077"/>
      <c r="Q45" s="1013"/>
      <c r="R45" s="649" t="s">
        <v>953</v>
      </c>
      <c r="S45" s="642" t="s">
        <v>1615</v>
      </c>
      <c r="T45" s="634"/>
      <c r="U45" s="1176"/>
      <c r="V45" s="1185"/>
      <c r="W45" s="636"/>
      <c r="X45" s="651"/>
      <c r="Y45" s="646">
        <v>1</v>
      </c>
      <c r="Z45" s="639">
        <v>0</v>
      </c>
      <c r="AA45" s="639">
        <f>Z45*Y45</f>
        <v>0</v>
      </c>
      <c r="AB45" s="647"/>
      <c r="AC45" s="1280"/>
      <c r="AD45" s="1021"/>
      <c r="AE45" s="1021"/>
      <c r="AF45" s="1118"/>
      <c r="AG45" s="1327"/>
      <c r="AH45" s="1295"/>
      <c r="AI45" s="1264"/>
      <c r="AJ45" s="418"/>
      <c r="AK45" s="1292"/>
      <c r="AL45" s="1311"/>
      <c r="AM45" s="1204"/>
      <c r="AN45" s="1206"/>
      <c r="AO45" s="1203"/>
      <c r="AP45" s="1205"/>
      <c r="AQ45" s="1221"/>
      <c r="AR45" s="1226"/>
      <c r="AS45" s="1025"/>
      <c r="AT45" s="1025"/>
    </row>
    <row r="46" spans="2:50" s="4" customFormat="1" ht="172.35" customHeight="1">
      <c r="B46" s="1429"/>
      <c r="C46" s="1431"/>
      <c r="D46" s="1433"/>
      <c r="E46" s="1448"/>
      <c r="F46" s="1064"/>
      <c r="G46" s="1070"/>
      <c r="H46" s="1014"/>
      <c r="I46" s="1041"/>
      <c r="J46" s="1041"/>
      <c r="K46" s="985"/>
      <c r="L46" s="1077"/>
      <c r="M46" s="1077"/>
      <c r="N46" s="1077"/>
      <c r="O46" s="1077"/>
      <c r="P46" s="1077"/>
      <c r="Q46" s="633" t="s">
        <v>955</v>
      </c>
      <c r="R46" s="642" t="s">
        <v>1613</v>
      </c>
      <c r="S46" s="642" t="s">
        <v>1616</v>
      </c>
      <c r="T46" s="634" t="s">
        <v>536</v>
      </c>
      <c r="U46" s="634"/>
      <c r="V46" s="652" t="s">
        <v>137</v>
      </c>
      <c r="W46" s="636" t="s">
        <v>639</v>
      </c>
      <c r="X46" s="651"/>
      <c r="Y46" s="638">
        <v>1</v>
      </c>
      <c r="Z46" s="653">
        <v>4086</v>
      </c>
      <c r="AA46" s="639">
        <f>Y46*Z46</f>
        <v>4086</v>
      </c>
      <c r="AB46" s="639" t="s">
        <v>1542</v>
      </c>
      <c r="AC46" s="1280"/>
      <c r="AD46" s="1021"/>
      <c r="AE46" s="1021"/>
      <c r="AF46" s="1118"/>
      <c r="AG46" s="1327"/>
      <c r="AH46" s="640"/>
      <c r="AI46" s="654" t="s">
        <v>543</v>
      </c>
      <c r="AJ46" s="419"/>
      <c r="AK46" s="267" t="s">
        <v>136</v>
      </c>
      <c r="AL46" s="56"/>
      <c r="AM46" s="278" t="s">
        <v>348</v>
      </c>
      <c r="AN46" s="280">
        <f>IF(Z46&gt;0,Y46,IF(AM46="низкая",Y46*$AR$40,IF(AM46="средняя",Y46*$AS$40,IF(AM46="высокая",Y46*$AT$40,0))))</f>
        <v>1</v>
      </c>
      <c r="AO46" s="281">
        <f>IF(Z46&gt;0,Z46,IF($AM46="низкая",Z46*$AR$40,IF(AM46="средняя",Z46*$AS$40,IF(AM46="высокая",Z46*$AT$40,0))))</f>
        <v>4086</v>
      </c>
      <c r="AP46" s="282">
        <f>AN46*AO46</f>
        <v>4086</v>
      </c>
      <c r="AQ46" s="282">
        <f>IF(AA46&gt;0,AA46,IF(AM46="низкая",AA46*$AR$40,IF(AM46="средняя",AA46*$AS$40,IF(AM46="высокая",AA46*$AT$40))))</f>
        <v>4086</v>
      </c>
      <c r="AR46" s="1226"/>
      <c r="AS46" s="1025"/>
      <c r="AT46" s="1025"/>
    </row>
    <row r="47" spans="2:50" s="4" customFormat="1" ht="93" customHeight="1">
      <c r="B47" s="1429"/>
      <c r="C47" s="1431"/>
      <c r="D47" s="1433"/>
      <c r="E47" s="1448"/>
      <c r="F47" s="1064"/>
      <c r="G47" s="1070"/>
      <c r="H47" s="1014"/>
      <c r="I47" s="1041"/>
      <c r="J47" s="1041"/>
      <c r="K47" s="985"/>
      <c r="L47" s="1077"/>
      <c r="M47" s="1077"/>
      <c r="N47" s="1077"/>
      <c r="O47" s="1077"/>
      <c r="P47" s="1077"/>
      <c r="Q47" s="1012" t="s">
        <v>147</v>
      </c>
      <c r="R47" s="642" t="s">
        <v>956</v>
      </c>
      <c r="S47" s="642" t="s">
        <v>1617</v>
      </c>
      <c r="T47" s="634"/>
      <c r="U47" s="634"/>
      <c r="V47" s="635" t="s">
        <v>131</v>
      </c>
      <c r="W47" s="636" t="s">
        <v>538</v>
      </c>
      <c r="X47" s="651"/>
      <c r="Y47" s="655">
        <v>0.05</v>
      </c>
      <c r="Z47" s="639">
        <f>AA47/Y47</f>
        <v>-1600.8779999999997</v>
      </c>
      <c r="AA47" s="639">
        <v>-80.043899999999994</v>
      </c>
      <c r="AB47" s="639" t="s">
        <v>1543</v>
      </c>
      <c r="AC47" s="1280"/>
      <c r="AD47" s="1021"/>
      <c r="AE47" s="1021"/>
      <c r="AF47" s="1118"/>
      <c r="AG47" s="1327"/>
      <c r="AH47" s="640"/>
      <c r="AI47" s="1264" t="s">
        <v>965</v>
      </c>
      <c r="AJ47" s="418"/>
      <c r="AK47" s="267" t="s">
        <v>136</v>
      </c>
      <c r="AL47" s="56"/>
      <c r="AM47" s="278" t="s">
        <v>348</v>
      </c>
      <c r="AN47" s="284">
        <f>IF(Z47&gt;0,Y47,IF(AM47="низкая",Y47*$AR$40,IF(AM47="средняя",Y47*$AS$40,IF(AM47="высокая",Y47*$AT$40,0))))</f>
        <v>0.05</v>
      </c>
      <c r="AO47" s="281">
        <f>IF(Z47&gt;0,Z47,IF($AM47="низкая",Z47*$AR$40,IF(AM47="средняя",Z47*$AS$40,IF(AM47="высокая",Z47*$AT$40,0))))</f>
        <v>-1600.8779999999997</v>
      </c>
      <c r="AP47" s="282">
        <f>AN47*AO47</f>
        <v>-80.043899999999994</v>
      </c>
      <c r="AQ47" s="282">
        <f>IF(AA47&gt;0,AA47,IF(AM47="низкая",AA47*$AR$40,IF(AM47="средняя",AA47*$AS$40,IF(AM47="высокая",AA47*$AT$40))))</f>
        <v>-80.043899999999994</v>
      </c>
      <c r="AR47" s="1226"/>
      <c r="AS47" s="1025"/>
      <c r="AT47" s="1025"/>
    </row>
    <row r="48" spans="2:50" s="4" customFormat="1" ht="53.25" customHeight="1">
      <c r="B48" s="1429"/>
      <c r="C48" s="1431"/>
      <c r="D48" s="1433"/>
      <c r="E48" s="1448"/>
      <c r="F48" s="1064"/>
      <c r="G48" s="1070"/>
      <c r="H48" s="1014"/>
      <c r="I48" s="1041"/>
      <c r="J48" s="1041"/>
      <c r="K48" s="985"/>
      <c r="L48" s="1077"/>
      <c r="M48" s="1077"/>
      <c r="N48" s="1077"/>
      <c r="O48" s="1077"/>
      <c r="P48" s="1077"/>
      <c r="Q48" s="1278"/>
      <c r="R48" s="642" t="s">
        <v>958</v>
      </c>
      <c r="S48" s="642" t="s">
        <v>959</v>
      </c>
      <c r="T48" s="634"/>
      <c r="U48" s="634"/>
      <c r="V48" s="656"/>
      <c r="W48" s="636"/>
      <c r="X48" s="651"/>
      <c r="Y48" s="657"/>
      <c r="Z48" s="658"/>
      <c r="AA48" s="658"/>
      <c r="AB48" s="639"/>
      <c r="AC48" s="1280"/>
      <c r="AD48" s="1021"/>
      <c r="AE48" s="1021"/>
      <c r="AF48" s="1118"/>
      <c r="AG48" s="1327"/>
      <c r="AH48" s="640"/>
      <c r="AI48" s="1264"/>
      <c r="AJ48" s="418"/>
      <c r="AK48" s="403"/>
      <c r="AL48" s="402"/>
      <c r="AM48" s="417"/>
      <c r="AN48" s="284">
        <f>IF(Z48&gt;0,Y48,IF(AM48="низкая",Y48*$AR$40,IF(AM48="средняя",Y48*$AS$40,IF(AM48="высокая",Y48*$AT$40,0))))</f>
        <v>0</v>
      </c>
      <c r="AO48" s="281">
        <f>IF(Z48&gt;0,Z48,IF($AM48="низкая",Z48*$AR$40,IF(AM48="средняя",Z48*$AS$40,IF(AM48="высокая",Z48*$AT$40,0))))</f>
        <v>0</v>
      </c>
      <c r="AP48" s="282">
        <f>AN48*AO48</f>
        <v>0</v>
      </c>
      <c r="AQ48" s="282" t="b">
        <f>IF(AA48&gt;0,AA48,IF(AM48="низкая",AA48*$AR$40,IF(AM48="средняя",AA48*$AS$40,IF(AM48="высокая",AA48*$AT$40))))</f>
        <v>0</v>
      </c>
      <c r="AR48" s="1226"/>
      <c r="AS48" s="1025"/>
      <c r="AT48" s="1025"/>
    </row>
    <row r="49" spans="2:46" s="4" customFormat="1" ht="144" customHeight="1">
      <c r="B49" s="1429"/>
      <c r="C49" s="1431"/>
      <c r="D49" s="1433"/>
      <c r="E49" s="1448"/>
      <c r="F49" s="1064"/>
      <c r="G49" s="1070"/>
      <c r="H49" s="1014"/>
      <c r="I49" s="1041"/>
      <c r="J49" s="1041"/>
      <c r="K49" s="985"/>
      <c r="L49" s="1077"/>
      <c r="M49" s="1077"/>
      <c r="N49" s="1077"/>
      <c r="O49" s="1077"/>
      <c r="P49" s="1077"/>
      <c r="Q49" s="1278"/>
      <c r="R49" s="642" t="s">
        <v>960</v>
      </c>
      <c r="S49" s="642" t="s">
        <v>961</v>
      </c>
      <c r="T49" s="634"/>
      <c r="U49" s="634"/>
      <c r="V49" s="656"/>
      <c r="W49" s="636"/>
      <c r="X49" s="651"/>
      <c r="Y49" s="657"/>
      <c r="Z49" s="658"/>
      <c r="AA49" s="658"/>
      <c r="AB49" s="639"/>
      <c r="AC49" s="1280"/>
      <c r="AD49" s="1021"/>
      <c r="AE49" s="1021"/>
      <c r="AF49" s="1118"/>
      <c r="AG49" s="1327"/>
      <c r="AH49" s="640"/>
      <c r="AI49" s="1264"/>
      <c r="AJ49" s="418"/>
      <c r="AK49" s="403"/>
      <c r="AL49" s="402"/>
      <c r="AM49" s="417"/>
      <c r="AN49" s="284">
        <f>IF(Z49&gt;0,Y49,IF(AM49="низкая",Y49*$AR$40,IF(AM49="средняя",Y49*$AS$40,IF(AM49="высокая",Y49*$AT$40,0))))</f>
        <v>0</v>
      </c>
      <c r="AO49" s="281">
        <f>IF(Z49&gt;0,Z49,IF($AM49="низкая",Z49*$AR$40,IF(AM49="средняя",Z49*$AS$40,IF(AM49="высокая",Z49*$AT$40,0))))</f>
        <v>0</v>
      </c>
      <c r="AP49" s="282">
        <f>AN49*AO49</f>
        <v>0</v>
      </c>
      <c r="AQ49" s="282" t="b">
        <f>IF(AA49&gt;0,AA49,IF(AM49="низкая",AA49*$AR$40,IF(AM49="средняя",AA49*$AS$40,IF(AM49="высокая",AA49*$AT$40))))</f>
        <v>0</v>
      </c>
      <c r="AR49" s="1226"/>
      <c r="AS49" s="1025"/>
      <c r="AT49" s="1025"/>
    </row>
    <row r="50" spans="2:46" s="4" customFormat="1" ht="114.75" customHeight="1">
      <c r="B50" s="1429"/>
      <c r="C50" s="1431"/>
      <c r="D50" s="1433"/>
      <c r="E50" s="1448"/>
      <c r="F50" s="1064"/>
      <c r="G50" s="1070"/>
      <c r="H50" s="1011"/>
      <c r="I50" s="1042"/>
      <c r="J50" s="1042"/>
      <c r="K50" s="986"/>
      <c r="L50" s="1078"/>
      <c r="M50" s="1078"/>
      <c r="N50" s="1078"/>
      <c r="O50" s="1078"/>
      <c r="P50" s="1078"/>
      <c r="Q50" s="1013"/>
      <c r="R50" s="642" t="s">
        <v>962</v>
      </c>
      <c r="S50" s="642" t="s">
        <v>963</v>
      </c>
      <c r="T50" s="634" t="s">
        <v>537</v>
      </c>
      <c r="U50" s="634"/>
      <c r="V50" s="656"/>
      <c r="W50" s="636" t="s">
        <v>538</v>
      </c>
      <c r="X50" s="651"/>
      <c r="Y50" s="657">
        <v>0.05</v>
      </c>
      <c r="Z50" s="658">
        <v>-1442</v>
      </c>
      <c r="AA50" s="658">
        <f>Y50*Z50</f>
        <v>-72.100000000000009</v>
      </c>
      <c r="AB50" s="639" t="s">
        <v>1543</v>
      </c>
      <c r="AC50" s="1281"/>
      <c r="AD50" s="1022"/>
      <c r="AE50" s="1022"/>
      <c r="AF50" s="1118"/>
      <c r="AG50" s="1327"/>
      <c r="AH50" s="640"/>
      <c r="AI50" s="1264"/>
      <c r="AJ50" s="418"/>
      <c r="AK50" s="403"/>
      <c r="AL50" s="402"/>
      <c r="AM50" s="417" t="s">
        <v>349</v>
      </c>
      <c r="AN50" s="284">
        <f>IF(Z50&gt;0,Y50,IF(AM50="низкая",Y50*$AR$40,IF(AM50="средняя",Y50*$AS$40,IF(AM50="высокая",Y50*$AT$40,0))))</f>
        <v>2.5000000000000001E-2</v>
      </c>
      <c r="AO50" s="281">
        <f>IF(Z50&gt;0,Z50,IF($AM50="низкая",Z50*$AR$40,IF(AM50="средняя",Z50*$AS$40,IF(AM50="высокая",Z50*$AT$40,0))))</f>
        <v>-721</v>
      </c>
      <c r="AP50" s="282">
        <f>AN50*AO50</f>
        <v>-18.025000000000002</v>
      </c>
      <c r="AQ50" s="282">
        <f>IF(AA50&gt;0,AA50,IF(AM50="низкая",AA50*$AR$40,IF(AM50="средняя",AA50*$AS$40,IF(AM50="высокая",AA50*$AT$40))))</f>
        <v>-36.050000000000004</v>
      </c>
      <c r="AR50" s="1227"/>
      <c r="AS50" s="1026"/>
      <c r="AT50" s="1026"/>
    </row>
    <row r="51" spans="2:46" s="4" customFormat="1" ht="136.5" customHeight="1">
      <c r="B51" s="1429"/>
      <c r="C51" s="1431"/>
      <c r="D51" s="1433"/>
      <c r="E51" s="1448"/>
      <c r="F51" s="1064"/>
      <c r="G51" s="1070"/>
      <c r="H51" s="1010" t="s">
        <v>179</v>
      </c>
      <c r="I51" s="1040" t="s">
        <v>447</v>
      </c>
      <c r="J51" s="1040" t="s">
        <v>529</v>
      </c>
      <c r="K51" s="984" t="s">
        <v>320</v>
      </c>
      <c r="L51" s="1302">
        <v>267833</v>
      </c>
      <c r="M51" s="1302"/>
      <c r="N51" s="1302"/>
      <c r="O51" s="1302"/>
      <c r="P51" s="1302">
        <f>L51+AE51</f>
        <v>267918.75653440494</v>
      </c>
      <c r="Q51" s="1012" t="s">
        <v>433</v>
      </c>
      <c r="R51" s="642" t="s">
        <v>967</v>
      </c>
      <c r="S51" s="642" t="s">
        <v>951</v>
      </c>
      <c r="T51" s="634" t="s">
        <v>540</v>
      </c>
      <c r="U51" s="634"/>
      <c r="V51" s="1177" t="s">
        <v>131</v>
      </c>
      <c r="W51" s="636" t="s">
        <v>970</v>
      </c>
      <c r="X51" s="651"/>
      <c r="Y51" s="1282">
        <v>0</v>
      </c>
      <c r="Z51" s="1008">
        <v>0</v>
      </c>
      <c r="AA51" s="1008">
        <f>Y51*Z51</f>
        <v>0</v>
      </c>
      <c r="AB51" s="639" t="s">
        <v>541</v>
      </c>
      <c r="AC51" s="1320">
        <f>(SUM(AA51:AA56)/AA55)*Y56</f>
        <v>0.05</v>
      </c>
      <c r="AD51" s="1020">
        <f>SUM(Z51:Z59)</f>
        <v>1715.1306880989828</v>
      </c>
      <c r="AE51" s="1020">
        <f>AC51*AD51</f>
        <v>85.75653440494915</v>
      </c>
      <c r="AF51" s="660"/>
      <c r="AG51" s="648"/>
      <c r="AH51" s="640"/>
      <c r="AI51" s="1264" t="s">
        <v>978</v>
      </c>
      <c r="AJ51" s="404"/>
      <c r="AK51" s="1004" t="s">
        <v>136</v>
      </c>
      <c r="AL51" s="1222"/>
      <c r="AM51" s="1170" t="s">
        <v>348</v>
      </c>
      <c r="AN51" s="284"/>
      <c r="AO51" s="281"/>
      <c r="AP51" s="282"/>
      <c r="AQ51" s="282"/>
      <c r="AR51" s="1250">
        <f>(SUM(AP51:AP56)/AP55)*AN56</f>
        <v>0.05</v>
      </c>
      <c r="AS51" s="1024">
        <f>SUM(AO51:AO59)</f>
        <v>1715.1306880989828</v>
      </c>
      <c r="AT51" s="1024">
        <f>AR51*AS51</f>
        <v>85.75653440494915</v>
      </c>
    </row>
    <row r="52" spans="2:46" s="4" customFormat="1" ht="61.5" customHeight="1">
      <c r="B52" s="1429"/>
      <c r="C52" s="1431"/>
      <c r="D52" s="1433"/>
      <c r="E52" s="1448"/>
      <c r="F52" s="1064"/>
      <c r="G52" s="1070"/>
      <c r="H52" s="1014"/>
      <c r="I52" s="1041"/>
      <c r="J52" s="1041"/>
      <c r="K52" s="985"/>
      <c r="L52" s="1303"/>
      <c r="M52" s="1303"/>
      <c r="N52" s="1303"/>
      <c r="O52" s="1303"/>
      <c r="P52" s="1303"/>
      <c r="Q52" s="1278"/>
      <c r="R52" s="642" t="s">
        <v>428</v>
      </c>
      <c r="S52" s="642" t="s">
        <v>968</v>
      </c>
      <c r="T52" s="634"/>
      <c r="U52" s="634"/>
      <c r="V52" s="1178"/>
      <c r="W52" s="636"/>
      <c r="X52" s="651"/>
      <c r="Y52" s="1283"/>
      <c r="Z52" s="1023"/>
      <c r="AA52" s="1023"/>
      <c r="AB52" s="639"/>
      <c r="AC52" s="1321"/>
      <c r="AD52" s="1021"/>
      <c r="AE52" s="1021"/>
      <c r="AF52" s="660"/>
      <c r="AG52" s="648"/>
      <c r="AH52" s="640"/>
      <c r="AI52" s="1264"/>
      <c r="AJ52" s="405"/>
      <c r="AK52" s="1005"/>
      <c r="AL52" s="1223"/>
      <c r="AM52" s="1171"/>
      <c r="AN52" s="284"/>
      <c r="AO52" s="281"/>
      <c r="AP52" s="282"/>
      <c r="AQ52" s="282"/>
      <c r="AR52" s="1251"/>
      <c r="AS52" s="1025"/>
      <c r="AT52" s="1025"/>
    </row>
    <row r="53" spans="2:46" s="4" customFormat="1" ht="57.75" customHeight="1">
      <c r="B53" s="1429"/>
      <c r="C53" s="1431"/>
      <c r="D53" s="1433"/>
      <c r="E53" s="1448"/>
      <c r="F53" s="1064"/>
      <c r="G53" s="1070"/>
      <c r="H53" s="1014"/>
      <c r="I53" s="1041"/>
      <c r="J53" s="1041"/>
      <c r="K53" s="985"/>
      <c r="L53" s="1303"/>
      <c r="M53" s="1303"/>
      <c r="N53" s="1303"/>
      <c r="O53" s="1303"/>
      <c r="P53" s="1303"/>
      <c r="Q53" s="1278"/>
      <c r="R53" s="642" t="s">
        <v>422</v>
      </c>
      <c r="S53" s="642" t="s">
        <v>969</v>
      </c>
      <c r="T53" s="634"/>
      <c r="U53" s="634"/>
      <c r="V53" s="1178"/>
      <c r="W53" s="636" t="s">
        <v>426</v>
      </c>
      <c r="X53" s="651"/>
      <c r="Y53" s="1283"/>
      <c r="Z53" s="1023"/>
      <c r="AA53" s="1023"/>
      <c r="AB53" s="639"/>
      <c r="AC53" s="1321"/>
      <c r="AD53" s="1021"/>
      <c r="AE53" s="1021"/>
      <c r="AF53" s="660"/>
      <c r="AG53" s="648"/>
      <c r="AH53" s="640"/>
      <c r="AI53" s="1264"/>
      <c r="AJ53" s="405"/>
      <c r="AK53" s="1005"/>
      <c r="AL53" s="1223"/>
      <c r="AM53" s="1171"/>
      <c r="AN53" s="284"/>
      <c r="AO53" s="281"/>
      <c r="AP53" s="282"/>
      <c r="AQ53" s="282"/>
      <c r="AR53" s="1251"/>
      <c r="AS53" s="1025"/>
      <c r="AT53" s="1025"/>
    </row>
    <row r="54" spans="2:46" s="4" customFormat="1" ht="25.5" customHeight="1">
      <c r="B54" s="1429"/>
      <c r="C54" s="1431"/>
      <c r="D54" s="1433"/>
      <c r="E54" s="1448"/>
      <c r="F54" s="1064"/>
      <c r="G54" s="1070"/>
      <c r="H54" s="1014"/>
      <c r="I54" s="1041"/>
      <c r="J54" s="1041"/>
      <c r="K54" s="985"/>
      <c r="L54" s="1303"/>
      <c r="M54" s="1303"/>
      <c r="N54" s="1303"/>
      <c r="O54" s="1303"/>
      <c r="P54" s="1303"/>
      <c r="Q54" s="1013"/>
      <c r="R54" s="642" t="s">
        <v>953</v>
      </c>
      <c r="S54" s="642" t="s">
        <v>954</v>
      </c>
      <c r="T54" s="634"/>
      <c r="U54" s="634"/>
      <c r="V54" s="1179"/>
      <c r="W54" s="636" t="s">
        <v>427</v>
      </c>
      <c r="X54" s="651"/>
      <c r="Y54" s="1284"/>
      <c r="Z54" s="1030"/>
      <c r="AA54" s="1030"/>
      <c r="AB54" s="639"/>
      <c r="AC54" s="1321"/>
      <c r="AD54" s="1021"/>
      <c r="AE54" s="1021"/>
      <c r="AF54" s="1269"/>
      <c r="AG54" s="1328"/>
      <c r="AH54" s="640"/>
      <c r="AI54" s="1264"/>
      <c r="AJ54" s="406"/>
      <c r="AK54" s="1006"/>
      <c r="AL54" s="1224"/>
      <c r="AM54" s="1172"/>
      <c r="AN54" s="280">
        <f>IF(Z51&gt;0,Y51,IF(AM51="низкая",Y51*$AR$40,IF(AM51="средняя",Y51*$AS$40,IF(AM51="высокая",Y51*$AT$40,0))))</f>
        <v>0</v>
      </c>
      <c r="AO54" s="281">
        <f>IF(Z51&gt;0,Z51,IF($AM51="низкая",Z51*$AR$40,IF(AM51="средняя",Z51*$AS$40,IF(AM51="высокая",Z51*$AT$40,0))))</f>
        <v>0</v>
      </c>
      <c r="AP54" s="285">
        <f t="shared" ref="AP54:AP60" si="0">AN54*AO54</f>
        <v>0</v>
      </c>
      <c r="AQ54" s="282">
        <f>IF(AA51&gt;0,AA51,IF(AM51="низкая",AA51*$AR$40,IF(AM51="средняя",AA51*$AS$40,IF(AM51="высокая",AA51*$AT$40))))</f>
        <v>0</v>
      </c>
      <c r="AR54" s="1251"/>
      <c r="AS54" s="1025"/>
      <c r="AT54" s="1025"/>
    </row>
    <row r="55" spans="2:46" s="4" customFormat="1" ht="193.35" customHeight="1">
      <c r="B55" s="1429"/>
      <c r="C55" s="1431"/>
      <c r="D55" s="1433"/>
      <c r="E55" s="1448"/>
      <c r="F55" s="1064"/>
      <c r="G55" s="1070"/>
      <c r="H55" s="1014"/>
      <c r="I55" s="1041"/>
      <c r="J55" s="1041"/>
      <c r="K55" s="985"/>
      <c r="L55" s="1303"/>
      <c r="M55" s="1303"/>
      <c r="N55" s="1303"/>
      <c r="O55" s="1303"/>
      <c r="P55" s="1303"/>
      <c r="Q55" s="633" t="s">
        <v>434</v>
      </c>
      <c r="R55" s="642" t="s">
        <v>971</v>
      </c>
      <c r="S55" s="642" t="s">
        <v>972</v>
      </c>
      <c r="T55" s="634" t="s">
        <v>973</v>
      </c>
      <c r="U55" s="634"/>
      <c r="V55" s="663" t="s">
        <v>137</v>
      </c>
      <c r="W55" s="636" t="s">
        <v>974</v>
      </c>
      <c r="X55" s="651"/>
      <c r="Y55" s="638">
        <v>1</v>
      </c>
      <c r="Z55" s="639">
        <v>2450.1866972842613</v>
      </c>
      <c r="AA55" s="639">
        <f>Y55/Z55</f>
        <v>4.081321644217481E-4</v>
      </c>
      <c r="AB55" s="639" t="s">
        <v>1544</v>
      </c>
      <c r="AC55" s="1321"/>
      <c r="AD55" s="1021"/>
      <c r="AE55" s="1021"/>
      <c r="AF55" s="1268"/>
      <c r="AG55" s="1327"/>
      <c r="AH55" s="640"/>
      <c r="AI55" s="654" t="s">
        <v>543</v>
      </c>
      <c r="AJ55" s="380"/>
      <c r="AK55" s="267" t="s">
        <v>136</v>
      </c>
      <c r="AL55" s="56"/>
      <c r="AM55" s="278" t="s">
        <v>349</v>
      </c>
      <c r="AN55" s="280">
        <f t="shared" ref="AN55:AN60" si="1">IF(Z55&gt;0,Y55,IF(AM55="низкая",Y55*$AR$40,IF(AM55="средняя",Y55*$AS$40,IF(AM55="высокая",Y55*$AT$40,0))))</f>
        <v>1</v>
      </c>
      <c r="AO55" s="281">
        <f t="shared" ref="AO55:AO60" si="2">IF(Z55&gt;0,Z55,IF($AM55="низкая",Z55*$AR$40,IF(AM55="средняя",Z55*$AS$40,IF(AM55="высокая",Z55*$AT$40,0))))</f>
        <v>2450.1866972842613</v>
      </c>
      <c r="AP55" s="282">
        <f t="shared" si="0"/>
        <v>2450.1866972842613</v>
      </c>
      <c r="AQ55" s="282">
        <f t="shared" ref="AQ55:AQ60" si="3">IF(AA55&gt;0,AA55,IF(AM55="низкая",AA55*$AR$40,IF(AM55="средняя",AA55*$AS$40,IF(AM55="высокая",AA55*$AT$40))))</f>
        <v>4.081321644217481E-4</v>
      </c>
      <c r="AR55" s="1251"/>
      <c r="AS55" s="1025"/>
      <c r="AT55" s="1025"/>
    </row>
    <row r="56" spans="2:46" s="4" customFormat="1" ht="166.2" customHeight="1">
      <c r="B56" s="1429"/>
      <c r="C56" s="1431"/>
      <c r="D56" s="1433"/>
      <c r="E56" s="1448"/>
      <c r="F56" s="1064"/>
      <c r="G56" s="1070"/>
      <c r="H56" s="1014"/>
      <c r="I56" s="1041"/>
      <c r="J56" s="1041"/>
      <c r="K56" s="985"/>
      <c r="L56" s="1303"/>
      <c r="M56" s="1303"/>
      <c r="N56" s="1303"/>
      <c r="O56" s="1303"/>
      <c r="P56" s="1303"/>
      <c r="Q56" s="1012" t="s">
        <v>435</v>
      </c>
      <c r="R56" s="642" t="s">
        <v>956</v>
      </c>
      <c r="S56" s="642" t="s">
        <v>957</v>
      </c>
      <c r="T56" s="634"/>
      <c r="U56" s="634"/>
      <c r="V56" s="635" t="s">
        <v>138</v>
      </c>
      <c r="W56" s="636"/>
      <c r="X56" s="651"/>
      <c r="Y56" s="664">
        <v>0.05</v>
      </c>
      <c r="Z56" s="639"/>
      <c r="AA56" s="639">
        <f>Y56*Z56</f>
        <v>0</v>
      </c>
      <c r="AB56" s="639" t="s">
        <v>1545</v>
      </c>
      <c r="AC56" s="1321"/>
      <c r="AD56" s="1021"/>
      <c r="AE56" s="1021"/>
      <c r="AF56" s="1285"/>
      <c r="AG56" s="1329"/>
      <c r="AH56" s="640"/>
      <c r="AI56" s="1264" t="s">
        <v>979</v>
      </c>
      <c r="AJ56" s="275"/>
      <c r="AK56" s="267" t="s">
        <v>136</v>
      </c>
      <c r="AL56" s="56"/>
      <c r="AM56" s="278" t="s">
        <v>348</v>
      </c>
      <c r="AN56" s="286">
        <f t="shared" si="1"/>
        <v>0.05</v>
      </c>
      <c r="AO56" s="281">
        <f t="shared" si="2"/>
        <v>0</v>
      </c>
      <c r="AP56" s="282">
        <f t="shared" si="0"/>
        <v>0</v>
      </c>
      <c r="AQ56" s="282">
        <f t="shared" si="3"/>
        <v>0</v>
      </c>
      <c r="AR56" s="1251"/>
      <c r="AS56" s="1025"/>
      <c r="AT56" s="1025"/>
    </row>
    <row r="57" spans="2:46" s="4" customFormat="1" ht="166.2" customHeight="1">
      <c r="B57" s="1429"/>
      <c r="C57" s="1431"/>
      <c r="D57" s="1433"/>
      <c r="E57" s="1448"/>
      <c r="F57" s="1064"/>
      <c r="G57" s="1070"/>
      <c r="H57" s="1014"/>
      <c r="I57" s="1041"/>
      <c r="J57" s="1041"/>
      <c r="K57" s="985"/>
      <c r="L57" s="1303"/>
      <c r="M57" s="1303"/>
      <c r="N57" s="1303"/>
      <c r="O57" s="1303"/>
      <c r="P57" s="1303"/>
      <c r="Q57" s="1278"/>
      <c r="R57" s="642" t="s">
        <v>958</v>
      </c>
      <c r="S57" s="642" t="s">
        <v>975</v>
      </c>
      <c r="T57" s="634"/>
      <c r="U57" s="634"/>
      <c r="V57" s="635" t="s">
        <v>137</v>
      </c>
      <c r="W57" s="636"/>
      <c r="X57" s="651"/>
      <c r="Y57" s="666"/>
      <c r="Z57" s="658"/>
      <c r="AA57" s="658"/>
      <c r="AB57" s="667"/>
      <c r="AC57" s="1321"/>
      <c r="AD57" s="1021"/>
      <c r="AE57" s="1021"/>
      <c r="AF57" s="660"/>
      <c r="AG57" s="648"/>
      <c r="AH57" s="640"/>
      <c r="AI57" s="1264"/>
      <c r="AJ57" s="410"/>
      <c r="AK57" s="267" t="s">
        <v>136</v>
      </c>
      <c r="AL57" s="56"/>
      <c r="AM57" s="278" t="s">
        <v>348</v>
      </c>
      <c r="AN57" s="286">
        <f t="shared" si="1"/>
        <v>0</v>
      </c>
      <c r="AO57" s="281">
        <f t="shared" si="2"/>
        <v>0</v>
      </c>
      <c r="AP57" s="282">
        <f t="shared" si="0"/>
        <v>0</v>
      </c>
      <c r="AQ57" s="282">
        <f t="shared" si="3"/>
        <v>0</v>
      </c>
      <c r="AR57" s="1251"/>
      <c r="AS57" s="1025"/>
      <c r="AT57" s="1025"/>
    </row>
    <row r="58" spans="2:46" s="4" customFormat="1" ht="166.2" customHeight="1">
      <c r="B58" s="1429"/>
      <c r="C58" s="1431"/>
      <c r="D58" s="1433"/>
      <c r="E58" s="1448"/>
      <c r="F58" s="1064"/>
      <c r="G58" s="1070"/>
      <c r="H58" s="1014"/>
      <c r="I58" s="1041"/>
      <c r="J58" s="1041"/>
      <c r="K58" s="985"/>
      <c r="L58" s="1303"/>
      <c r="M58" s="1303"/>
      <c r="N58" s="1303"/>
      <c r="O58" s="1303"/>
      <c r="P58" s="1303"/>
      <c r="Q58" s="1278"/>
      <c r="R58" s="642" t="s">
        <v>960</v>
      </c>
      <c r="S58" s="642" t="s">
        <v>976</v>
      </c>
      <c r="T58" s="634"/>
      <c r="U58" s="634"/>
      <c r="V58" s="635" t="s">
        <v>138</v>
      </c>
      <c r="W58" s="636"/>
      <c r="X58" s="651"/>
      <c r="Y58" s="666"/>
      <c r="Z58" s="658"/>
      <c r="AA58" s="658"/>
      <c r="AB58" s="667"/>
      <c r="AC58" s="1321"/>
      <c r="AD58" s="1021"/>
      <c r="AE58" s="1021"/>
      <c r="AF58" s="660"/>
      <c r="AG58" s="648"/>
      <c r="AH58" s="640"/>
      <c r="AI58" s="1264"/>
      <c r="AJ58" s="410"/>
      <c r="AK58" s="267" t="s">
        <v>136</v>
      </c>
      <c r="AL58" s="56"/>
      <c r="AM58" s="278" t="s">
        <v>348</v>
      </c>
      <c r="AN58" s="286">
        <f t="shared" si="1"/>
        <v>0</v>
      </c>
      <c r="AO58" s="281">
        <f t="shared" si="2"/>
        <v>0</v>
      </c>
      <c r="AP58" s="282">
        <f t="shared" si="0"/>
        <v>0</v>
      </c>
      <c r="AQ58" s="282">
        <f t="shared" si="3"/>
        <v>0</v>
      </c>
      <c r="AR58" s="1251"/>
      <c r="AS58" s="1025"/>
      <c r="AT58" s="1025"/>
    </row>
    <row r="59" spans="2:46" s="4" customFormat="1" ht="166.2" customHeight="1">
      <c r="B59" s="1429"/>
      <c r="C59" s="1431"/>
      <c r="D59" s="1433"/>
      <c r="E59" s="1448"/>
      <c r="F59" s="1064"/>
      <c r="G59" s="1070"/>
      <c r="H59" s="1011"/>
      <c r="I59" s="1042"/>
      <c r="J59" s="1042"/>
      <c r="K59" s="986"/>
      <c r="L59" s="1304"/>
      <c r="M59" s="1304"/>
      <c r="N59" s="1304"/>
      <c r="O59" s="1304"/>
      <c r="P59" s="1304"/>
      <c r="Q59" s="1013"/>
      <c r="R59" s="642" t="s">
        <v>962</v>
      </c>
      <c r="S59" s="642" t="s">
        <v>977</v>
      </c>
      <c r="T59" s="634" t="s">
        <v>537</v>
      </c>
      <c r="U59" s="634"/>
      <c r="V59" s="635" t="s">
        <v>131</v>
      </c>
      <c r="W59" s="636" t="s">
        <v>538</v>
      </c>
      <c r="X59" s="651"/>
      <c r="Y59" s="666">
        <v>0.05</v>
      </c>
      <c r="Z59" s="658">
        <v>-735.05600918527841</v>
      </c>
      <c r="AA59" s="658"/>
      <c r="AB59" s="667"/>
      <c r="AC59" s="1322"/>
      <c r="AD59" s="1022"/>
      <c r="AE59" s="1022"/>
      <c r="AF59" s="660"/>
      <c r="AG59" s="648"/>
      <c r="AH59" s="640"/>
      <c r="AI59" s="1264"/>
      <c r="AJ59" s="410"/>
      <c r="AK59" s="267" t="s">
        <v>136</v>
      </c>
      <c r="AL59" s="56"/>
      <c r="AM59" s="278" t="s">
        <v>348</v>
      </c>
      <c r="AN59" s="286">
        <f t="shared" si="1"/>
        <v>0.05</v>
      </c>
      <c r="AO59" s="281">
        <f t="shared" si="2"/>
        <v>-735.05600918527841</v>
      </c>
      <c r="AP59" s="282">
        <f t="shared" si="0"/>
        <v>-36.752800459263923</v>
      </c>
      <c r="AQ59" s="282">
        <f t="shared" si="3"/>
        <v>0</v>
      </c>
      <c r="AR59" s="1252"/>
      <c r="AS59" s="1026"/>
      <c r="AT59" s="1026"/>
    </row>
    <row r="60" spans="2:46" s="4" customFormat="1" ht="90" customHeight="1">
      <c r="B60" s="1429"/>
      <c r="C60" s="1431"/>
      <c r="D60" s="1433"/>
      <c r="E60" s="1448"/>
      <c r="F60" s="1064"/>
      <c r="G60" s="1070"/>
      <c r="H60" s="1010" t="s">
        <v>180</v>
      </c>
      <c r="I60" s="1040" t="s">
        <v>447</v>
      </c>
      <c r="J60" s="1040" t="s">
        <v>529</v>
      </c>
      <c r="K60" s="984" t="s">
        <v>304</v>
      </c>
      <c r="L60" s="1079">
        <v>150762</v>
      </c>
      <c r="M60" s="1079"/>
      <c r="N60" s="1079"/>
      <c r="O60" s="1079"/>
      <c r="P60" s="1079">
        <f>L60+AE60-7800</f>
        <v>141369.5302500985</v>
      </c>
      <c r="Q60" s="1012" t="s">
        <v>432</v>
      </c>
      <c r="R60" s="642" t="s">
        <v>980</v>
      </c>
      <c r="S60" s="642" t="s">
        <v>951</v>
      </c>
      <c r="T60" s="634" t="s">
        <v>540</v>
      </c>
      <c r="U60" s="634"/>
      <c r="V60" s="635" t="s">
        <v>130</v>
      </c>
      <c r="W60" s="636" t="s">
        <v>638</v>
      </c>
      <c r="X60" s="651"/>
      <c r="Y60" s="1282">
        <v>1</v>
      </c>
      <c r="Z60" s="1008">
        <v>0</v>
      </c>
      <c r="AA60" s="1008">
        <f>Y60*Z60</f>
        <v>0</v>
      </c>
      <c r="AB60" s="668" t="s">
        <v>541</v>
      </c>
      <c r="AC60" s="1314">
        <f>IF((AA60/($AA$60+$AA$64+$AA$67)*Y60)+(AA64/($AA$60+$AA$64+$AA$67)*Y64)+(AA67/($AA$60+$AA$64+$AA$67)*Y67)&gt;100%,100%,(AA60/($AA$60+$AA$64+$AA$67)*Y60)+(AA64/($AA$60+$AA$64+$AA$67)*Y64)+(AA67/($AA$60+$AA$64+$AA$67)*Y67))</f>
        <v>0.2</v>
      </c>
      <c r="AD60" s="1020">
        <f>SUM(Z60:Z70)</f>
        <v>-7962.3487495075733</v>
      </c>
      <c r="AE60" s="1104">
        <f>AC60*AD60</f>
        <v>-1592.4697499015147</v>
      </c>
      <c r="AF60" s="1269" t="s">
        <v>129</v>
      </c>
      <c r="AG60" s="1120" t="s">
        <v>9</v>
      </c>
      <c r="AH60" s="640"/>
      <c r="AI60" s="669" t="s">
        <v>542</v>
      </c>
      <c r="AJ60" s="407"/>
      <c r="AK60" s="1004" t="s">
        <v>136</v>
      </c>
      <c r="AL60" s="1222"/>
      <c r="AM60" s="1170" t="s">
        <v>242</v>
      </c>
      <c r="AN60" s="1323">
        <f t="shared" si="1"/>
        <v>0.3</v>
      </c>
      <c r="AO60" s="1207">
        <f t="shared" si="2"/>
        <v>0</v>
      </c>
      <c r="AP60" s="1219">
        <f t="shared" si="0"/>
        <v>0</v>
      </c>
      <c r="AQ60" s="1219">
        <f t="shared" si="3"/>
        <v>0</v>
      </c>
      <c r="AR60" s="1238">
        <f>AT60/AS60</f>
        <v>-0.21314455836707827</v>
      </c>
      <c r="AS60" s="1024">
        <f>SUM(AO60:AO70)</f>
        <v>-7194.9046248522718</v>
      </c>
      <c r="AT60" s="1147">
        <f>SUM(AQ60:AQ70)</f>
        <v>1533.5547687573865</v>
      </c>
    </row>
    <row r="61" spans="2:46" s="4" customFormat="1" ht="53.25" customHeight="1">
      <c r="B61" s="1429"/>
      <c r="C61" s="1431"/>
      <c r="D61" s="1433"/>
      <c r="E61" s="1448"/>
      <c r="F61" s="1064"/>
      <c r="G61" s="1070"/>
      <c r="H61" s="1014"/>
      <c r="I61" s="1041"/>
      <c r="J61" s="1041"/>
      <c r="K61" s="985"/>
      <c r="L61" s="1080"/>
      <c r="M61" s="1080"/>
      <c r="N61" s="1080"/>
      <c r="O61" s="1080"/>
      <c r="P61" s="1080"/>
      <c r="Q61" s="1278"/>
      <c r="R61" s="642" t="s">
        <v>428</v>
      </c>
      <c r="S61" s="642" t="s">
        <v>981</v>
      </c>
      <c r="T61" s="634"/>
      <c r="U61" s="634"/>
      <c r="V61" s="635" t="s">
        <v>130</v>
      </c>
      <c r="W61" s="636" t="s">
        <v>426</v>
      </c>
      <c r="X61" s="651"/>
      <c r="Y61" s="1283"/>
      <c r="Z61" s="1023"/>
      <c r="AA61" s="1023"/>
      <c r="AB61" s="639"/>
      <c r="AC61" s="1315"/>
      <c r="AD61" s="1021"/>
      <c r="AE61" s="1105"/>
      <c r="AF61" s="1268"/>
      <c r="AG61" s="1121"/>
      <c r="AH61" s="640"/>
      <c r="AI61" s="672"/>
      <c r="AJ61" s="408"/>
      <c r="AK61" s="1005"/>
      <c r="AL61" s="1223"/>
      <c r="AM61" s="1171"/>
      <c r="AN61" s="1324"/>
      <c r="AO61" s="1218"/>
      <c r="AP61" s="1220"/>
      <c r="AQ61" s="1220"/>
      <c r="AR61" s="1239"/>
      <c r="AS61" s="1025"/>
      <c r="AT61" s="1148"/>
    </row>
    <row r="62" spans="2:46" s="4" customFormat="1" ht="97.5" customHeight="1">
      <c r="B62" s="1429"/>
      <c r="C62" s="1431"/>
      <c r="D62" s="1433"/>
      <c r="E62" s="1448"/>
      <c r="F62" s="1064"/>
      <c r="G62" s="1070"/>
      <c r="H62" s="1014"/>
      <c r="I62" s="1041"/>
      <c r="J62" s="1041"/>
      <c r="K62" s="985"/>
      <c r="L62" s="1080"/>
      <c r="M62" s="1080"/>
      <c r="N62" s="1080"/>
      <c r="O62" s="1080"/>
      <c r="P62" s="1080"/>
      <c r="Q62" s="1278"/>
      <c r="R62" s="642" t="s">
        <v>422</v>
      </c>
      <c r="S62" s="642" t="s">
        <v>982</v>
      </c>
      <c r="T62" s="634"/>
      <c r="U62" s="634"/>
      <c r="V62" s="635" t="s">
        <v>130</v>
      </c>
      <c r="W62" s="636" t="s">
        <v>427</v>
      </c>
      <c r="X62" s="651"/>
      <c r="Y62" s="1283"/>
      <c r="Z62" s="1023"/>
      <c r="AA62" s="1023"/>
      <c r="AB62" s="639"/>
      <c r="AC62" s="1315"/>
      <c r="AD62" s="1021"/>
      <c r="AE62" s="1105"/>
      <c r="AF62" s="1268"/>
      <c r="AG62" s="1121"/>
      <c r="AH62" s="640"/>
      <c r="AI62" s="672"/>
      <c r="AJ62" s="408"/>
      <c r="AK62" s="1005"/>
      <c r="AL62" s="1223"/>
      <c r="AM62" s="1171"/>
      <c r="AN62" s="1324"/>
      <c r="AO62" s="1218"/>
      <c r="AP62" s="1220"/>
      <c r="AQ62" s="1220"/>
      <c r="AR62" s="1239"/>
      <c r="AS62" s="1025"/>
      <c r="AT62" s="1148"/>
    </row>
    <row r="63" spans="2:46" s="4" customFormat="1" ht="41.25" customHeight="1">
      <c r="B63" s="1429"/>
      <c r="C63" s="1431"/>
      <c r="D63" s="1433"/>
      <c r="E63" s="1448"/>
      <c r="F63" s="1064"/>
      <c r="G63" s="1070"/>
      <c r="H63" s="1014"/>
      <c r="I63" s="1041"/>
      <c r="J63" s="1041"/>
      <c r="K63" s="985"/>
      <c r="L63" s="1080"/>
      <c r="M63" s="1080"/>
      <c r="N63" s="1080"/>
      <c r="O63" s="1080"/>
      <c r="P63" s="1080"/>
      <c r="Q63" s="1013"/>
      <c r="R63" s="642" t="s">
        <v>953</v>
      </c>
      <c r="S63" s="642" t="s">
        <v>954</v>
      </c>
      <c r="T63" s="634"/>
      <c r="U63" s="634"/>
      <c r="V63" s="635" t="s">
        <v>130</v>
      </c>
      <c r="W63" s="636"/>
      <c r="X63" s="651"/>
      <c r="Y63" s="1284"/>
      <c r="Z63" s="1030"/>
      <c r="AA63" s="1030"/>
      <c r="AB63" s="639"/>
      <c r="AC63" s="1315"/>
      <c r="AD63" s="1021"/>
      <c r="AE63" s="1105"/>
      <c r="AF63" s="1268"/>
      <c r="AG63" s="1121"/>
      <c r="AH63" s="640"/>
      <c r="AI63" s="673"/>
      <c r="AJ63" s="409"/>
      <c r="AK63" s="1006"/>
      <c r="AL63" s="1224"/>
      <c r="AM63" s="1172"/>
      <c r="AN63" s="1325"/>
      <c r="AO63" s="1208"/>
      <c r="AP63" s="1221"/>
      <c r="AQ63" s="1221"/>
      <c r="AR63" s="1239"/>
      <c r="AS63" s="1025"/>
      <c r="AT63" s="1148"/>
    </row>
    <row r="64" spans="2:46" s="4" customFormat="1" ht="108" customHeight="1">
      <c r="B64" s="1429"/>
      <c r="C64" s="1431"/>
      <c r="D64" s="1433"/>
      <c r="E64" s="1448"/>
      <c r="F64" s="1064"/>
      <c r="G64" s="1070"/>
      <c r="H64" s="1014"/>
      <c r="I64" s="1041"/>
      <c r="J64" s="1041"/>
      <c r="K64" s="985"/>
      <c r="L64" s="1080"/>
      <c r="M64" s="1080"/>
      <c r="N64" s="1080"/>
      <c r="O64" s="1080"/>
      <c r="P64" s="1080"/>
      <c r="Q64" s="650" t="s">
        <v>544</v>
      </c>
      <c r="R64" s="642" t="s">
        <v>983</v>
      </c>
      <c r="S64" s="642" t="s">
        <v>984</v>
      </c>
      <c r="T64" s="634" t="s">
        <v>531</v>
      </c>
      <c r="U64" s="634"/>
      <c r="V64" s="635" t="s">
        <v>130</v>
      </c>
      <c r="W64" s="636" t="s">
        <v>735</v>
      </c>
      <c r="X64" s="651"/>
      <c r="Y64" s="638">
        <v>0.2</v>
      </c>
      <c r="Z64" s="674">
        <v>-10520</v>
      </c>
      <c r="AA64" s="639">
        <f>Z64*Y64</f>
        <v>-2104</v>
      </c>
      <c r="AB64" s="639" t="s">
        <v>545</v>
      </c>
      <c r="AC64" s="1315"/>
      <c r="AD64" s="1021"/>
      <c r="AE64" s="1105"/>
      <c r="AF64" s="1268"/>
      <c r="AG64" s="1121"/>
      <c r="AH64" s="640"/>
      <c r="AI64" s="675" t="s">
        <v>534</v>
      </c>
      <c r="AJ64" s="262"/>
      <c r="AK64" s="267"/>
      <c r="AL64" s="56"/>
      <c r="AM64" s="278" t="s">
        <v>348</v>
      </c>
      <c r="AN64" s="280">
        <f>IF(Z64&gt;0,Y64,IF(AM64="низкая",Y64*$AR$40,IF(AM64="средняя",Y64*$AS$40,IF(AM64="высокая",Y64*$AT$40,0))))</f>
        <v>0.2</v>
      </c>
      <c r="AO64" s="281">
        <f>IF(Z64&gt;0,Z64,IF($AM64="низкая",Z64*$AR$40,IF(AM64="средняя",Z64*$AS$40,IF(AM64="высокая",Z64*$AT$40,0))))</f>
        <v>-10520</v>
      </c>
      <c r="AP64" s="282">
        <f>AN64*AO64</f>
        <v>-2104</v>
      </c>
      <c r="AQ64" s="282">
        <f>IF(AA64&gt;0,AA64,IF(AM64="низкая",AA64*$AR$40,IF(AM64="средняя",AA64*$AS$40,IF(AM64="высокая",AA64*$AT$40))))</f>
        <v>-2104</v>
      </c>
      <c r="AR64" s="1239"/>
      <c r="AS64" s="1025"/>
      <c r="AT64" s="1148"/>
    </row>
    <row r="65" spans="2:46" s="4" customFormat="1" ht="108" customHeight="1">
      <c r="B65" s="1429"/>
      <c r="C65" s="1431"/>
      <c r="D65" s="1433"/>
      <c r="E65" s="1448"/>
      <c r="F65" s="1064"/>
      <c r="G65" s="1070"/>
      <c r="H65" s="1014"/>
      <c r="I65" s="1041"/>
      <c r="J65" s="1041"/>
      <c r="K65" s="985"/>
      <c r="L65" s="1080"/>
      <c r="M65" s="1080"/>
      <c r="N65" s="1080"/>
      <c r="O65" s="1080"/>
      <c r="P65" s="1080"/>
      <c r="Q65" s="650" t="s">
        <v>985</v>
      </c>
      <c r="R65" s="642" t="s">
        <v>986</v>
      </c>
      <c r="S65" s="642" t="s">
        <v>987</v>
      </c>
      <c r="T65" s="634"/>
      <c r="U65" s="634"/>
      <c r="V65" s="635"/>
      <c r="W65" s="636"/>
      <c r="X65" s="651"/>
      <c r="Y65" s="638"/>
      <c r="Z65" s="674"/>
      <c r="AA65" s="639"/>
      <c r="AB65" s="639"/>
      <c r="AC65" s="1315"/>
      <c r="AD65" s="1021"/>
      <c r="AE65" s="1105"/>
      <c r="AF65" s="1268"/>
      <c r="AG65" s="1121"/>
      <c r="AH65" s="640"/>
      <c r="AI65" s="675"/>
      <c r="AJ65" s="262"/>
      <c r="AK65" s="267"/>
      <c r="AL65" s="56"/>
      <c r="AM65" s="278"/>
      <c r="AN65" s="280"/>
      <c r="AO65" s="281"/>
      <c r="AP65" s="282"/>
      <c r="AQ65" s="282"/>
      <c r="AR65" s="1239"/>
      <c r="AS65" s="1025"/>
      <c r="AT65" s="1148"/>
    </row>
    <row r="66" spans="2:46" s="4" customFormat="1" ht="94.5" customHeight="1">
      <c r="B66" s="1429"/>
      <c r="C66" s="1431"/>
      <c r="D66" s="1433"/>
      <c r="E66" s="1448"/>
      <c r="F66" s="1064"/>
      <c r="G66" s="1070"/>
      <c r="H66" s="1014"/>
      <c r="I66" s="1041"/>
      <c r="J66" s="1041"/>
      <c r="K66" s="985"/>
      <c r="L66" s="1080"/>
      <c r="M66" s="1080"/>
      <c r="N66" s="1080"/>
      <c r="O66" s="1080"/>
      <c r="P66" s="1080"/>
      <c r="Q66" s="633" t="s">
        <v>211</v>
      </c>
      <c r="R66" s="642" t="s">
        <v>971</v>
      </c>
      <c r="S66" s="642" t="s">
        <v>988</v>
      </c>
      <c r="T66" s="634" t="s">
        <v>547</v>
      </c>
      <c r="U66" s="634"/>
      <c r="V66" s="663" t="s">
        <v>137</v>
      </c>
      <c r="W66" s="636"/>
      <c r="X66" s="651"/>
      <c r="Y66" s="638">
        <v>1</v>
      </c>
      <c r="Z66" s="639">
        <v>3654</v>
      </c>
      <c r="AA66" s="639">
        <f>Y66*Z66</f>
        <v>3654</v>
      </c>
      <c r="AB66" s="639" t="s">
        <v>1546</v>
      </c>
      <c r="AC66" s="1315"/>
      <c r="AD66" s="1021"/>
      <c r="AE66" s="1105"/>
      <c r="AF66" s="1268"/>
      <c r="AG66" s="1121"/>
      <c r="AH66" s="640"/>
      <c r="AI66" s="676" t="s">
        <v>1537</v>
      </c>
      <c r="AJ66" s="123"/>
      <c r="AK66" s="267" t="s">
        <v>136</v>
      </c>
      <c r="AL66" s="56"/>
      <c r="AM66" s="278" t="s">
        <v>242</v>
      </c>
      <c r="AN66" s="280">
        <f t="shared" ref="AN66:AN73" si="4">IF(Z66&gt;0,Y66,IF(AM66="низкая",Y66*$AR$40,IF(AM66="средняя",Y66*$AS$40,IF(AM66="высокая",Y66*$AT$40,0))))</f>
        <v>1</v>
      </c>
      <c r="AO66" s="281">
        <f t="shared" ref="AO66:AO73" si="5">IF(Z66&gt;0,Z66,IF($AM66="низкая",Z66*$AR$40,IF(AM66="средняя",Z66*$AS$40,IF(AM66="высокая",Z66*$AT$40,0))))</f>
        <v>3654</v>
      </c>
      <c r="AP66" s="282">
        <f t="shared" ref="AP66:AP73" si="6">AN66*AO66</f>
        <v>3654</v>
      </c>
      <c r="AQ66" s="282">
        <f t="shared" ref="AQ66:AQ73" si="7">IF(AA66&gt;0,AA66,IF(AM66="низкая",AA66*$AR$40,IF(AM66="средняя",AA66*$AS$40,IF(AM66="высокая",AA66*$AT$40))))</f>
        <v>3654</v>
      </c>
      <c r="AR66" s="1239"/>
      <c r="AS66" s="1025"/>
      <c r="AT66" s="1148"/>
    </row>
    <row r="67" spans="2:46" s="4" customFormat="1" ht="62.25" customHeight="1">
      <c r="B67" s="1429"/>
      <c r="C67" s="1431"/>
      <c r="D67" s="1433"/>
      <c r="E67" s="1448"/>
      <c r="F67" s="1064"/>
      <c r="G67" s="1070"/>
      <c r="H67" s="1014"/>
      <c r="I67" s="1041"/>
      <c r="J67" s="1041"/>
      <c r="K67" s="985"/>
      <c r="L67" s="1080"/>
      <c r="M67" s="1080"/>
      <c r="N67" s="1080"/>
      <c r="O67" s="1080"/>
      <c r="P67" s="1080"/>
      <c r="Q67" s="1012" t="s">
        <v>438</v>
      </c>
      <c r="R67" s="642" t="s">
        <v>956</v>
      </c>
      <c r="S67" s="642" t="s">
        <v>957</v>
      </c>
      <c r="T67" s="634"/>
      <c r="U67" s="634"/>
      <c r="V67" s="635" t="s">
        <v>131</v>
      </c>
      <c r="W67" s="636" t="s">
        <v>148</v>
      </c>
      <c r="X67" s="651"/>
      <c r="Y67" s="677"/>
      <c r="Z67" s="674"/>
      <c r="AA67" s="639">
        <f>Y67*Z67</f>
        <v>0</v>
      </c>
      <c r="AB67" s="639" t="s">
        <v>1547</v>
      </c>
      <c r="AC67" s="1315"/>
      <c r="AD67" s="1021"/>
      <c r="AE67" s="1105"/>
      <c r="AF67" s="1268"/>
      <c r="AG67" s="1121"/>
      <c r="AH67" s="640"/>
      <c r="AI67" s="675" t="s">
        <v>546</v>
      </c>
      <c r="AJ67" s="262"/>
      <c r="AK67" s="267" t="s">
        <v>136</v>
      </c>
      <c r="AL67" s="56"/>
      <c r="AM67" s="278" t="s">
        <v>242</v>
      </c>
      <c r="AN67" s="287">
        <f t="shared" si="4"/>
        <v>0</v>
      </c>
      <c r="AO67" s="281">
        <f t="shared" si="5"/>
        <v>0</v>
      </c>
      <c r="AP67" s="282">
        <f t="shared" si="6"/>
        <v>0</v>
      </c>
      <c r="AQ67" s="282">
        <f t="shared" si="7"/>
        <v>0</v>
      </c>
      <c r="AR67" s="1239"/>
      <c r="AS67" s="1025"/>
      <c r="AT67" s="1148"/>
    </row>
    <row r="68" spans="2:46" s="4" customFormat="1" ht="48.75" customHeight="1">
      <c r="B68" s="1429"/>
      <c r="C68" s="1431"/>
      <c r="D68" s="1433"/>
      <c r="E68" s="1448"/>
      <c r="F68" s="1064"/>
      <c r="G68" s="1070"/>
      <c r="H68" s="1014"/>
      <c r="I68" s="1041"/>
      <c r="J68" s="1041"/>
      <c r="K68" s="985"/>
      <c r="L68" s="1080"/>
      <c r="M68" s="1080"/>
      <c r="N68" s="1080"/>
      <c r="O68" s="1080"/>
      <c r="P68" s="1080"/>
      <c r="Q68" s="1278"/>
      <c r="R68" s="642" t="s">
        <v>958</v>
      </c>
      <c r="S68" s="642" t="s">
        <v>975</v>
      </c>
      <c r="T68" s="634"/>
      <c r="U68" s="634"/>
      <c r="V68" s="635"/>
      <c r="W68" s="636"/>
      <c r="X68" s="645"/>
      <c r="Y68" s="677"/>
      <c r="Z68" s="674"/>
      <c r="AA68" s="639"/>
      <c r="AB68" s="639"/>
      <c r="AC68" s="1315"/>
      <c r="AD68" s="1021"/>
      <c r="AE68" s="1105"/>
      <c r="AF68" s="660"/>
      <c r="AG68" s="671"/>
      <c r="AH68" s="640"/>
      <c r="AI68" s="675"/>
      <c r="AJ68" s="262"/>
      <c r="AK68" s="267" t="s">
        <v>136</v>
      </c>
      <c r="AL68" s="56"/>
      <c r="AM68" s="278" t="s">
        <v>242</v>
      </c>
      <c r="AN68" s="287">
        <f t="shared" si="4"/>
        <v>0</v>
      </c>
      <c r="AO68" s="281">
        <f t="shared" si="5"/>
        <v>0</v>
      </c>
      <c r="AP68" s="282">
        <f t="shared" si="6"/>
        <v>0</v>
      </c>
      <c r="AQ68" s="282">
        <f t="shared" si="7"/>
        <v>0</v>
      </c>
      <c r="AR68" s="1239"/>
      <c r="AS68" s="1025"/>
      <c r="AT68" s="1148"/>
    </row>
    <row r="69" spans="2:46" s="4" customFormat="1" ht="163.35" customHeight="1">
      <c r="B69" s="1429"/>
      <c r="C69" s="1431"/>
      <c r="D69" s="1433"/>
      <c r="E69" s="1448"/>
      <c r="F69" s="1064"/>
      <c r="G69" s="1070"/>
      <c r="H69" s="1014"/>
      <c r="I69" s="1041"/>
      <c r="J69" s="1041"/>
      <c r="K69" s="985"/>
      <c r="L69" s="1080"/>
      <c r="M69" s="1080"/>
      <c r="N69" s="1080"/>
      <c r="O69" s="1080"/>
      <c r="P69" s="1080"/>
      <c r="Q69" s="1278"/>
      <c r="R69" s="642" t="s">
        <v>960</v>
      </c>
      <c r="S69" s="642" t="s">
        <v>976</v>
      </c>
      <c r="T69" s="634"/>
      <c r="U69" s="634"/>
      <c r="V69" s="635"/>
      <c r="W69" s="636"/>
      <c r="X69" s="645"/>
      <c r="Y69" s="677"/>
      <c r="Z69" s="674"/>
      <c r="AA69" s="639"/>
      <c r="AB69" s="639"/>
      <c r="AC69" s="1315"/>
      <c r="AD69" s="1021"/>
      <c r="AE69" s="1105"/>
      <c r="AF69" s="660"/>
      <c r="AG69" s="671"/>
      <c r="AH69" s="640"/>
      <c r="AI69" s="675"/>
      <c r="AJ69" s="262"/>
      <c r="AK69" s="267" t="s">
        <v>136</v>
      </c>
      <c r="AL69" s="56"/>
      <c r="AM69" s="278" t="s">
        <v>242</v>
      </c>
      <c r="AN69" s="287">
        <f t="shared" si="4"/>
        <v>0</v>
      </c>
      <c r="AO69" s="281">
        <f t="shared" si="5"/>
        <v>0</v>
      </c>
      <c r="AP69" s="282">
        <f t="shared" si="6"/>
        <v>0</v>
      </c>
      <c r="AQ69" s="282">
        <f t="shared" si="7"/>
        <v>0</v>
      </c>
      <c r="AR69" s="1239"/>
      <c r="AS69" s="1025"/>
      <c r="AT69" s="1148"/>
    </row>
    <row r="70" spans="2:46" s="4" customFormat="1" ht="126.75" customHeight="1">
      <c r="B70" s="1429"/>
      <c r="C70" s="1431"/>
      <c r="D70" s="1433"/>
      <c r="E70" s="1448"/>
      <c r="F70" s="1064"/>
      <c r="G70" s="1070"/>
      <c r="H70" s="1011"/>
      <c r="I70" s="1042"/>
      <c r="J70" s="1042"/>
      <c r="K70" s="986"/>
      <c r="L70" s="1081"/>
      <c r="M70" s="1081"/>
      <c r="N70" s="1081"/>
      <c r="O70" s="1081"/>
      <c r="P70" s="1081"/>
      <c r="Q70" s="1013"/>
      <c r="R70" s="642" t="s">
        <v>962</v>
      </c>
      <c r="S70" s="642" t="s">
        <v>989</v>
      </c>
      <c r="T70" s="634" t="s">
        <v>537</v>
      </c>
      <c r="U70" s="634"/>
      <c r="V70" s="635"/>
      <c r="W70" s="636"/>
      <c r="X70" s="645"/>
      <c r="Y70" s="677">
        <v>0.05</v>
      </c>
      <c r="Z70" s="674">
        <v>-1096.3487495075728</v>
      </c>
      <c r="AA70" s="639">
        <f>Y70*Z70</f>
        <v>-54.817437475378647</v>
      </c>
      <c r="AB70" s="639"/>
      <c r="AC70" s="1316"/>
      <c r="AD70" s="1022"/>
      <c r="AE70" s="1106"/>
      <c r="AF70" s="660"/>
      <c r="AG70" s="671"/>
      <c r="AH70" s="640"/>
      <c r="AI70" s="675"/>
      <c r="AJ70" s="262"/>
      <c r="AK70" s="267" t="s">
        <v>136</v>
      </c>
      <c r="AL70" s="56"/>
      <c r="AM70" s="278" t="s">
        <v>242</v>
      </c>
      <c r="AN70" s="287">
        <f t="shared" si="4"/>
        <v>1.4999999999999999E-2</v>
      </c>
      <c r="AO70" s="281">
        <f t="shared" si="5"/>
        <v>-328.90462485227187</v>
      </c>
      <c r="AP70" s="282">
        <f t="shared" si="6"/>
        <v>-4.9335693727840777</v>
      </c>
      <c r="AQ70" s="282">
        <f t="shared" si="7"/>
        <v>-16.445231242613595</v>
      </c>
      <c r="AR70" s="1240"/>
      <c r="AS70" s="1026"/>
      <c r="AT70" s="1149"/>
    </row>
    <row r="71" spans="2:46" s="4" customFormat="1" ht="97.5" customHeight="1">
      <c r="B71" s="1429"/>
      <c r="C71" s="1431"/>
      <c r="D71" s="1433"/>
      <c r="E71" s="1448"/>
      <c r="F71" s="1064"/>
      <c r="G71" s="1070"/>
      <c r="H71" s="1010" t="s">
        <v>181</v>
      </c>
      <c r="I71" s="1079" t="s">
        <v>527</v>
      </c>
      <c r="J71" s="1079" t="s">
        <v>530</v>
      </c>
      <c r="K71" s="984" t="s">
        <v>303</v>
      </c>
      <c r="L71" s="1079">
        <v>478897</v>
      </c>
      <c r="M71" s="1079"/>
      <c r="N71" s="1079"/>
      <c r="O71" s="1079"/>
      <c r="P71" s="1079">
        <f>L71+AE71</f>
        <v>477804.40492756461</v>
      </c>
      <c r="Q71" s="633" t="s">
        <v>437</v>
      </c>
      <c r="R71" s="642" t="s">
        <v>971</v>
      </c>
      <c r="S71" s="642" t="s">
        <v>988</v>
      </c>
      <c r="T71" s="634" t="s">
        <v>547</v>
      </c>
      <c r="U71" s="634"/>
      <c r="V71" s="663" t="s">
        <v>137</v>
      </c>
      <c r="W71" s="636" t="s">
        <v>990</v>
      </c>
      <c r="X71" s="678"/>
      <c r="Y71" s="638">
        <v>1</v>
      </c>
      <c r="Z71" s="639">
        <v>7871.6402522800081</v>
      </c>
      <c r="AA71" s="639">
        <f>Y71*Z71</f>
        <v>7871.6402522800081</v>
      </c>
      <c r="AB71" s="639" t="s">
        <v>1548</v>
      </c>
      <c r="AC71" s="1110">
        <f>IF((AA72/($AA$72+$AA$74+$AA$75)*Y72)+(AA74/($AA$72+$AA$74+$AA$75)*Y74)+(AA75/($AA$72+$AA$74+$AA$75)*Y75)&gt;100%,100%,(AA72/($AA$72+$AA$74+$AA$75)*Y72)+(AA74/($AA$72+$AA$74+$AA$75)*Y74)+(AA75/($AA$72+$AA$74+$AA$75)*Y75))</f>
        <v>9.6875000000000003E-2</v>
      </c>
      <c r="AD71" s="1277">
        <f>SUM(Z71:Z76)</f>
        <v>-11278.400747719992</v>
      </c>
      <c r="AE71" s="1277">
        <f>AC71*AD71</f>
        <v>-1092.5950724353743</v>
      </c>
      <c r="AF71" s="1268"/>
      <c r="AG71" s="1121"/>
      <c r="AH71" s="680"/>
      <c r="AI71" s="681" t="s">
        <v>741</v>
      </c>
      <c r="AJ71" s="379"/>
      <c r="AK71" s="267" t="s">
        <v>551</v>
      </c>
      <c r="AL71" s="325">
        <v>2021</v>
      </c>
      <c r="AM71" s="325" t="s">
        <v>242</v>
      </c>
      <c r="AN71" s="280">
        <f t="shared" si="4"/>
        <v>1</v>
      </c>
      <c r="AO71" s="281">
        <f t="shared" si="5"/>
        <v>7871.6402522800081</v>
      </c>
      <c r="AP71" s="282">
        <f t="shared" si="6"/>
        <v>7871.6402522800081</v>
      </c>
      <c r="AQ71" s="282">
        <f t="shared" si="7"/>
        <v>7871.6402522800081</v>
      </c>
      <c r="AR71" s="1043">
        <f>IF((AP72/($AA$72+$AA$74+$AA$75)*AN72)+(AP74/($AA$72+$AA$74+$AA$75)*AN74)+(AP75/($AA$72+$AA$74+$AA$75)*AN75)&gt;100%,100%,(AP72/($AA$72+$AA$74+$AA$75)*AN72)+(AP74/($AA$72+$AA$74+$AA$75)*AN74)+(AP75/($AA$72+$AA$74+$AA$75)*AN75))</f>
        <v>9.4140625000000006E-2</v>
      </c>
      <c r="AS71" s="1044">
        <f>SUM(AO71:AO76)</f>
        <v>-10151.927747719994</v>
      </c>
      <c r="AT71" s="1244">
        <f>SUM(AQ71:AQ76)</f>
        <v>6125.6071022800079</v>
      </c>
    </row>
    <row r="72" spans="2:46" s="4" customFormat="1" ht="164.4" customHeight="1">
      <c r="B72" s="1429"/>
      <c r="C72" s="1431"/>
      <c r="D72" s="1433"/>
      <c r="E72" s="1448"/>
      <c r="F72" s="1064"/>
      <c r="G72" s="1070"/>
      <c r="H72" s="1014"/>
      <c r="I72" s="1080"/>
      <c r="J72" s="1080"/>
      <c r="K72" s="985"/>
      <c r="L72" s="1080"/>
      <c r="M72" s="1080"/>
      <c r="N72" s="1080"/>
      <c r="O72" s="1080"/>
      <c r="P72" s="1080"/>
      <c r="Q72" s="633" t="s">
        <v>113</v>
      </c>
      <c r="R72" s="642" t="s">
        <v>732</v>
      </c>
      <c r="S72" s="642"/>
      <c r="T72" s="634" t="s">
        <v>540</v>
      </c>
      <c r="U72" s="634"/>
      <c r="V72" s="663" t="s">
        <v>131</v>
      </c>
      <c r="W72" s="636" t="s">
        <v>638</v>
      </c>
      <c r="X72" s="678"/>
      <c r="Y72" s="638">
        <v>1</v>
      </c>
      <c r="Z72" s="639">
        <v>0</v>
      </c>
      <c r="AA72" s="639">
        <f>Y72*Z72</f>
        <v>0</v>
      </c>
      <c r="AB72" s="639" t="s">
        <v>541</v>
      </c>
      <c r="AC72" s="1110"/>
      <c r="AD72" s="1277"/>
      <c r="AE72" s="1277"/>
      <c r="AF72" s="1268"/>
      <c r="AG72" s="1121"/>
      <c r="AH72" s="640"/>
      <c r="AI72" s="682" t="s">
        <v>549</v>
      </c>
      <c r="AJ72" s="377"/>
      <c r="AK72" s="267" t="s">
        <v>551</v>
      </c>
      <c r="AL72" s="56"/>
      <c r="AM72" s="268" t="s">
        <v>349</v>
      </c>
      <c r="AN72" s="280">
        <f t="shared" si="4"/>
        <v>0.5</v>
      </c>
      <c r="AO72" s="281">
        <f t="shared" si="5"/>
        <v>0</v>
      </c>
      <c r="AP72" s="285">
        <f t="shared" si="6"/>
        <v>0</v>
      </c>
      <c r="AQ72" s="282">
        <f t="shared" si="7"/>
        <v>0</v>
      </c>
      <c r="AR72" s="1043"/>
      <c r="AS72" s="1044"/>
      <c r="AT72" s="1244"/>
    </row>
    <row r="73" spans="2:46" s="4" customFormat="1" ht="75" customHeight="1">
      <c r="B73" s="1429"/>
      <c r="C73" s="1431"/>
      <c r="D73" s="1433"/>
      <c r="E73" s="1448"/>
      <c r="F73" s="1064"/>
      <c r="G73" s="1070"/>
      <c r="H73" s="1014"/>
      <c r="I73" s="1080"/>
      <c r="J73" s="1080"/>
      <c r="K73" s="985"/>
      <c r="L73" s="1080"/>
      <c r="M73" s="1080"/>
      <c r="N73" s="1080"/>
      <c r="O73" s="1080"/>
      <c r="P73" s="1080"/>
      <c r="Q73" s="683" t="s">
        <v>604</v>
      </c>
      <c r="R73" s="642"/>
      <c r="S73" s="642"/>
      <c r="T73" s="634"/>
      <c r="U73" s="634"/>
      <c r="V73" s="663" t="s">
        <v>603</v>
      </c>
      <c r="W73" s="636"/>
      <c r="X73" s="678"/>
      <c r="Y73" s="638">
        <v>0.3</v>
      </c>
      <c r="Z73" s="639"/>
      <c r="AA73" s="639"/>
      <c r="AB73" s="639"/>
      <c r="AC73" s="1110"/>
      <c r="AD73" s="1277"/>
      <c r="AE73" s="1277"/>
      <c r="AF73" s="1268"/>
      <c r="AG73" s="1121"/>
      <c r="AH73" s="640"/>
      <c r="AI73" s="675"/>
      <c r="AJ73" s="262"/>
      <c r="AK73" s="267"/>
      <c r="AL73" s="56"/>
      <c r="AM73" s="268" t="s">
        <v>349</v>
      </c>
      <c r="AN73" s="280">
        <f t="shared" si="4"/>
        <v>0.15</v>
      </c>
      <c r="AO73" s="281">
        <f t="shared" si="5"/>
        <v>0</v>
      </c>
      <c r="AP73" s="285">
        <f t="shared" si="6"/>
        <v>0</v>
      </c>
      <c r="AQ73" s="282">
        <f t="shared" si="7"/>
        <v>0</v>
      </c>
      <c r="AR73" s="1043"/>
      <c r="AS73" s="1044"/>
      <c r="AT73" s="1244"/>
    </row>
    <row r="74" spans="2:46" s="4" customFormat="1" ht="139.5" customHeight="1">
      <c r="B74" s="1429"/>
      <c r="C74" s="1431"/>
      <c r="D74" s="1433"/>
      <c r="E74" s="1448"/>
      <c r="F74" s="1064"/>
      <c r="G74" s="1070"/>
      <c r="H74" s="1014"/>
      <c r="I74" s="1080"/>
      <c r="J74" s="1080"/>
      <c r="K74" s="985"/>
      <c r="L74" s="1080"/>
      <c r="M74" s="1080"/>
      <c r="N74" s="1080"/>
      <c r="O74" s="1080"/>
      <c r="P74" s="1080"/>
      <c r="Q74" s="633" t="s">
        <v>436</v>
      </c>
      <c r="R74" s="642" t="s">
        <v>733</v>
      </c>
      <c r="S74" s="642"/>
      <c r="T74" s="634" t="s">
        <v>537</v>
      </c>
      <c r="U74" s="634"/>
      <c r="V74" s="635" t="s">
        <v>138</v>
      </c>
      <c r="W74" s="636" t="s">
        <v>736</v>
      </c>
      <c r="X74" s="678"/>
      <c r="Y74" s="684">
        <v>0.05</v>
      </c>
      <c r="Z74" s="639">
        <v>-2252.9459999999999</v>
      </c>
      <c r="AA74" s="639">
        <f>Y74*Z74</f>
        <v>-112.6473</v>
      </c>
      <c r="AB74" s="639" t="s">
        <v>1549</v>
      </c>
      <c r="AC74" s="1110"/>
      <c r="AD74" s="1277"/>
      <c r="AE74" s="1277"/>
      <c r="AF74" s="1268"/>
      <c r="AG74" s="1121"/>
      <c r="AH74" s="640"/>
      <c r="AI74" s="675" t="s">
        <v>550</v>
      </c>
      <c r="AJ74" s="262"/>
      <c r="AK74" s="267" t="s">
        <v>552</v>
      </c>
      <c r="AL74" s="56"/>
      <c r="AM74" s="268" t="s">
        <v>349</v>
      </c>
      <c r="AN74" s="288">
        <f t="shared" ref="AN74:AN87" si="8">IF(Z74&gt;0,Y74,IF(AM74="низкая",Y74*$AR$40,IF(AM74="средняя",Y74*$AS$40,IF(AM74="высокая",Y74*$AT$40,0))))</f>
        <v>2.5000000000000001E-2</v>
      </c>
      <c r="AO74" s="281">
        <f t="shared" ref="AO74:AO84" si="9">IF(Z74&gt;0,Z74,IF($AM74="низкая",Z74*$AR$40,IF(AM74="средняя",Z74*$AS$40,IF(AM74="высокая",Z74*$AT$40,0))))</f>
        <v>-1126.473</v>
      </c>
      <c r="AP74" s="282">
        <f t="shared" ref="AP74:AP84" si="10">AN74*AO74</f>
        <v>-28.161825</v>
      </c>
      <c r="AQ74" s="282">
        <f t="shared" ref="AQ74:AQ84" si="11">IF(AA74&gt;0,AA74,IF(AM74="низкая",AA74*$AR$40,IF(AM74="средняя",AA74*$AS$40,IF(AM74="высокая",AA74*$AT$40))))</f>
        <v>-56.323650000000001</v>
      </c>
      <c r="AR74" s="1043"/>
      <c r="AS74" s="1044"/>
      <c r="AT74" s="1244"/>
    </row>
    <row r="75" spans="2:46" s="4" customFormat="1" ht="108" customHeight="1">
      <c r="B75" s="1429"/>
      <c r="C75" s="1431"/>
      <c r="D75" s="1433"/>
      <c r="E75" s="1448"/>
      <c r="F75" s="1064"/>
      <c r="G75" s="1070"/>
      <c r="H75" s="1014"/>
      <c r="I75" s="1080"/>
      <c r="J75" s="1080"/>
      <c r="K75" s="985"/>
      <c r="L75" s="1080"/>
      <c r="M75" s="1080"/>
      <c r="N75" s="1080"/>
      <c r="O75" s="1080"/>
      <c r="P75" s="1080"/>
      <c r="Q75" s="633" t="s">
        <v>572</v>
      </c>
      <c r="R75" s="642" t="s">
        <v>733</v>
      </c>
      <c r="S75" s="642"/>
      <c r="T75" s="634" t="s">
        <v>548</v>
      </c>
      <c r="U75" s="634"/>
      <c r="V75" s="635" t="s">
        <v>138</v>
      </c>
      <c r="W75" s="636" t="s">
        <v>642</v>
      </c>
      <c r="X75" s="678"/>
      <c r="Y75" s="685">
        <v>0.1</v>
      </c>
      <c r="Z75" s="639">
        <v>-16897.095000000001</v>
      </c>
      <c r="AA75" s="639">
        <f>Y75*Z75</f>
        <v>-1689.7095000000002</v>
      </c>
      <c r="AB75" s="639" t="s">
        <v>1550</v>
      </c>
      <c r="AC75" s="1110"/>
      <c r="AD75" s="1277"/>
      <c r="AE75" s="1277"/>
      <c r="AF75" s="1268"/>
      <c r="AG75" s="1121"/>
      <c r="AH75" s="640"/>
      <c r="AI75" s="675" t="s">
        <v>740</v>
      </c>
      <c r="AJ75" s="262"/>
      <c r="AK75" s="267" t="s">
        <v>552</v>
      </c>
      <c r="AL75" s="56"/>
      <c r="AM75" s="268" t="s">
        <v>348</v>
      </c>
      <c r="AN75" s="289">
        <f t="shared" si="8"/>
        <v>0.1</v>
      </c>
      <c r="AO75" s="281">
        <f t="shared" si="9"/>
        <v>-16897.095000000001</v>
      </c>
      <c r="AP75" s="282">
        <f t="shared" si="10"/>
        <v>-1689.7095000000002</v>
      </c>
      <c r="AQ75" s="282">
        <f t="shared" si="11"/>
        <v>-1689.7095000000002</v>
      </c>
      <c r="AR75" s="1043"/>
      <c r="AS75" s="1044"/>
      <c r="AT75" s="1244"/>
    </row>
    <row r="76" spans="2:46" s="4" customFormat="1" ht="108" customHeight="1">
      <c r="B76" s="1429"/>
      <c r="C76" s="1431"/>
      <c r="D76" s="1433"/>
      <c r="E76" s="1448"/>
      <c r="F76" s="1064"/>
      <c r="G76" s="1070"/>
      <c r="H76" s="1014"/>
      <c r="I76" s="1080"/>
      <c r="J76" s="1080"/>
      <c r="K76" s="985"/>
      <c r="L76" s="1080"/>
      <c r="M76" s="1080"/>
      <c r="N76" s="1080"/>
      <c r="O76" s="1080"/>
      <c r="P76" s="1080"/>
      <c r="Q76" s="633" t="s">
        <v>937</v>
      </c>
      <c r="R76" s="633" t="s">
        <v>1150</v>
      </c>
      <c r="S76" s="633"/>
      <c r="T76" s="634"/>
      <c r="U76" s="634"/>
      <c r="V76" s="635"/>
      <c r="W76" s="636"/>
      <c r="X76" s="678"/>
      <c r="Y76" s="685">
        <v>0</v>
      </c>
      <c r="Z76" s="639">
        <v>0</v>
      </c>
      <c r="AA76" s="639">
        <f>Y76*Z76</f>
        <v>0</v>
      </c>
      <c r="AB76" s="639"/>
      <c r="AC76" s="1110"/>
      <c r="AD76" s="1277"/>
      <c r="AE76" s="1277"/>
      <c r="AF76" s="660"/>
      <c r="AG76" s="671"/>
      <c r="AH76" s="640"/>
      <c r="AI76" s="686" t="s">
        <v>1152</v>
      </c>
      <c r="AJ76" s="324"/>
      <c r="AK76" s="267" t="s">
        <v>936</v>
      </c>
      <c r="AL76" s="402"/>
      <c r="AM76" s="268" t="s">
        <v>348</v>
      </c>
      <c r="AN76" s="289">
        <f>IF(Z76&gt;0,Y76,IF(AM76="низкая",Y76*$AR$40,IF(AM76="средняя",Y76*$AS$40,IF(AM76="высокая",Y76*$AT$40,0))))</f>
        <v>0</v>
      </c>
      <c r="AO76" s="281">
        <f>IF(Z76&gt;0,Z76,IF($AM76="низкая",Z76*$AR$40,IF(AM76="средняя",Z76*$AS$40,IF(AM76="высокая",Z76*$AT$40,0))))</f>
        <v>0</v>
      </c>
      <c r="AP76" s="282">
        <f>AN76*AO76</f>
        <v>0</v>
      </c>
      <c r="AQ76" s="282">
        <f>IF(AA76&gt;0,AA76,IF(AM76="низкая",AA76*$AR$40,IF(AM76="средняя",AA76*$AS$40,IF(AM76="высокая",AA76*$AT$40))))</f>
        <v>0</v>
      </c>
      <c r="AR76" s="1043"/>
      <c r="AS76" s="1044"/>
      <c r="AT76" s="1244"/>
    </row>
    <row r="77" spans="2:46" s="4" customFormat="1" ht="108" customHeight="1">
      <c r="B77" s="1429"/>
      <c r="C77" s="1431"/>
      <c r="D77" s="1433"/>
      <c r="E77" s="1448"/>
      <c r="F77" s="1064"/>
      <c r="G77" s="1070"/>
      <c r="H77" s="1014"/>
      <c r="I77" s="1080"/>
      <c r="J77" s="1080"/>
      <c r="K77" s="985"/>
      <c r="L77" s="846" t="s">
        <v>1620</v>
      </c>
      <c r="M77" s="846"/>
      <c r="N77" s="846"/>
      <c r="O77" s="846"/>
      <c r="P77" s="846" t="s">
        <v>1621</v>
      </c>
      <c r="Q77" s="633" t="s">
        <v>1622</v>
      </c>
      <c r="R77" s="633"/>
      <c r="S77" s="633"/>
      <c r="T77" s="634"/>
      <c r="U77" s="634"/>
      <c r="V77" s="635"/>
      <c r="W77" s="731"/>
      <c r="X77" s="689"/>
      <c r="Y77" s="685"/>
      <c r="Z77" s="639"/>
      <c r="AA77" s="847"/>
      <c r="AB77" s="658"/>
      <c r="AC77" s="848"/>
      <c r="AD77" s="842"/>
      <c r="AE77" s="842"/>
      <c r="AF77" s="660"/>
      <c r="AG77" s="671"/>
      <c r="AH77" s="724"/>
      <c r="AI77" s="686"/>
      <c r="AJ77" s="418"/>
      <c r="AK77" s="267"/>
      <c r="AL77" s="844"/>
      <c r="AM77" s="584"/>
      <c r="AN77" s="289"/>
      <c r="AO77" s="281"/>
      <c r="AP77" s="282"/>
      <c r="AQ77" s="282"/>
      <c r="AR77" s="849"/>
      <c r="AS77" s="843"/>
      <c r="AT77" s="845"/>
    </row>
    <row r="78" spans="2:46" s="4" customFormat="1" ht="108" customHeight="1">
      <c r="B78" s="1429"/>
      <c r="C78" s="1431"/>
      <c r="D78" s="1433"/>
      <c r="E78" s="1448"/>
      <c r="F78" s="1064"/>
      <c r="G78" s="1070"/>
      <c r="H78" s="1011"/>
      <c r="I78" s="1081"/>
      <c r="J78" s="1081"/>
      <c r="K78" s="986"/>
      <c r="L78" s="846"/>
      <c r="M78" s="846"/>
      <c r="N78" s="846"/>
      <c r="O78" s="846"/>
      <c r="P78" s="846"/>
      <c r="Q78" s="633" t="s">
        <v>1619</v>
      </c>
      <c r="R78" s="633"/>
      <c r="S78" s="633"/>
      <c r="T78" s="634"/>
      <c r="U78" s="634"/>
      <c r="V78" s="635"/>
      <c r="W78" s="731"/>
      <c r="X78" s="689"/>
      <c r="Y78" s="685"/>
      <c r="Z78" s="639"/>
      <c r="AA78" s="847"/>
      <c r="AB78" s="658"/>
      <c r="AC78" s="848"/>
      <c r="AD78" s="842"/>
      <c r="AE78" s="842"/>
      <c r="AF78" s="660"/>
      <c r="AG78" s="671"/>
      <c r="AH78" s="724"/>
      <c r="AI78" s="686"/>
      <c r="AJ78" s="418"/>
      <c r="AK78" s="267"/>
      <c r="AL78" s="844"/>
      <c r="AM78" s="584"/>
      <c r="AN78" s="289"/>
      <c r="AO78" s="281"/>
      <c r="AP78" s="282"/>
      <c r="AQ78" s="282"/>
      <c r="AR78" s="849"/>
      <c r="AS78" s="843"/>
      <c r="AT78" s="845"/>
    </row>
    <row r="79" spans="2:46" s="4" customFormat="1" ht="273" customHeight="1">
      <c r="B79" s="1429"/>
      <c r="C79" s="1431"/>
      <c r="D79" s="1433"/>
      <c r="E79" s="1448"/>
      <c r="F79" s="1064"/>
      <c r="G79" s="1070"/>
      <c r="H79" s="1010" t="s">
        <v>182</v>
      </c>
      <c r="I79" s="1040" t="s">
        <v>177</v>
      </c>
      <c r="J79" s="1040" t="s">
        <v>491</v>
      </c>
      <c r="K79" s="984" t="s">
        <v>482</v>
      </c>
      <c r="L79" s="1079"/>
      <c r="M79" s="1079">
        <f>0.95*L79</f>
        <v>0</v>
      </c>
      <c r="N79" s="1079">
        <v>0</v>
      </c>
      <c r="O79" s="1079">
        <v>10672</v>
      </c>
      <c r="P79" s="1079"/>
      <c r="Q79" s="634" t="s">
        <v>922</v>
      </c>
      <c r="R79" s="642" t="s">
        <v>991</v>
      </c>
      <c r="S79" s="642"/>
      <c r="T79" s="687" t="s">
        <v>553</v>
      </c>
      <c r="U79" s="634"/>
      <c r="V79" s="635" t="s">
        <v>130</v>
      </c>
      <c r="W79" s="688" t="s">
        <v>554</v>
      </c>
      <c r="X79" s="689"/>
      <c r="Y79" s="690">
        <v>0.8</v>
      </c>
      <c r="Z79" s="691">
        <v>-2186.0450000000001</v>
      </c>
      <c r="AA79" s="692">
        <f t="shared" ref="AA79:AA84" si="12">Y79*Z79</f>
        <v>-1748.8360000000002</v>
      </c>
      <c r="AB79" s="658" t="s">
        <v>929</v>
      </c>
      <c r="AC79" s="1273">
        <f>IF((AA79/SUM($AA$79:$AA$81)*Y79)+(AA80/SUM($AA$79:$AA$81)*Y80)+(AA81/SUM($AA$79:$AA$81)*Y81)&gt;100%,100%,(AA79/SUM($AA$79:$AA$81)*Y79)+(AA80/SUM($AA$79:$AA$81)*Y80)+(AA81/SUM($AA$79:$AA$81)*Y81))</f>
        <v>0.76364643470029581</v>
      </c>
      <c r="AD79" s="1286">
        <f>SUM(Z79:Z81)</f>
        <v>-3613.0450100000003</v>
      </c>
      <c r="AE79" s="1020">
        <f>AC79*AD79</f>
        <v>-2759.0889402981948</v>
      </c>
      <c r="AF79" s="1118" t="s">
        <v>485</v>
      </c>
      <c r="AG79" s="1121" t="s">
        <v>115</v>
      </c>
      <c r="AH79" s="693"/>
      <c r="AI79" s="675" t="s">
        <v>1230</v>
      </c>
      <c r="AJ79" s="420"/>
      <c r="AK79" s="267" t="s">
        <v>1233</v>
      </c>
      <c r="AL79" s="492" t="s">
        <v>1472</v>
      </c>
      <c r="AM79" s="491" t="s">
        <v>349</v>
      </c>
      <c r="AN79" s="290">
        <f t="shared" si="8"/>
        <v>0.4</v>
      </c>
      <c r="AO79" s="281">
        <f t="shared" si="9"/>
        <v>-1093.0225</v>
      </c>
      <c r="AP79" s="282">
        <f t="shared" si="10"/>
        <v>-437.20900000000006</v>
      </c>
      <c r="AQ79" s="282">
        <f t="shared" si="11"/>
        <v>-874.41800000000012</v>
      </c>
      <c r="AR79" s="1245">
        <f>AT79/AS79</f>
        <v>0.76050422839874887</v>
      </c>
      <c r="AS79" s="1248">
        <f>SUM(AO79:AO81)</f>
        <v>-1806.5225050000001</v>
      </c>
      <c r="AT79" s="1248">
        <f>SUM(AQ79:AQ81)</f>
        <v>-1373.8680037500001</v>
      </c>
    </row>
    <row r="80" spans="2:46" s="4" customFormat="1" ht="391.35" customHeight="1">
      <c r="B80" s="1429"/>
      <c r="C80" s="1431"/>
      <c r="D80" s="1433"/>
      <c r="E80" s="1448"/>
      <c r="F80" s="1064"/>
      <c r="G80" s="1070"/>
      <c r="H80" s="1014"/>
      <c r="I80" s="1041"/>
      <c r="J80" s="1041"/>
      <c r="K80" s="985"/>
      <c r="L80" s="1080"/>
      <c r="M80" s="1080"/>
      <c r="N80" s="1080"/>
      <c r="O80" s="1080"/>
      <c r="P80" s="1080"/>
      <c r="Q80" s="634" t="s">
        <v>483</v>
      </c>
      <c r="R80" s="694" t="s">
        <v>992</v>
      </c>
      <c r="S80" s="694"/>
      <c r="T80" s="694" t="s">
        <v>738</v>
      </c>
      <c r="U80" s="634"/>
      <c r="V80" s="635" t="s">
        <v>137</v>
      </c>
      <c r="W80" s="688" t="s">
        <v>641</v>
      </c>
      <c r="X80" s="689"/>
      <c r="Y80" s="690">
        <v>0.75</v>
      </c>
      <c r="Z80" s="691">
        <v>-1.0000000000000001E-5</v>
      </c>
      <c r="AA80" s="695">
        <f t="shared" si="12"/>
        <v>-7.500000000000001E-6</v>
      </c>
      <c r="AB80" s="658" t="s">
        <v>930</v>
      </c>
      <c r="AC80" s="1274"/>
      <c r="AD80" s="1287">
        <f>AA80</f>
        <v>-7.500000000000001E-6</v>
      </c>
      <c r="AE80" s="1021"/>
      <c r="AF80" s="1118"/>
      <c r="AG80" s="1121"/>
      <c r="AH80" s="693"/>
      <c r="AI80" s="675" t="s">
        <v>1231</v>
      </c>
      <c r="AJ80" s="420"/>
      <c r="AK80" s="267" t="s">
        <v>1234</v>
      </c>
      <c r="AL80" s="327" t="s">
        <v>1473</v>
      </c>
      <c r="AM80" s="326" t="s">
        <v>349</v>
      </c>
      <c r="AN80" s="290">
        <f t="shared" si="8"/>
        <v>0.375</v>
      </c>
      <c r="AO80" s="281">
        <f t="shared" si="9"/>
        <v>-5.0000000000000004E-6</v>
      </c>
      <c r="AP80" s="282">
        <f t="shared" si="10"/>
        <v>-1.8750000000000003E-6</v>
      </c>
      <c r="AQ80" s="282">
        <f t="shared" si="11"/>
        <v>-3.7500000000000005E-6</v>
      </c>
      <c r="AR80" s="1246"/>
      <c r="AS80" s="1249">
        <f>AP80</f>
        <v>-1.8750000000000003E-6</v>
      </c>
      <c r="AT80" s="1249">
        <f>AQ80</f>
        <v>-3.7500000000000005E-6</v>
      </c>
    </row>
    <row r="81" spans="2:46" s="4" customFormat="1" ht="409.6" customHeight="1">
      <c r="B81" s="1429"/>
      <c r="C81" s="1431"/>
      <c r="D81" s="1433"/>
      <c r="E81" s="1448"/>
      <c r="F81" s="1064"/>
      <c r="G81" s="1070"/>
      <c r="H81" s="1014"/>
      <c r="I81" s="1041"/>
      <c r="J81" s="1041"/>
      <c r="K81" s="986"/>
      <c r="L81" s="1080"/>
      <c r="M81" s="1080"/>
      <c r="N81" s="1080"/>
      <c r="O81" s="1080"/>
      <c r="P81" s="1080"/>
      <c r="Q81" s="634" t="s">
        <v>484</v>
      </c>
      <c r="R81" s="642" t="s">
        <v>993</v>
      </c>
      <c r="S81" s="642"/>
      <c r="T81" s="634"/>
      <c r="U81" s="634"/>
      <c r="V81" s="635" t="s">
        <v>138</v>
      </c>
      <c r="W81" s="688" t="s">
        <v>739</v>
      </c>
      <c r="X81" s="689"/>
      <c r="Y81" s="690">
        <v>0.7</v>
      </c>
      <c r="Z81" s="696">
        <v>-1427</v>
      </c>
      <c r="AA81" s="674">
        <f t="shared" si="12"/>
        <v>-998.9</v>
      </c>
      <c r="AB81" s="658" t="s">
        <v>931</v>
      </c>
      <c r="AC81" s="1275"/>
      <c r="AD81" s="1287">
        <f>AA81</f>
        <v>-998.9</v>
      </c>
      <c r="AE81" s="1022"/>
      <c r="AF81" s="660"/>
      <c r="AG81" s="1121"/>
      <c r="AH81" s="693"/>
      <c r="AI81" s="675" t="s">
        <v>1232</v>
      </c>
      <c r="AJ81" s="421"/>
      <c r="AK81" s="267" t="s">
        <v>1235</v>
      </c>
      <c r="AL81" s="124" t="s">
        <v>1236</v>
      </c>
      <c r="AM81" s="328" t="s">
        <v>349</v>
      </c>
      <c r="AN81" s="290">
        <f t="shared" si="8"/>
        <v>0.35</v>
      </c>
      <c r="AO81" s="281">
        <f t="shared" si="9"/>
        <v>-713.5</v>
      </c>
      <c r="AP81" s="282">
        <f t="shared" si="10"/>
        <v>-249.72499999999999</v>
      </c>
      <c r="AQ81" s="282">
        <f t="shared" si="11"/>
        <v>-499.45</v>
      </c>
      <c r="AR81" s="1247"/>
      <c r="AS81" s="1249">
        <f>AP81</f>
        <v>-249.72499999999999</v>
      </c>
      <c r="AT81" s="1249">
        <f>AQ81</f>
        <v>-499.45</v>
      </c>
    </row>
    <row r="82" spans="2:46" s="4" customFormat="1" ht="274.5" customHeight="1">
      <c r="B82" s="1429"/>
      <c r="C82" s="1431"/>
      <c r="D82" s="1433"/>
      <c r="E82" s="1448"/>
      <c r="F82" s="1064"/>
      <c r="G82" s="1070"/>
      <c r="H82" s="1014" t="s">
        <v>503</v>
      </c>
      <c r="I82" s="1041"/>
      <c r="J82" s="1041"/>
      <c r="K82" s="984" t="s">
        <v>571</v>
      </c>
      <c r="L82" s="1079"/>
      <c r="M82" s="1079">
        <v>4293.05</v>
      </c>
      <c r="N82" s="1079">
        <v>0</v>
      </c>
      <c r="O82" s="1079">
        <v>3882</v>
      </c>
      <c r="P82" s="1079">
        <v>4518.9999950974998</v>
      </c>
      <c r="Q82" s="634" t="s">
        <v>486</v>
      </c>
      <c r="R82" s="697" t="s">
        <v>994</v>
      </c>
      <c r="S82" s="642"/>
      <c r="T82" s="634"/>
      <c r="U82" s="634"/>
      <c r="V82" s="635" t="s">
        <v>923</v>
      </c>
      <c r="W82" s="688" t="s">
        <v>924</v>
      </c>
      <c r="X82" s="689" t="s">
        <v>925</v>
      </c>
      <c r="Y82" s="698">
        <v>0.7</v>
      </c>
      <c r="Z82" s="696">
        <v>0</v>
      </c>
      <c r="AA82" s="696">
        <f>Z82*Y82</f>
        <v>0</v>
      </c>
      <c r="AB82" s="658" t="s">
        <v>932</v>
      </c>
      <c r="AC82" s="1129">
        <f>AVERAGE(Y82:Y83)</f>
        <v>0.72499999999999998</v>
      </c>
      <c r="AD82" s="1020">
        <f>SUM(Z82:Z83)</f>
        <v>-502</v>
      </c>
      <c r="AE82" s="1020">
        <f>AD82*AC82</f>
        <v>-363.95</v>
      </c>
      <c r="AF82" s="660"/>
      <c r="AG82" s="671"/>
      <c r="AH82" s="693"/>
      <c r="AI82" s="675" t="s">
        <v>1237</v>
      </c>
      <c r="AJ82" s="420"/>
      <c r="AK82" s="267" t="s">
        <v>1233</v>
      </c>
      <c r="AL82" s="493" t="s">
        <v>1238</v>
      </c>
      <c r="AM82" s="329" t="s">
        <v>349</v>
      </c>
      <c r="AN82" s="290">
        <f t="shared" si="8"/>
        <v>0.35</v>
      </c>
      <c r="AO82" s="281">
        <f t="shared" si="9"/>
        <v>0</v>
      </c>
      <c r="AP82" s="282">
        <f t="shared" si="10"/>
        <v>0</v>
      </c>
      <c r="AQ82" s="282">
        <f t="shared" si="11"/>
        <v>0</v>
      </c>
      <c r="AR82" s="1262">
        <f>AT82/AS82</f>
        <v>0.75</v>
      </c>
      <c r="AS82" s="1253">
        <f>SUM(AO82:AO83)</f>
        <v>-251</v>
      </c>
      <c r="AT82" s="1253">
        <f>SUM(AQ82:AQ83)</f>
        <v>-188.25</v>
      </c>
    </row>
    <row r="83" spans="2:46" s="4" customFormat="1" ht="274.5" customHeight="1">
      <c r="B83" s="1429"/>
      <c r="C83" s="1431"/>
      <c r="D83" s="1433"/>
      <c r="E83" s="1448"/>
      <c r="F83" s="1064"/>
      <c r="G83" s="1070"/>
      <c r="H83" s="1011"/>
      <c r="I83" s="1042"/>
      <c r="J83" s="1042"/>
      <c r="K83" s="985"/>
      <c r="L83" s="1081"/>
      <c r="M83" s="1081"/>
      <c r="N83" s="1081"/>
      <c r="O83" s="1081"/>
      <c r="P83" s="1081"/>
      <c r="Q83" s="634" t="s">
        <v>926</v>
      </c>
      <c r="R83" s="699" t="s">
        <v>995</v>
      </c>
      <c r="S83" s="642"/>
      <c r="T83" s="634"/>
      <c r="U83" s="634"/>
      <c r="V83" s="635" t="s">
        <v>138</v>
      </c>
      <c r="W83" s="688" t="s">
        <v>927</v>
      </c>
      <c r="X83" s="689" t="s">
        <v>928</v>
      </c>
      <c r="Y83" s="698">
        <v>0.75</v>
      </c>
      <c r="Z83" s="696">
        <v>-502</v>
      </c>
      <c r="AA83" s="696">
        <f>Z83*Y83</f>
        <v>-376.5</v>
      </c>
      <c r="AB83" s="658" t="s">
        <v>996</v>
      </c>
      <c r="AC83" s="1130"/>
      <c r="AD83" s="1022"/>
      <c r="AE83" s="1022"/>
      <c r="AF83" s="660"/>
      <c r="AG83" s="671"/>
      <c r="AH83" s="693"/>
      <c r="AI83" s="675" t="s">
        <v>1239</v>
      </c>
      <c r="AJ83" s="420"/>
      <c r="AK83" s="267" t="s">
        <v>1240</v>
      </c>
      <c r="AL83" s="493" t="s">
        <v>1241</v>
      </c>
      <c r="AM83" s="329" t="s">
        <v>349</v>
      </c>
      <c r="AN83" s="290">
        <f t="shared" si="8"/>
        <v>0.375</v>
      </c>
      <c r="AO83" s="281">
        <f t="shared" si="9"/>
        <v>-251</v>
      </c>
      <c r="AP83" s="282">
        <f t="shared" si="10"/>
        <v>-94.125</v>
      </c>
      <c r="AQ83" s="282">
        <f t="shared" si="11"/>
        <v>-188.25</v>
      </c>
      <c r="AR83" s="1263"/>
      <c r="AS83" s="1254"/>
      <c r="AT83" s="1254"/>
    </row>
    <row r="84" spans="2:46" s="4" customFormat="1" ht="101.4" customHeight="1">
      <c r="B84" s="1429"/>
      <c r="C84" s="1431"/>
      <c r="D84" s="1433"/>
      <c r="E84" s="1448"/>
      <c r="F84" s="1064"/>
      <c r="G84" s="1070"/>
      <c r="H84" s="1058" t="s">
        <v>516</v>
      </c>
      <c r="I84" s="1088" t="s">
        <v>1200</v>
      </c>
      <c r="J84" s="1088" t="s">
        <v>492</v>
      </c>
      <c r="K84" s="1344" t="s">
        <v>151</v>
      </c>
      <c r="L84" s="1079"/>
      <c r="M84" s="1079" t="s">
        <v>997</v>
      </c>
      <c r="N84" s="1079">
        <v>0</v>
      </c>
      <c r="O84" s="1079"/>
      <c r="P84" s="1079">
        <f>L84+AA84</f>
        <v>-25468.55</v>
      </c>
      <c r="Q84" s="1506" t="s">
        <v>574</v>
      </c>
      <c r="R84" s="1494" t="s">
        <v>726</v>
      </c>
      <c r="S84" s="701"/>
      <c r="T84" s="1018"/>
      <c r="U84" s="1018"/>
      <c r="V84" s="1177" t="s">
        <v>130</v>
      </c>
      <c r="W84" s="1062" t="s">
        <v>494</v>
      </c>
      <c r="X84" s="1500"/>
      <c r="Y84" s="1512">
        <v>0.95</v>
      </c>
      <c r="Z84" s="1497">
        <f>-19008-7801</f>
        <v>-26809</v>
      </c>
      <c r="AA84" s="1497">
        <f t="shared" si="12"/>
        <v>-25468.55</v>
      </c>
      <c r="AB84" s="1008" t="s">
        <v>625</v>
      </c>
      <c r="AC84" s="1114">
        <f>Y84</f>
        <v>0.95</v>
      </c>
      <c r="AD84" s="1000">
        <f>Z84</f>
        <v>-26809</v>
      </c>
      <c r="AE84" s="1270">
        <f>AC84*AD84</f>
        <v>-25468.55</v>
      </c>
      <c r="AF84" s="1000"/>
      <c r="AG84" s="1118"/>
      <c r="AH84" s="1265"/>
      <c r="AI84" s="675" t="s">
        <v>152</v>
      </c>
      <c r="AJ84" s="398"/>
      <c r="AK84" s="1200" t="s">
        <v>492</v>
      </c>
      <c r="AL84" s="1201"/>
      <c r="AM84" s="460" t="s">
        <v>349</v>
      </c>
      <c r="AN84" s="1202">
        <f t="shared" si="8"/>
        <v>0.47499999999999998</v>
      </c>
      <c r="AO84" s="1203">
        <f t="shared" si="9"/>
        <v>-13404.5</v>
      </c>
      <c r="AP84" s="1205">
        <f t="shared" si="10"/>
        <v>-6367.1374999999998</v>
      </c>
      <c r="AQ84" s="1205">
        <f t="shared" si="11"/>
        <v>-12734.275</v>
      </c>
      <c r="AR84" s="1261">
        <f>AN84</f>
        <v>0.47499999999999998</v>
      </c>
      <c r="AS84" s="997">
        <f>AP84</f>
        <v>-6367.1374999999998</v>
      </c>
      <c r="AT84" s="997">
        <f>-12754</f>
        <v>-12754</v>
      </c>
    </row>
    <row r="85" spans="2:46" s="4" customFormat="1" ht="154.35" customHeight="1">
      <c r="B85" s="1429"/>
      <c r="C85" s="1431"/>
      <c r="D85" s="1433"/>
      <c r="E85" s="1448"/>
      <c r="F85" s="1064"/>
      <c r="G85" s="1070"/>
      <c r="H85" s="1058"/>
      <c r="I85" s="1088"/>
      <c r="J85" s="1088"/>
      <c r="K85" s="1345"/>
      <c r="L85" s="1080"/>
      <c r="M85" s="1080"/>
      <c r="N85" s="1080"/>
      <c r="O85" s="1080"/>
      <c r="P85" s="1080"/>
      <c r="Q85" s="1506"/>
      <c r="R85" s="1495"/>
      <c r="S85" s="642"/>
      <c r="T85" s="1019"/>
      <c r="U85" s="1019"/>
      <c r="V85" s="1179"/>
      <c r="W85" s="1037"/>
      <c r="X85" s="1501"/>
      <c r="Y85" s="1512"/>
      <c r="Z85" s="1497"/>
      <c r="AA85" s="1497"/>
      <c r="AB85" s="1023"/>
      <c r="AC85" s="1114"/>
      <c r="AD85" s="1000"/>
      <c r="AE85" s="1271"/>
      <c r="AF85" s="1000"/>
      <c r="AG85" s="1118"/>
      <c r="AH85" s="1266"/>
      <c r="AI85" s="675"/>
      <c r="AJ85" s="420"/>
      <c r="AK85" s="1200"/>
      <c r="AL85" s="1201"/>
      <c r="AM85" s="460"/>
      <c r="AN85" s="1202">
        <f t="shared" si="8"/>
        <v>0</v>
      </c>
      <c r="AO85" s="1203"/>
      <c r="AP85" s="1205"/>
      <c r="AQ85" s="1205"/>
      <c r="AR85" s="1261"/>
      <c r="AS85" s="997"/>
      <c r="AT85" s="997"/>
    </row>
    <row r="86" spans="2:46" s="4" customFormat="1" ht="157.94999999999999" customHeight="1">
      <c r="B86" s="1429"/>
      <c r="C86" s="1431"/>
      <c r="D86" s="1433"/>
      <c r="E86" s="1448"/>
      <c r="F86" s="1064"/>
      <c r="G86" s="1070"/>
      <c r="H86" s="1058"/>
      <c r="I86" s="1088"/>
      <c r="J86" s="1088"/>
      <c r="K86" s="1345"/>
      <c r="L86" s="1080"/>
      <c r="M86" s="1080"/>
      <c r="N86" s="1080"/>
      <c r="O86" s="1080"/>
      <c r="P86" s="1080"/>
      <c r="Q86" s="633" t="s">
        <v>493</v>
      </c>
      <c r="R86" s="708" t="s">
        <v>727</v>
      </c>
      <c r="S86" s="709"/>
      <c r="T86" s="634"/>
      <c r="U86" s="634"/>
      <c r="V86" s="635" t="s">
        <v>130</v>
      </c>
      <c r="W86" s="636" t="s">
        <v>495</v>
      </c>
      <c r="X86" s="1501"/>
      <c r="Y86" s="1512"/>
      <c r="Z86" s="1497"/>
      <c r="AA86" s="1497"/>
      <c r="AB86" s="1023"/>
      <c r="AC86" s="1114"/>
      <c r="AD86" s="1000"/>
      <c r="AE86" s="1271"/>
      <c r="AF86" s="1000"/>
      <c r="AG86" s="1118"/>
      <c r="AH86" s="1266"/>
      <c r="AI86" s="675" t="s">
        <v>498</v>
      </c>
      <c r="AJ86" s="422"/>
      <c r="AK86" s="1200"/>
      <c r="AL86" s="1201"/>
      <c r="AM86" s="460"/>
      <c r="AN86" s="1202">
        <f t="shared" si="8"/>
        <v>0</v>
      </c>
      <c r="AO86" s="1203"/>
      <c r="AP86" s="1205"/>
      <c r="AQ86" s="1205"/>
      <c r="AR86" s="1261"/>
      <c r="AS86" s="997"/>
      <c r="AT86" s="997"/>
    </row>
    <row r="87" spans="2:46" s="4" customFormat="1" ht="275.10000000000002" customHeight="1">
      <c r="B87" s="1429"/>
      <c r="C87" s="1431"/>
      <c r="D87" s="1433"/>
      <c r="E87" s="1448"/>
      <c r="F87" s="1064"/>
      <c r="G87" s="1343"/>
      <c r="H87" s="1058"/>
      <c r="I87" s="1088"/>
      <c r="J87" s="1088"/>
      <c r="K87" s="1345"/>
      <c r="L87" s="1081"/>
      <c r="M87" s="1081"/>
      <c r="N87" s="1081"/>
      <c r="O87" s="1081"/>
      <c r="P87" s="1081"/>
      <c r="Q87" s="633" t="s">
        <v>728</v>
      </c>
      <c r="R87" s="699" t="s">
        <v>725</v>
      </c>
      <c r="S87" s="710"/>
      <c r="T87" s="634"/>
      <c r="U87" s="634"/>
      <c r="V87" s="635" t="s">
        <v>130</v>
      </c>
      <c r="W87" s="636" t="s">
        <v>496</v>
      </c>
      <c r="X87" s="1502"/>
      <c r="Y87" s="1512"/>
      <c r="Z87" s="1497"/>
      <c r="AA87" s="1497"/>
      <c r="AB87" s="1030"/>
      <c r="AC87" s="1114"/>
      <c r="AD87" s="1000"/>
      <c r="AE87" s="1272"/>
      <c r="AF87" s="1000"/>
      <c r="AG87" s="1119"/>
      <c r="AH87" s="1267"/>
      <c r="AI87" s="675" t="s">
        <v>497</v>
      </c>
      <c r="AJ87" s="418"/>
      <c r="AK87" s="1200"/>
      <c r="AL87" s="1201"/>
      <c r="AM87" s="460"/>
      <c r="AN87" s="1202">
        <f t="shared" si="8"/>
        <v>0</v>
      </c>
      <c r="AO87" s="1203"/>
      <c r="AP87" s="1205"/>
      <c r="AQ87" s="1205"/>
      <c r="AR87" s="1261"/>
      <c r="AS87" s="997"/>
      <c r="AT87" s="997"/>
    </row>
    <row r="88" spans="2:46" s="4" customFormat="1" ht="174" customHeight="1">
      <c r="B88" s="1429"/>
      <c r="C88" s="1431"/>
      <c r="D88" s="1433"/>
      <c r="E88" s="1448"/>
      <c r="F88" s="1064"/>
      <c r="G88" s="1069"/>
      <c r="H88" s="1010" t="s">
        <v>504</v>
      </c>
      <c r="I88" s="1453" t="s">
        <v>177</v>
      </c>
      <c r="J88" s="1453" t="s">
        <v>1184</v>
      </c>
      <c r="K88" s="1451" t="s">
        <v>998</v>
      </c>
      <c r="L88" s="1498"/>
      <c r="M88" s="1498"/>
      <c r="N88" s="1498"/>
      <c r="O88" s="1498"/>
      <c r="P88" s="1498"/>
      <c r="Q88" s="633" t="s">
        <v>499</v>
      </c>
      <c r="R88" s="642" t="s">
        <v>724</v>
      </c>
      <c r="S88" s="642"/>
      <c r="T88" s="634"/>
      <c r="U88" s="634"/>
      <c r="V88" s="635" t="s">
        <v>130</v>
      </c>
      <c r="W88" s="636" t="s">
        <v>501</v>
      </c>
      <c r="X88" s="711"/>
      <c r="Y88" s="703">
        <v>0.8</v>
      </c>
      <c r="Z88" s="704">
        <v>0</v>
      </c>
      <c r="AA88" s="704">
        <f>Z88*Y88</f>
        <v>0</v>
      </c>
      <c r="AB88" s="658"/>
      <c r="AC88" s="1129">
        <f>Y89</f>
        <v>0.4</v>
      </c>
      <c r="AD88" s="1104">
        <f>Z89</f>
        <v>-103</v>
      </c>
      <c r="AE88" s="1104">
        <f>AC88*AD88</f>
        <v>-41.2</v>
      </c>
      <c r="AF88" s="665"/>
      <c r="AG88" s="712"/>
      <c r="AH88" s="713"/>
      <c r="AI88" s="675" t="s">
        <v>1242</v>
      </c>
      <c r="AJ88" s="408"/>
      <c r="AK88" s="489" t="s">
        <v>1244</v>
      </c>
      <c r="AL88" s="494" t="s">
        <v>1245</v>
      </c>
      <c r="AM88" s="278" t="s">
        <v>349</v>
      </c>
      <c r="AN88" s="289">
        <f>IF(Z88&gt;0,Y88,IF(AM88="низкая",Y88*$AR$40,IF(AM88="средняя",Y88*$AS$40,IF(AM88="высокая",Y88*$AT$40,0))))</f>
        <v>0.4</v>
      </c>
      <c r="AO88" s="281">
        <f>IF(Z88&gt;0,Z88,IF($AM88="низкая",Z88*$AR$40,IF(AM88="средняя",Z88*$AS$40,IF(AM88="высокая",Z88*$AT$40,0))))</f>
        <v>0</v>
      </c>
      <c r="AP88" s="282">
        <f>AN88*AO88</f>
        <v>0</v>
      </c>
      <c r="AQ88" s="282">
        <f>IF(AA88&gt;0,AA88,IF(AM88="низкая",AA88*$AR$40,IF(AM88="средняя",AA88*$AS$40,IF(AM88="высокая",AA88*$AT$40))))</f>
        <v>0</v>
      </c>
      <c r="AR88" s="1262">
        <f>AN89</f>
        <v>0.2</v>
      </c>
      <c r="AS88" s="1147">
        <f>AO89</f>
        <v>-51.5</v>
      </c>
      <c r="AT88" s="1147">
        <f>SUM(AQ88:AQ89)</f>
        <v>-20.6</v>
      </c>
    </row>
    <row r="89" spans="2:46" s="4" customFormat="1" ht="214.5" customHeight="1">
      <c r="B89" s="1429"/>
      <c r="C89" s="1431"/>
      <c r="D89" s="1433"/>
      <c r="E89" s="1448"/>
      <c r="F89" s="1064"/>
      <c r="G89" s="1070"/>
      <c r="H89" s="1014"/>
      <c r="I89" s="1416"/>
      <c r="J89" s="1416"/>
      <c r="K89" s="1452"/>
      <c r="L89" s="1499"/>
      <c r="M89" s="1499"/>
      <c r="N89" s="1499"/>
      <c r="O89" s="1499"/>
      <c r="P89" s="1499"/>
      <c r="Q89" s="633" t="s">
        <v>575</v>
      </c>
      <c r="R89" s="642" t="s">
        <v>500</v>
      </c>
      <c r="S89" s="642"/>
      <c r="T89" s="634"/>
      <c r="U89" s="634"/>
      <c r="V89" s="635" t="s">
        <v>138</v>
      </c>
      <c r="W89" s="636" t="s">
        <v>502</v>
      </c>
      <c r="X89" s="711"/>
      <c r="Y89" s="703">
        <v>0.4</v>
      </c>
      <c r="Z89" s="704">
        <v>-103</v>
      </c>
      <c r="AA89" s="704">
        <f>Z89*Y89</f>
        <v>-41.2</v>
      </c>
      <c r="AB89" s="659" t="s">
        <v>556</v>
      </c>
      <c r="AC89" s="1130"/>
      <c r="AD89" s="1105"/>
      <c r="AE89" s="1105"/>
      <c r="AF89" s="665"/>
      <c r="AG89" s="712"/>
      <c r="AH89" s="713"/>
      <c r="AI89" s="675" t="s">
        <v>1243</v>
      </c>
      <c r="AJ89" s="408"/>
      <c r="AK89" s="490" t="s">
        <v>1246</v>
      </c>
      <c r="AL89" s="495" t="s">
        <v>1247</v>
      </c>
      <c r="AM89" s="278" t="s">
        <v>349</v>
      </c>
      <c r="AN89" s="289">
        <f>IF(Z89&gt;0,Y89,IF(AM89="низкая",Y89*$AR$40,IF(AM89="средняя",Y89*$AS$40,IF(AM89="высокая",Y89*$AT$40,0))))</f>
        <v>0.2</v>
      </c>
      <c r="AO89" s="281">
        <f>IF(Z89&gt;0,Z89,IF($AM89="низкая",Z89*$AR$40,IF(AM89="средняя",Z89*$AS$40,IF(AM89="высокая",Z89*$AT$40,0))))</f>
        <v>-51.5</v>
      </c>
      <c r="AP89" s="282">
        <f>AN89*AO89</f>
        <v>-10.3</v>
      </c>
      <c r="AQ89" s="282">
        <f>IF(AA89&gt;0,AA89,IF(AM89="низкая",AA89*$AR$40,IF(AM89="средняя",AA89*$AS$40,IF(AM89="высокая",AA89*$AT$40))))</f>
        <v>-20.6</v>
      </c>
      <c r="AR89" s="1263"/>
      <c r="AS89" s="1148"/>
      <c r="AT89" s="1148"/>
    </row>
    <row r="90" spans="2:46" s="4" customFormat="1" ht="180.75" customHeight="1">
      <c r="B90" s="1429"/>
      <c r="C90" s="1431"/>
      <c r="D90" s="1433"/>
      <c r="E90" s="1448"/>
      <c r="F90" s="1064"/>
      <c r="G90" s="629"/>
      <c r="H90" s="531" t="s">
        <v>569</v>
      </c>
      <c r="I90" s="631" t="s">
        <v>177</v>
      </c>
      <c r="J90" s="631" t="s">
        <v>1121</v>
      </c>
      <c r="K90" s="630" t="s">
        <v>1117</v>
      </c>
      <c r="L90" s="444"/>
      <c r="M90" s="441"/>
      <c r="N90" s="441"/>
      <c r="O90" s="441"/>
      <c r="P90" s="441"/>
      <c r="Q90" s="633" t="s">
        <v>1120</v>
      </c>
      <c r="R90" s="642"/>
      <c r="S90" s="642"/>
      <c r="T90" s="634"/>
      <c r="U90" s="634"/>
      <c r="V90" s="635"/>
      <c r="W90" s="636"/>
      <c r="X90" s="711"/>
      <c r="Y90" s="703">
        <v>0.6</v>
      </c>
      <c r="Z90" s="704">
        <f>-195.53-1562</f>
        <v>-1757.53</v>
      </c>
      <c r="AA90" s="704">
        <f>Z90*Y90</f>
        <v>-1054.518</v>
      </c>
      <c r="AB90" s="659" t="s">
        <v>1118</v>
      </c>
      <c r="AC90" s="705">
        <f>Y90</f>
        <v>0.6</v>
      </c>
      <c r="AD90" s="706">
        <f>Z90</f>
        <v>-1757.53</v>
      </c>
      <c r="AE90" s="706">
        <f>AD90*AC90</f>
        <v>-1054.518</v>
      </c>
      <c r="AF90" s="665"/>
      <c r="AG90" s="712"/>
      <c r="AH90" s="713"/>
      <c r="AI90" s="675" t="s">
        <v>1119</v>
      </c>
      <c r="AJ90" s="409"/>
      <c r="AK90" s="443"/>
      <c r="AL90" s="443"/>
      <c r="AM90" s="278" t="s">
        <v>349</v>
      </c>
      <c r="AN90" s="289">
        <f>IF(Z90&gt;0,Y90,IF(AM90="низкая",Y90*$AR$40,IF(AM90="средняя",Y90*$AS$40,IF(AM90="высокая",Y90*$AT$40,0))))</f>
        <v>0.3</v>
      </c>
      <c r="AO90" s="281">
        <f>IF(Z90&gt;0,Z90,IF($AM90="низкая",Z90*$AR$40,IF(AM90="средняя",Z90*$AS$40,IF(AM90="высокая",Z90*$AT$40,0))))</f>
        <v>-878.76499999999999</v>
      </c>
      <c r="AP90" s="282">
        <f>AN90*AO90</f>
        <v>-263.62950000000001</v>
      </c>
      <c r="AQ90" s="282">
        <f>IF(AA90&gt;0,AA90,IF(AM90="низкая",AA90*$AR$40,IF(AM90="средняя",AA90*$AS$40,IF(AM90="высокая",AA90*$AT$40))))</f>
        <v>-527.25900000000001</v>
      </c>
      <c r="AR90" s="442"/>
      <c r="AS90" s="392"/>
      <c r="AT90" s="392">
        <f>AQ90</f>
        <v>-527.25900000000001</v>
      </c>
    </row>
    <row r="91" spans="2:46" s="4" customFormat="1" ht="168" customHeight="1">
      <c r="B91" s="1429"/>
      <c r="C91" s="1431"/>
      <c r="D91" s="1433"/>
      <c r="E91" s="1448"/>
      <c r="F91" s="1063" t="s">
        <v>1015</v>
      </c>
      <c r="G91" s="1069" t="s">
        <v>262</v>
      </c>
      <c r="H91" s="1014" t="s">
        <v>361</v>
      </c>
      <c r="I91" s="1416" t="s">
        <v>1194</v>
      </c>
      <c r="J91" s="1416" t="s">
        <v>239</v>
      </c>
      <c r="K91" s="1451" t="s">
        <v>935</v>
      </c>
      <c r="L91" s="429"/>
      <c r="M91" s="322"/>
      <c r="N91" s="322"/>
      <c r="O91" s="322"/>
      <c r="P91" s="429">
        <v>25139.181804839001</v>
      </c>
      <c r="Q91" s="702" t="s">
        <v>563</v>
      </c>
      <c r="R91" s="642"/>
      <c r="S91" s="642"/>
      <c r="T91" s="634"/>
      <c r="U91" s="634"/>
      <c r="V91" s="635" t="s">
        <v>130</v>
      </c>
      <c r="W91" s="714"/>
      <c r="X91" s="678"/>
      <c r="Y91" s="685">
        <v>0.7</v>
      </c>
      <c r="Z91" s="639">
        <v>-109.69885023000001</v>
      </c>
      <c r="AA91" s="639">
        <f>Y91*Z91</f>
        <v>-76.789195160999995</v>
      </c>
      <c r="AB91" s="659"/>
      <c r="AC91" s="1129">
        <f>IF((AA91/SUM($AA$91:$AA$93)*Y91)+(AA92/SUM($AA$91:$AA$93)*Y92)+(AA93/SUM($AA$91:$AA$93)*Y93)&gt;100%,100%,(AA91/SUM($AA$91:$AA$93)*Y91)+(AA92/SUM($AA$91:$AA$93)*Y92)+(AA93/SUM($AA$91:$AA$93)*Y93))</f>
        <v>0.67719394122134746</v>
      </c>
      <c r="AD91" s="1104">
        <f>SUM(Z91:Z97)</f>
        <v>-14233.101850229999</v>
      </c>
      <c r="AE91" s="1104">
        <f>AC91*AD91</f>
        <v>-9638.5703377621066</v>
      </c>
      <c r="AF91" s="665"/>
      <c r="AG91" s="712"/>
      <c r="AH91" s="640"/>
      <c r="AI91" s="675" t="s">
        <v>566</v>
      </c>
      <c r="AJ91" s="262"/>
      <c r="AK91" s="1027" t="s">
        <v>239</v>
      </c>
      <c r="AL91" s="56"/>
      <c r="AM91" s="278" t="s">
        <v>348</v>
      </c>
      <c r="AN91" s="289">
        <f>IF(Z91&gt;0,Y91,IF(AM91="низкая",Y91*$AR$40,IF(AM91="средняя",Y91*$AS$40,IF(AM91="высокая",Y91*$AT$40,0))))</f>
        <v>0.7</v>
      </c>
      <c r="AO91" s="281">
        <f>IF(Z91&gt;0,Z91,IF($AM91="низкая",Z91*$AR$40,IF(AM91="средняя",Z91*$AS$40,IF(AM91="высокая",Z91*$AT$40,0))))</f>
        <v>-109.69885023000001</v>
      </c>
      <c r="AP91" s="282">
        <f>AN91*AO91</f>
        <v>-76.789195160999995</v>
      </c>
      <c r="AQ91" s="282">
        <f>IF(AA91&gt;0,AA91,IF(AM91="низкая",AA91*$AR$40,IF(AM91="средняя",AA91*$AS$40,IF(AM91="высокая",AA91*$AT$40))))</f>
        <v>-76.789195160999995</v>
      </c>
      <c r="AR91" s="1258">
        <f>IF((AP91/SUM($AP$91:$AP$93)*AN91)+(AP93/SUM($AP$91:$AP$93)*AN93)&gt;100%,100%,(AP91/SUM($AP$91:$AP$93)*AN91)+(AP93/SUM($AP$91:$AP$93)*AN93))</f>
        <v>0.32506094630921556</v>
      </c>
      <c r="AS91" s="1255">
        <f>SUM(AO91:AO97)</f>
        <v>-3939.1988502300001</v>
      </c>
      <c r="AT91" s="1255">
        <f>SUM(AQ91:AQ97)</f>
        <v>-2374.4891951609998</v>
      </c>
    </row>
    <row r="92" spans="2:46" s="4" customFormat="1" ht="168" customHeight="1">
      <c r="B92" s="1429"/>
      <c r="C92" s="1431"/>
      <c r="D92" s="1433"/>
      <c r="E92" s="1448"/>
      <c r="F92" s="1064"/>
      <c r="G92" s="1070"/>
      <c r="H92" s="1011"/>
      <c r="I92" s="1416"/>
      <c r="J92" s="1416"/>
      <c r="K92" s="1496"/>
      <c r="L92" s="429">
        <v>39462</v>
      </c>
      <c r="M92" s="172"/>
      <c r="N92" s="172"/>
      <c r="O92" s="172"/>
      <c r="P92" s="428">
        <v>16846.11375</v>
      </c>
      <c r="Q92" s="642" t="s">
        <v>999</v>
      </c>
      <c r="R92" s="642" t="s">
        <v>1000</v>
      </c>
      <c r="S92" s="642"/>
      <c r="T92" s="634"/>
      <c r="U92" s="634"/>
      <c r="V92" s="635"/>
      <c r="W92" s="714"/>
      <c r="X92" s="678"/>
      <c r="Y92" s="715">
        <v>0.75</v>
      </c>
      <c r="Z92" s="658">
        <v>-6464.4030000000002</v>
      </c>
      <c r="AA92" s="639">
        <f>Y92*Z92</f>
        <v>-4848.3022500000006</v>
      </c>
      <c r="AB92" s="659"/>
      <c r="AC92" s="1130"/>
      <c r="AD92" s="1105"/>
      <c r="AE92" s="1105"/>
      <c r="AF92" s="665"/>
      <c r="AG92" s="712"/>
      <c r="AH92" s="640"/>
      <c r="AI92" s="716"/>
      <c r="AJ92" s="407"/>
      <c r="AK92" s="1027"/>
      <c r="AL92" s="56"/>
      <c r="AM92" s="417"/>
      <c r="AN92" s="289"/>
      <c r="AO92" s="281"/>
      <c r="AP92" s="282"/>
      <c r="AQ92" s="282"/>
      <c r="AR92" s="1259"/>
      <c r="AS92" s="1256"/>
      <c r="AT92" s="1256"/>
    </row>
    <row r="93" spans="2:46" s="4" customFormat="1" ht="90.75" customHeight="1">
      <c r="B93" s="1429"/>
      <c r="C93" s="1431"/>
      <c r="D93" s="1433"/>
      <c r="E93" s="1448"/>
      <c r="F93" s="1064"/>
      <c r="G93" s="1070"/>
      <c r="H93" s="1010" t="s">
        <v>362</v>
      </c>
      <c r="I93" s="1416"/>
      <c r="J93" s="1416"/>
      <c r="K93" s="1451" t="s">
        <v>405</v>
      </c>
      <c r="L93" s="1482">
        <v>107405</v>
      </c>
      <c r="M93" s="1416"/>
      <c r="N93" s="1507"/>
      <c r="O93" s="1416"/>
      <c r="P93" s="1482">
        <f>L93+AA93+AA104</f>
        <v>102177.1</v>
      </c>
      <c r="Q93" s="633" t="s">
        <v>558</v>
      </c>
      <c r="R93" s="687"/>
      <c r="S93" s="687"/>
      <c r="T93" s="634"/>
      <c r="U93" s="634"/>
      <c r="V93" s="635" t="s">
        <v>130</v>
      </c>
      <c r="W93" s="714"/>
      <c r="X93" s="678"/>
      <c r="Y93" s="1173">
        <v>0.6</v>
      </c>
      <c r="Z93" s="1008">
        <v>-7659</v>
      </c>
      <c r="AA93" s="1008">
        <f>Y93*Z93</f>
        <v>-4595.3999999999996</v>
      </c>
      <c r="AB93" s="1008"/>
      <c r="AC93" s="1130"/>
      <c r="AD93" s="1105"/>
      <c r="AE93" s="1105"/>
      <c r="AF93" s="665"/>
      <c r="AG93" s="712"/>
      <c r="AH93" s="640"/>
      <c r="AI93" s="1126" t="s">
        <v>565</v>
      </c>
      <c r="AJ93" s="414"/>
      <c r="AK93" s="1027"/>
      <c r="AL93" s="56"/>
      <c r="AM93" s="1170" t="s">
        <v>349</v>
      </c>
      <c r="AN93" s="1209">
        <f>IF(Z93&gt;0,Y93,IF(AM93="низкая",Y93*$AR$40,IF(AM93="средняя",Y93*$AS$40,IF(AM93="высокая",Y93*$AT$40,0))))</f>
        <v>0.3</v>
      </c>
      <c r="AO93" s="1212">
        <f>IF(Z93&gt;0,Z93,IF($AM93="низкая",Z93*$AR$40,IF(AM93="средняя",Z93*$AS$40,IF(AM93="высокая",Z93*$AT$40,0))))</f>
        <v>-3829.5</v>
      </c>
      <c r="AP93" s="1212">
        <f>AN93*AO93</f>
        <v>-1148.8499999999999</v>
      </c>
      <c r="AQ93" s="1219">
        <f>IF(AA93&gt;0,AA93,IF(AM93="низкая",AA93*$AR$40,IF(AM93="средняя",AA93*$AS$40,IF(AM93="высокая",AA93*$AT$40))))</f>
        <v>-2297.6999999999998</v>
      </c>
      <c r="AR93" s="1259"/>
      <c r="AS93" s="1256"/>
      <c r="AT93" s="1256"/>
    </row>
    <row r="94" spans="2:46" s="4" customFormat="1" ht="111" customHeight="1">
      <c r="B94" s="1429"/>
      <c r="C94" s="1431"/>
      <c r="D94" s="1433"/>
      <c r="E94" s="1448"/>
      <c r="F94" s="1064"/>
      <c r="G94" s="1070"/>
      <c r="H94" s="1014"/>
      <c r="I94" s="1416"/>
      <c r="J94" s="1416"/>
      <c r="K94" s="1452"/>
      <c r="L94" s="1416"/>
      <c r="M94" s="1416"/>
      <c r="N94" s="1507"/>
      <c r="O94" s="1416"/>
      <c r="P94" s="1416"/>
      <c r="Q94" s="633" t="s">
        <v>559</v>
      </c>
      <c r="R94" s="687"/>
      <c r="S94" s="687"/>
      <c r="T94" s="634"/>
      <c r="U94" s="634"/>
      <c r="V94" s="635" t="s">
        <v>130</v>
      </c>
      <c r="W94" s="714"/>
      <c r="X94" s="678"/>
      <c r="Y94" s="1174"/>
      <c r="Z94" s="1023"/>
      <c r="AA94" s="1023"/>
      <c r="AB94" s="1023"/>
      <c r="AC94" s="1130"/>
      <c r="AD94" s="1105"/>
      <c r="AE94" s="1105"/>
      <c r="AF94" s="665"/>
      <c r="AG94" s="712"/>
      <c r="AH94" s="640"/>
      <c r="AI94" s="1127"/>
      <c r="AJ94" s="415"/>
      <c r="AK94" s="1027"/>
      <c r="AL94" s="56"/>
      <c r="AM94" s="1171"/>
      <c r="AN94" s="1210">
        <f>IF(Z94&gt;0,Y94,IF(AM94="низкая",Y94*$AR$40,IF(AM94="средняя",Y94*$AS$40,IF(AM94="высокая",Y94*$AT$40,0))))</f>
        <v>0</v>
      </c>
      <c r="AO94" s="1213">
        <f>IF(Z94&gt;0,Z94,IF($AM94="низкая",Z94*$AR$40,IF(AM94="средняя",Z94*$AS$40,IF(AM94="высокая",Z94*$AT$40,0))))</f>
        <v>0</v>
      </c>
      <c r="AP94" s="1213">
        <f>AN94*AO94</f>
        <v>0</v>
      </c>
      <c r="AQ94" s="1220"/>
      <c r="AR94" s="1259"/>
      <c r="AS94" s="1256"/>
      <c r="AT94" s="1256"/>
    </row>
    <row r="95" spans="2:46" s="4" customFormat="1" ht="78.900000000000006" customHeight="1">
      <c r="B95" s="1429"/>
      <c r="C95" s="1431"/>
      <c r="D95" s="1433"/>
      <c r="E95" s="1448"/>
      <c r="F95" s="1064"/>
      <c r="G95" s="1070"/>
      <c r="H95" s="1014"/>
      <c r="I95" s="1416"/>
      <c r="J95" s="1416"/>
      <c r="K95" s="1452"/>
      <c r="L95" s="1416"/>
      <c r="M95" s="1416"/>
      <c r="N95" s="1507"/>
      <c r="O95" s="1416"/>
      <c r="P95" s="1416"/>
      <c r="Q95" s="633" t="s">
        <v>560</v>
      </c>
      <c r="R95" s="687"/>
      <c r="S95" s="687"/>
      <c r="T95" s="634"/>
      <c r="U95" s="634"/>
      <c r="V95" s="635" t="s">
        <v>130</v>
      </c>
      <c r="W95" s="714"/>
      <c r="X95" s="678"/>
      <c r="Y95" s="1174"/>
      <c r="Z95" s="1023"/>
      <c r="AA95" s="1023"/>
      <c r="AB95" s="1023"/>
      <c r="AC95" s="1130"/>
      <c r="AD95" s="1105"/>
      <c r="AE95" s="1105"/>
      <c r="AF95" s="665"/>
      <c r="AG95" s="712"/>
      <c r="AH95" s="640"/>
      <c r="AI95" s="1127"/>
      <c r="AJ95" s="415"/>
      <c r="AK95" s="1027"/>
      <c r="AL95" s="56"/>
      <c r="AM95" s="1171"/>
      <c r="AN95" s="1210">
        <f>IF(Z95&gt;0,Y95,IF(AM95="низкая",Y95*$AR$40,IF(AM95="средняя",Y95*$AS$40,IF(AM95="высокая",Y95*$AT$40,0))))</f>
        <v>0</v>
      </c>
      <c r="AO95" s="1213">
        <f>IF(Z95&gt;0,Z95,IF($AM95="низкая",Z95*$AR$40,IF(AM95="средняя",Z95*$AS$40,IF(AM95="высокая",Z95*$AT$40,0))))</f>
        <v>0</v>
      </c>
      <c r="AP95" s="1213">
        <f>AN95*AO95</f>
        <v>0</v>
      </c>
      <c r="AQ95" s="1220"/>
      <c r="AR95" s="1259"/>
      <c r="AS95" s="1256"/>
      <c r="AT95" s="1256"/>
    </row>
    <row r="96" spans="2:46" s="4" customFormat="1" ht="51.75" customHeight="1">
      <c r="B96" s="1429"/>
      <c r="C96" s="1431"/>
      <c r="D96" s="1433"/>
      <c r="E96" s="1448"/>
      <c r="F96" s="1064"/>
      <c r="G96" s="1070"/>
      <c r="H96" s="1014"/>
      <c r="I96" s="1416"/>
      <c r="J96" s="1416"/>
      <c r="K96" s="1452"/>
      <c r="L96" s="1416"/>
      <c r="M96" s="1416"/>
      <c r="N96" s="1507"/>
      <c r="O96" s="1416"/>
      <c r="P96" s="1416"/>
      <c r="Q96" s="633" t="s">
        <v>561</v>
      </c>
      <c r="R96" s="687"/>
      <c r="S96" s="687"/>
      <c r="T96" s="634"/>
      <c r="U96" s="634"/>
      <c r="V96" s="635" t="s">
        <v>130</v>
      </c>
      <c r="W96" s="714"/>
      <c r="X96" s="678"/>
      <c r="Y96" s="1174"/>
      <c r="Z96" s="1023"/>
      <c r="AA96" s="1023"/>
      <c r="AB96" s="1023"/>
      <c r="AC96" s="1130"/>
      <c r="AD96" s="1105"/>
      <c r="AE96" s="1105"/>
      <c r="AF96" s="665"/>
      <c r="AG96" s="712"/>
      <c r="AH96" s="640"/>
      <c r="AI96" s="1127"/>
      <c r="AJ96" s="415"/>
      <c r="AK96" s="1027"/>
      <c r="AL96" s="56"/>
      <c r="AM96" s="1171"/>
      <c r="AN96" s="1210">
        <f>IF(Z96&gt;0,Y96,IF(AM96="низкая",Y96*$AR$40,IF(AM96="средняя",Y96*$AS$40,IF(AM96="высокая",Y96*$AT$40,0))))</f>
        <v>0</v>
      </c>
      <c r="AO96" s="1213">
        <f>IF(Z96&gt;0,Z96,IF($AM96="низкая",Z96*$AR$40,IF(AM96="средняя",Z96*$AS$40,IF(AM96="высокая",Z96*$AT$40,0))))</f>
        <v>0</v>
      </c>
      <c r="AP96" s="1213">
        <f>AN96*AO96</f>
        <v>0</v>
      </c>
      <c r="AQ96" s="1220"/>
      <c r="AR96" s="1259"/>
      <c r="AS96" s="1256"/>
      <c r="AT96" s="1256"/>
    </row>
    <row r="97" spans="2:46" s="4" customFormat="1" ht="51.75" customHeight="1">
      <c r="B97" s="1429"/>
      <c r="C97" s="1431"/>
      <c r="D97" s="1433"/>
      <c r="E97" s="1448"/>
      <c r="F97" s="1064"/>
      <c r="G97" s="1071"/>
      <c r="H97" s="1014"/>
      <c r="I97" s="1416"/>
      <c r="J97" s="1416"/>
      <c r="K97" s="1496"/>
      <c r="L97" s="1454"/>
      <c r="M97" s="1454"/>
      <c r="N97" s="1508"/>
      <c r="O97" s="1454"/>
      <c r="P97" s="1454"/>
      <c r="Q97" s="633" t="s">
        <v>562</v>
      </c>
      <c r="R97" s="687"/>
      <c r="S97" s="687"/>
      <c r="T97" s="634"/>
      <c r="U97" s="634"/>
      <c r="V97" s="635"/>
      <c r="W97" s="714"/>
      <c r="X97" s="678"/>
      <c r="Y97" s="1175"/>
      <c r="Z97" s="1030"/>
      <c r="AA97" s="1030"/>
      <c r="AB97" s="1030"/>
      <c r="AC97" s="1131"/>
      <c r="AD97" s="1106"/>
      <c r="AE97" s="1106"/>
      <c r="AF97" s="665"/>
      <c r="AG97" s="712"/>
      <c r="AH97" s="640"/>
      <c r="AI97" s="1128"/>
      <c r="AJ97" s="416"/>
      <c r="AK97" s="270"/>
      <c r="AL97" s="56"/>
      <c r="AM97" s="1172"/>
      <c r="AN97" s="1211"/>
      <c r="AO97" s="1214"/>
      <c r="AP97" s="1214"/>
      <c r="AQ97" s="1221"/>
      <c r="AR97" s="1260"/>
      <c r="AS97" s="1257"/>
      <c r="AT97" s="1257"/>
    </row>
    <row r="98" spans="2:46" s="4" customFormat="1" ht="135" customHeight="1">
      <c r="B98" s="1429"/>
      <c r="C98" s="1431"/>
      <c r="D98" s="1433"/>
      <c r="E98" s="1448"/>
      <c r="F98" s="1446" t="s">
        <v>1490</v>
      </c>
      <c r="G98" s="1417"/>
      <c r="H98" s="531" t="s">
        <v>1532</v>
      </c>
      <c r="I98" s="631" t="s">
        <v>158</v>
      </c>
      <c r="J98" s="631" t="s">
        <v>1528</v>
      </c>
      <c r="K98" s="588" t="s">
        <v>1492</v>
      </c>
      <c r="L98" s="589">
        <v>29183</v>
      </c>
      <c r="M98" s="575"/>
      <c r="N98" s="581"/>
      <c r="O98" s="575"/>
      <c r="P98" s="575"/>
      <c r="Q98" s="633" t="s">
        <v>1000</v>
      </c>
      <c r="R98" s="687"/>
      <c r="S98" s="687"/>
      <c r="T98" s="634"/>
      <c r="U98" s="634"/>
      <c r="V98" s="635"/>
      <c r="W98" s="714"/>
      <c r="X98" s="678"/>
      <c r="Y98" s="715">
        <v>0.5</v>
      </c>
      <c r="Z98" s="662">
        <v>29183</v>
      </c>
      <c r="AA98" s="662">
        <f>Z98*Y98</f>
        <v>14591.5</v>
      </c>
      <c r="AB98" s="662"/>
      <c r="AC98" s="700">
        <f>Y98</f>
        <v>0.5</v>
      </c>
      <c r="AD98" s="670">
        <f>Z98</f>
        <v>29183</v>
      </c>
      <c r="AE98" s="670">
        <f>AD98*AC98</f>
        <v>14591.5</v>
      </c>
      <c r="AF98" s="665"/>
      <c r="AG98" s="712"/>
      <c r="AH98" s="640"/>
      <c r="AI98" s="718"/>
      <c r="AJ98" s="416"/>
      <c r="AK98" s="270"/>
      <c r="AL98" s="56"/>
      <c r="AM98" s="584"/>
      <c r="AN98" s="585"/>
      <c r="AO98" s="586"/>
      <c r="AP98" s="586"/>
      <c r="AQ98" s="576"/>
      <c r="AR98" s="587"/>
      <c r="AS98" s="577"/>
      <c r="AT98" s="577"/>
    </row>
    <row r="99" spans="2:46" s="4" customFormat="1" ht="135" customHeight="1">
      <c r="B99" s="1429"/>
      <c r="C99" s="1431"/>
      <c r="D99" s="1433"/>
      <c r="E99" s="1448"/>
      <c r="F99" s="1446"/>
      <c r="G99" s="1418"/>
      <c r="H99" s="531" t="s">
        <v>1533</v>
      </c>
      <c r="I99" s="631"/>
      <c r="J99" s="631" t="s">
        <v>1536</v>
      </c>
      <c r="K99" s="588" t="s">
        <v>1491</v>
      </c>
      <c r="L99" s="589">
        <v>6945</v>
      </c>
      <c r="M99" s="575"/>
      <c r="N99" s="581"/>
      <c r="O99" s="575"/>
      <c r="P99" s="575"/>
      <c r="Q99" s="633" t="s">
        <v>1000</v>
      </c>
      <c r="R99" s="687"/>
      <c r="S99" s="687"/>
      <c r="T99" s="634"/>
      <c r="U99" s="634"/>
      <c r="V99" s="635"/>
      <c r="W99" s="714"/>
      <c r="X99" s="678"/>
      <c r="Y99" s="715">
        <v>0.5</v>
      </c>
      <c r="Z99" s="662">
        <v>6945</v>
      </c>
      <c r="AA99" s="662">
        <f t="shared" ref="AA99:AA100" si="13">Z99*Y99</f>
        <v>3472.5</v>
      </c>
      <c r="AB99" s="662"/>
      <c r="AC99" s="700">
        <f t="shared" ref="AC99:AC100" si="14">Y99</f>
        <v>0.5</v>
      </c>
      <c r="AD99" s="670">
        <f t="shared" ref="AD99:AD100" si="15">Z99</f>
        <v>6945</v>
      </c>
      <c r="AE99" s="670">
        <f t="shared" ref="AE99:AE100" si="16">AD99*AC99</f>
        <v>3472.5</v>
      </c>
      <c r="AF99" s="665"/>
      <c r="AG99" s="712"/>
      <c r="AH99" s="640"/>
      <c r="AI99" s="718"/>
      <c r="AJ99" s="416"/>
      <c r="AK99" s="270"/>
      <c r="AL99" s="56"/>
      <c r="AM99" s="584"/>
      <c r="AN99" s="585"/>
      <c r="AO99" s="586"/>
      <c r="AP99" s="586"/>
      <c r="AQ99" s="576"/>
      <c r="AR99" s="587"/>
      <c r="AS99" s="577"/>
      <c r="AT99" s="577"/>
    </row>
    <row r="100" spans="2:46" s="4" customFormat="1" ht="135" customHeight="1">
      <c r="B100" s="1429"/>
      <c r="C100" s="1431"/>
      <c r="D100" s="1433"/>
      <c r="E100" s="1448"/>
      <c r="F100" s="1446"/>
      <c r="G100" s="1418"/>
      <c r="H100" s="531" t="s">
        <v>1534</v>
      </c>
      <c r="I100" s="631"/>
      <c r="J100" s="631" t="s">
        <v>1183</v>
      </c>
      <c r="K100" s="588" t="s">
        <v>1493</v>
      </c>
      <c r="L100" s="589">
        <v>39462</v>
      </c>
      <c r="M100" s="575"/>
      <c r="N100" s="581"/>
      <c r="O100" s="575"/>
      <c r="P100" s="575"/>
      <c r="Q100" s="633" t="s">
        <v>999</v>
      </c>
      <c r="R100" s="719" t="s">
        <v>1000</v>
      </c>
      <c r="S100" s="687"/>
      <c r="T100" s="634"/>
      <c r="U100" s="634"/>
      <c r="V100" s="635"/>
      <c r="W100" s="714"/>
      <c r="X100" s="678"/>
      <c r="Y100" s="715">
        <v>0.5</v>
      </c>
      <c r="Z100" s="662">
        <v>39462</v>
      </c>
      <c r="AA100" s="662">
        <f t="shared" si="13"/>
        <v>19731</v>
      </c>
      <c r="AB100" s="662"/>
      <c r="AC100" s="700">
        <f t="shared" si="14"/>
        <v>0.5</v>
      </c>
      <c r="AD100" s="670">
        <f t="shared" si="15"/>
        <v>39462</v>
      </c>
      <c r="AE100" s="670">
        <f t="shared" si="16"/>
        <v>19731</v>
      </c>
      <c r="AF100" s="665"/>
      <c r="AG100" s="712"/>
      <c r="AH100" s="640"/>
      <c r="AI100" s="718"/>
      <c r="AJ100" s="416"/>
      <c r="AK100" s="270"/>
      <c r="AL100" s="56"/>
      <c r="AM100" s="584"/>
      <c r="AN100" s="585"/>
      <c r="AO100" s="586"/>
      <c r="AP100" s="586"/>
      <c r="AQ100" s="576"/>
      <c r="AR100" s="587"/>
      <c r="AS100" s="577"/>
      <c r="AT100" s="577"/>
    </row>
    <row r="101" spans="2:46" s="4" customFormat="1" ht="135" customHeight="1">
      <c r="B101" s="1429"/>
      <c r="C101" s="1431"/>
      <c r="D101" s="1433"/>
      <c r="E101" s="1448"/>
      <c r="F101" s="1446"/>
      <c r="G101" s="1418"/>
      <c r="H101" s="1072" t="s">
        <v>1535</v>
      </c>
      <c r="I101" s="1074"/>
      <c r="J101" s="1074" t="s">
        <v>175</v>
      </c>
      <c r="K101" s="1488" t="s">
        <v>1494</v>
      </c>
      <c r="L101" s="1486"/>
      <c r="M101" s="1486"/>
      <c r="N101" s="1486"/>
      <c r="O101" s="1486"/>
      <c r="P101" s="1486"/>
      <c r="Q101" s="633" t="s">
        <v>1495</v>
      </c>
      <c r="R101" s="719"/>
      <c r="S101" s="687"/>
      <c r="T101" s="634"/>
      <c r="U101" s="634"/>
      <c r="V101" s="635"/>
      <c r="W101" s="714"/>
      <c r="X101" s="678"/>
      <c r="Y101" s="717"/>
      <c r="Z101" s="662"/>
      <c r="AA101" s="662"/>
      <c r="AB101" s="662"/>
      <c r="AC101" s="700"/>
      <c r="AD101" s="670"/>
      <c r="AE101" s="670"/>
      <c r="AF101" s="665"/>
      <c r="AG101" s="712"/>
      <c r="AH101" s="640"/>
      <c r="AI101" s="718"/>
      <c r="AJ101" s="416"/>
      <c r="AK101" s="270"/>
      <c r="AL101" s="56"/>
      <c r="AM101" s="584"/>
      <c r="AN101" s="585"/>
      <c r="AO101" s="586"/>
      <c r="AP101" s="586"/>
      <c r="AQ101" s="576"/>
      <c r="AR101" s="587"/>
      <c r="AS101" s="577"/>
      <c r="AT101" s="577"/>
    </row>
    <row r="102" spans="2:46" s="4" customFormat="1" ht="135" customHeight="1">
      <c r="B102" s="1429"/>
      <c r="C102" s="1431"/>
      <c r="D102" s="1433"/>
      <c r="E102" s="1448"/>
      <c r="F102" s="1446"/>
      <c r="G102" s="1419"/>
      <c r="H102" s="1073"/>
      <c r="I102" s="1075"/>
      <c r="J102" s="1075"/>
      <c r="K102" s="1489"/>
      <c r="L102" s="1487"/>
      <c r="M102" s="1487"/>
      <c r="N102" s="1487"/>
      <c r="O102" s="1487"/>
      <c r="P102" s="1487"/>
      <c r="Q102" s="633" t="s">
        <v>1496</v>
      </c>
      <c r="R102" s="719"/>
      <c r="S102" s="687"/>
      <c r="T102" s="634"/>
      <c r="U102" s="634"/>
      <c r="V102" s="635"/>
      <c r="W102" s="714"/>
      <c r="X102" s="678"/>
      <c r="Y102" s="717"/>
      <c r="Z102" s="662"/>
      <c r="AA102" s="662"/>
      <c r="AB102" s="662"/>
      <c r="AC102" s="700"/>
      <c r="AD102" s="670"/>
      <c r="AE102" s="670"/>
      <c r="AF102" s="665"/>
      <c r="AG102" s="712"/>
      <c r="AH102" s="640"/>
      <c r="AI102" s="718"/>
      <c r="AJ102" s="416"/>
      <c r="AK102" s="270"/>
      <c r="AL102" s="56"/>
      <c r="AM102" s="584"/>
      <c r="AN102" s="585"/>
      <c r="AO102" s="586"/>
      <c r="AP102" s="586"/>
      <c r="AQ102" s="576"/>
      <c r="AR102" s="587"/>
      <c r="AS102" s="577"/>
      <c r="AT102" s="577"/>
    </row>
    <row r="103" spans="2:46" s="4" customFormat="1" ht="219.75" customHeight="1">
      <c r="B103" s="1429"/>
      <c r="C103" s="1431"/>
      <c r="D103" s="1433"/>
      <c r="E103" s="1448"/>
      <c r="F103" s="1064" t="s">
        <v>342</v>
      </c>
      <c r="G103" s="1467"/>
      <c r="H103" s="579" t="s">
        <v>183</v>
      </c>
      <c r="I103" s="578" t="s">
        <v>1194</v>
      </c>
      <c r="J103" s="580" t="s">
        <v>238</v>
      </c>
      <c r="K103" s="187" t="s">
        <v>163</v>
      </c>
      <c r="L103" s="370"/>
      <c r="M103" s="370"/>
      <c r="N103" s="370"/>
      <c r="O103" s="370"/>
      <c r="P103" s="371"/>
      <c r="Q103" s="633" t="s">
        <v>1605</v>
      </c>
      <c r="R103" s="642"/>
      <c r="S103" s="642"/>
      <c r="T103" s="634"/>
      <c r="U103" s="634"/>
      <c r="V103" s="635" t="s">
        <v>130</v>
      </c>
      <c r="W103" s="714" t="s">
        <v>149</v>
      </c>
      <c r="X103" s="720"/>
      <c r="Y103" s="638">
        <v>0.3</v>
      </c>
      <c r="Z103" s="721">
        <v>-5705</v>
      </c>
      <c r="AA103" s="704">
        <f>Y103*Z103</f>
        <v>-1711.5</v>
      </c>
      <c r="AB103" s="704"/>
      <c r="AC103" s="1194">
        <f>(AA103/SUM($AA$103:$AA$106)*Y103)+(AA104/SUM($AA$103:$AA$106)*Y104)+(AA106/SUM($AA$103:$AA$106)*Y106)+(AA105/SUM($AA$103:$AA$106)*Y105)</f>
        <v>0.22545055529693422</v>
      </c>
      <c r="AD103" s="1503">
        <f>Z103+Z104+Z106+Z105</f>
        <v>-37457</v>
      </c>
      <c r="AE103" s="1104">
        <f>AC103*AD103</f>
        <v>-8444.7014497572654</v>
      </c>
      <c r="AF103" s="665"/>
      <c r="AG103" s="712"/>
      <c r="AH103" s="640"/>
      <c r="AI103" s="722" t="s">
        <v>564</v>
      </c>
      <c r="AJ103" s="118"/>
      <c r="AK103" s="271" t="s">
        <v>238</v>
      </c>
      <c r="AL103" s="56"/>
      <c r="AM103" s="278" t="s">
        <v>348</v>
      </c>
      <c r="AN103" s="280">
        <f t="shared" ref="AN103:AN108" si="17">IF(Z103&gt;0,Y103,IF(AM103="низкая",Y103*$AR$40,IF(AM103="средняя",Y103*$AS$40,IF(AM103="высокая",Y103*$AT$40,0))))</f>
        <v>0.3</v>
      </c>
      <c r="AO103" s="281">
        <f t="shared" ref="AO103:AO125" si="18">IF(Z103&gt;0,Z103,IF($AM103="низкая",Z103*$AR$40,IF(AM103="средняя",Z103*$AS$40,IF(AM103="высокая",Z103*$AT$40,0))))</f>
        <v>-5705</v>
      </c>
      <c r="AP103" s="282">
        <f t="shared" ref="AP103:AP124" si="19">AN103*AO103</f>
        <v>-1711.5</v>
      </c>
      <c r="AQ103" s="282">
        <f t="shared" ref="AQ103:AQ125" si="20">IF(AA103&gt;0,AA103,IF(AM103="низкая",AA103*$AR$40,IF(AM103="средняя",AA103*$AS$40,IF(AM103="высокая",AA103*$AT$40))))</f>
        <v>-1711.5</v>
      </c>
      <c r="AR103" s="1241">
        <f>(AP103/SUM($AA$103:$AA$106)*AN103)+(AP104/SUM($AA$103:$AA$106)*AN104)+(AP106/SUM($AA$103:$AA$106)*AN106)</f>
        <v>0.21755115160382169</v>
      </c>
      <c r="AS103" s="1233">
        <f>AP103+AP104+AP106</f>
        <v>-3798.3999999999996</v>
      </c>
      <c r="AT103" s="1147">
        <f>SUM(AQ103:AQ106)</f>
        <v>-4511.0999999999995</v>
      </c>
    </row>
    <row r="104" spans="2:46" s="4" customFormat="1" ht="144.75" customHeight="1">
      <c r="B104" s="1429"/>
      <c r="C104" s="1431"/>
      <c r="D104" s="1433"/>
      <c r="E104" s="1448"/>
      <c r="F104" s="1064"/>
      <c r="G104" s="1070"/>
      <c r="H104" s="1456" t="s">
        <v>184</v>
      </c>
      <c r="I104" s="1458" t="s">
        <v>1194</v>
      </c>
      <c r="J104" s="1460" t="s">
        <v>239</v>
      </c>
      <c r="K104" s="984" t="s">
        <v>576</v>
      </c>
      <c r="L104" s="1462"/>
      <c r="M104" s="1462"/>
      <c r="N104" s="1462"/>
      <c r="O104" s="430"/>
      <c r="P104" s="1480"/>
      <c r="Q104" s="634" t="s">
        <v>1001</v>
      </c>
      <c r="R104" s="642"/>
      <c r="S104" s="642"/>
      <c r="T104" s="634"/>
      <c r="U104" s="634"/>
      <c r="V104" s="635" t="s">
        <v>130</v>
      </c>
      <c r="W104" s="714" t="s">
        <v>149</v>
      </c>
      <c r="X104" s="678"/>
      <c r="Y104" s="638">
        <v>0.05</v>
      </c>
      <c r="Z104" s="723">
        <v>-12650</v>
      </c>
      <c r="AA104" s="639">
        <f>Y104*Z104</f>
        <v>-632.5</v>
      </c>
      <c r="AB104" s="639"/>
      <c r="AC104" s="1195"/>
      <c r="AD104" s="1504"/>
      <c r="AE104" s="1105"/>
      <c r="AF104" s="665"/>
      <c r="AG104" s="712"/>
      <c r="AH104" s="640"/>
      <c r="AI104" s="722" t="s">
        <v>567</v>
      </c>
      <c r="AJ104" s="118"/>
      <c r="AK104" s="272" t="s">
        <v>239</v>
      </c>
      <c r="AL104" s="56"/>
      <c r="AM104" s="278" t="s">
        <v>348</v>
      </c>
      <c r="AN104" s="280">
        <f t="shared" si="17"/>
        <v>0.05</v>
      </c>
      <c r="AO104" s="281">
        <f t="shared" si="18"/>
        <v>-12650</v>
      </c>
      <c r="AP104" s="282">
        <f t="shared" si="19"/>
        <v>-632.5</v>
      </c>
      <c r="AQ104" s="282">
        <f t="shared" si="20"/>
        <v>-632.5</v>
      </c>
      <c r="AR104" s="1242"/>
      <c r="AS104" s="1234"/>
      <c r="AT104" s="1148"/>
    </row>
    <row r="105" spans="2:46" s="4" customFormat="1" ht="144.75" customHeight="1">
      <c r="B105" s="1429"/>
      <c r="C105" s="1431"/>
      <c r="D105" s="1433"/>
      <c r="E105" s="1448"/>
      <c r="F105" s="1064"/>
      <c r="G105" s="1070"/>
      <c r="H105" s="1457"/>
      <c r="I105" s="1459"/>
      <c r="J105" s="1461"/>
      <c r="K105" s="986"/>
      <c r="L105" s="1463"/>
      <c r="M105" s="1463"/>
      <c r="N105" s="1463"/>
      <c r="O105" s="431"/>
      <c r="P105" s="1481"/>
      <c r="Q105" s="634" t="s">
        <v>1002</v>
      </c>
      <c r="R105" s="642"/>
      <c r="S105" s="642"/>
      <c r="T105" s="634"/>
      <c r="U105" s="634"/>
      <c r="V105" s="635"/>
      <c r="W105" s="714"/>
      <c r="X105" s="678"/>
      <c r="Y105" s="638">
        <v>0.05</v>
      </c>
      <c r="Z105" s="723">
        <v>-14254</v>
      </c>
      <c r="AA105" s="639">
        <f>Y105*Z105</f>
        <v>-712.7</v>
      </c>
      <c r="AB105" s="639"/>
      <c r="AC105" s="1195"/>
      <c r="AD105" s="1504"/>
      <c r="AE105" s="1105"/>
      <c r="AF105" s="665"/>
      <c r="AG105" s="712"/>
      <c r="AH105" s="724"/>
      <c r="AI105" s="722"/>
      <c r="AJ105" s="118"/>
      <c r="AK105" s="272"/>
      <c r="AL105" s="56"/>
      <c r="AM105" s="278" t="s">
        <v>348</v>
      </c>
      <c r="AN105" s="280">
        <f t="shared" si="17"/>
        <v>0.05</v>
      </c>
      <c r="AO105" s="281">
        <f>IF(Z105&gt;0,Z105,IF($AM105="низкая",Z105*$AR$40,IF(AM105="средняя",Z105*$AS$40,IF(AM105="высокая",Z105*$AT$40,0))))</f>
        <v>-14254</v>
      </c>
      <c r="AP105" s="282">
        <f>AN105*AO105</f>
        <v>-712.7</v>
      </c>
      <c r="AQ105" s="282">
        <f>IF(AA105&gt;0,AA105,IF(AM105="низкая",AA105*$AR$40,IF(AM105="средняя",AA105*$AS$40,IF(AM105="высокая",AA105*$AT$40))))</f>
        <v>-712.7</v>
      </c>
      <c r="AR105" s="1242"/>
      <c r="AS105" s="1234"/>
      <c r="AT105" s="1148"/>
    </row>
    <row r="106" spans="2:46" s="4" customFormat="1" ht="343.5" customHeight="1">
      <c r="B106" s="1429"/>
      <c r="C106" s="1431"/>
      <c r="D106" s="1433"/>
      <c r="E106" s="1448"/>
      <c r="F106" s="1065"/>
      <c r="G106" s="1343"/>
      <c r="H106" s="148" t="s">
        <v>185</v>
      </c>
      <c r="I106" s="459" t="s">
        <v>1201</v>
      </c>
      <c r="J106" s="149" t="s">
        <v>634</v>
      </c>
      <c r="K106" s="158" t="s">
        <v>1003</v>
      </c>
      <c r="L106" s="370"/>
      <c r="M106" s="370"/>
      <c r="N106" s="370"/>
      <c r="O106" s="370"/>
      <c r="P106" s="371"/>
      <c r="Q106" s="634" t="s">
        <v>1004</v>
      </c>
      <c r="R106" s="642" t="s">
        <v>729</v>
      </c>
      <c r="S106" s="642"/>
      <c r="T106" s="634"/>
      <c r="U106" s="634"/>
      <c r="V106" s="635"/>
      <c r="W106" s="714" t="s">
        <v>635</v>
      </c>
      <c r="X106" s="678"/>
      <c r="Y106" s="638">
        <v>0.3</v>
      </c>
      <c r="Z106" s="723">
        <f>-2424*2</f>
        <v>-4848</v>
      </c>
      <c r="AA106" s="639">
        <f>Y106*Z106</f>
        <v>-1454.3999999999999</v>
      </c>
      <c r="AB106" s="639" t="s">
        <v>1551</v>
      </c>
      <c r="AC106" s="1490"/>
      <c r="AD106" s="1505"/>
      <c r="AE106" s="1106"/>
      <c r="AF106" s="665"/>
      <c r="AG106" s="712"/>
      <c r="AH106" s="724"/>
      <c r="AI106" s="722" t="s">
        <v>1172</v>
      </c>
      <c r="AJ106" s="118"/>
      <c r="AK106" s="272"/>
      <c r="AL106" s="56"/>
      <c r="AM106" s="278" t="s">
        <v>348</v>
      </c>
      <c r="AN106" s="280">
        <f t="shared" si="17"/>
        <v>0.3</v>
      </c>
      <c r="AO106" s="281">
        <f t="shared" si="18"/>
        <v>-4848</v>
      </c>
      <c r="AP106" s="282">
        <f t="shared" si="19"/>
        <v>-1454.3999999999999</v>
      </c>
      <c r="AQ106" s="282">
        <f t="shared" si="20"/>
        <v>-1454.3999999999999</v>
      </c>
      <c r="AR106" s="1243"/>
      <c r="AS106" s="1235"/>
      <c r="AT106" s="1149"/>
    </row>
    <row r="107" spans="2:46" s="4" customFormat="1" ht="373.5" customHeight="1">
      <c r="B107" s="1429"/>
      <c r="C107" s="1431"/>
      <c r="D107" s="1433"/>
      <c r="E107" s="1448"/>
      <c r="F107" s="1063" t="s">
        <v>316</v>
      </c>
      <c r="G107" s="434" t="s">
        <v>1016</v>
      </c>
      <c r="H107" s="155" t="s">
        <v>318</v>
      </c>
      <c r="I107" s="160" t="s">
        <v>1201</v>
      </c>
      <c r="J107" s="149" t="s">
        <v>1192</v>
      </c>
      <c r="K107" s="158" t="s">
        <v>314</v>
      </c>
      <c r="L107" s="259"/>
      <c r="M107" s="259"/>
      <c r="N107" s="259"/>
      <c r="O107" s="259"/>
      <c r="P107" s="172"/>
      <c r="Q107" s="634" t="s">
        <v>1552</v>
      </c>
      <c r="R107" s="642"/>
      <c r="S107" s="642"/>
      <c r="T107" s="634"/>
      <c r="U107" s="634"/>
      <c r="V107" s="725" t="s">
        <v>130</v>
      </c>
      <c r="W107" s="714"/>
      <c r="X107" s="678"/>
      <c r="Y107" s="726">
        <v>0.2</v>
      </c>
      <c r="Z107" s="723">
        <v>-7200</v>
      </c>
      <c r="AA107" s="639">
        <f>Z107*Y107</f>
        <v>-1440</v>
      </c>
      <c r="AB107" s="639" t="s">
        <v>1553</v>
      </c>
      <c r="AC107" s="1491">
        <f>Y107</f>
        <v>0.2</v>
      </c>
      <c r="AD107" s="1104">
        <f>Z107</f>
        <v>-7200</v>
      </c>
      <c r="AE107" s="1111">
        <f>AD107*AC107</f>
        <v>-1440</v>
      </c>
      <c r="AF107" s="665"/>
      <c r="AG107" s="712"/>
      <c r="AH107" s="724"/>
      <c r="AI107" s="727" t="s">
        <v>317</v>
      </c>
      <c r="AJ107" s="119"/>
      <c r="AK107" s="56"/>
      <c r="AL107" s="56"/>
      <c r="AM107" s="278" t="s">
        <v>348</v>
      </c>
      <c r="AN107" s="290">
        <f t="shared" si="17"/>
        <v>0.2</v>
      </c>
      <c r="AO107" s="281">
        <f t="shared" si="18"/>
        <v>-7200</v>
      </c>
      <c r="AP107" s="282">
        <f t="shared" si="19"/>
        <v>-1440</v>
      </c>
      <c r="AQ107" s="282">
        <f t="shared" si="20"/>
        <v>-1440</v>
      </c>
      <c r="AR107" s="1140">
        <f>AVERAGE(AN107:AN108)</f>
        <v>0.35</v>
      </c>
      <c r="AS107" s="1142">
        <f>AO107</f>
        <v>-7200</v>
      </c>
      <c r="AT107" s="1147">
        <f>SUM(AQ107:AQ114)</f>
        <v>-1440</v>
      </c>
    </row>
    <row r="108" spans="2:46" s="4" customFormat="1" ht="56.25" customHeight="1">
      <c r="B108" s="1429"/>
      <c r="C108" s="1431"/>
      <c r="D108" s="1433"/>
      <c r="E108" s="1448"/>
      <c r="F108" s="1064"/>
      <c r="G108" s="1464"/>
      <c r="H108" s="1055" t="s">
        <v>938</v>
      </c>
      <c r="I108" s="1453" t="s">
        <v>1128</v>
      </c>
      <c r="J108" s="1483" t="s">
        <v>1193</v>
      </c>
      <c r="K108" s="984" t="s">
        <v>937</v>
      </c>
      <c r="L108" s="1049"/>
      <c r="M108" s="1049"/>
      <c r="N108" s="1049"/>
      <c r="O108" s="1049"/>
      <c r="P108" s="1049"/>
      <c r="Q108" s="1034" t="s">
        <v>1150</v>
      </c>
      <c r="R108" s="634" t="s">
        <v>1151</v>
      </c>
      <c r="S108" s="634"/>
      <c r="T108" s="634"/>
      <c r="U108" s="725"/>
      <c r="V108" s="635"/>
      <c r="W108" s="678"/>
      <c r="X108" s="685">
        <v>0</v>
      </c>
      <c r="Y108" s="1173">
        <v>1</v>
      </c>
      <c r="Z108" s="1008">
        <v>0</v>
      </c>
      <c r="AA108" s="1008">
        <f>Y108*Z108</f>
        <v>0</v>
      </c>
      <c r="AB108" s="1008"/>
      <c r="AC108" s="1492"/>
      <c r="AD108" s="1105"/>
      <c r="AE108" s="1112"/>
      <c r="AF108" s="1117"/>
      <c r="AG108" s="1120"/>
      <c r="AH108" s="1137"/>
      <c r="AI108" s="1126" t="s">
        <v>1248</v>
      </c>
      <c r="AJ108" s="1189"/>
      <c r="AK108" s="1004" t="s">
        <v>936</v>
      </c>
      <c r="AL108" s="1222"/>
      <c r="AM108" s="1170" t="s">
        <v>349</v>
      </c>
      <c r="AN108" s="1215">
        <f t="shared" si="17"/>
        <v>0.5</v>
      </c>
      <c r="AO108" s="1207">
        <f>IF(Z108&gt;0,Z108,IF($AM108="низкая",Z108*$AR$40,IF(AM108="средняя",Z108*$AS$40,IF(AM108="высокая",Z108*$AT$40,0))))</f>
        <v>0</v>
      </c>
      <c r="AP108" s="1219">
        <f>AN108*AO108</f>
        <v>0</v>
      </c>
      <c r="AQ108" s="1219">
        <f>IF(AA108&gt;0,AA108,IF(AM108="низкая",AA108*$AR$40,IF(AM108="средняя",AA108*$AS$40,IF(AM108="высокая",AA108*$AT$40))))</f>
        <v>0</v>
      </c>
      <c r="AR108" s="1141"/>
      <c r="AS108" s="1143"/>
      <c r="AT108" s="1236"/>
    </row>
    <row r="109" spans="2:46" s="4" customFormat="1" ht="96" customHeight="1">
      <c r="B109" s="1429"/>
      <c r="C109" s="1431"/>
      <c r="D109" s="1433"/>
      <c r="E109" s="1448"/>
      <c r="F109" s="1064"/>
      <c r="G109" s="1465"/>
      <c r="H109" s="1056"/>
      <c r="I109" s="1416"/>
      <c r="J109" s="1484"/>
      <c r="K109" s="985"/>
      <c r="L109" s="1050"/>
      <c r="M109" s="1050"/>
      <c r="N109" s="1050"/>
      <c r="O109" s="1050"/>
      <c r="P109" s="1050"/>
      <c r="Q109" s="1035"/>
      <c r="R109" s="634" t="s">
        <v>1123</v>
      </c>
      <c r="S109" s="634"/>
      <c r="T109" s="634"/>
      <c r="U109" s="725"/>
      <c r="V109" s="635"/>
      <c r="W109" s="498"/>
      <c r="X109" s="728"/>
      <c r="Y109" s="1174"/>
      <c r="Z109" s="1023"/>
      <c r="AA109" s="1023"/>
      <c r="AB109" s="1023"/>
      <c r="AC109" s="1492"/>
      <c r="AD109" s="1105"/>
      <c r="AE109" s="1112"/>
      <c r="AF109" s="1118"/>
      <c r="AG109" s="1121"/>
      <c r="AH109" s="1138"/>
      <c r="AI109" s="1127"/>
      <c r="AJ109" s="1190"/>
      <c r="AK109" s="1005"/>
      <c r="AL109" s="1223"/>
      <c r="AM109" s="1171"/>
      <c r="AN109" s="1216"/>
      <c r="AO109" s="1218"/>
      <c r="AP109" s="1220"/>
      <c r="AQ109" s="1220"/>
      <c r="AR109" s="1141"/>
      <c r="AS109" s="1143"/>
      <c r="AT109" s="1236"/>
    </row>
    <row r="110" spans="2:46" s="4" customFormat="1" ht="72.75" customHeight="1">
      <c r="B110" s="1429"/>
      <c r="C110" s="1431"/>
      <c r="D110" s="1433"/>
      <c r="E110" s="1448"/>
      <c r="F110" s="1064"/>
      <c r="G110" s="1465"/>
      <c r="H110" s="1056"/>
      <c r="I110" s="1416"/>
      <c r="J110" s="1484"/>
      <c r="K110" s="985"/>
      <c r="L110" s="1050"/>
      <c r="M110" s="1050"/>
      <c r="N110" s="1050"/>
      <c r="O110" s="1050"/>
      <c r="P110" s="1050"/>
      <c r="Q110" s="1035"/>
      <c r="R110" s="634" t="s">
        <v>1122</v>
      </c>
      <c r="S110" s="634"/>
      <c r="T110" s="634"/>
      <c r="U110" s="725"/>
      <c r="V110" s="635"/>
      <c r="W110" s="498"/>
      <c r="X110" s="728"/>
      <c r="Y110" s="1174"/>
      <c r="Z110" s="1023"/>
      <c r="AA110" s="1023"/>
      <c r="AB110" s="1023"/>
      <c r="AC110" s="1492"/>
      <c r="AD110" s="1105"/>
      <c r="AE110" s="1112"/>
      <c r="AF110" s="1118"/>
      <c r="AG110" s="1121"/>
      <c r="AH110" s="1138"/>
      <c r="AI110" s="1127"/>
      <c r="AJ110" s="1190"/>
      <c r="AK110" s="1005"/>
      <c r="AL110" s="1223"/>
      <c r="AM110" s="1171"/>
      <c r="AN110" s="1216"/>
      <c r="AO110" s="1218"/>
      <c r="AP110" s="1220"/>
      <c r="AQ110" s="1220"/>
      <c r="AR110" s="1141"/>
      <c r="AS110" s="1143"/>
      <c r="AT110" s="1236"/>
    </row>
    <row r="111" spans="2:46" s="4" customFormat="1" ht="96" customHeight="1">
      <c r="B111" s="1429"/>
      <c r="C111" s="1431"/>
      <c r="D111" s="1433"/>
      <c r="E111" s="1448"/>
      <c r="F111" s="1064"/>
      <c r="G111" s="1465"/>
      <c r="H111" s="1056"/>
      <c r="I111" s="1416"/>
      <c r="J111" s="1484"/>
      <c r="K111" s="985"/>
      <c r="L111" s="1050"/>
      <c r="M111" s="1050"/>
      <c r="N111" s="1050"/>
      <c r="O111" s="1050"/>
      <c r="P111" s="1050"/>
      <c r="Q111" s="1035"/>
      <c r="R111" s="634" t="s">
        <v>1124</v>
      </c>
      <c r="S111" s="634"/>
      <c r="T111" s="634"/>
      <c r="U111" s="725"/>
      <c r="V111" s="635"/>
      <c r="W111" s="498"/>
      <c r="X111" s="728"/>
      <c r="Y111" s="1174"/>
      <c r="Z111" s="1023"/>
      <c r="AA111" s="1023"/>
      <c r="AB111" s="1023"/>
      <c r="AC111" s="1492"/>
      <c r="AD111" s="1105"/>
      <c r="AE111" s="1112"/>
      <c r="AF111" s="1118"/>
      <c r="AG111" s="1121"/>
      <c r="AH111" s="1138"/>
      <c r="AI111" s="1127"/>
      <c r="AJ111" s="1190"/>
      <c r="AK111" s="1005"/>
      <c r="AL111" s="1223"/>
      <c r="AM111" s="1171"/>
      <c r="AN111" s="1216"/>
      <c r="AO111" s="1218"/>
      <c r="AP111" s="1220"/>
      <c r="AQ111" s="1220"/>
      <c r="AR111" s="1141"/>
      <c r="AS111" s="1143"/>
      <c r="AT111" s="1236"/>
    </row>
    <row r="112" spans="2:46" s="4" customFormat="1" ht="111" customHeight="1">
      <c r="B112" s="1429"/>
      <c r="C112" s="1431"/>
      <c r="D112" s="1433"/>
      <c r="E112" s="1448"/>
      <c r="F112" s="1064"/>
      <c r="G112" s="1465"/>
      <c r="H112" s="1056"/>
      <c r="I112" s="1416"/>
      <c r="J112" s="1484"/>
      <c r="K112" s="985"/>
      <c r="L112" s="1050"/>
      <c r="M112" s="1050"/>
      <c r="N112" s="1050"/>
      <c r="O112" s="1050"/>
      <c r="P112" s="1050"/>
      <c r="Q112" s="1035"/>
      <c r="R112" s="634" t="s">
        <v>1125</v>
      </c>
      <c r="S112" s="634"/>
      <c r="T112" s="634"/>
      <c r="U112" s="725"/>
      <c r="V112" s="635"/>
      <c r="W112" s="498"/>
      <c r="X112" s="728"/>
      <c r="Y112" s="1174"/>
      <c r="Z112" s="1023"/>
      <c r="AA112" s="1023"/>
      <c r="AB112" s="1023"/>
      <c r="AC112" s="1492"/>
      <c r="AD112" s="1105"/>
      <c r="AE112" s="1112"/>
      <c r="AF112" s="1118"/>
      <c r="AG112" s="1121"/>
      <c r="AH112" s="1138"/>
      <c r="AI112" s="1127"/>
      <c r="AJ112" s="1190"/>
      <c r="AK112" s="1005"/>
      <c r="AL112" s="1223"/>
      <c r="AM112" s="1171"/>
      <c r="AN112" s="1216"/>
      <c r="AO112" s="1218"/>
      <c r="AP112" s="1220"/>
      <c r="AQ112" s="1220"/>
      <c r="AR112" s="1141"/>
      <c r="AS112" s="1143"/>
      <c r="AT112" s="1236"/>
    </row>
    <row r="113" spans="2:46" s="4" customFormat="1" ht="111" customHeight="1">
      <c r="B113" s="1429"/>
      <c r="C113" s="1431"/>
      <c r="D113" s="1433"/>
      <c r="E113" s="1448"/>
      <c r="F113" s="1064"/>
      <c r="G113" s="1465"/>
      <c r="H113" s="1056"/>
      <c r="I113" s="1416"/>
      <c r="J113" s="1484"/>
      <c r="K113" s="985"/>
      <c r="L113" s="1050"/>
      <c r="M113" s="1050"/>
      <c r="N113" s="1050"/>
      <c r="O113" s="1050"/>
      <c r="P113" s="1050"/>
      <c r="Q113" s="1035"/>
      <c r="R113" s="634" t="s">
        <v>1126</v>
      </c>
      <c r="S113" s="634"/>
      <c r="T113" s="634"/>
      <c r="U113" s="725"/>
      <c r="V113" s="635"/>
      <c r="W113" s="498"/>
      <c r="X113" s="728"/>
      <c r="Y113" s="1174"/>
      <c r="Z113" s="1023"/>
      <c r="AA113" s="1023"/>
      <c r="AB113" s="1023"/>
      <c r="AC113" s="1492"/>
      <c r="AD113" s="1105"/>
      <c r="AE113" s="1112"/>
      <c r="AF113" s="1118"/>
      <c r="AG113" s="1121"/>
      <c r="AH113" s="1138"/>
      <c r="AI113" s="1127"/>
      <c r="AJ113" s="1190"/>
      <c r="AK113" s="1005"/>
      <c r="AL113" s="1223"/>
      <c r="AM113" s="1171"/>
      <c r="AN113" s="1216"/>
      <c r="AO113" s="1218"/>
      <c r="AP113" s="1220"/>
      <c r="AQ113" s="1220"/>
      <c r="AR113" s="1141"/>
      <c r="AS113" s="1143"/>
      <c r="AT113" s="1236"/>
    </row>
    <row r="114" spans="2:46" s="4" customFormat="1" ht="73.5" customHeight="1">
      <c r="B114" s="1429"/>
      <c r="C114" s="1431"/>
      <c r="D114" s="1433"/>
      <c r="E114" s="1448"/>
      <c r="F114" s="1065"/>
      <c r="G114" s="1466"/>
      <c r="H114" s="1057"/>
      <c r="I114" s="1454"/>
      <c r="J114" s="1485"/>
      <c r="K114" s="986"/>
      <c r="L114" s="1051"/>
      <c r="M114" s="1051"/>
      <c r="N114" s="1051"/>
      <c r="O114" s="1051"/>
      <c r="P114" s="1051"/>
      <c r="Q114" s="1037"/>
      <c r="R114" s="634" t="s">
        <v>1127</v>
      </c>
      <c r="S114" s="634"/>
      <c r="T114" s="634"/>
      <c r="U114" s="725"/>
      <c r="V114" s="635"/>
      <c r="W114" s="498"/>
      <c r="X114" s="728"/>
      <c r="Y114" s="1175"/>
      <c r="Z114" s="1030"/>
      <c r="AA114" s="1030"/>
      <c r="AB114" s="1030"/>
      <c r="AC114" s="1493"/>
      <c r="AD114" s="1106"/>
      <c r="AE114" s="1113"/>
      <c r="AF114" s="1119"/>
      <c r="AG114" s="1122"/>
      <c r="AH114" s="1139"/>
      <c r="AI114" s="1128"/>
      <c r="AJ114" s="1191"/>
      <c r="AK114" s="1006"/>
      <c r="AL114" s="1224"/>
      <c r="AM114" s="1172"/>
      <c r="AN114" s="1217"/>
      <c r="AO114" s="1208"/>
      <c r="AP114" s="1221"/>
      <c r="AQ114" s="1221"/>
      <c r="AR114" s="1228"/>
      <c r="AS114" s="1229"/>
      <c r="AT114" s="1237"/>
    </row>
    <row r="115" spans="2:46" s="4" customFormat="1" ht="205.5" customHeight="1">
      <c r="B115" s="1429"/>
      <c r="C115" s="1431"/>
      <c r="D115" s="1433"/>
      <c r="E115" s="1448"/>
      <c r="F115" s="1063" t="s">
        <v>453</v>
      </c>
      <c r="G115" s="153"/>
      <c r="H115" s="1055" t="s">
        <v>224</v>
      </c>
      <c r="I115" s="1453" t="s">
        <v>1194</v>
      </c>
      <c r="J115" s="1475" t="s">
        <v>1555</v>
      </c>
      <c r="K115" s="984" t="s">
        <v>454</v>
      </c>
      <c r="L115" s="323"/>
      <c r="M115" s="323"/>
      <c r="N115" s="323"/>
      <c r="O115" s="323"/>
      <c r="P115" s="322"/>
      <c r="Q115" s="633" t="s">
        <v>624</v>
      </c>
      <c r="R115" s="633" t="s">
        <v>1398</v>
      </c>
      <c r="S115" s="642"/>
      <c r="T115" s="634"/>
      <c r="U115" s="634"/>
      <c r="V115" s="635" t="s">
        <v>130</v>
      </c>
      <c r="W115" s="636" t="s">
        <v>1031</v>
      </c>
      <c r="X115" s="678"/>
      <c r="Y115" s="729">
        <v>0.8</v>
      </c>
      <c r="Z115" s="730">
        <v>-50644.1</v>
      </c>
      <c r="AA115" s="639">
        <f>Y115*Z115</f>
        <v>-40515.279999999999</v>
      </c>
      <c r="AB115" s="639"/>
      <c r="AC115" s="1115">
        <f>(AA115/SUM(AA115:AA118)*Y115)+(AA116/SUM(AA115:AA118)*Y116)+(AA117/SUM(AA115:AA118)*Y117)+(AA118/SUM(AA115:AA118)*Y118)</f>
        <v>0.79098794711789855</v>
      </c>
      <c r="AD115" s="1135">
        <f>SUM(Z115:Z118)</f>
        <v>-58443.916999999994</v>
      </c>
      <c r="AE115" s="1105">
        <f>AD115*AC115</f>
        <v>-46228.433929358849</v>
      </c>
      <c r="AF115" s="665"/>
      <c r="AG115" s="712"/>
      <c r="AH115" s="724"/>
      <c r="AI115" s="722"/>
      <c r="AJ115" s="423"/>
      <c r="AK115" s="1192" t="s">
        <v>519</v>
      </c>
      <c r="AL115" s="56"/>
      <c r="AM115" s="278" t="s">
        <v>348</v>
      </c>
      <c r="AN115" s="292">
        <f>IF(Z115&gt;0,Y115,IF(AM115="низкая",Y115*$AR$40,IF(AM115="средняя",Y115*$AS$40,IF(AM115="высокая",Y115*$AT$40,0))))</f>
        <v>0.8</v>
      </c>
      <c r="AO115" s="281">
        <f t="shared" si="18"/>
        <v>-50644.1</v>
      </c>
      <c r="AP115" s="282">
        <f t="shared" si="19"/>
        <v>-40515.279999999999</v>
      </c>
      <c r="AQ115" s="282">
        <f t="shared" si="20"/>
        <v>-40515.279999999999</v>
      </c>
      <c r="AR115" s="1140" t="e">
        <f>(AP115/SUM(AP115:AP119)*AN115)+(AP116/SUM(AP115:AP119)*AN116)+(AP119/SUM(AP115:AP119)*AN119)+(#REF!/SUM(AP115:AP119)*#REF!)</f>
        <v>#REF!</v>
      </c>
      <c r="AS115" s="1142">
        <f>SUM(AO115:AO119)</f>
        <v>-105188.1085</v>
      </c>
      <c r="AT115" s="1147">
        <f>SUM(AQ115:AQ118)</f>
        <v>-40922.550965373004</v>
      </c>
    </row>
    <row r="116" spans="2:46" s="4" customFormat="1" ht="176.25" customHeight="1">
      <c r="B116" s="1429"/>
      <c r="C116" s="1431"/>
      <c r="D116" s="1433"/>
      <c r="E116" s="1448"/>
      <c r="F116" s="1064"/>
      <c r="G116" s="153"/>
      <c r="H116" s="1056"/>
      <c r="I116" s="1416"/>
      <c r="J116" s="1475"/>
      <c r="K116" s="985"/>
      <c r="L116" s="323"/>
      <c r="M116" s="323"/>
      <c r="N116" s="323"/>
      <c r="O116" s="323"/>
      <c r="P116" s="322"/>
      <c r="Q116" s="633" t="s">
        <v>1030</v>
      </c>
      <c r="R116" s="633" t="s">
        <v>1399</v>
      </c>
      <c r="S116" s="642"/>
      <c r="T116" s="634"/>
      <c r="U116" s="634"/>
      <c r="V116" s="635" t="s">
        <v>130</v>
      </c>
      <c r="W116" s="636"/>
      <c r="X116" s="678"/>
      <c r="Y116" s="729">
        <v>0.5</v>
      </c>
      <c r="Z116" s="730">
        <v>-1070.2</v>
      </c>
      <c r="AA116" s="639">
        <f>Y116*Z116</f>
        <v>-535.1</v>
      </c>
      <c r="AB116" s="639"/>
      <c r="AC116" s="1116"/>
      <c r="AD116" s="1135"/>
      <c r="AE116" s="1105"/>
      <c r="AF116" s="665"/>
      <c r="AG116" s="712"/>
      <c r="AH116" s="724"/>
      <c r="AI116" s="722"/>
      <c r="AJ116" s="424"/>
      <c r="AK116" s="1193"/>
      <c r="AL116" s="56"/>
      <c r="AM116" s="278" t="s">
        <v>349</v>
      </c>
      <c r="AN116" s="292">
        <f>IF(Z116&gt;0,Y116,IF(AM116="низкая",Y116*$AR$40,IF(AM116="средняя",Y116*$AS$40,IF(AM116="высокая",Y116*$AT$40,0))))</f>
        <v>0.25</v>
      </c>
      <c r="AO116" s="281">
        <f t="shared" si="18"/>
        <v>-535.1</v>
      </c>
      <c r="AP116" s="282">
        <f t="shared" si="19"/>
        <v>-133.77500000000001</v>
      </c>
      <c r="AQ116" s="282">
        <f t="shared" si="20"/>
        <v>-267.55</v>
      </c>
      <c r="AR116" s="1141"/>
      <c r="AS116" s="1143"/>
      <c r="AT116" s="1148"/>
    </row>
    <row r="117" spans="2:46" s="4" customFormat="1" ht="140.25" customHeight="1">
      <c r="B117" s="1429"/>
      <c r="C117" s="1431"/>
      <c r="D117" s="1433"/>
      <c r="E117" s="1448"/>
      <c r="F117" s="1064"/>
      <c r="G117" s="153"/>
      <c r="H117" s="1056"/>
      <c r="I117" s="1416"/>
      <c r="J117" s="1475" t="s">
        <v>1556</v>
      </c>
      <c r="K117" s="985"/>
      <c r="L117" s="323"/>
      <c r="M117" s="323"/>
      <c r="N117" s="323"/>
      <c r="O117" s="323"/>
      <c r="P117" s="322"/>
      <c r="Q117" s="633" t="s">
        <v>1138</v>
      </c>
      <c r="R117" s="633" t="s">
        <v>1139</v>
      </c>
      <c r="S117" s="642" t="s">
        <v>1140</v>
      </c>
      <c r="T117" s="634" t="s">
        <v>1143</v>
      </c>
      <c r="U117" s="634"/>
      <c r="V117" s="635"/>
      <c r="W117" s="731"/>
      <c r="X117" s="678"/>
      <c r="Y117" s="729">
        <v>4.1289225304548961E-2</v>
      </c>
      <c r="Z117" s="730">
        <v>-6548.0879999999997</v>
      </c>
      <c r="AA117" s="639">
        <f>Z117*Y117</f>
        <v>-270.36548074601336</v>
      </c>
      <c r="AB117" s="639" t="s">
        <v>1145</v>
      </c>
      <c r="AC117" s="1116"/>
      <c r="AD117" s="1135"/>
      <c r="AE117" s="1105"/>
      <c r="AF117" s="665"/>
      <c r="AG117" s="712"/>
      <c r="AH117" s="724"/>
      <c r="AI117" s="722" t="s">
        <v>1147</v>
      </c>
      <c r="AJ117" s="424"/>
      <c r="AK117" s="446"/>
      <c r="AL117" s="447"/>
      <c r="AM117" s="278" t="s">
        <v>349</v>
      </c>
      <c r="AN117" s="292">
        <f>IF(Z117&gt;0,Y117,IF(AM117="низкая",Y117*$AR$40,IF(AM117="средняя",Y117*$AS$40,IF(AM117="высокая",Y117*$AT$40,0))))</f>
        <v>2.0644612652274481E-2</v>
      </c>
      <c r="AO117" s="281">
        <f t="shared" si="18"/>
        <v>-3274.0439999999999</v>
      </c>
      <c r="AP117" s="282">
        <f t="shared" si="19"/>
        <v>-67.59137018650334</v>
      </c>
      <c r="AQ117" s="282">
        <f t="shared" si="20"/>
        <v>-135.18274037300668</v>
      </c>
      <c r="AR117" s="1141"/>
      <c r="AS117" s="1143"/>
      <c r="AT117" s="1148"/>
    </row>
    <row r="118" spans="2:46" s="4" customFormat="1" ht="69" customHeight="1">
      <c r="B118" s="1429"/>
      <c r="C118" s="1431"/>
      <c r="D118" s="1433"/>
      <c r="E118" s="1448"/>
      <c r="F118" s="1064"/>
      <c r="G118" s="153"/>
      <c r="H118" s="1057"/>
      <c r="I118" s="1454"/>
      <c r="J118" s="1475"/>
      <c r="K118" s="1455"/>
      <c r="L118" s="323"/>
      <c r="M118" s="323"/>
      <c r="N118" s="323"/>
      <c r="O118" s="323"/>
      <c r="P118" s="322"/>
      <c r="Q118" s="633" t="s">
        <v>1141</v>
      </c>
      <c r="R118" s="633" t="s">
        <v>1142</v>
      </c>
      <c r="S118" s="642"/>
      <c r="T118" s="634" t="s">
        <v>1144</v>
      </c>
      <c r="U118" s="634"/>
      <c r="V118" s="635"/>
      <c r="W118" s="731"/>
      <c r="X118" s="678"/>
      <c r="Y118" s="729">
        <v>0.05</v>
      </c>
      <c r="Z118" s="730">
        <v>-181.529</v>
      </c>
      <c r="AA118" s="639">
        <f>Z118*Y118</f>
        <v>-9.0764499999999995</v>
      </c>
      <c r="AB118" s="639" t="s">
        <v>1146</v>
      </c>
      <c r="AC118" s="1116"/>
      <c r="AD118" s="1136"/>
      <c r="AE118" s="1106"/>
      <c r="AF118" s="665"/>
      <c r="AG118" s="712"/>
      <c r="AH118" s="724"/>
      <c r="AI118" s="722" t="s">
        <v>351</v>
      </c>
      <c r="AJ118" s="424"/>
      <c r="AK118" s="446"/>
      <c r="AL118" s="447"/>
      <c r="AM118" s="278" t="s">
        <v>349</v>
      </c>
      <c r="AN118" s="292">
        <f>IF(Z118&gt;0,Y118,IF(AM118="низкая",Y118*$AR$40,IF(AM118="средняя",Y118*$AS$40,IF(AM118="высокая",Y118*$AT$40,0))))</f>
        <v>2.5000000000000001E-2</v>
      </c>
      <c r="AO118" s="281">
        <f>IF(Z118&gt;0,Z118,IF($AM118="низкая",Z118*$AR$40,IF(AM118="средняя",Z118*$AS$40,IF(AM118="высокая",Z118*$AT$40,0))))</f>
        <v>-90.764499999999998</v>
      </c>
      <c r="AP118" s="282">
        <f>AN118*AO118</f>
        <v>-2.2691124999999999</v>
      </c>
      <c r="AQ118" s="282">
        <f>IF(AA118&gt;0,AA118,IF(AM118="низкая",AA118*$AR$40,IF(AM118="средняя",AA118*$AS$40,IF(AM118="высокая",AA118*$AT$40))))</f>
        <v>-4.5382249999999997</v>
      </c>
      <c r="AR118" s="1141"/>
      <c r="AS118" s="1143"/>
      <c r="AT118" s="1148"/>
    </row>
    <row r="119" spans="2:46" s="4" customFormat="1" ht="187.5" customHeight="1">
      <c r="B119" s="1429"/>
      <c r="C119" s="1431"/>
      <c r="D119" s="1433"/>
      <c r="E119" s="1448"/>
      <c r="F119" s="1064"/>
      <c r="G119" s="438" t="s">
        <v>1033</v>
      </c>
      <c r="H119" s="436" t="s">
        <v>225</v>
      </c>
      <c r="I119" s="459" t="s">
        <v>1194</v>
      </c>
      <c r="J119" s="818" t="s">
        <v>1034</v>
      </c>
      <c r="K119" s="437" t="s">
        <v>1032</v>
      </c>
      <c r="L119" s="322"/>
      <c r="M119" s="322"/>
      <c r="N119" s="322"/>
      <c r="O119" s="322"/>
      <c r="P119" s="433"/>
      <c r="Q119" s="633" t="s">
        <v>623</v>
      </c>
      <c r="R119" s="719" t="s">
        <v>1326</v>
      </c>
      <c r="S119" s="642"/>
      <c r="T119" s="634"/>
      <c r="U119" s="634"/>
      <c r="V119" s="635" t="s">
        <v>130</v>
      </c>
      <c r="W119" s="714" t="s">
        <v>640</v>
      </c>
      <c r="X119" s="678"/>
      <c r="Y119" s="729">
        <v>0.8</v>
      </c>
      <c r="Z119" s="730">
        <v>-50644.1</v>
      </c>
      <c r="AA119" s="639">
        <f>Y119*Z119</f>
        <v>-40515.279999999999</v>
      </c>
      <c r="AB119" s="639"/>
      <c r="AC119" s="732">
        <f>Y119</f>
        <v>0.8</v>
      </c>
      <c r="AD119" s="733">
        <f>Z119</f>
        <v>-50644.1</v>
      </c>
      <c r="AE119" s="733">
        <f>AD119*AC119</f>
        <v>-40515.279999999999</v>
      </c>
      <c r="AF119" s="665"/>
      <c r="AG119" s="712"/>
      <c r="AH119" s="693"/>
      <c r="AI119" s="722"/>
      <c r="AJ119" s="273"/>
      <c r="AK119" s="432"/>
      <c r="AL119" s="278">
        <v>2021</v>
      </c>
      <c r="AM119" s="278" t="s">
        <v>348</v>
      </c>
      <c r="AN119" s="292">
        <f>IF(Z119&gt;0,Y119,IF(AM119="низкая",Y119*$AR$40,IF(AM119="средняя",Y119*$AS$40,IF(AM119="высокая",Y119*$AT$40,0))))</f>
        <v>0.8</v>
      </c>
      <c r="AO119" s="281">
        <f t="shared" si="18"/>
        <v>-50644.1</v>
      </c>
      <c r="AP119" s="282">
        <f t="shared" si="19"/>
        <v>-40515.279999999999</v>
      </c>
      <c r="AQ119" s="282">
        <f t="shared" si="20"/>
        <v>-40515.279999999999</v>
      </c>
      <c r="AR119" s="1141"/>
      <c r="AS119" s="1143"/>
      <c r="AT119" s="515">
        <f>AQ119</f>
        <v>-40515.279999999999</v>
      </c>
    </row>
    <row r="120" spans="2:46" s="4" customFormat="1" ht="83.25" customHeight="1">
      <c r="B120" s="1429"/>
      <c r="C120" s="1431"/>
      <c r="D120" s="1433"/>
      <c r="E120" s="1448"/>
      <c r="F120" s="1064"/>
      <c r="G120" s="1443"/>
      <c r="H120" s="1010" t="s">
        <v>226</v>
      </c>
      <c r="I120" s="1040" t="s">
        <v>1194</v>
      </c>
      <c r="J120" s="1040" t="s">
        <v>238</v>
      </c>
      <c r="K120" s="984" t="s">
        <v>456</v>
      </c>
      <c r="L120" s="158"/>
      <c r="M120" s="158"/>
      <c r="N120" s="158"/>
      <c r="O120" s="158"/>
      <c r="P120" s="186"/>
      <c r="Q120" s="634" t="s">
        <v>457</v>
      </c>
      <c r="R120" s="642"/>
      <c r="S120" s="642"/>
      <c r="T120" s="634"/>
      <c r="U120" s="634"/>
      <c r="V120" s="635" t="s">
        <v>130</v>
      </c>
      <c r="W120" s="636" t="s">
        <v>463</v>
      </c>
      <c r="X120" s="678"/>
      <c r="Y120" s="729">
        <v>0.8</v>
      </c>
      <c r="Z120" s="730">
        <v>-2669.6403372047098</v>
      </c>
      <c r="AA120" s="639">
        <v>-2669.6403372047098</v>
      </c>
      <c r="AB120" s="639"/>
      <c r="AC120" s="1509">
        <f>(AA120/($AA$120+$AA$122+$AA$124)*Y120)+(AA122/($AA$120+$AA$122+$AA$124)*Y122)+(AA124/($AA$120+$AA$122+$AA$124)*Y124)</f>
        <v>0.8</v>
      </c>
      <c r="AD120" s="1196">
        <f>SUM(Z120:Z124)</f>
        <v>4079.9831719453787</v>
      </c>
      <c r="AE120" s="1132">
        <f>AC120*AD120</f>
        <v>3263.9865375563031</v>
      </c>
      <c r="AF120" s="665"/>
      <c r="AG120" s="712"/>
      <c r="AH120" s="640"/>
      <c r="AI120" s="675" t="s">
        <v>465</v>
      </c>
      <c r="AJ120" s="262"/>
      <c r="AK120" s="270"/>
      <c r="AL120" s="56"/>
      <c r="AM120" s="278" t="s">
        <v>349</v>
      </c>
      <c r="AN120" s="292">
        <f t="shared" ref="AN120:AN126" si="21">IF(Z120&gt;0,Y120,IF(AM120="низкая",Y120*$AR$40,IF(AM120="средняя",Y120*$AS$40,IF(AM120="высокая",Y120*$AT$40,0))))</f>
        <v>0.4</v>
      </c>
      <c r="AO120" s="281">
        <f t="shared" si="18"/>
        <v>-1334.8201686023549</v>
      </c>
      <c r="AP120" s="282">
        <f t="shared" si="19"/>
        <v>-533.92806744094196</v>
      </c>
      <c r="AQ120" s="282">
        <f t="shared" si="20"/>
        <v>-1334.8201686023549</v>
      </c>
      <c r="AR120" s="1164">
        <f>(AP120/($AA$120+$AA$122+$AA$124)*AN120)+(AP122/($AA$120+$AA$122+$AA$124)*AN122)+(AP124/($AA$120+$AA$122+$AA$124)*AN124)</f>
        <v>7.9999999999999988E-2</v>
      </c>
      <c r="AS120" s="1167">
        <f>SUM(AO120:AO124)</f>
        <v>5636.6822962592096</v>
      </c>
      <c r="AT120" s="1230">
        <f>SUM(AQ120:AQ124)</f>
        <v>5636.6822962592096</v>
      </c>
    </row>
    <row r="121" spans="2:46" s="4" customFormat="1" ht="83.25" customHeight="1">
      <c r="B121" s="1429"/>
      <c r="C121" s="1431"/>
      <c r="D121" s="1433"/>
      <c r="E121" s="1448"/>
      <c r="F121" s="1064"/>
      <c r="G121" s="1444"/>
      <c r="H121" s="1014"/>
      <c r="I121" s="1041"/>
      <c r="J121" s="1041"/>
      <c r="K121" s="985"/>
      <c r="L121" s="300"/>
      <c r="M121" s="300"/>
      <c r="N121" s="300"/>
      <c r="O121" s="300"/>
      <c r="P121" s="308"/>
      <c r="Q121" s="634" t="s">
        <v>458</v>
      </c>
      <c r="R121" s="642"/>
      <c r="S121" s="642"/>
      <c r="T121" s="634"/>
      <c r="U121" s="634"/>
      <c r="V121" s="663" t="s">
        <v>137</v>
      </c>
      <c r="W121" s="636" t="s">
        <v>464</v>
      </c>
      <c r="X121" s="678"/>
      <c r="Y121" s="729">
        <v>0.05</v>
      </c>
      <c r="Z121" s="730">
        <v>5081.1005715962101</v>
      </c>
      <c r="AA121" s="639">
        <v>5081.1005715962101</v>
      </c>
      <c r="AB121" s="639"/>
      <c r="AC121" s="1510"/>
      <c r="AD121" s="1197"/>
      <c r="AE121" s="1133"/>
      <c r="AF121" s="665"/>
      <c r="AG121" s="712"/>
      <c r="AH121" s="640"/>
      <c r="AI121" s="675" t="s">
        <v>465</v>
      </c>
      <c r="AJ121" s="262"/>
      <c r="AK121" s="270"/>
      <c r="AL121" s="56"/>
      <c r="AM121" s="278" t="s">
        <v>349</v>
      </c>
      <c r="AN121" s="292">
        <f t="shared" si="21"/>
        <v>0.05</v>
      </c>
      <c r="AO121" s="281">
        <f t="shared" si="18"/>
        <v>5081.1005715962101</v>
      </c>
      <c r="AP121" s="282">
        <f t="shared" si="19"/>
        <v>254.05502857981051</v>
      </c>
      <c r="AQ121" s="282">
        <f t="shared" si="20"/>
        <v>5081.1005715962101</v>
      </c>
      <c r="AR121" s="1165"/>
      <c r="AS121" s="1168"/>
      <c r="AT121" s="1231"/>
    </row>
    <row r="122" spans="2:46" s="4" customFormat="1" ht="83.25" customHeight="1">
      <c r="B122" s="1429"/>
      <c r="C122" s="1431"/>
      <c r="D122" s="1433"/>
      <c r="E122" s="1448"/>
      <c r="F122" s="1064"/>
      <c r="G122" s="1444"/>
      <c r="H122" s="1014"/>
      <c r="I122" s="1041"/>
      <c r="J122" s="1041"/>
      <c r="K122" s="985"/>
      <c r="L122" s="300"/>
      <c r="M122" s="300"/>
      <c r="N122" s="300"/>
      <c r="O122" s="300"/>
      <c r="P122" s="308"/>
      <c r="Q122" s="634" t="s">
        <v>459</v>
      </c>
      <c r="R122" s="642"/>
      <c r="S122" s="642"/>
      <c r="T122" s="634"/>
      <c r="U122" s="634"/>
      <c r="V122" s="635" t="s">
        <v>130</v>
      </c>
      <c r="W122" s="636" t="s">
        <v>464</v>
      </c>
      <c r="X122" s="678"/>
      <c r="Y122" s="729">
        <v>0.8</v>
      </c>
      <c r="Z122" s="730">
        <v>-347.52326981749502</v>
      </c>
      <c r="AA122" s="639">
        <v>-347.52326981749502</v>
      </c>
      <c r="AB122" s="639"/>
      <c r="AC122" s="1510"/>
      <c r="AD122" s="1197"/>
      <c r="AE122" s="1133"/>
      <c r="AF122" s="665"/>
      <c r="AG122" s="712"/>
      <c r="AH122" s="640"/>
      <c r="AI122" s="675" t="s">
        <v>466</v>
      </c>
      <c r="AJ122" s="262"/>
      <c r="AK122" s="270"/>
      <c r="AL122" s="56"/>
      <c r="AM122" s="278" t="s">
        <v>349</v>
      </c>
      <c r="AN122" s="292">
        <f t="shared" si="21"/>
        <v>0.4</v>
      </c>
      <c r="AO122" s="281">
        <f t="shared" si="18"/>
        <v>-173.76163490874751</v>
      </c>
      <c r="AP122" s="282">
        <f t="shared" si="19"/>
        <v>-69.50465396349901</v>
      </c>
      <c r="AQ122" s="282">
        <f t="shared" si="20"/>
        <v>-173.76163490874751</v>
      </c>
      <c r="AR122" s="1165"/>
      <c r="AS122" s="1168"/>
      <c r="AT122" s="1231"/>
    </row>
    <row r="123" spans="2:46" s="4" customFormat="1" ht="83.25" customHeight="1">
      <c r="B123" s="1429"/>
      <c r="C123" s="1431"/>
      <c r="D123" s="1433"/>
      <c r="E123" s="1448"/>
      <c r="F123" s="1064"/>
      <c r="G123" s="1444"/>
      <c r="H123" s="1014"/>
      <c r="I123" s="1041"/>
      <c r="J123" s="1041"/>
      <c r="K123" s="985"/>
      <c r="L123" s="300"/>
      <c r="M123" s="300"/>
      <c r="N123" s="300"/>
      <c r="O123" s="300"/>
      <c r="P123" s="308"/>
      <c r="Q123" s="634" t="s">
        <v>460</v>
      </c>
      <c r="R123" s="642"/>
      <c r="S123" s="642"/>
      <c r="T123" s="634"/>
      <c r="U123" s="634"/>
      <c r="V123" s="663" t="s">
        <v>137</v>
      </c>
      <c r="W123" s="636" t="s">
        <v>464</v>
      </c>
      <c r="X123" s="678"/>
      <c r="Y123" s="729">
        <v>0.05</v>
      </c>
      <c r="Z123" s="730">
        <v>2112.2808489768299</v>
      </c>
      <c r="AA123" s="639">
        <v>2112.2808489768299</v>
      </c>
      <c r="AB123" s="639"/>
      <c r="AC123" s="1510"/>
      <c r="AD123" s="1197"/>
      <c r="AE123" s="1133"/>
      <c r="AF123" s="665"/>
      <c r="AG123" s="712"/>
      <c r="AH123" s="640"/>
      <c r="AI123" s="675" t="s">
        <v>465</v>
      </c>
      <c r="AJ123" s="262"/>
      <c r="AK123" s="270"/>
      <c r="AL123" s="56"/>
      <c r="AM123" s="278" t="s">
        <v>349</v>
      </c>
      <c r="AN123" s="292">
        <f t="shared" si="21"/>
        <v>0.05</v>
      </c>
      <c r="AO123" s="281">
        <f t="shared" si="18"/>
        <v>2112.2808489768299</v>
      </c>
      <c r="AP123" s="282">
        <f t="shared" si="19"/>
        <v>105.6140424488415</v>
      </c>
      <c r="AQ123" s="282">
        <f t="shared" si="20"/>
        <v>2112.2808489768299</v>
      </c>
      <c r="AR123" s="1165"/>
      <c r="AS123" s="1168"/>
      <c r="AT123" s="1231"/>
    </row>
    <row r="124" spans="2:46" s="4" customFormat="1" ht="83.25" customHeight="1">
      <c r="B124" s="1429"/>
      <c r="C124" s="1431"/>
      <c r="D124" s="1433"/>
      <c r="E124" s="1448"/>
      <c r="F124" s="1064"/>
      <c r="G124" s="1445"/>
      <c r="H124" s="1011"/>
      <c r="I124" s="1042"/>
      <c r="J124" s="1042"/>
      <c r="K124" s="986"/>
      <c r="L124" s="300"/>
      <c r="M124" s="300"/>
      <c r="N124" s="300"/>
      <c r="O124" s="300"/>
      <c r="P124" s="308"/>
      <c r="Q124" s="634" t="s">
        <v>461</v>
      </c>
      <c r="R124" s="642"/>
      <c r="S124" s="642"/>
      <c r="T124" s="634"/>
      <c r="U124" s="634"/>
      <c r="V124" s="635" t="s">
        <v>130</v>
      </c>
      <c r="W124" s="636" t="s">
        <v>464</v>
      </c>
      <c r="X124" s="678"/>
      <c r="Y124" s="729">
        <v>0.8</v>
      </c>
      <c r="Z124" s="730">
        <v>-96.234641605456005</v>
      </c>
      <c r="AA124" s="639">
        <v>-96.234641605456005</v>
      </c>
      <c r="AB124" s="639"/>
      <c r="AC124" s="1511"/>
      <c r="AD124" s="1198"/>
      <c r="AE124" s="1134"/>
      <c r="AF124" s="665"/>
      <c r="AG124" s="712"/>
      <c r="AH124" s="640"/>
      <c r="AI124" s="675" t="s">
        <v>465</v>
      </c>
      <c r="AJ124" s="262"/>
      <c r="AK124" s="270"/>
      <c r="AL124" s="56"/>
      <c r="AM124" s="278" t="s">
        <v>349</v>
      </c>
      <c r="AN124" s="292">
        <f t="shared" si="21"/>
        <v>0.4</v>
      </c>
      <c r="AO124" s="281">
        <f t="shared" si="18"/>
        <v>-48.117320802728003</v>
      </c>
      <c r="AP124" s="282">
        <f t="shared" si="19"/>
        <v>-19.246928321091204</v>
      </c>
      <c r="AQ124" s="282">
        <f t="shared" si="20"/>
        <v>-48.117320802728003</v>
      </c>
      <c r="AR124" s="1166"/>
      <c r="AS124" s="1169"/>
      <c r="AT124" s="1232"/>
    </row>
    <row r="125" spans="2:46" s="4" customFormat="1" ht="118.95" customHeight="1">
      <c r="B125" s="1429"/>
      <c r="C125" s="1431"/>
      <c r="D125" s="1433"/>
      <c r="E125" s="1448"/>
      <c r="F125" s="1063" t="s">
        <v>76</v>
      </c>
      <c r="G125" s="1040" t="s">
        <v>263</v>
      </c>
      <c r="H125" s="1058" t="s">
        <v>186</v>
      </c>
      <c r="I125" s="1028" t="s">
        <v>158</v>
      </c>
      <c r="J125" s="1453" t="s">
        <v>251</v>
      </c>
      <c r="K125" s="1001" t="s">
        <v>123</v>
      </c>
      <c r="L125" s="987"/>
      <c r="M125" s="987"/>
      <c r="N125" s="987"/>
      <c r="O125" s="987"/>
      <c r="P125" s="993"/>
      <c r="Q125" s="633" t="s">
        <v>522</v>
      </c>
      <c r="R125" s="719" t="s">
        <v>643</v>
      </c>
      <c r="S125" s="719"/>
      <c r="T125" s="634"/>
      <c r="U125" s="1176"/>
      <c r="V125" s="1185" t="s">
        <v>130</v>
      </c>
      <c r="W125" s="1176"/>
      <c r="X125" s="734"/>
      <c r="Y125" s="638">
        <v>0.6</v>
      </c>
      <c r="Z125" s="723">
        <f>(622694*1.1-622694)*(-1)</f>
        <v>-62269.400000000023</v>
      </c>
      <c r="AA125" s="723">
        <f>Y125*Z125</f>
        <v>-37361.640000000014</v>
      </c>
      <c r="AB125" s="659" t="s">
        <v>1385</v>
      </c>
      <c r="AC125" s="1194">
        <f>Y125</f>
        <v>0.6</v>
      </c>
      <c r="AD125" s="1104">
        <f>SUM(Z125:Z126)</f>
        <v>-49815.520000000019</v>
      </c>
      <c r="AE125" s="1020">
        <f>AD125*AC125</f>
        <v>-29889.312000000009</v>
      </c>
      <c r="AF125" s="735"/>
      <c r="AG125" s="736"/>
      <c r="AH125" s="640"/>
      <c r="AI125" s="1199" t="s">
        <v>1607</v>
      </c>
      <c r="AJ125" s="413"/>
      <c r="AK125" s="1029" t="s">
        <v>644</v>
      </c>
      <c r="AL125" s="1027" t="s">
        <v>636</v>
      </c>
      <c r="AM125" s="1204" t="s">
        <v>349</v>
      </c>
      <c r="AN125" s="1206">
        <f t="shared" si="21"/>
        <v>0.3</v>
      </c>
      <c r="AO125" s="1207">
        <f t="shared" si="18"/>
        <v>-31134.700000000012</v>
      </c>
      <c r="AP125" s="1205">
        <f>AQ125</f>
        <v>-18680.820000000007</v>
      </c>
      <c r="AQ125" s="1205">
        <f t="shared" si="20"/>
        <v>-18680.820000000007</v>
      </c>
      <c r="AR125" s="1162">
        <f>AN125</f>
        <v>0.3</v>
      </c>
      <c r="AS125" s="1147">
        <f>AO125</f>
        <v>-31134.700000000012</v>
      </c>
      <c r="AT125" s="1024">
        <f>AQ125</f>
        <v>-18680.820000000007</v>
      </c>
    </row>
    <row r="126" spans="2:46" s="4" customFormat="1" ht="113.25" customHeight="1">
      <c r="B126" s="1429"/>
      <c r="C126" s="1431"/>
      <c r="D126" s="1433"/>
      <c r="E126" s="1448"/>
      <c r="F126" s="1064"/>
      <c r="G126" s="1042"/>
      <c r="H126" s="1058"/>
      <c r="I126" s="1028"/>
      <c r="J126" s="1454"/>
      <c r="K126" s="1001"/>
      <c r="L126" s="989"/>
      <c r="M126" s="989"/>
      <c r="N126" s="989"/>
      <c r="O126" s="989"/>
      <c r="P126" s="993"/>
      <c r="Q126" s="633" t="s">
        <v>523</v>
      </c>
      <c r="R126" s="642"/>
      <c r="S126" s="642"/>
      <c r="T126" s="634"/>
      <c r="U126" s="1176"/>
      <c r="V126" s="1185"/>
      <c r="W126" s="1176"/>
      <c r="X126" s="645"/>
      <c r="Y126" s="638">
        <v>0.1</v>
      </c>
      <c r="Z126" s="723">
        <f>622694*1.02-622694</f>
        <v>12453.880000000005</v>
      </c>
      <c r="AA126" s="723">
        <f>Y126*Z126</f>
        <v>1245.3880000000006</v>
      </c>
      <c r="AB126" s="662" t="s">
        <v>1386</v>
      </c>
      <c r="AC126" s="1195"/>
      <c r="AD126" s="1105"/>
      <c r="AE126" s="1021"/>
      <c r="AF126" s="735"/>
      <c r="AG126" s="736"/>
      <c r="AH126" s="640"/>
      <c r="AI126" s="1199"/>
      <c r="AJ126" s="413"/>
      <c r="AK126" s="1029"/>
      <c r="AL126" s="1027"/>
      <c r="AM126" s="1204"/>
      <c r="AN126" s="1206">
        <f t="shared" si="21"/>
        <v>0.1</v>
      </c>
      <c r="AO126" s="1208"/>
      <c r="AP126" s="1205"/>
      <c r="AQ126" s="1205"/>
      <c r="AR126" s="1163"/>
      <c r="AS126" s="1148"/>
      <c r="AT126" s="1025"/>
    </row>
    <row r="127" spans="2:46" s="4" customFormat="1" ht="216" customHeight="1">
      <c r="B127" s="1429"/>
      <c r="C127" s="1431"/>
      <c r="D127" s="1433"/>
      <c r="E127" s="1448"/>
      <c r="F127" s="1063" t="s">
        <v>71</v>
      </c>
      <c r="G127" s="1435"/>
      <c r="H127" s="157" t="s">
        <v>187</v>
      </c>
      <c r="I127" s="163" t="s">
        <v>1202</v>
      </c>
      <c r="J127" s="160" t="s">
        <v>601</v>
      </c>
      <c r="K127" s="158" t="s">
        <v>124</v>
      </c>
      <c r="L127" s="151"/>
      <c r="M127" s="151"/>
      <c r="N127" s="151"/>
      <c r="O127" s="151"/>
      <c r="P127" s="159"/>
      <c r="Q127" s="642" t="s">
        <v>598</v>
      </c>
      <c r="R127" s="642"/>
      <c r="S127" s="642"/>
      <c r="T127" s="634"/>
      <c r="U127" s="634"/>
      <c r="V127" s="635" t="s">
        <v>130</v>
      </c>
      <c r="W127" s="636" t="s">
        <v>150</v>
      </c>
      <c r="X127" s="645"/>
      <c r="Y127" s="729">
        <v>0.8</v>
      </c>
      <c r="Z127" s="639"/>
      <c r="AA127" s="639">
        <f>Y127*Z127</f>
        <v>0</v>
      </c>
      <c r="AB127" s="639"/>
      <c r="AC127" s="1144">
        <f>(AA131/(AA131+AA133+AA139)*Y131)+(AA133/(AA131+AA133+AA139)*Y133)+(AA139/(AA131+AA133+AA139)*Y139)</f>
        <v>0.41197943030932727</v>
      </c>
      <c r="AD127" s="1104">
        <f>SUM(Z127:Z139)</f>
        <v>-1043.307</v>
      </c>
      <c r="AE127" s="1104">
        <f>AC127*AD127</f>
        <v>-429.82102349773334</v>
      </c>
      <c r="AF127" s="737"/>
      <c r="AG127" s="738"/>
      <c r="AH127" s="640"/>
      <c r="AI127" s="675" t="s">
        <v>352</v>
      </c>
      <c r="AJ127" s="262"/>
      <c r="AK127" s="270" t="s">
        <v>310</v>
      </c>
      <c r="AL127" s="56"/>
      <c r="AM127" s="278" t="s">
        <v>349</v>
      </c>
      <c r="AN127" s="292">
        <f>IF(Z127&gt;0,Y127,IF(AM127="низкая",Y127*$AR$40,IF(AM127="средняя",Y127*$AS$40,IF(AM127="высокая",Y127*$AT$40,0))))</f>
        <v>0.4</v>
      </c>
      <c r="AO127" s="281">
        <f>IF(Z127&gt;0,Z127,IF($AM127="низкая",Z127*$AR$40,IF(AM127="средняя",Z127*$AS$40,IF(AM127="высокая",Z127*$AT$40,0))))</f>
        <v>0</v>
      </c>
      <c r="AP127" s="282">
        <f>AN127*AO127</f>
        <v>0</v>
      </c>
      <c r="AQ127" s="282">
        <f>IF(AA127&gt;0,AA127,IF(AM127="низкая",AA127*$AR$40,IF(AM127="средняя",AA127*$AS$40,IF(AM127="высокая",AA127*$AT$40))))</f>
        <v>0</v>
      </c>
      <c r="AR127" s="1144">
        <f>(AP131/(AP131+AP133+AP139)*AN131)+(AP133/(AP131+AP133+AP139)*AN133)+(AP139/(AP131+AP133+AP139)*AN139)</f>
        <v>0.34626994297190561</v>
      </c>
      <c r="AS127" s="1147">
        <f>SUM(AO127:AO134)</f>
        <v>-55.792999999999999</v>
      </c>
      <c r="AT127" s="1147">
        <f>AR127*AS127</f>
        <v>-19.319438928231531</v>
      </c>
    </row>
    <row r="128" spans="2:46" s="4" customFormat="1" ht="106.5" customHeight="1">
      <c r="B128" s="1429"/>
      <c r="C128" s="1431"/>
      <c r="D128" s="1433"/>
      <c r="E128" s="1448"/>
      <c r="F128" s="1064"/>
      <c r="G128" s="1436"/>
      <c r="H128" s="157" t="s">
        <v>188</v>
      </c>
      <c r="I128" s="163" t="s">
        <v>1194</v>
      </c>
      <c r="J128" s="160" t="s">
        <v>529</v>
      </c>
      <c r="K128" s="187" t="s">
        <v>605</v>
      </c>
      <c r="L128" s="151"/>
      <c r="M128" s="151"/>
      <c r="N128" s="151"/>
      <c r="O128" s="151"/>
      <c r="P128" s="159"/>
      <c r="Q128" s="642" t="s">
        <v>607</v>
      </c>
      <c r="R128" s="642"/>
      <c r="S128" s="642"/>
      <c r="T128" s="634"/>
      <c r="U128" s="634"/>
      <c r="V128" s="635" t="s">
        <v>130</v>
      </c>
      <c r="W128" s="636"/>
      <c r="X128" s="645"/>
      <c r="Y128" s="729">
        <v>0.05</v>
      </c>
      <c r="Z128" s="639"/>
      <c r="AA128" s="639"/>
      <c r="AB128" s="639"/>
      <c r="AC128" s="1145"/>
      <c r="AD128" s="1105"/>
      <c r="AE128" s="1105"/>
      <c r="AF128" s="737"/>
      <c r="AG128" s="738"/>
      <c r="AH128" s="640"/>
      <c r="AI128" s="675"/>
      <c r="AJ128" s="262"/>
      <c r="AK128" s="270"/>
      <c r="AL128" s="56"/>
      <c r="AM128" s="278"/>
      <c r="AN128" s="292"/>
      <c r="AO128" s="281"/>
      <c r="AP128" s="282"/>
      <c r="AQ128" s="282"/>
      <c r="AR128" s="1145"/>
      <c r="AS128" s="1148"/>
      <c r="AT128" s="1148"/>
    </row>
    <row r="129" spans="2:46" s="4" customFormat="1" ht="96.75" customHeight="1">
      <c r="B129" s="1429"/>
      <c r="C129" s="1431"/>
      <c r="D129" s="1433"/>
      <c r="E129" s="1448"/>
      <c r="F129" s="1064"/>
      <c r="G129" s="1436"/>
      <c r="H129" s="157" t="s">
        <v>189</v>
      </c>
      <c r="I129" s="163" t="s">
        <v>1194</v>
      </c>
      <c r="J129" s="160" t="s">
        <v>529</v>
      </c>
      <c r="K129" s="187" t="s">
        <v>630</v>
      </c>
      <c r="L129" s="151"/>
      <c r="M129" s="151"/>
      <c r="N129" s="151"/>
      <c r="O129" s="151"/>
      <c r="P129" s="159"/>
      <c r="Q129" s="634"/>
      <c r="R129" s="642"/>
      <c r="S129" s="642"/>
      <c r="T129" s="634"/>
      <c r="U129" s="634"/>
      <c r="V129" s="635"/>
      <c r="W129" s="636"/>
      <c r="X129" s="645"/>
      <c r="Y129" s="729">
        <v>0.95</v>
      </c>
      <c r="Z129" s="639"/>
      <c r="AA129" s="639"/>
      <c r="AB129" s="639"/>
      <c r="AC129" s="1145"/>
      <c r="AD129" s="1105"/>
      <c r="AE129" s="1105"/>
      <c r="AF129" s="737"/>
      <c r="AG129" s="738"/>
      <c r="AH129" s="640"/>
      <c r="AI129" s="675" t="s">
        <v>1189</v>
      </c>
      <c r="AJ129" s="262"/>
      <c r="AK129" s="270"/>
      <c r="AL129" s="56"/>
      <c r="AM129" s="278"/>
      <c r="AN129" s="292"/>
      <c r="AO129" s="281"/>
      <c r="AP129" s="282"/>
      <c r="AQ129" s="282"/>
      <c r="AR129" s="1145"/>
      <c r="AS129" s="1148"/>
      <c r="AT129" s="1148"/>
    </row>
    <row r="130" spans="2:46" s="4" customFormat="1" ht="309.75" customHeight="1">
      <c r="B130" s="1429"/>
      <c r="C130" s="1431"/>
      <c r="D130" s="1433"/>
      <c r="E130" s="1448"/>
      <c r="F130" s="1064"/>
      <c r="G130" s="1436"/>
      <c r="H130" s="157" t="s">
        <v>198</v>
      </c>
      <c r="I130" s="172" t="s">
        <v>1194</v>
      </c>
      <c r="J130" s="162" t="s">
        <v>602</v>
      </c>
      <c r="K130" s="158" t="s">
        <v>631</v>
      </c>
      <c r="L130" s="151"/>
      <c r="M130" s="151"/>
      <c r="N130" s="151"/>
      <c r="O130" s="151"/>
      <c r="P130" s="161"/>
      <c r="Q130" s="642" t="s">
        <v>18</v>
      </c>
      <c r="R130" s="642"/>
      <c r="S130" s="642"/>
      <c r="T130" s="634"/>
      <c r="U130" s="634"/>
      <c r="V130" s="635" t="s">
        <v>138</v>
      </c>
      <c r="W130" s="636"/>
      <c r="X130" s="645"/>
      <c r="Y130" s="729">
        <v>0.8</v>
      </c>
      <c r="Z130" s="739"/>
      <c r="AA130" s="639"/>
      <c r="AB130" s="639"/>
      <c r="AC130" s="1145"/>
      <c r="AD130" s="1105"/>
      <c r="AE130" s="1105"/>
      <c r="AF130" s="737"/>
      <c r="AG130" s="738"/>
      <c r="AH130" s="640"/>
      <c r="AI130" s="675" t="s">
        <v>343</v>
      </c>
      <c r="AJ130" s="275"/>
      <c r="AK130" s="269" t="s">
        <v>255</v>
      </c>
      <c r="AL130" s="56"/>
      <c r="AM130" s="278" t="s">
        <v>348</v>
      </c>
      <c r="AN130" s="292">
        <f t="shared" ref="AN130:AN134" si="22">IF(Z130&gt;0,Y130,IF(AM130="низкая",Y130*$AR$40,IF(AM130="средняя",Y130*$AS$40,IF(AM130="высокая",Y130*$AT$40,0))))</f>
        <v>0.8</v>
      </c>
      <c r="AO130" s="281">
        <f t="shared" ref="AO130:AO134" si="23">IF(Z130&gt;0,Z130,IF($AM130="низкая",Z130*$AR$40,IF(AM130="средняя",Z130*$AS$40,IF(AM130="высокая",Z130*$AT$40,0))))</f>
        <v>0</v>
      </c>
      <c r="AP130" s="282">
        <f t="shared" ref="AP130:AP134" si="24">AN130*AO130</f>
        <v>0</v>
      </c>
      <c r="AQ130" s="282">
        <f t="shared" ref="AQ130:AQ135" si="25">IF(AA130&gt;0,AA130,IF(AM130="низкая",AA130*$AR$40,IF(AM130="средняя",AA130*$AS$40,IF(AM130="высокая",AA130*$AT$40))))</f>
        <v>0</v>
      </c>
      <c r="AR130" s="1145"/>
      <c r="AS130" s="1148"/>
      <c r="AT130" s="1148"/>
    </row>
    <row r="131" spans="2:46" s="4" customFormat="1" ht="228" customHeight="1">
      <c r="B131" s="1429"/>
      <c r="C131" s="1431"/>
      <c r="D131" s="1433"/>
      <c r="E131" s="1448"/>
      <c r="F131" s="1064"/>
      <c r="G131" s="1436"/>
      <c r="H131" s="157" t="s">
        <v>199</v>
      </c>
      <c r="I131" s="160" t="s">
        <v>1194</v>
      </c>
      <c r="J131" s="162" t="s">
        <v>600</v>
      </c>
      <c r="K131" s="158" t="s">
        <v>44</v>
      </c>
      <c r="L131" s="151"/>
      <c r="M131" s="151"/>
      <c r="N131" s="151"/>
      <c r="O131" s="151"/>
      <c r="P131" s="161"/>
      <c r="Q131" s="642" t="s">
        <v>610</v>
      </c>
      <c r="R131" s="642" t="s">
        <v>345</v>
      </c>
      <c r="S131" s="642"/>
      <c r="T131" s="634"/>
      <c r="U131" s="634"/>
      <c r="V131" s="635" t="s">
        <v>138</v>
      </c>
      <c r="W131" s="636" t="s">
        <v>344</v>
      </c>
      <c r="X131" s="645"/>
      <c r="Y131" s="740">
        <v>0.8</v>
      </c>
      <c r="Z131" s="739">
        <v>-65</v>
      </c>
      <c r="AA131" s="639">
        <f>Y131*Z131</f>
        <v>-52</v>
      </c>
      <c r="AB131" s="639"/>
      <c r="AC131" s="1145"/>
      <c r="AD131" s="1105"/>
      <c r="AE131" s="1105"/>
      <c r="AF131" s="737"/>
      <c r="AG131" s="738"/>
      <c r="AH131" s="640"/>
      <c r="AI131" s="741" t="s">
        <v>346</v>
      </c>
      <c r="AJ131" s="382"/>
      <c r="AK131" s="269" t="s">
        <v>256</v>
      </c>
      <c r="AL131" s="56"/>
      <c r="AM131" s="278" t="s">
        <v>349</v>
      </c>
      <c r="AN131" s="283">
        <f t="shared" si="22"/>
        <v>0.4</v>
      </c>
      <c r="AO131" s="281">
        <f t="shared" si="23"/>
        <v>-32.5</v>
      </c>
      <c r="AP131" s="282">
        <f t="shared" si="24"/>
        <v>-13</v>
      </c>
      <c r="AQ131" s="282">
        <f t="shared" si="25"/>
        <v>-26</v>
      </c>
      <c r="AR131" s="1145"/>
      <c r="AS131" s="1148"/>
      <c r="AT131" s="1148"/>
    </row>
    <row r="132" spans="2:46" s="4" customFormat="1" ht="205.5" customHeight="1">
      <c r="B132" s="1429"/>
      <c r="C132" s="1431"/>
      <c r="D132" s="1433"/>
      <c r="E132" s="1448"/>
      <c r="F132" s="1064"/>
      <c r="G132" s="1436"/>
      <c r="H132" s="157" t="s">
        <v>200</v>
      </c>
      <c r="I132" s="160" t="s">
        <v>112</v>
      </c>
      <c r="J132" s="163" t="s">
        <v>240</v>
      </c>
      <c r="K132" s="158" t="s">
        <v>54</v>
      </c>
      <c r="L132" s="157"/>
      <c r="M132" s="157"/>
      <c r="N132" s="157"/>
      <c r="O132" s="157"/>
      <c r="P132" s="157"/>
      <c r="Q132" s="634" t="s">
        <v>1480</v>
      </c>
      <c r="R132" s="642"/>
      <c r="S132" s="642"/>
      <c r="T132" s="634"/>
      <c r="U132" s="634"/>
      <c r="V132" s="635" t="s">
        <v>130</v>
      </c>
      <c r="W132" s="636"/>
      <c r="X132" s="645"/>
      <c r="Y132" s="729">
        <v>0.8</v>
      </c>
      <c r="Z132" s="739"/>
      <c r="AA132" s="639">
        <f>Y132*Z132</f>
        <v>0</v>
      </c>
      <c r="AB132" s="639"/>
      <c r="AC132" s="1145"/>
      <c r="AD132" s="1105"/>
      <c r="AE132" s="1105"/>
      <c r="AF132" s="737"/>
      <c r="AG132" s="738"/>
      <c r="AH132" s="640"/>
      <c r="AI132" s="675" t="s">
        <v>1481</v>
      </c>
      <c r="AJ132" s="275"/>
      <c r="AK132" s="274" t="s">
        <v>240</v>
      </c>
      <c r="AL132" s="56"/>
      <c r="AM132" s="278" t="s">
        <v>349</v>
      </c>
      <c r="AN132" s="292">
        <f t="shared" si="22"/>
        <v>0.4</v>
      </c>
      <c r="AO132" s="281">
        <f t="shared" si="23"/>
        <v>0</v>
      </c>
      <c r="AP132" s="282">
        <f t="shared" si="24"/>
        <v>0</v>
      </c>
      <c r="AQ132" s="282">
        <f t="shared" si="25"/>
        <v>0</v>
      </c>
      <c r="AR132" s="1145"/>
      <c r="AS132" s="1148"/>
      <c r="AT132" s="1148"/>
    </row>
    <row r="133" spans="2:46" s="4" customFormat="1" ht="230.4" customHeight="1">
      <c r="B133" s="1429"/>
      <c r="C133" s="1431"/>
      <c r="D133" s="1433"/>
      <c r="E133" s="1448"/>
      <c r="F133" s="1064"/>
      <c r="G133" s="1436"/>
      <c r="H133" s="157" t="s">
        <v>309</v>
      </c>
      <c r="I133" s="160" t="s">
        <v>112</v>
      </c>
      <c r="J133" s="163" t="s">
        <v>240</v>
      </c>
      <c r="K133" s="158" t="s">
        <v>56</v>
      </c>
      <c r="L133" s="157"/>
      <c r="M133" s="157"/>
      <c r="N133" s="157"/>
      <c r="O133" s="157"/>
      <c r="P133" s="157"/>
      <c r="Q133" s="642" t="s">
        <v>22</v>
      </c>
      <c r="R133" s="642"/>
      <c r="S133" s="642"/>
      <c r="T133" s="634"/>
      <c r="U133" s="634"/>
      <c r="V133" s="635" t="s">
        <v>138</v>
      </c>
      <c r="W133" s="636"/>
      <c r="X133" s="645"/>
      <c r="Y133" s="729">
        <v>0.95</v>
      </c>
      <c r="Z133" s="739">
        <v>-23.292999999999999</v>
      </c>
      <c r="AA133" s="639">
        <f>Y133*Z133</f>
        <v>-22.128349999999998</v>
      </c>
      <c r="AB133" s="639" t="s">
        <v>1629</v>
      </c>
      <c r="AC133" s="1145"/>
      <c r="AD133" s="1105"/>
      <c r="AE133" s="1105"/>
      <c r="AF133" s="737"/>
      <c r="AG133" s="738"/>
      <c r="AH133" s="640"/>
      <c r="AI133" s="675" t="s">
        <v>164</v>
      </c>
      <c r="AJ133" s="275"/>
      <c r="AK133" s="274" t="s">
        <v>240</v>
      </c>
      <c r="AL133" s="56"/>
      <c r="AM133" s="278" t="s">
        <v>348</v>
      </c>
      <c r="AN133" s="292">
        <f t="shared" si="22"/>
        <v>0.95</v>
      </c>
      <c r="AO133" s="281">
        <f t="shared" si="23"/>
        <v>-23.292999999999999</v>
      </c>
      <c r="AP133" s="282">
        <f t="shared" si="24"/>
        <v>-22.128349999999998</v>
      </c>
      <c r="AQ133" s="282">
        <f t="shared" si="25"/>
        <v>-22.128349999999998</v>
      </c>
      <c r="AR133" s="1145"/>
      <c r="AS133" s="1148"/>
      <c r="AT133" s="1148"/>
    </row>
    <row r="134" spans="2:46" s="4" customFormat="1" ht="112.2" customHeight="1">
      <c r="B134" s="1429"/>
      <c r="C134" s="1431"/>
      <c r="D134" s="1433"/>
      <c r="E134" s="1448"/>
      <c r="F134" s="1064"/>
      <c r="G134" s="1436"/>
      <c r="H134" s="1010" t="s">
        <v>599</v>
      </c>
      <c r="I134" s="1085" t="s">
        <v>176</v>
      </c>
      <c r="J134" s="1477" t="s">
        <v>254</v>
      </c>
      <c r="K134" s="984" t="s">
        <v>39</v>
      </c>
      <c r="L134" s="987"/>
      <c r="M134" s="987"/>
      <c r="N134" s="987"/>
      <c r="O134" s="987"/>
      <c r="P134" s="1055"/>
      <c r="Q134" s="1186" t="s">
        <v>611</v>
      </c>
      <c r="R134" s="1031"/>
      <c r="S134" s="742"/>
      <c r="T134" s="1034"/>
      <c r="U134" s="1034"/>
      <c r="V134" s="1177" t="s">
        <v>138</v>
      </c>
      <c r="W134" s="636"/>
      <c r="X134" s="645"/>
      <c r="Y134" s="1180">
        <v>0.8</v>
      </c>
      <c r="Z134" s="1183"/>
      <c r="AA134" s="1008">
        <f>Y134*Z134</f>
        <v>0</v>
      </c>
      <c r="AB134" s="639"/>
      <c r="AC134" s="1145"/>
      <c r="AD134" s="1105"/>
      <c r="AE134" s="1105"/>
      <c r="AF134" s="737"/>
      <c r="AG134" s="738"/>
      <c r="AH134" s="640"/>
      <c r="AI134" s="1038" t="s">
        <v>1035</v>
      </c>
      <c r="AJ134" s="410"/>
      <c r="AK134" s="1159" t="s">
        <v>254</v>
      </c>
      <c r="AL134" s="56"/>
      <c r="AM134" s="278" t="s">
        <v>349</v>
      </c>
      <c r="AN134" s="292">
        <f t="shared" si="22"/>
        <v>0.4</v>
      </c>
      <c r="AO134" s="281">
        <f t="shared" si="23"/>
        <v>0</v>
      </c>
      <c r="AP134" s="282">
        <f t="shared" si="24"/>
        <v>0</v>
      </c>
      <c r="AQ134" s="282">
        <f t="shared" si="25"/>
        <v>0</v>
      </c>
      <c r="AR134" s="1145"/>
      <c r="AS134" s="1148"/>
      <c r="AT134" s="1148"/>
    </row>
    <row r="135" spans="2:46" s="4" customFormat="1" ht="49.95" customHeight="1">
      <c r="B135" s="1429"/>
      <c r="C135" s="1431"/>
      <c r="D135" s="1433"/>
      <c r="E135" s="1448"/>
      <c r="F135" s="1064"/>
      <c r="G135" s="1436"/>
      <c r="H135" s="1014"/>
      <c r="I135" s="1087"/>
      <c r="J135" s="1478"/>
      <c r="K135" s="985"/>
      <c r="L135" s="988"/>
      <c r="M135" s="988"/>
      <c r="N135" s="988"/>
      <c r="O135" s="988"/>
      <c r="P135" s="1056"/>
      <c r="Q135" s="1187"/>
      <c r="R135" s="1032"/>
      <c r="S135" s="743"/>
      <c r="T135" s="1035"/>
      <c r="U135" s="1035"/>
      <c r="V135" s="1178"/>
      <c r="W135" s="636"/>
      <c r="X135" s="645"/>
      <c r="Y135" s="1181"/>
      <c r="Z135" s="1009"/>
      <c r="AA135" s="1023"/>
      <c r="AB135" s="1123" t="s">
        <v>439</v>
      </c>
      <c r="AC135" s="1145"/>
      <c r="AD135" s="1105"/>
      <c r="AE135" s="1105"/>
      <c r="AF135" s="737"/>
      <c r="AG135" s="738"/>
      <c r="AH135" s="640"/>
      <c r="AI135" s="1097"/>
      <c r="AJ135" s="411"/>
      <c r="AK135" s="1160"/>
      <c r="AL135" s="1153"/>
      <c r="AM135" s="1170" t="s">
        <v>348</v>
      </c>
      <c r="AN135" s="292">
        <f t="shared" ref="AN135:AN197" si="26">IF(Z135&gt;0,Y135,IF(AM135="низкая",Y135*$AR$40,IF(AM135="средняя",Y135*$AS$40,IF(AM135="высокая",Y135*$AT$40,0))))</f>
        <v>0</v>
      </c>
      <c r="AO135" s="281">
        <f t="shared" ref="AO135:AO197" si="27">IF(Z135&gt;0,Z135,IF($AM135="низкая",Z135*$AR$40,IF(AM135="средняя",Z135*$AS$40,IF(AM135="высокая",Z135*$AT$40,0))))</f>
        <v>0</v>
      </c>
      <c r="AP135" s="282">
        <f t="shared" ref="AP135:AP197" si="28">AN135*AO135</f>
        <v>0</v>
      </c>
      <c r="AQ135" s="282">
        <f t="shared" si="25"/>
        <v>0</v>
      </c>
      <c r="AR135" s="1145"/>
      <c r="AS135" s="1148"/>
      <c r="AT135" s="1148"/>
    </row>
    <row r="136" spans="2:46" s="4" customFormat="1" ht="52.95" customHeight="1">
      <c r="B136" s="1429"/>
      <c r="C136" s="1431"/>
      <c r="D136" s="1433"/>
      <c r="E136" s="1448"/>
      <c r="F136" s="1064"/>
      <c r="G136" s="1436"/>
      <c r="H136" s="1014"/>
      <c r="I136" s="1087"/>
      <c r="J136" s="1478"/>
      <c r="K136" s="985"/>
      <c r="L136" s="988"/>
      <c r="M136" s="988"/>
      <c r="N136" s="988"/>
      <c r="O136" s="988"/>
      <c r="P136" s="1056"/>
      <c r="Q136" s="1187"/>
      <c r="R136" s="1032"/>
      <c r="S136" s="743"/>
      <c r="T136" s="1035"/>
      <c r="U136" s="1035"/>
      <c r="V136" s="1178"/>
      <c r="W136" s="636"/>
      <c r="X136" s="645"/>
      <c r="Y136" s="1181"/>
      <c r="Z136" s="1009"/>
      <c r="AA136" s="1023"/>
      <c r="AB136" s="1124"/>
      <c r="AC136" s="1145"/>
      <c r="AD136" s="1105"/>
      <c r="AE136" s="1105"/>
      <c r="AF136" s="737"/>
      <c r="AG136" s="738"/>
      <c r="AH136" s="640"/>
      <c r="AI136" s="1097"/>
      <c r="AJ136" s="411"/>
      <c r="AK136" s="1160"/>
      <c r="AL136" s="1154"/>
      <c r="AM136" s="1171"/>
      <c r="AN136" s="292">
        <f t="shared" si="26"/>
        <v>0</v>
      </c>
      <c r="AO136" s="281">
        <f t="shared" si="27"/>
        <v>0</v>
      </c>
      <c r="AP136" s="282">
        <f t="shared" si="28"/>
        <v>0</v>
      </c>
      <c r="AQ136" s="282">
        <f>IF(AA136&gt;0,AA136,IF(AM135="низкая",AA136*$AR$40,IF(AM136="средняя",AA136*$AS$40,IF(AM136="высокая",AA136*$AT$40))))</f>
        <v>0</v>
      </c>
      <c r="AR136" s="1145"/>
      <c r="AS136" s="1148"/>
      <c r="AT136" s="1148"/>
    </row>
    <row r="137" spans="2:46" s="4" customFormat="1" ht="42.75" customHeight="1">
      <c r="B137" s="1429"/>
      <c r="C137" s="1431"/>
      <c r="D137" s="1433"/>
      <c r="E137" s="1448"/>
      <c r="F137" s="1064"/>
      <c r="G137" s="1436"/>
      <c r="H137" s="1014"/>
      <c r="I137" s="1087"/>
      <c r="J137" s="1478"/>
      <c r="K137" s="985"/>
      <c r="L137" s="988"/>
      <c r="M137" s="988"/>
      <c r="N137" s="988"/>
      <c r="O137" s="988"/>
      <c r="P137" s="1056"/>
      <c r="Q137" s="1187"/>
      <c r="R137" s="1032"/>
      <c r="S137" s="743"/>
      <c r="T137" s="1035"/>
      <c r="U137" s="1035"/>
      <c r="V137" s="1178"/>
      <c r="W137" s="636"/>
      <c r="X137" s="645"/>
      <c r="Y137" s="1181"/>
      <c r="Z137" s="1009"/>
      <c r="AA137" s="1023"/>
      <c r="AB137" s="1124"/>
      <c r="AC137" s="1145"/>
      <c r="AD137" s="1105"/>
      <c r="AE137" s="1105"/>
      <c r="AF137" s="737"/>
      <c r="AG137" s="738"/>
      <c r="AH137" s="640"/>
      <c r="AI137" s="1097"/>
      <c r="AJ137" s="411"/>
      <c r="AK137" s="1160"/>
      <c r="AL137" s="1154"/>
      <c r="AM137" s="1171"/>
      <c r="AN137" s="292">
        <f t="shared" si="26"/>
        <v>0</v>
      </c>
      <c r="AO137" s="281">
        <f t="shared" si="27"/>
        <v>0</v>
      </c>
      <c r="AP137" s="282">
        <f t="shared" si="28"/>
        <v>0</v>
      </c>
      <c r="AQ137" s="282">
        <f>IF(AA137&gt;0,AA137,IF(AM135="низкая",AA137*$AR$40,IF(AM137="средняя",AA137*$AS$40,IF(AM137="высокая",AA137*$AT$40))))</f>
        <v>0</v>
      </c>
      <c r="AR137" s="1145"/>
      <c r="AS137" s="1148"/>
      <c r="AT137" s="1148"/>
    </row>
    <row r="138" spans="2:46" s="4" customFormat="1" ht="66.900000000000006" customHeight="1">
      <c r="B138" s="1429"/>
      <c r="C138" s="1431"/>
      <c r="D138" s="1433"/>
      <c r="E138" s="1448"/>
      <c r="F138" s="1064"/>
      <c r="G138" s="1450"/>
      <c r="H138" s="1011"/>
      <c r="I138" s="1086"/>
      <c r="J138" s="1479"/>
      <c r="K138" s="986"/>
      <c r="L138" s="989"/>
      <c r="M138" s="989"/>
      <c r="N138" s="989"/>
      <c r="O138" s="989"/>
      <c r="P138" s="1057"/>
      <c r="Q138" s="1188"/>
      <c r="R138" s="1033"/>
      <c r="S138" s="744"/>
      <c r="T138" s="1037"/>
      <c r="U138" s="1037"/>
      <c r="V138" s="1179"/>
      <c r="W138" s="636"/>
      <c r="X138" s="645"/>
      <c r="Y138" s="1182"/>
      <c r="Z138" s="1184"/>
      <c r="AA138" s="1030"/>
      <c r="AB138" s="1125"/>
      <c r="AC138" s="1145"/>
      <c r="AD138" s="1105"/>
      <c r="AE138" s="1105"/>
      <c r="AF138" s="737"/>
      <c r="AG138" s="738"/>
      <c r="AH138" s="640"/>
      <c r="AI138" s="1039"/>
      <c r="AJ138" s="412"/>
      <c r="AK138" s="1161"/>
      <c r="AL138" s="1155"/>
      <c r="AM138" s="1172"/>
      <c r="AN138" s="292">
        <f t="shared" si="26"/>
        <v>0</v>
      </c>
      <c r="AO138" s="281">
        <f t="shared" si="27"/>
        <v>0</v>
      </c>
      <c r="AP138" s="282">
        <f t="shared" si="28"/>
        <v>0</v>
      </c>
      <c r="AQ138" s="282">
        <f>IF(AA138&gt;0,AA138,IF(AM135="низкая",AA138*$AR$40,IF(AM138="средняя",AA138*$AS$40,IF(AM138="высокая",AA138*$AT$40))))</f>
        <v>0</v>
      </c>
      <c r="AR138" s="1145"/>
      <c r="AS138" s="1148"/>
      <c r="AT138" s="1148"/>
    </row>
    <row r="139" spans="2:46" s="4" customFormat="1" ht="132.75" customHeight="1">
      <c r="B139" s="1429"/>
      <c r="C139" s="1431"/>
      <c r="D139" s="1433"/>
      <c r="E139" s="1448"/>
      <c r="F139" s="1065"/>
      <c r="G139" s="394"/>
      <c r="H139" s="395" t="s">
        <v>632</v>
      </c>
      <c r="I139" s="457" t="s">
        <v>1406</v>
      </c>
      <c r="J139" s="396"/>
      <c r="K139" s="445" t="s">
        <v>1407</v>
      </c>
      <c r="L139" s="389"/>
      <c r="M139" s="389"/>
      <c r="N139" s="389"/>
      <c r="O139" s="389"/>
      <c r="P139" s="393"/>
      <c r="Q139" s="642" t="s">
        <v>1408</v>
      </c>
      <c r="R139" s="744"/>
      <c r="S139" s="744"/>
      <c r="T139" s="707"/>
      <c r="U139" s="707"/>
      <c r="V139" s="661"/>
      <c r="W139" s="731" t="s">
        <v>1409</v>
      </c>
      <c r="X139" s="645"/>
      <c r="Y139" s="745">
        <v>0.3</v>
      </c>
      <c r="Z139" s="747">
        <v>-955.01400000000001</v>
      </c>
      <c r="AA139" s="662">
        <f>Z139*Y139</f>
        <v>-286.50419999999997</v>
      </c>
      <c r="AB139" s="746"/>
      <c r="AC139" s="1146"/>
      <c r="AD139" s="1106"/>
      <c r="AE139" s="1106"/>
      <c r="AF139" s="737"/>
      <c r="AG139" s="738"/>
      <c r="AH139" s="640"/>
      <c r="AI139" s="675" t="s">
        <v>1410</v>
      </c>
      <c r="AJ139" s="275"/>
      <c r="AK139" s="397" t="s">
        <v>1411</v>
      </c>
      <c r="AL139" s="399"/>
      <c r="AM139" s="278" t="s">
        <v>349</v>
      </c>
      <c r="AN139" s="292">
        <f t="shared" si="26"/>
        <v>0.15</v>
      </c>
      <c r="AO139" s="281">
        <f t="shared" si="27"/>
        <v>-477.50700000000001</v>
      </c>
      <c r="AP139" s="282">
        <f t="shared" si="28"/>
        <v>-71.626049999999992</v>
      </c>
      <c r="AQ139" s="282">
        <f>IF(AA139&gt;0,AA139,IF(AM139="низкая",AA139*$AR$40,IF(AM139="средняя",AA139*$AS$40,IF(AM139="высокая",AA139*$AT$40))))</f>
        <v>-143.25209999999998</v>
      </c>
      <c r="AR139" s="1146"/>
      <c r="AS139" s="1149"/>
      <c r="AT139" s="1149"/>
    </row>
    <row r="140" spans="2:46" s="4" customFormat="1" ht="405.75" customHeight="1">
      <c r="B140" s="1429"/>
      <c r="C140" s="1431"/>
      <c r="D140" s="1433"/>
      <c r="E140" s="1448"/>
      <c r="F140" s="1063" t="s">
        <v>69</v>
      </c>
      <c r="G140" s="203"/>
      <c r="H140" s="157" t="s">
        <v>383</v>
      </c>
      <c r="I140" s="1085" t="s">
        <v>1195</v>
      </c>
      <c r="J140" s="448" t="s">
        <v>480</v>
      </c>
      <c r="K140" s="158" t="s">
        <v>467</v>
      </c>
      <c r="L140" s="151"/>
      <c r="M140" s="151"/>
      <c r="N140" s="151"/>
      <c r="O140" s="151"/>
      <c r="P140" s="164"/>
      <c r="Q140" s="634" t="s">
        <v>1069</v>
      </c>
      <c r="R140" s="633" t="s">
        <v>1070</v>
      </c>
      <c r="S140" s="642"/>
      <c r="T140" s="634" t="s">
        <v>1071</v>
      </c>
      <c r="U140" s="634"/>
      <c r="V140" s="635" t="s">
        <v>138</v>
      </c>
      <c r="W140" s="688" t="s">
        <v>1608</v>
      </c>
      <c r="X140" s="645"/>
      <c r="Y140" s="729">
        <v>0.54800000000000004</v>
      </c>
      <c r="Z140" s="761">
        <v>-11907.465410000001</v>
      </c>
      <c r="AA140" s="639">
        <f>Z140*Y140</f>
        <v>-6525.2910446800006</v>
      </c>
      <c r="AB140" s="639" t="s">
        <v>1623</v>
      </c>
      <c r="AC140" s="1107">
        <f>IF((AA140/SUM($AA$140:$AA$151)*Y140)+(AA142/SUM($AA$140:$AA$151)*Y142)+(AA143/SUM($AA$140:$AA$151)*Y143)+(AA144/SUM($AA$140:$AA$151)*Y144)+(AA145/SUM($AA$140:$AA$151)*Y145)+(AA146/SUM($AA$140:$AA$151)*Y146)+(AA151/SUM($AA$140:$AA$151)*Y151)&gt;100%,100%,(AA140/SUM($AA$140:$AA$151)*Y140)+(AA142/SUM($AA$140:$AA$151)*Y142)+(AA143/SUM($AA$140:$AA$151)*Y143)+(AA144/SUM($AA$140:$AA$151)*Y144)+(AA145/SUM($AA$140:$AA$151)*Y145)+(AA146/SUM($AA$140:$AA$151)*Y146)+(AA151/SUM($AA$140:$AA$151)*Y151))</f>
        <v>0.52850938613764376</v>
      </c>
      <c r="AD140" s="1020">
        <f>SUM(Z140:Z151)</f>
        <v>-13682.081210629633</v>
      </c>
      <c r="AE140" s="1020">
        <f>AC140*AD140</f>
        <v>-7231.1083417152568</v>
      </c>
      <c r="AF140" s="737" t="s">
        <v>1072</v>
      </c>
      <c r="AG140" s="738" t="s">
        <v>115</v>
      </c>
      <c r="AH140" s="640" t="s">
        <v>1073</v>
      </c>
      <c r="AI140" s="654" t="s">
        <v>1074</v>
      </c>
      <c r="AJ140" s="421">
        <v>94634</v>
      </c>
      <c r="AK140" s="269" t="s">
        <v>1075</v>
      </c>
      <c r="AL140" s="278" t="s">
        <v>1072</v>
      </c>
      <c r="AM140" s="278" t="s">
        <v>349</v>
      </c>
      <c r="AN140" s="292">
        <f t="shared" si="26"/>
        <v>0.27400000000000002</v>
      </c>
      <c r="AO140" s="281">
        <f t="shared" si="27"/>
        <v>-5953.7327050000004</v>
      </c>
      <c r="AP140" s="282">
        <f t="shared" si="28"/>
        <v>-1631.3227611700001</v>
      </c>
      <c r="AQ140" s="282">
        <f t="shared" ref="AQ140:AQ146" si="29">IF(AA140&gt;0,AA140,IF(AM140="низкая",AA140*$AR$40,IF(AM140="средняя",AA140*$AS$40,IF(AM140="высокая",AA140*$AT$40))))</f>
        <v>-3262.6455223400003</v>
      </c>
      <c r="AR140" s="1082">
        <f>IF((AP140/SUM($AA$140:$AA$151)*AN140)+(AP142/SUM($AA$140:$AA$151)*AN142)+(AP143/SUM($AA$140:$AA$151)*AN143)+(AP144/SUM($AA$140:$AA$151)*AN144)+(AP145/SUM($AA$140:$AA$151)*AN145)+(AP146/SUM($AA$140:$AA$151)*AN146)+(AP151/SUM($AA$140:$AA$151)*AN151)&gt;100%,100%,(AP140/SUM($AA$140:$AA$151)*AN140)+(AP142/SUM($AA$140:$AA$151)*AN142)+(AP143/SUM($AA$140:$AA$151)*AN143)+(AP144/SUM($AA$140:$AA$151)*AN144)+(AP145/SUM($AA$140:$AA$151)*AN145)+(AP146/SUM($AA$140:$AA$151)*AN146)+(AP151/SUM($AA$140:$AA$151)*AN151))</f>
        <v>8.3145837273494741E-2</v>
      </c>
      <c r="AS140" s="1024">
        <f>SUM(AO140:AO151)</f>
        <v>-7444.5336908148165</v>
      </c>
      <c r="AT140" s="1024">
        <f>SUM(AQ140:AQ151)</f>
        <v>-4187.696824450165</v>
      </c>
    </row>
    <row r="141" spans="2:46" s="4" customFormat="1" ht="405.75" customHeight="1">
      <c r="B141" s="1429"/>
      <c r="C141" s="1431"/>
      <c r="D141" s="1433"/>
      <c r="E141" s="1448"/>
      <c r="F141" s="1064"/>
      <c r="G141" s="203"/>
      <c r="H141" s="157" t="s">
        <v>469</v>
      </c>
      <c r="I141" s="1087"/>
      <c r="J141" s="448" t="s">
        <v>480</v>
      </c>
      <c r="K141" s="158" t="s">
        <v>468</v>
      </c>
      <c r="L141" s="151"/>
      <c r="M141" s="151"/>
      <c r="N141" s="151"/>
      <c r="O141" s="151"/>
      <c r="P141" s="164"/>
      <c r="Q141" s="634" t="s">
        <v>1076</v>
      </c>
      <c r="R141" s="633" t="s">
        <v>1077</v>
      </c>
      <c r="S141" s="642"/>
      <c r="T141" s="634" t="s">
        <v>1071</v>
      </c>
      <c r="U141" s="634"/>
      <c r="V141" s="635" t="s">
        <v>138</v>
      </c>
      <c r="W141" s="748" t="s">
        <v>1609</v>
      </c>
      <c r="X141" s="645"/>
      <c r="Y141" s="729">
        <v>0.60299999999999998</v>
      </c>
      <c r="Z141" s="739">
        <v>-750</v>
      </c>
      <c r="AA141" s="639">
        <f>Z141*Y141</f>
        <v>-452.25</v>
      </c>
      <c r="AB141" s="639" t="s">
        <v>1624</v>
      </c>
      <c r="AC141" s="1108"/>
      <c r="AD141" s="1021"/>
      <c r="AE141" s="1021"/>
      <c r="AF141" s="737" t="s">
        <v>1072</v>
      </c>
      <c r="AG141" s="738" t="s">
        <v>115</v>
      </c>
      <c r="AH141" s="640" t="s">
        <v>1073</v>
      </c>
      <c r="AI141" s="749" t="s">
        <v>1078</v>
      </c>
      <c r="AJ141" s="421">
        <v>1501</v>
      </c>
      <c r="AK141" s="269" t="s">
        <v>1075</v>
      </c>
      <c r="AL141" s="278" t="s">
        <v>1072</v>
      </c>
      <c r="AM141" s="278" t="s">
        <v>348</v>
      </c>
      <c r="AN141" s="292">
        <f>IF(Z141&gt;0,Y141,IF(AM141="низкая",Y141*$AR$40,IF(AM141="средняя",Y141*$AS$40,IF(AM141="высокая",Y141*$AT$40,0))))</f>
        <v>0.60299999999999998</v>
      </c>
      <c r="AO141" s="281">
        <f>IF(Z141&gt;0,Z141,IF($AM141="низкая",Z141*$AR$40,IF(AM141="средняя",Z141*$AS$40,IF(AM141="высокая",Z141*$AT$40,0))))</f>
        <v>-750</v>
      </c>
      <c r="AP141" s="282">
        <f>AN141*AO141</f>
        <v>-452.25</v>
      </c>
      <c r="AQ141" s="282">
        <f>IF(AA141&gt;0,AA141,IF(AM141="низкая",AA141*$AR$40,IF(AM141="средняя",AA141*$AS$40,IF(AM141="высокая",AA141*$AT$40))))</f>
        <v>-452.25</v>
      </c>
      <c r="AR141" s="1083"/>
      <c r="AS141" s="1025"/>
      <c r="AT141" s="1025"/>
    </row>
    <row r="142" spans="2:46" s="4" customFormat="1" ht="225.75" customHeight="1">
      <c r="B142" s="1429"/>
      <c r="C142" s="1431"/>
      <c r="D142" s="1433"/>
      <c r="E142" s="1448"/>
      <c r="F142" s="1064"/>
      <c r="G142" s="203"/>
      <c r="H142" s="157" t="s">
        <v>470</v>
      </c>
      <c r="I142" s="1086"/>
      <c r="J142" s="448" t="s">
        <v>480</v>
      </c>
      <c r="K142" s="158" t="s">
        <v>1079</v>
      </c>
      <c r="L142" s="151"/>
      <c r="M142" s="151"/>
      <c r="N142" s="151"/>
      <c r="O142" s="151"/>
      <c r="P142" s="164"/>
      <c r="Q142" s="634" t="s">
        <v>1080</v>
      </c>
      <c r="R142" s="634" t="s">
        <v>1081</v>
      </c>
      <c r="S142" s="642"/>
      <c r="T142" s="634" t="s">
        <v>1082</v>
      </c>
      <c r="U142" s="634"/>
      <c r="V142" s="635" t="s">
        <v>138</v>
      </c>
      <c r="W142" s="636" t="s">
        <v>1625</v>
      </c>
      <c r="X142" s="645"/>
      <c r="Y142" s="729">
        <v>0.54847566100344269</v>
      </c>
      <c r="Z142" s="761">
        <v>-376.24222300000002</v>
      </c>
      <c r="AA142" s="639">
        <f t="shared" ref="AA142:AA151" si="30">Z142*Y142</f>
        <v>-206.35970195732969</v>
      </c>
      <c r="AB142" s="639"/>
      <c r="AC142" s="1108"/>
      <c r="AD142" s="1021"/>
      <c r="AE142" s="1021"/>
      <c r="AF142" s="737"/>
      <c r="AG142" s="738"/>
      <c r="AH142" s="640"/>
      <c r="AI142" s="749" t="s">
        <v>1083</v>
      </c>
      <c r="AJ142" s="421"/>
      <c r="AK142" s="269" t="s">
        <v>507</v>
      </c>
      <c r="AL142" s="56"/>
      <c r="AM142" s="278" t="s">
        <v>348</v>
      </c>
      <c r="AN142" s="292">
        <f t="shared" si="26"/>
        <v>0.54847566100344269</v>
      </c>
      <c r="AO142" s="281">
        <f t="shared" si="27"/>
        <v>-376.24222300000002</v>
      </c>
      <c r="AP142" s="282">
        <f t="shared" si="28"/>
        <v>-206.35970195732969</v>
      </c>
      <c r="AQ142" s="282">
        <f t="shared" si="29"/>
        <v>-206.35970195732969</v>
      </c>
      <c r="AR142" s="1083"/>
      <c r="AS142" s="1025"/>
      <c r="AT142" s="1025"/>
    </row>
    <row r="143" spans="2:46" s="4" customFormat="1" ht="298.5" customHeight="1">
      <c r="B143" s="1429"/>
      <c r="C143" s="1431"/>
      <c r="D143" s="1433"/>
      <c r="E143" s="1448"/>
      <c r="F143" s="1064"/>
      <c r="G143" s="203"/>
      <c r="H143" s="157" t="s">
        <v>471</v>
      </c>
      <c r="I143" s="1085" t="s">
        <v>1195</v>
      </c>
      <c r="J143" s="448" t="s">
        <v>480</v>
      </c>
      <c r="K143" s="158" t="s">
        <v>505</v>
      </c>
      <c r="L143" s="151"/>
      <c r="M143" s="151"/>
      <c r="N143" s="151"/>
      <c r="O143" s="151"/>
      <c r="P143" s="164"/>
      <c r="Q143" s="634" t="s">
        <v>1084</v>
      </c>
      <c r="R143" s="634" t="s">
        <v>1085</v>
      </c>
      <c r="S143" s="642"/>
      <c r="T143" s="634" t="s">
        <v>1086</v>
      </c>
      <c r="U143" s="634"/>
      <c r="V143" s="635" t="s">
        <v>138</v>
      </c>
      <c r="W143" s="750" t="s">
        <v>1087</v>
      </c>
      <c r="X143" s="645"/>
      <c r="Y143" s="729">
        <v>0.76</v>
      </c>
      <c r="Z143" s="761">
        <v>-563.62962962962956</v>
      </c>
      <c r="AA143" s="639">
        <f t="shared" si="30"/>
        <v>-428.35851851851845</v>
      </c>
      <c r="AB143" s="639" t="s">
        <v>1626</v>
      </c>
      <c r="AC143" s="1108"/>
      <c r="AD143" s="1021"/>
      <c r="AE143" s="1021"/>
      <c r="AF143" s="737"/>
      <c r="AG143" s="738"/>
      <c r="AH143" s="640"/>
      <c r="AI143" s="697" t="s">
        <v>1088</v>
      </c>
      <c r="AJ143" s="425"/>
      <c r="AK143" s="1156" t="s">
        <v>480</v>
      </c>
      <c r="AL143" s="56"/>
      <c r="AM143" s="278" t="s">
        <v>349</v>
      </c>
      <c r="AN143" s="292">
        <f t="shared" si="26"/>
        <v>0.38</v>
      </c>
      <c r="AO143" s="281">
        <f t="shared" si="27"/>
        <v>-281.81481481481478</v>
      </c>
      <c r="AP143" s="282">
        <f t="shared" si="28"/>
        <v>-107.08962962962961</v>
      </c>
      <c r="AQ143" s="282">
        <f t="shared" si="29"/>
        <v>-214.17925925925923</v>
      </c>
      <c r="AR143" s="1083"/>
      <c r="AS143" s="1025"/>
      <c r="AT143" s="1025"/>
    </row>
    <row r="144" spans="2:46" s="4" customFormat="1" ht="289.5" customHeight="1">
      <c r="B144" s="1429"/>
      <c r="C144" s="1431"/>
      <c r="D144" s="1433"/>
      <c r="E144" s="1448"/>
      <c r="F144" s="1064"/>
      <c r="G144" s="203"/>
      <c r="H144" s="157" t="s">
        <v>472</v>
      </c>
      <c r="I144" s="1086"/>
      <c r="J144" s="448" t="s">
        <v>480</v>
      </c>
      <c r="K144" s="158" t="s">
        <v>508</v>
      </c>
      <c r="L144" s="151"/>
      <c r="M144" s="151"/>
      <c r="N144" s="151"/>
      <c r="O144" s="151"/>
      <c r="P144" s="164"/>
      <c r="Q144" s="634" t="s">
        <v>1089</v>
      </c>
      <c r="R144" s="634" t="s">
        <v>1249</v>
      </c>
      <c r="S144" s="642"/>
      <c r="T144" s="634" t="s">
        <v>1086</v>
      </c>
      <c r="U144" s="634"/>
      <c r="V144" s="635" t="s">
        <v>138</v>
      </c>
      <c r="W144" s="697" t="s">
        <v>1090</v>
      </c>
      <c r="X144" s="645"/>
      <c r="Y144" s="729">
        <v>0.72015262164601623</v>
      </c>
      <c r="Z144" s="739">
        <v>-69</v>
      </c>
      <c r="AA144" s="639">
        <f t="shared" si="30"/>
        <v>-49.690530893575122</v>
      </c>
      <c r="AB144" s="639" t="s">
        <v>1627</v>
      </c>
      <c r="AC144" s="1108"/>
      <c r="AD144" s="1021"/>
      <c r="AE144" s="1021"/>
      <c r="AF144" s="737"/>
      <c r="AG144" s="738"/>
      <c r="AH144" s="640"/>
      <c r="AI144" s="654" t="s">
        <v>1091</v>
      </c>
      <c r="AJ144" s="426"/>
      <c r="AK144" s="1157"/>
      <c r="AL144" s="56"/>
      <c r="AM144" s="278" t="s">
        <v>348</v>
      </c>
      <c r="AN144" s="292">
        <f t="shared" si="26"/>
        <v>0.72015262164601623</v>
      </c>
      <c r="AO144" s="281">
        <f t="shared" si="27"/>
        <v>-69</v>
      </c>
      <c r="AP144" s="282">
        <f t="shared" si="28"/>
        <v>-49.690530893575122</v>
      </c>
      <c r="AQ144" s="282">
        <f t="shared" si="29"/>
        <v>-49.690530893575122</v>
      </c>
      <c r="AR144" s="1083"/>
      <c r="AS144" s="1025"/>
      <c r="AT144" s="1025"/>
    </row>
    <row r="145" spans="2:46" s="4" customFormat="1" ht="173.25" customHeight="1">
      <c r="B145" s="1429"/>
      <c r="C145" s="1431"/>
      <c r="D145" s="1433"/>
      <c r="E145" s="1448"/>
      <c r="F145" s="1064"/>
      <c r="G145" s="203"/>
      <c r="H145" s="1010" t="s">
        <v>473</v>
      </c>
      <c r="I145" s="1085" t="s">
        <v>1196</v>
      </c>
      <c r="J145" s="1040" t="s">
        <v>480</v>
      </c>
      <c r="K145" s="984" t="s">
        <v>506</v>
      </c>
      <c r="L145" s="151"/>
      <c r="M145" s="151"/>
      <c r="N145" s="151"/>
      <c r="O145" s="151"/>
      <c r="P145" s="164"/>
      <c r="Q145" s="634" t="s">
        <v>1092</v>
      </c>
      <c r="R145" s="642" t="s">
        <v>1093</v>
      </c>
      <c r="S145" s="642"/>
      <c r="T145" s="634"/>
      <c r="U145" s="634"/>
      <c r="V145" s="635" t="s">
        <v>138</v>
      </c>
      <c r="W145" s="688" t="s">
        <v>513</v>
      </c>
      <c r="X145" s="645"/>
      <c r="Y145" s="751">
        <v>0.4</v>
      </c>
      <c r="Z145" s="739">
        <v>-4</v>
      </c>
      <c r="AA145" s="639">
        <f t="shared" si="30"/>
        <v>-1.6</v>
      </c>
      <c r="AB145" s="752" t="s">
        <v>1628</v>
      </c>
      <c r="AC145" s="1108"/>
      <c r="AD145" s="1021"/>
      <c r="AE145" s="1021"/>
      <c r="AF145" s="737"/>
      <c r="AG145" s="738"/>
      <c r="AH145" s="640"/>
      <c r="AI145" s="753" t="s">
        <v>1110</v>
      </c>
      <c r="AJ145" s="425"/>
      <c r="AK145" s="1157"/>
      <c r="AL145" s="56"/>
      <c r="AM145" s="278" t="s">
        <v>349</v>
      </c>
      <c r="AN145" s="292">
        <f t="shared" si="26"/>
        <v>0.2</v>
      </c>
      <c r="AO145" s="281">
        <f t="shared" si="27"/>
        <v>-2</v>
      </c>
      <c r="AP145" s="282">
        <f t="shared" si="28"/>
        <v>-0.4</v>
      </c>
      <c r="AQ145" s="282">
        <f t="shared" si="29"/>
        <v>-0.8</v>
      </c>
      <c r="AR145" s="1083"/>
      <c r="AS145" s="1025"/>
      <c r="AT145" s="1025"/>
    </row>
    <row r="146" spans="2:46" s="4" customFormat="1" ht="246" customHeight="1">
      <c r="B146" s="1429"/>
      <c r="C146" s="1431"/>
      <c r="D146" s="1433"/>
      <c r="E146" s="1448"/>
      <c r="F146" s="1064"/>
      <c r="G146" s="203"/>
      <c r="H146" s="1014"/>
      <c r="I146" s="1087"/>
      <c r="J146" s="1041"/>
      <c r="K146" s="985"/>
      <c r="L146" s="151"/>
      <c r="M146" s="151"/>
      <c r="N146" s="151"/>
      <c r="O146" s="151"/>
      <c r="P146" s="164"/>
      <c r="Q146" s="634" t="s">
        <v>1094</v>
      </c>
      <c r="R146" s="642" t="s">
        <v>1095</v>
      </c>
      <c r="S146" s="642"/>
      <c r="T146" s="634"/>
      <c r="U146" s="634"/>
      <c r="V146" s="635" t="s">
        <v>138</v>
      </c>
      <c r="W146" s="688" t="s">
        <v>1102</v>
      </c>
      <c r="X146" s="645"/>
      <c r="Y146" s="751">
        <v>0.4</v>
      </c>
      <c r="Z146" s="739">
        <v>-4.3479999999999999</v>
      </c>
      <c r="AA146" s="639">
        <f t="shared" si="30"/>
        <v>-1.7392000000000001</v>
      </c>
      <c r="AB146" s="754" t="s">
        <v>1105</v>
      </c>
      <c r="AC146" s="1108"/>
      <c r="AD146" s="1021"/>
      <c r="AE146" s="1021"/>
      <c r="AF146" s="737"/>
      <c r="AG146" s="738"/>
      <c r="AH146" s="640"/>
      <c r="AI146" s="697" t="s">
        <v>1111</v>
      </c>
      <c r="AJ146" s="425"/>
      <c r="AK146" s="1157"/>
      <c r="AL146" s="56"/>
      <c r="AM146" s="278" t="s">
        <v>348</v>
      </c>
      <c r="AN146" s="292">
        <f t="shared" si="26"/>
        <v>0.4</v>
      </c>
      <c r="AO146" s="281">
        <f t="shared" si="27"/>
        <v>-4.3479999999999999</v>
      </c>
      <c r="AP146" s="282">
        <f t="shared" si="28"/>
        <v>-1.7392000000000001</v>
      </c>
      <c r="AQ146" s="282">
        <f t="shared" si="29"/>
        <v>-1.7392000000000001</v>
      </c>
      <c r="AR146" s="1083"/>
      <c r="AS146" s="1025"/>
      <c r="AT146" s="1025"/>
    </row>
    <row r="147" spans="2:46" s="4" customFormat="1" ht="220.2" customHeight="1">
      <c r="B147" s="1429"/>
      <c r="C147" s="1431"/>
      <c r="D147" s="1433"/>
      <c r="E147" s="1448"/>
      <c r="F147" s="1064"/>
      <c r="G147" s="203"/>
      <c r="H147" s="1014"/>
      <c r="I147" s="1087"/>
      <c r="J147" s="1041"/>
      <c r="K147" s="985"/>
      <c r="L147" s="151"/>
      <c r="M147" s="151"/>
      <c r="N147" s="151"/>
      <c r="O147" s="151"/>
      <c r="P147" s="164"/>
      <c r="Q147" s="634" t="s">
        <v>1096</v>
      </c>
      <c r="R147" s="642" t="s">
        <v>1097</v>
      </c>
      <c r="S147" s="642"/>
      <c r="T147" s="634"/>
      <c r="U147" s="634"/>
      <c r="V147" s="635" t="s">
        <v>138</v>
      </c>
      <c r="W147" s="688" t="s">
        <v>514</v>
      </c>
      <c r="X147" s="645"/>
      <c r="Y147" s="751">
        <v>0.25</v>
      </c>
      <c r="Z147" s="739">
        <v>-3.2610000000000001</v>
      </c>
      <c r="AA147" s="639">
        <f t="shared" si="30"/>
        <v>-0.81525000000000003</v>
      </c>
      <c r="AB147" s="755" t="s">
        <v>1106</v>
      </c>
      <c r="AC147" s="1108"/>
      <c r="AD147" s="1021"/>
      <c r="AE147" s="1021"/>
      <c r="AF147" s="737"/>
      <c r="AG147" s="738"/>
      <c r="AH147" s="640"/>
      <c r="AI147" s="697" t="s">
        <v>1112</v>
      </c>
      <c r="AJ147" s="425"/>
      <c r="AK147" s="1157"/>
      <c r="AL147" s="56"/>
      <c r="AM147" s="278" t="s">
        <v>348</v>
      </c>
      <c r="AN147" s="292">
        <f t="shared" si="26"/>
        <v>0.25</v>
      </c>
      <c r="AO147" s="281">
        <f t="shared" si="27"/>
        <v>-3.2610000000000001</v>
      </c>
      <c r="AP147" s="282">
        <f t="shared" si="28"/>
        <v>-0.81525000000000003</v>
      </c>
      <c r="AQ147" s="282"/>
      <c r="AR147" s="1083"/>
      <c r="AS147" s="1025"/>
      <c r="AT147" s="1025"/>
    </row>
    <row r="148" spans="2:46" s="4" customFormat="1" ht="162" customHeight="1">
      <c r="B148" s="1429"/>
      <c r="C148" s="1431"/>
      <c r="D148" s="1433"/>
      <c r="E148" s="1448"/>
      <c r="F148" s="1064"/>
      <c r="G148" s="203"/>
      <c r="H148" s="1014"/>
      <c r="I148" s="1087"/>
      <c r="J148" s="1041"/>
      <c r="K148" s="985"/>
      <c r="L148" s="151"/>
      <c r="M148" s="151"/>
      <c r="N148" s="151"/>
      <c r="O148" s="151"/>
      <c r="P148" s="164"/>
      <c r="Q148" s="634" t="s">
        <v>509</v>
      </c>
      <c r="R148" s="719" t="s">
        <v>1098</v>
      </c>
      <c r="S148" s="719"/>
      <c r="T148" s="634"/>
      <c r="U148" s="634"/>
      <c r="V148" s="635" t="s">
        <v>138</v>
      </c>
      <c r="W148" s="688"/>
      <c r="X148" s="645"/>
      <c r="Y148" s="751">
        <v>0.05</v>
      </c>
      <c r="Z148" s="739">
        <v>-2.1739999999999999</v>
      </c>
      <c r="AA148" s="639">
        <f t="shared" si="30"/>
        <v>-0.1087</v>
      </c>
      <c r="AB148" s="756" t="s">
        <v>1107</v>
      </c>
      <c r="AC148" s="1108"/>
      <c r="AD148" s="1021"/>
      <c r="AE148" s="1021"/>
      <c r="AF148" s="737"/>
      <c r="AG148" s="738"/>
      <c r="AH148" s="640"/>
      <c r="AI148" s="654" t="s">
        <v>1113</v>
      </c>
      <c r="AJ148" s="427"/>
      <c r="AK148" s="1157"/>
      <c r="AL148" s="56"/>
      <c r="AM148" s="278" t="s">
        <v>348</v>
      </c>
      <c r="AN148" s="292">
        <f t="shared" si="26"/>
        <v>0.05</v>
      </c>
      <c r="AO148" s="281">
        <f t="shared" si="27"/>
        <v>-2.1739999999999999</v>
      </c>
      <c r="AP148" s="282">
        <f t="shared" si="28"/>
        <v>-0.1087</v>
      </c>
      <c r="AQ148" s="282"/>
      <c r="AR148" s="1083"/>
      <c r="AS148" s="1025"/>
      <c r="AT148" s="1025"/>
    </row>
    <row r="149" spans="2:46" s="4" customFormat="1" ht="162" customHeight="1">
      <c r="B149" s="1429"/>
      <c r="C149" s="1431"/>
      <c r="D149" s="1433"/>
      <c r="E149" s="1448"/>
      <c r="F149" s="1064"/>
      <c r="G149" s="203"/>
      <c r="H149" s="1014"/>
      <c r="I149" s="1087"/>
      <c r="J149" s="1041"/>
      <c r="K149" s="985"/>
      <c r="L149" s="151"/>
      <c r="M149" s="151"/>
      <c r="N149" s="151"/>
      <c r="O149" s="151"/>
      <c r="P149" s="164"/>
      <c r="Q149" s="634" t="s">
        <v>510</v>
      </c>
      <c r="R149" s="642" t="s">
        <v>1099</v>
      </c>
      <c r="S149" s="642"/>
      <c r="T149" s="634"/>
      <c r="U149" s="634"/>
      <c r="V149" s="635" t="s">
        <v>138</v>
      </c>
      <c r="W149" s="688" t="s">
        <v>515</v>
      </c>
      <c r="X149" s="645"/>
      <c r="Y149" s="751">
        <v>0.05</v>
      </c>
      <c r="Z149" s="739">
        <v>-0.65654799999999991</v>
      </c>
      <c r="AA149" s="639">
        <f t="shared" si="30"/>
        <v>-3.28274E-2</v>
      </c>
      <c r="AB149" s="757" t="s">
        <v>1108</v>
      </c>
      <c r="AC149" s="1108"/>
      <c r="AD149" s="1021"/>
      <c r="AE149" s="1021"/>
      <c r="AF149" s="737"/>
      <c r="AG149" s="738"/>
      <c r="AH149" s="640"/>
      <c r="AI149" s="654" t="s">
        <v>1114</v>
      </c>
      <c r="AJ149" s="427"/>
      <c r="AK149" s="1157"/>
      <c r="AL149" s="56"/>
      <c r="AM149" s="278" t="s">
        <v>348</v>
      </c>
      <c r="AN149" s="292">
        <f t="shared" si="26"/>
        <v>0.05</v>
      </c>
      <c r="AO149" s="281">
        <f t="shared" si="27"/>
        <v>-0.65654799999999991</v>
      </c>
      <c r="AP149" s="282">
        <f t="shared" si="28"/>
        <v>-3.28274E-2</v>
      </c>
      <c r="AQ149" s="282"/>
      <c r="AR149" s="1083"/>
      <c r="AS149" s="1025"/>
      <c r="AT149" s="1025"/>
    </row>
    <row r="150" spans="2:46" s="4" customFormat="1" ht="162" customHeight="1">
      <c r="B150" s="1429"/>
      <c r="C150" s="1431"/>
      <c r="D150" s="1433"/>
      <c r="E150" s="1448"/>
      <c r="F150" s="1064"/>
      <c r="G150" s="203"/>
      <c r="H150" s="1014"/>
      <c r="I150" s="1087"/>
      <c r="J150" s="1041"/>
      <c r="K150" s="985"/>
      <c r="L150" s="151"/>
      <c r="M150" s="151"/>
      <c r="N150" s="151"/>
      <c r="O150" s="151"/>
      <c r="P150" s="164"/>
      <c r="Q150" s="634" t="s">
        <v>511</v>
      </c>
      <c r="R150" s="642" t="s">
        <v>1100</v>
      </c>
      <c r="S150" s="642"/>
      <c r="T150" s="634"/>
      <c r="U150" s="634"/>
      <c r="V150" s="635" t="s">
        <v>138</v>
      </c>
      <c r="W150" s="688" t="s">
        <v>1103</v>
      </c>
      <c r="X150" s="645"/>
      <c r="Y150" s="751">
        <v>0.05</v>
      </c>
      <c r="Z150" s="739">
        <v>-0.6522</v>
      </c>
      <c r="AA150" s="639">
        <f t="shared" si="30"/>
        <v>-3.261E-2</v>
      </c>
      <c r="AB150" s="754"/>
      <c r="AC150" s="1108"/>
      <c r="AD150" s="1021"/>
      <c r="AE150" s="1021"/>
      <c r="AF150" s="737"/>
      <c r="AG150" s="738"/>
      <c r="AH150" s="640"/>
      <c r="AI150" s="654" t="s">
        <v>1115</v>
      </c>
      <c r="AJ150" s="427"/>
      <c r="AK150" s="1157"/>
      <c r="AL150" s="56"/>
      <c r="AM150" s="278" t="s">
        <v>348</v>
      </c>
      <c r="AN150" s="292">
        <f t="shared" si="26"/>
        <v>0.05</v>
      </c>
      <c r="AO150" s="281">
        <f t="shared" si="27"/>
        <v>-0.6522</v>
      </c>
      <c r="AP150" s="282">
        <f t="shared" si="28"/>
        <v>-3.261E-2</v>
      </c>
      <c r="AQ150" s="282"/>
      <c r="AR150" s="1083"/>
      <c r="AS150" s="1025"/>
      <c r="AT150" s="1025"/>
    </row>
    <row r="151" spans="2:46" s="4" customFormat="1" ht="182.1" customHeight="1">
      <c r="B151" s="1429"/>
      <c r="C151" s="1431"/>
      <c r="D151" s="1433"/>
      <c r="E151" s="1448"/>
      <c r="F151" s="1065"/>
      <c r="G151" s="203"/>
      <c r="H151" s="1011"/>
      <c r="I151" s="1086"/>
      <c r="J151" s="1042"/>
      <c r="K151" s="986"/>
      <c r="L151" s="151"/>
      <c r="M151" s="151"/>
      <c r="N151" s="151"/>
      <c r="O151" s="151"/>
      <c r="P151" s="164"/>
      <c r="Q151" s="634" t="s">
        <v>512</v>
      </c>
      <c r="R151" s="642" t="s">
        <v>1101</v>
      </c>
      <c r="S151" s="642"/>
      <c r="T151" s="634"/>
      <c r="U151" s="634"/>
      <c r="V151" s="635" t="s">
        <v>138</v>
      </c>
      <c r="W151" s="688" t="s">
        <v>1104</v>
      </c>
      <c r="X151" s="645"/>
      <c r="Y151" s="751">
        <v>0.05</v>
      </c>
      <c r="Z151" s="739">
        <v>-0.6522</v>
      </c>
      <c r="AA151" s="639">
        <f t="shared" si="30"/>
        <v>-3.261E-2</v>
      </c>
      <c r="AB151" s="758" t="s">
        <v>1109</v>
      </c>
      <c r="AC151" s="1109"/>
      <c r="AD151" s="1022"/>
      <c r="AE151" s="1022"/>
      <c r="AF151" s="737"/>
      <c r="AG151" s="738"/>
      <c r="AH151" s="640"/>
      <c r="AI151" s="759" t="s">
        <v>1116</v>
      </c>
      <c r="AJ151" s="425"/>
      <c r="AK151" s="1158"/>
      <c r="AL151" s="56"/>
      <c r="AM151" s="278" t="s">
        <v>348</v>
      </c>
      <c r="AN151" s="292">
        <f t="shared" si="26"/>
        <v>0.05</v>
      </c>
      <c r="AO151" s="281">
        <f t="shared" si="27"/>
        <v>-0.6522</v>
      </c>
      <c r="AP151" s="282">
        <f t="shared" si="28"/>
        <v>-3.261E-2</v>
      </c>
      <c r="AQ151" s="282">
        <f>IF(AA151&gt;0,AA151,IF(AM151="низкая",AA151*$AR$40,IF(AM151="средняя",AA151*$AS$40,IF(AM151="высокая",AA151*$AT$40))))</f>
        <v>-3.261E-2</v>
      </c>
      <c r="AR151" s="1084"/>
      <c r="AS151" s="1026"/>
      <c r="AT151" s="1026"/>
    </row>
    <row r="152" spans="2:46" s="4" customFormat="1" ht="409.5" customHeight="1">
      <c r="B152" s="1429"/>
      <c r="C152" s="1431"/>
      <c r="D152" s="1433"/>
      <c r="E152" s="1448"/>
      <c r="F152" s="1063" t="s">
        <v>79</v>
      </c>
      <c r="G152" s="1435"/>
      <c r="H152" s="1010" t="s">
        <v>305</v>
      </c>
      <c r="I152" s="1040" t="s">
        <v>177</v>
      </c>
      <c r="J152" s="1040" t="s">
        <v>248</v>
      </c>
      <c r="K152" s="984" t="s">
        <v>306</v>
      </c>
      <c r="L152" s="151"/>
      <c r="M152" s="151"/>
      <c r="N152" s="151"/>
      <c r="O152" s="151"/>
      <c r="P152" s="164"/>
      <c r="Q152" s="634" t="s">
        <v>1630</v>
      </c>
      <c r="R152" s="642"/>
      <c r="S152" s="642"/>
      <c r="T152" s="634"/>
      <c r="U152" s="636"/>
      <c r="V152" s="635" t="s">
        <v>130</v>
      </c>
      <c r="W152" s="636"/>
      <c r="X152" s="645"/>
      <c r="Y152" s="760">
        <v>0.6</v>
      </c>
      <c r="Z152" s="761">
        <v>-6056</v>
      </c>
      <c r="AA152" s="639">
        <f>Y152*Z152</f>
        <v>-3633.6</v>
      </c>
      <c r="AB152" s="723"/>
      <c r="AC152" s="1101">
        <f>AA152/(SUM($AA$152:$AA$153))*Y152+AA153/(SUM($AA$152:$AA$153))*Y153</f>
        <v>0.59222100961904522</v>
      </c>
      <c r="AD152" s="1104">
        <f>SUM(Z152:Z155)</f>
        <v>-6669</v>
      </c>
      <c r="AE152" s="1104">
        <f>AC152*AD152</f>
        <v>-3949.5219131494127</v>
      </c>
      <c r="AF152" s="737"/>
      <c r="AG152" s="738"/>
      <c r="AH152" s="640"/>
      <c r="AI152" s="675" t="s">
        <v>1486</v>
      </c>
      <c r="AJ152" s="275"/>
      <c r="AK152" s="276"/>
      <c r="AL152" s="278">
        <v>2023</v>
      </c>
      <c r="AM152" s="278" t="s">
        <v>349</v>
      </c>
      <c r="AN152" s="293">
        <f t="shared" si="26"/>
        <v>0.3</v>
      </c>
      <c r="AO152" s="281">
        <f t="shared" si="27"/>
        <v>-3028</v>
      </c>
      <c r="AP152" s="282">
        <f t="shared" si="28"/>
        <v>-908.4</v>
      </c>
      <c r="AQ152" s="282">
        <f>IF(AA152&gt;0,AA152,IF(AM152="низкая",AA152*$AR$40,IF(AM152="средняя",AA152*$AS$40,IF(AM152="высокая",AA152*$AT$40))))</f>
        <v>-1816.8</v>
      </c>
      <c r="AR152" s="1150" t="e">
        <f>AP152/(SUM($AA$152:$AA$153))*AN152+AP153/(SUM($AA$152:$AA$153))*AN153+#REF!/(SUM($AA$152:$AA$153))*#REF!</f>
        <v>#REF!</v>
      </c>
      <c r="AS152" s="1147">
        <f>SUM(AO152:AO155)</f>
        <v>-3641</v>
      </c>
      <c r="AT152" s="1147">
        <f>SUM(AQ152:AQ155)</f>
        <v>-2123.3000000000002</v>
      </c>
    </row>
    <row r="153" spans="2:46" s="4" customFormat="1" ht="123.75" customHeight="1">
      <c r="B153" s="1429"/>
      <c r="C153" s="1431"/>
      <c r="D153" s="1433"/>
      <c r="E153" s="1448"/>
      <c r="F153" s="1064"/>
      <c r="G153" s="1436"/>
      <c r="H153" s="1014"/>
      <c r="I153" s="1041"/>
      <c r="J153" s="1041"/>
      <c r="K153" s="985"/>
      <c r="L153" s="297"/>
      <c r="M153" s="297"/>
      <c r="N153" s="297"/>
      <c r="O153" s="297"/>
      <c r="P153" s="298"/>
      <c r="Q153" s="634" t="s">
        <v>919</v>
      </c>
      <c r="R153" s="642"/>
      <c r="S153" s="642"/>
      <c r="T153" s="634"/>
      <c r="U153" s="636"/>
      <c r="V153" s="635" t="s">
        <v>130</v>
      </c>
      <c r="W153" s="636"/>
      <c r="X153" s="645"/>
      <c r="Y153" s="760">
        <v>0.5</v>
      </c>
      <c r="Z153" s="761">
        <v>-613</v>
      </c>
      <c r="AA153" s="639">
        <f>Y153*Z153</f>
        <v>-306.5</v>
      </c>
      <c r="AB153" s="762"/>
      <c r="AC153" s="1102"/>
      <c r="AD153" s="1105"/>
      <c r="AE153" s="1105"/>
      <c r="AF153" s="737"/>
      <c r="AG153" s="738"/>
      <c r="AH153" s="640"/>
      <c r="AI153" s="675" t="s">
        <v>1487</v>
      </c>
      <c r="AJ153" s="275"/>
      <c r="AK153" s="276"/>
      <c r="AL153" s="278"/>
      <c r="AM153" s="278" t="s">
        <v>348</v>
      </c>
      <c r="AN153" s="293">
        <f>IF(Z153&gt;0,Y153,IF(AM153="низкая",Y153*$AR$40,IF(AM153="средняя",Y153*$AS$40,IF(AM153="высокая",Y153*$AT$40,0))))</f>
        <v>0.5</v>
      </c>
      <c r="AO153" s="281">
        <f>IF(Z153&gt;0,Z153,IF($AM153="низкая",Z153*$AR$40,IF(AM153="средняя",Z153*$AS$40,IF(AM153="высокая",Z153*$AT$40,0))))</f>
        <v>-613</v>
      </c>
      <c r="AP153" s="282">
        <f>AN153*AO153</f>
        <v>-306.5</v>
      </c>
      <c r="AQ153" s="282">
        <f>IF(AA153&gt;0,AA153,IF(AM153="низкая",AA153*$AR$40,IF(AM153="средняя",AA153*$AS$40,IF(AM153="высокая",AA153*$AT$40))))</f>
        <v>-306.5</v>
      </c>
      <c r="AR153" s="1151"/>
      <c r="AS153" s="1148"/>
      <c r="AT153" s="1148"/>
    </row>
    <row r="154" spans="2:46" s="4" customFormat="1" ht="204.75" customHeight="1">
      <c r="B154" s="1429"/>
      <c r="C154" s="1431"/>
      <c r="D154" s="1433"/>
      <c r="E154" s="1448"/>
      <c r="F154" s="1064"/>
      <c r="G154" s="203"/>
      <c r="H154" s="157" t="s">
        <v>324</v>
      </c>
      <c r="I154" s="440" t="s">
        <v>1060</v>
      </c>
      <c r="J154" s="448" t="s">
        <v>480</v>
      </c>
      <c r="K154" s="187" t="s">
        <v>858</v>
      </c>
      <c r="L154" s="297"/>
      <c r="M154" s="297"/>
      <c r="N154" s="297"/>
      <c r="O154" s="297"/>
      <c r="P154" s="298"/>
      <c r="Q154" s="634" t="s">
        <v>1638</v>
      </c>
      <c r="R154" s="633" t="s">
        <v>1634</v>
      </c>
      <c r="S154" s="642"/>
      <c r="T154" s="634"/>
      <c r="U154" s="636"/>
      <c r="V154" s="635" t="s">
        <v>138</v>
      </c>
      <c r="W154" s="636"/>
      <c r="X154" s="634"/>
      <c r="Y154" s="760">
        <v>0.3</v>
      </c>
      <c r="Z154" s="761"/>
      <c r="AA154" s="639"/>
      <c r="AB154" s="723"/>
      <c r="AC154" s="1102"/>
      <c r="AD154" s="1105"/>
      <c r="AE154" s="1105"/>
      <c r="AF154" s="737"/>
      <c r="AG154" s="738"/>
      <c r="AH154" s="640"/>
      <c r="AI154" s="675" t="s">
        <v>1639</v>
      </c>
      <c r="AJ154" s="275"/>
      <c r="AK154" s="276" t="s">
        <v>175</v>
      </c>
      <c r="AL154" s="278" t="s">
        <v>555</v>
      </c>
      <c r="AM154" s="278" t="s">
        <v>348</v>
      </c>
      <c r="AN154" s="293"/>
      <c r="AO154" s="281"/>
      <c r="AP154" s="282"/>
      <c r="AQ154" s="282"/>
      <c r="AR154" s="1151"/>
      <c r="AS154" s="1148"/>
      <c r="AT154" s="1148"/>
    </row>
    <row r="155" spans="2:46" s="4" customFormat="1" ht="190.2" customHeight="1">
      <c r="B155" s="1429"/>
      <c r="C155" s="1431"/>
      <c r="D155" s="1433"/>
      <c r="E155" s="1448"/>
      <c r="F155" s="1064"/>
      <c r="G155" s="203"/>
      <c r="H155" s="157" t="s">
        <v>325</v>
      </c>
      <c r="I155" s="440" t="s">
        <v>1392</v>
      </c>
      <c r="J155" s="440" t="s">
        <v>1061</v>
      </c>
      <c r="K155" s="435" t="s">
        <v>1187</v>
      </c>
      <c r="L155" s="297">
        <v>0</v>
      </c>
      <c r="M155" s="297">
        <v>0</v>
      </c>
      <c r="N155" s="297">
        <v>0</v>
      </c>
      <c r="O155" s="297">
        <v>0</v>
      </c>
      <c r="P155" s="297"/>
      <c r="Q155" s="634" t="s">
        <v>1188</v>
      </c>
      <c r="R155" s="634" t="s">
        <v>1203</v>
      </c>
      <c r="S155" s="642"/>
      <c r="T155" s="634" t="s">
        <v>1062</v>
      </c>
      <c r="U155" s="636"/>
      <c r="V155" s="635" t="s">
        <v>474</v>
      </c>
      <c r="W155" s="636" t="s">
        <v>1063</v>
      </c>
      <c r="X155" s="634"/>
      <c r="Y155" s="760">
        <v>0.01</v>
      </c>
      <c r="Z155" s="761"/>
      <c r="AA155" s="639"/>
      <c r="AB155" s="723"/>
      <c r="AC155" s="1102"/>
      <c r="AD155" s="1105"/>
      <c r="AE155" s="1105"/>
      <c r="AF155" s="737" t="s">
        <v>555</v>
      </c>
      <c r="AG155" s="738" t="s">
        <v>115</v>
      </c>
      <c r="AH155" s="640"/>
      <c r="AI155" s="682" t="s">
        <v>1204</v>
      </c>
      <c r="AJ155" s="275"/>
      <c r="AK155" s="276"/>
      <c r="AL155" s="278"/>
      <c r="AM155" s="278"/>
      <c r="AN155" s="293"/>
      <c r="AO155" s="281"/>
      <c r="AP155" s="282"/>
      <c r="AQ155" s="282"/>
      <c r="AR155" s="1152"/>
      <c r="AS155" s="1149"/>
      <c r="AT155" s="1149"/>
    </row>
    <row r="156" spans="2:46" s="4" customFormat="1" ht="104.25" customHeight="1">
      <c r="B156" s="1429"/>
      <c r="C156" s="1431"/>
      <c r="D156" s="1433"/>
      <c r="E156" s="1448"/>
      <c r="F156" s="1064"/>
      <c r="G156" s="203"/>
      <c r="H156" s="1010" t="s">
        <v>1400</v>
      </c>
      <c r="I156" s="1469" t="s">
        <v>1194</v>
      </c>
      <c r="J156" s="1472" t="s">
        <v>1554</v>
      </c>
      <c r="K156" s="1052" t="s">
        <v>1401</v>
      </c>
      <c r="L156" s="994"/>
      <c r="M156" s="994"/>
      <c r="N156" s="994"/>
      <c r="O156" s="994"/>
      <c r="P156" s="994"/>
      <c r="Q156" s="634" t="s">
        <v>1402</v>
      </c>
      <c r="R156" s="634"/>
      <c r="S156" s="642"/>
      <c r="T156" s="634"/>
      <c r="U156" s="636"/>
      <c r="V156" s="635" t="s">
        <v>474</v>
      </c>
      <c r="W156" s="636"/>
      <c r="X156" s="763"/>
      <c r="Y156" s="760"/>
      <c r="Z156" s="761"/>
      <c r="AA156" s="639"/>
      <c r="AB156" s="723"/>
      <c r="AC156" s="1102"/>
      <c r="AD156" s="1105"/>
      <c r="AE156" s="1105"/>
      <c r="AF156" s="737"/>
      <c r="AG156" s="738"/>
      <c r="AH156" s="640"/>
      <c r="AI156" s="764"/>
      <c r="AJ156" s="275"/>
      <c r="AK156" s="276"/>
      <c r="AL156" s="278"/>
      <c r="AM156" s="278"/>
      <c r="AN156" s="293"/>
      <c r="AO156" s="281"/>
      <c r="AP156" s="282"/>
      <c r="AQ156" s="282"/>
      <c r="AR156" s="568"/>
      <c r="AS156" s="567"/>
      <c r="AT156" s="567"/>
    </row>
    <row r="157" spans="2:46" s="4" customFormat="1" ht="104.25" customHeight="1">
      <c r="B157" s="1429"/>
      <c r="C157" s="1431"/>
      <c r="D157" s="1433"/>
      <c r="E157" s="1448"/>
      <c r="F157" s="1064"/>
      <c r="G157" s="203"/>
      <c r="H157" s="1014"/>
      <c r="I157" s="1470"/>
      <c r="J157" s="1473"/>
      <c r="K157" s="1053"/>
      <c r="L157" s="995"/>
      <c r="M157" s="995"/>
      <c r="N157" s="995"/>
      <c r="O157" s="995"/>
      <c r="P157" s="995"/>
      <c r="Q157" s="634" t="s">
        <v>1403</v>
      </c>
      <c r="R157" s="634"/>
      <c r="S157" s="642"/>
      <c r="T157" s="634"/>
      <c r="U157" s="636"/>
      <c r="V157" s="635" t="s">
        <v>474</v>
      </c>
      <c r="W157" s="636"/>
      <c r="X157" s="763"/>
      <c r="Y157" s="760"/>
      <c r="Z157" s="761"/>
      <c r="AA157" s="639"/>
      <c r="AB157" s="723"/>
      <c r="AC157" s="1102"/>
      <c r="AD157" s="1105"/>
      <c r="AE157" s="1105"/>
      <c r="AF157" s="737"/>
      <c r="AG157" s="738"/>
      <c r="AH157" s="640"/>
      <c r="AI157" s="764"/>
      <c r="AJ157" s="275"/>
      <c r="AK157" s="276"/>
      <c r="AL157" s="278"/>
      <c r="AM157" s="278"/>
      <c r="AN157" s="293"/>
      <c r="AO157" s="281"/>
      <c r="AP157" s="282"/>
      <c r="AQ157" s="282"/>
      <c r="AR157" s="568"/>
      <c r="AS157" s="567"/>
      <c r="AT157" s="567"/>
    </row>
    <row r="158" spans="2:46" s="4" customFormat="1" ht="104.25" customHeight="1">
      <c r="B158" s="1429"/>
      <c r="C158" s="1431"/>
      <c r="D158" s="1433"/>
      <c r="E158" s="1448"/>
      <c r="F158" s="1065"/>
      <c r="G158" s="203"/>
      <c r="H158" s="1011"/>
      <c r="I158" s="1471"/>
      <c r="J158" s="1474"/>
      <c r="K158" s="1054"/>
      <c r="L158" s="996"/>
      <c r="M158" s="996"/>
      <c r="N158" s="996"/>
      <c r="O158" s="996"/>
      <c r="P158" s="996"/>
      <c r="Q158" s="634" t="s">
        <v>1404</v>
      </c>
      <c r="R158" s="634" t="s">
        <v>1405</v>
      </c>
      <c r="S158" s="642"/>
      <c r="T158" s="634"/>
      <c r="U158" s="636"/>
      <c r="V158" s="635" t="s">
        <v>138</v>
      </c>
      <c r="W158" s="636"/>
      <c r="X158" s="763"/>
      <c r="Y158" s="760"/>
      <c r="Z158" s="761"/>
      <c r="AA158" s="639"/>
      <c r="AB158" s="723"/>
      <c r="AC158" s="1103"/>
      <c r="AD158" s="1106"/>
      <c r="AE158" s="1106"/>
      <c r="AF158" s="737"/>
      <c r="AG158" s="738"/>
      <c r="AH158" s="640"/>
      <c r="AI158" s="764"/>
      <c r="AJ158" s="275"/>
      <c r="AK158" s="276"/>
      <c r="AL158" s="278"/>
      <c r="AM158" s="278"/>
      <c r="AN158" s="293"/>
      <c r="AO158" s="281"/>
      <c r="AP158" s="282"/>
      <c r="AQ158" s="282"/>
      <c r="AR158" s="568"/>
      <c r="AS158" s="567"/>
      <c r="AT158" s="567"/>
    </row>
    <row r="159" spans="2:46" s="4" customFormat="1" ht="209.25" customHeight="1">
      <c r="B159" s="1429"/>
      <c r="C159" s="1431"/>
      <c r="D159" s="1433"/>
      <c r="E159" s="1448"/>
      <c r="F159" s="1068" t="s">
        <v>78</v>
      </c>
      <c r="G159" s="1435"/>
      <c r="H159" s="157" t="s">
        <v>207</v>
      </c>
      <c r="I159" s="1028" t="s">
        <v>158</v>
      </c>
      <c r="J159" s="1028" t="s">
        <v>1205</v>
      </c>
      <c r="K159" s="435" t="s">
        <v>1130</v>
      </c>
      <c r="L159" s="987"/>
      <c r="M159" s="987"/>
      <c r="N159" s="987"/>
      <c r="O159" s="987"/>
      <c r="P159" s="987"/>
      <c r="Q159" s="634" t="s">
        <v>1019</v>
      </c>
      <c r="R159" s="642"/>
      <c r="S159" s="642"/>
      <c r="T159" s="634"/>
      <c r="U159" s="634"/>
      <c r="V159" s="635" t="s">
        <v>130</v>
      </c>
      <c r="W159" s="636" t="s">
        <v>1022</v>
      </c>
      <c r="X159" s="645"/>
      <c r="Y159" s="703">
        <v>0.25</v>
      </c>
      <c r="Z159" s="639">
        <v>0</v>
      </c>
      <c r="AA159" s="639">
        <f>Y159*Z159</f>
        <v>0</v>
      </c>
      <c r="AB159" s="639"/>
      <c r="AC159" s="1110">
        <f>(Y159+Y160+Y161)/3</f>
        <v>0.25</v>
      </c>
      <c r="AD159" s="1000">
        <f>Z159+Z160+Z161</f>
        <v>0</v>
      </c>
      <c r="AE159" s="1000">
        <f>AC159*AD159</f>
        <v>0</v>
      </c>
      <c r="AF159" s="737"/>
      <c r="AG159" s="738"/>
      <c r="AH159" s="640"/>
      <c r="AI159" s="765" t="s">
        <v>1023</v>
      </c>
      <c r="AJ159" s="262"/>
      <c r="AK159" s="1007" t="s">
        <v>1205</v>
      </c>
      <c r="AL159" s="56"/>
      <c r="AM159" s="278" t="s">
        <v>349</v>
      </c>
      <c r="AN159" s="279">
        <f t="shared" si="26"/>
        <v>0.125</v>
      </c>
      <c r="AO159" s="281">
        <f t="shared" si="27"/>
        <v>0</v>
      </c>
      <c r="AP159" s="282">
        <f t="shared" si="28"/>
        <v>0</v>
      </c>
      <c r="AQ159" s="282">
        <f t="shared" ref="AQ159:AQ170" si="31">IF(AA159&gt;0,AA159,IF(AM159="низкая",AA159*$AR$40,IF(AM159="средняя",AA159*$AS$40,IF(AM159="высокая",AA159*$AT$40))))</f>
        <v>0</v>
      </c>
      <c r="AR159" s="1043">
        <f>(AN159+AN160+AN161)/3</f>
        <v>0.20833333333333334</v>
      </c>
      <c r="AS159" s="997">
        <f>AP159+AP160+AP161</f>
        <v>0</v>
      </c>
      <c r="AT159" s="997">
        <f>AR159*AS159</f>
        <v>0</v>
      </c>
    </row>
    <row r="160" spans="2:46" s="4" customFormat="1" ht="162.9" customHeight="1">
      <c r="B160" s="1429"/>
      <c r="C160" s="1431"/>
      <c r="D160" s="1433"/>
      <c r="E160" s="1448"/>
      <c r="F160" s="1068"/>
      <c r="G160" s="1436"/>
      <c r="H160" s="157" t="s">
        <v>208</v>
      </c>
      <c r="I160" s="1028"/>
      <c r="J160" s="1028"/>
      <c r="K160" s="435" t="s">
        <v>1017</v>
      </c>
      <c r="L160" s="988"/>
      <c r="M160" s="988"/>
      <c r="N160" s="988"/>
      <c r="O160" s="988"/>
      <c r="P160" s="988"/>
      <c r="Q160" s="634" t="s">
        <v>1020</v>
      </c>
      <c r="R160" s="642"/>
      <c r="S160" s="642"/>
      <c r="T160" s="634"/>
      <c r="U160" s="634"/>
      <c r="V160" s="635" t="s">
        <v>130</v>
      </c>
      <c r="W160" s="636" t="s">
        <v>1022</v>
      </c>
      <c r="X160" s="645"/>
      <c r="Y160" s="729">
        <v>0.25</v>
      </c>
      <c r="Z160" s="639">
        <v>0</v>
      </c>
      <c r="AA160" s="639">
        <f>Y160*Z160</f>
        <v>0</v>
      </c>
      <c r="AB160" s="639"/>
      <c r="AC160" s="1110"/>
      <c r="AD160" s="1000"/>
      <c r="AE160" s="1000"/>
      <c r="AF160" s="737"/>
      <c r="AG160" s="738"/>
      <c r="AH160" s="640"/>
      <c r="AI160" s="765" t="s">
        <v>1024</v>
      </c>
      <c r="AJ160" s="262"/>
      <c r="AK160" s="1007"/>
      <c r="AL160" s="56"/>
      <c r="AM160" s="278" t="s">
        <v>348</v>
      </c>
      <c r="AN160" s="292">
        <f t="shared" si="26"/>
        <v>0.25</v>
      </c>
      <c r="AO160" s="281">
        <f t="shared" si="27"/>
        <v>0</v>
      </c>
      <c r="AP160" s="282">
        <f t="shared" si="28"/>
        <v>0</v>
      </c>
      <c r="AQ160" s="282">
        <f t="shared" si="31"/>
        <v>0</v>
      </c>
      <c r="AR160" s="1043"/>
      <c r="AS160" s="997"/>
      <c r="AT160" s="997"/>
    </row>
    <row r="161" spans="2:46" s="4" customFormat="1" ht="147.6" customHeight="1">
      <c r="B161" s="1429"/>
      <c r="C161" s="1431"/>
      <c r="D161" s="1433"/>
      <c r="E161" s="1448"/>
      <c r="F161" s="1068"/>
      <c r="G161" s="1450"/>
      <c r="H161" s="157" t="s">
        <v>209</v>
      </c>
      <c r="I161" s="1028"/>
      <c r="J161" s="1028"/>
      <c r="K161" s="435" t="s">
        <v>1210</v>
      </c>
      <c r="L161" s="989"/>
      <c r="M161" s="989"/>
      <c r="N161" s="989"/>
      <c r="O161" s="989"/>
      <c r="P161" s="989"/>
      <c r="Q161" s="634" t="s">
        <v>1021</v>
      </c>
      <c r="R161" s="642"/>
      <c r="S161" s="642"/>
      <c r="T161" s="634"/>
      <c r="U161" s="634"/>
      <c r="V161" s="635" t="s">
        <v>130</v>
      </c>
      <c r="W161" s="636" t="s">
        <v>1022</v>
      </c>
      <c r="X161" s="645"/>
      <c r="Y161" s="729">
        <v>0.25</v>
      </c>
      <c r="Z161" s="639">
        <v>0</v>
      </c>
      <c r="AA161" s="639">
        <f>Y161*Z161</f>
        <v>0</v>
      </c>
      <c r="AB161" s="639"/>
      <c r="AC161" s="1110"/>
      <c r="AD161" s="1000"/>
      <c r="AE161" s="1000"/>
      <c r="AF161" s="737"/>
      <c r="AG161" s="738"/>
      <c r="AH161" s="640"/>
      <c r="AI161" s="765" t="s">
        <v>1025</v>
      </c>
      <c r="AJ161" s="262"/>
      <c r="AK161" s="1007"/>
      <c r="AL161" s="56"/>
      <c r="AM161" s="278" t="s">
        <v>348</v>
      </c>
      <c r="AN161" s="292">
        <f t="shared" si="26"/>
        <v>0.25</v>
      </c>
      <c r="AO161" s="281">
        <f t="shared" si="27"/>
        <v>0</v>
      </c>
      <c r="AP161" s="282">
        <f t="shared" si="28"/>
        <v>0</v>
      </c>
      <c r="AQ161" s="282">
        <f t="shared" si="31"/>
        <v>0</v>
      </c>
      <c r="AR161" s="1043"/>
      <c r="AS161" s="997"/>
      <c r="AT161" s="997"/>
    </row>
    <row r="162" spans="2:46" s="4" customFormat="1" ht="232.5" customHeight="1">
      <c r="B162" s="1429"/>
      <c r="C162" s="1431"/>
      <c r="D162" s="1433"/>
      <c r="E162" s="1448"/>
      <c r="F162" s="1063" t="s">
        <v>128</v>
      </c>
      <c r="G162" s="1437" t="s">
        <v>262</v>
      </c>
      <c r="H162" s="1476" t="s">
        <v>227</v>
      </c>
      <c r="I162" s="1088" t="s">
        <v>177</v>
      </c>
      <c r="J162" s="160" t="s">
        <v>247</v>
      </c>
      <c r="K162" s="1001" t="s">
        <v>162</v>
      </c>
      <c r="L162" s="993"/>
      <c r="M162" s="993"/>
      <c r="N162" s="993"/>
      <c r="O162" s="993"/>
      <c r="P162" s="993"/>
      <c r="Q162" s="642" t="s">
        <v>1631</v>
      </c>
      <c r="R162" s="642"/>
      <c r="S162" s="642"/>
      <c r="T162" s="634"/>
      <c r="U162" s="634"/>
      <c r="V162" s="635" t="s">
        <v>130</v>
      </c>
      <c r="W162" s="636"/>
      <c r="X162" s="645"/>
      <c r="Y162" s="729">
        <v>0.4</v>
      </c>
      <c r="Z162" s="639">
        <v>-9817.5</v>
      </c>
      <c r="AA162" s="639">
        <f>Y162*Z162</f>
        <v>-3927</v>
      </c>
      <c r="AB162" s="639"/>
      <c r="AC162" s="998">
        <f>(AA162/SUM($AA$162:$AA$164)*Y162)+(AA163/SUM(AA162:AA164)*Y163)+(AA164/SUM(AA162:AA164)*Y164)</f>
        <v>0.53775113536229191</v>
      </c>
      <c r="AD162" s="999">
        <f>Z162+Z163+Z164</f>
        <v>-15253.264999999999</v>
      </c>
      <c r="AE162" s="1000">
        <f>AC162*AD162</f>
        <v>-8202.46057173191</v>
      </c>
      <c r="AF162" s="645"/>
      <c r="AG162" s="645"/>
      <c r="AH162" s="640"/>
      <c r="AI162" s="675" t="s">
        <v>1488</v>
      </c>
      <c r="AJ162" s="275"/>
      <c r="AK162" s="1045" t="s">
        <v>742</v>
      </c>
      <c r="AL162" s="274">
        <v>2021</v>
      </c>
      <c r="AM162" s="278" t="s">
        <v>349</v>
      </c>
      <c r="AN162" s="292">
        <f t="shared" si="26"/>
        <v>0.2</v>
      </c>
      <c r="AO162" s="281">
        <f t="shared" si="27"/>
        <v>-4908.75</v>
      </c>
      <c r="AP162" s="282">
        <f t="shared" si="28"/>
        <v>-981.75</v>
      </c>
      <c r="AQ162" s="282">
        <f t="shared" si="31"/>
        <v>-1963.5</v>
      </c>
      <c r="AR162" s="1002">
        <f>(AP162/SUM($AA$162:$AA$164)*AN162)+(AP163/SUM(AP162:AP164)*AN163)+(AP164/SUM(AP162:AP164)*AN164)</f>
        <v>0.56670303014481749</v>
      </c>
      <c r="AS162" s="1003">
        <f>AO162+AO163+AO164</f>
        <v>-10344.514999999999</v>
      </c>
      <c r="AT162" s="997">
        <f>SUM(AQ162:AQ164)</f>
        <v>-5557.1555749999998</v>
      </c>
    </row>
    <row r="163" spans="2:46" s="4" customFormat="1" ht="182.25" customHeight="1">
      <c r="B163" s="1429"/>
      <c r="C163" s="1431"/>
      <c r="D163" s="1433"/>
      <c r="E163" s="1448"/>
      <c r="F163" s="1064"/>
      <c r="G163" s="1438"/>
      <c r="H163" s="1476"/>
      <c r="I163" s="1088"/>
      <c r="J163" s="160" t="s">
        <v>247</v>
      </c>
      <c r="K163" s="1001"/>
      <c r="L163" s="993"/>
      <c r="M163" s="993"/>
      <c r="N163" s="993"/>
      <c r="O163" s="993"/>
      <c r="P163" s="993"/>
      <c r="Q163" s="634" t="s">
        <v>1642</v>
      </c>
      <c r="R163" s="634"/>
      <c r="S163" s="642"/>
      <c r="T163" s="634"/>
      <c r="U163" s="634"/>
      <c r="V163" s="635" t="s">
        <v>130</v>
      </c>
      <c r="W163" s="636" t="s">
        <v>1319</v>
      </c>
      <c r="X163" s="645"/>
      <c r="Y163" s="768">
        <v>0.95499999999999996</v>
      </c>
      <c r="Z163" s="639">
        <v>-935.76499999999999</v>
      </c>
      <c r="AA163" s="639">
        <f>Z163*Y163</f>
        <v>-893.655575</v>
      </c>
      <c r="AB163" s="639" t="s">
        <v>626</v>
      </c>
      <c r="AC163" s="998"/>
      <c r="AD163" s="999"/>
      <c r="AE163" s="1000"/>
      <c r="AF163" s="645"/>
      <c r="AG163" s="645"/>
      <c r="AH163" s="769"/>
      <c r="AI163" s="682" t="s">
        <v>1207</v>
      </c>
      <c r="AJ163" s="383"/>
      <c r="AK163" s="1045"/>
      <c r="AL163" s="274" t="s">
        <v>743</v>
      </c>
      <c r="AM163" s="278" t="s">
        <v>348</v>
      </c>
      <c r="AN163" s="294">
        <f t="shared" si="26"/>
        <v>0.95499999999999996</v>
      </c>
      <c r="AO163" s="281">
        <f t="shared" si="27"/>
        <v>-935.76499999999999</v>
      </c>
      <c r="AP163" s="282">
        <f t="shared" si="28"/>
        <v>-893.655575</v>
      </c>
      <c r="AQ163" s="282">
        <f t="shared" si="31"/>
        <v>-893.655575</v>
      </c>
      <c r="AR163" s="1002"/>
      <c r="AS163" s="1003"/>
      <c r="AT163" s="997"/>
    </row>
    <row r="164" spans="2:46" s="4" customFormat="1" ht="295.5" customHeight="1">
      <c r="B164" s="1429"/>
      <c r="C164" s="1431"/>
      <c r="D164" s="1433"/>
      <c r="E164" s="1448"/>
      <c r="F164" s="1064"/>
      <c r="G164" s="1438"/>
      <c r="H164" s="1476"/>
      <c r="I164" s="1088"/>
      <c r="J164" s="160" t="s">
        <v>247</v>
      </c>
      <c r="K164" s="1001"/>
      <c r="L164" s="993"/>
      <c r="M164" s="993"/>
      <c r="N164" s="993"/>
      <c r="O164" s="993"/>
      <c r="P164" s="993"/>
      <c r="Q164" s="634" t="s">
        <v>1640</v>
      </c>
      <c r="R164" s="642"/>
      <c r="S164" s="642"/>
      <c r="T164" s="634"/>
      <c r="U164" s="634"/>
      <c r="V164" s="725" t="s">
        <v>130</v>
      </c>
      <c r="W164" s="636"/>
      <c r="X164" s="645"/>
      <c r="Y164" s="768">
        <v>0.6</v>
      </c>
      <c r="Z164" s="639">
        <v>-4500</v>
      </c>
      <c r="AA164" s="639">
        <f>Z164*Y164</f>
        <v>-2700</v>
      </c>
      <c r="AB164" s="639" t="s">
        <v>626</v>
      </c>
      <c r="AC164" s="998"/>
      <c r="AD164" s="999"/>
      <c r="AE164" s="1000"/>
      <c r="AF164" s="645"/>
      <c r="AG164" s="645"/>
      <c r="AH164" s="769"/>
      <c r="AI164" s="741" t="s">
        <v>1643</v>
      </c>
      <c r="AJ164" s="382"/>
      <c r="AK164" s="1045"/>
      <c r="AL164" s="56"/>
      <c r="AM164" s="278" t="s">
        <v>348</v>
      </c>
      <c r="AN164" s="294">
        <f>IF(Z164&gt;0,Y164,IF(AM164="низкая",Y164*$AR$40,IF(AM164="средняя",Y164*$AS$40,IF(AM164="высокая",Y164*$AT$40,0))))</f>
        <v>0.6</v>
      </c>
      <c r="AO164" s="281">
        <f>IF(Z164&gt;0,Z164,IF($AM164="низкая",Z164*$AR$40,IF(AM164="средняя",Z164*$AS$40,IF(AM164="высокая",Z164*$AT$40,0))))</f>
        <v>-4500</v>
      </c>
      <c r="AP164" s="282">
        <f>AN164*AO164</f>
        <v>-2700</v>
      </c>
      <c r="AQ164" s="282">
        <f t="shared" si="31"/>
        <v>-2700</v>
      </c>
      <c r="AR164" s="1002"/>
      <c r="AS164" s="1003"/>
      <c r="AT164" s="997"/>
    </row>
    <row r="165" spans="2:46" s="4" customFormat="1" ht="268.5" customHeight="1">
      <c r="B165" s="1429"/>
      <c r="C165" s="1431"/>
      <c r="D165" s="1433"/>
      <c r="E165" s="1448"/>
      <c r="F165" s="1064"/>
      <c r="G165" s="1438"/>
      <c r="H165" s="165" t="s">
        <v>228</v>
      </c>
      <c r="I165" s="1088"/>
      <c r="J165" s="160" t="s">
        <v>1633</v>
      </c>
      <c r="K165" s="158" t="s">
        <v>1632</v>
      </c>
      <c r="L165" s="151"/>
      <c r="M165" s="151"/>
      <c r="N165" s="151"/>
      <c r="O165" s="151"/>
      <c r="P165" s="164"/>
      <c r="Q165" s="642" t="s">
        <v>1644</v>
      </c>
      <c r="R165" s="642"/>
      <c r="S165" s="642"/>
      <c r="T165" s="634"/>
      <c r="U165" s="634"/>
      <c r="V165" s="635" t="s">
        <v>130</v>
      </c>
      <c r="W165" s="636"/>
      <c r="X165" s="645"/>
      <c r="Y165" s="726">
        <v>0.7</v>
      </c>
      <c r="Z165" s="639">
        <f>-2*425-2158</f>
        <v>-3008</v>
      </c>
      <c r="AA165" s="639">
        <f>Z165*Y165</f>
        <v>-2105.6</v>
      </c>
      <c r="AB165" s="639"/>
      <c r="AC165" s="679">
        <f>Y165</f>
        <v>0.7</v>
      </c>
      <c r="AD165" s="706">
        <f>Z165</f>
        <v>-3008</v>
      </c>
      <c r="AE165" s="770">
        <f>AC165*AD165</f>
        <v>-2105.6</v>
      </c>
      <c r="AF165" s="645"/>
      <c r="AG165" s="645"/>
      <c r="AH165" s="769"/>
      <c r="AI165" s="741" t="s">
        <v>1641</v>
      </c>
      <c r="AJ165" s="382"/>
      <c r="AK165" s="268" t="s">
        <v>248</v>
      </c>
      <c r="AL165" s="56"/>
      <c r="AM165" s="278" t="s">
        <v>349</v>
      </c>
      <c r="AN165" s="283">
        <f t="shared" si="26"/>
        <v>0.35</v>
      </c>
      <c r="AO165" s="281">
        <f t="shared" si="27"/>
        <v>-1504</v>
      </c>
      <c r="AP165" s="282">
        <f t="shared" si="28"/>
        <v>-526.4</v>
      </c>
      <c r="AQ165" s="282">
        <f t="shared" si="31"/>
        <v>-1052.8</v>
      </c>
      <c r="AR165" s="175">
        <f t="shared" ref="AR165:AR170" si="32">AN165</f>
        <v>0.35</v>
      </c>
      <c r="AS165" s="176">
        <f t="shared" ref="AS165:AS170" si="33">AP165</f>
        <v>-526.4</v>
      </c>
      <c r="AT165" s="176">
        <f t="shared" ref="AT165:AT191" si="34">AQ165</f>
        <v>-1052.8</v>
      </c>
    </row>
    <row r="166" spans="2:46" s="4" customFormat="1" ht="191.1" customHeight="1">
      <c r="B166" s="1429"/>
      <c r="C166" s="1431"/>
      <c r="D166" s="1433"/>
      <c r="E166" s="1448"/>
      <c r="F166" s="1064"/>
      <c r="G166" s="1438"/>
      <c r="H166" s="165" t="s">
        <v>229</v>
      </c>
      <c r="I166" s="163" t="s">
        <v>1194</v>
      </c>
      <c r="J166" s="160" t="s">
        <v>238</v>
      </c>
      <c r="K166" s="158" t="s">
        <v>34</v>
      </c>
      <c r="L166" s="151"/>
      <c r="M166" s="151"/>
      <c r="N166" s="151"/>
      <c r="O166" s="151"/>
      <c r="P166" s="164"/>
      <c r="Q166" s="634" t="s">
        <v>35</v>
      </c>
      <c r="R166" s="642"/>
      <c r="S166" s="642"/>
      <c r="T166" s="634"/>
      <c r="U166" s="634"/>
      <c r="V166" s="635" t="s">
        <v>130</v>
      </c>
      <c r="W166" s="636"/>
      <c r="X166" s="645"/>
      <c r="Y166" s="638">
        <v>0.25</v>
      </c>
      <c r="Z166" s="771">
        <v>-8907.4</v>
      </c>
      <c r="AA166" s="639">
        <f t="shared" ref="AA166:AA175" si="35">Y166*Z166</f>
        <v>-2226.85</v>
      </c>
      <c r="AB166" s="639"/>
      <c r="AC166" s="766">
        <f t="shared" ref="AC166:AC174" si="36">Y166</f>
        <v>0.25</v>
      </c>
      <c r="AD166" s="767">
        <f>Z166</f>
        <v>-8907.4</v>
      </c>
      <c r="AE166" s="706">
        <f t="shared" ref="AE166:AE174" si="37">AC166*AD166</f>
        <v>-2226.85</v>
      </c>
      <c r="AF166" s="645"/>
      <c r="AG166" s="645"/>
      <c r="AH166" s="769"/>
      <c r="AI166" s="675" t="s">
        <v>1190</v>
      </c>
      <c r="AJ166" s="262"/>
      <c r="AK166" s="274" t="s">
        <v>238</v>
      </c>
      <c r="AL166" s="56"/>
      <c r="AM166" s="278" t="s">
        <v>348</v>
      </c>
      <c r="AN166" s="280">
        <f t="shared" si="26"/>
        <v>0.25</v>
      </c>
      <c r="AO166" s="281">
        <f t="shared" si="27"/>
        <v>-8907.4</v>
      </c>
      <c r="AP166" s="282">
        <f t="shared" si="28"/>
        <v>-2226.85</v>
      </c>
      <c r="AQ166" s="282">
        <f t="shared" si="31"/>
        <v>-2226.85</v>
      </c>
      <c r="AR166" s="177">
        <f t="shared" si="32"/>
        <v>0.25</v>
      </c>
      <c r="AS166" s="179">
        <f t="shared" si="33"/>
        <v>-2226.85</v>
      </c>
      <c r="AT166" s="176">
        <f t="shared" si="34"/>
        <v>-2226.85</v>
      </c>
    </row>
    <row r="167" spans="2:46" s="4" customFormat="1" ht="409.5" customHeight="1">
      <c r="B167" s="1429"/>
      <c r="C167" s="1431"/>
      <c r="D167" s="1433"/>
      <c r="E167" s="1448"/>
      <c r="F167" s="1064"/>
      <c r="G167" s="1438"/>
      <c r="H167" s="165" t="s">
        <v>230</v>
      </c>
      <c r="I167" s="163" t="s">
        <v>177</v>
      </c>
      <c r="J167" s="160" t="s">
        <v>248</v>
      </c>
      <c r="K167" s="158" t="s">
        <v>388</v>
      </c>
      <c r="L167" s="151"/>
      <c r="M167" s="151"/>
      <c r="N167" s="151"/>
      <c r="O167" s="151"/>
      <c r="P167" s="166"/>
      <c r="Q167" s="642" t="s">
        <v>1637</v>
      </c>
      <c r="R167" s="642" t="s">
        <v>1636</v>
      </c>
      <c r="S167" s="642"/>
      <c r="T167" s="634"/>
      <c r="U167" s="634"/>
      <c r="V167" s="635" t="s">
        <v>130</v>
      </c>
      <c r="W167" s="636"/>
      <c r="X167" s="645"/>
      <c r="Y167" s="638">
        <v>0.4</v>
      </c>
      <c r="Z167" s="771">
        <f>-7753.848-26457.63</f>
        <v>-34211.478000000003</v>
      </c>
      <c r="AA167" s="639">
        <f t="shared" si="35"/>
        <v>-13684.591200000003</v>
      </c>
      <c r="AB167" s="639" t="s">
        <v>626</v>
      </c>
      <c r="AC167" s="766">
        <f t="shared" si="36"/>
        <v>0.4</v>
      </c>
      <c r="AD167" s="767">
        <f>Z167</f>
        <v>-34211.478000000003</v>
      </c>
      <c r="AE167" s="706">
        <f t="shared" si="37"/>
        <v>-13684.591200000003</v>
      </c>
      <c r="AF167" s="645"/>
      <c r="AG167" s="645"/>
      <c r="AH167" s="724"/>
      <c r="AI167" s="675" t="s">
        <v>1645</v>
      </c>
      <c r="AJ167" s="275"/>
      <c r="AK167" s="274" t="s">
        <v>742</v>
      </c>
      <c r="AL167" s="274">
        <v>2021</v>
      </c>
      <c r="AM167" s="278" t="s">
        <v>349</v>
      </c>
      <c r="AN167" s="280">
        <f t="shared" si="26"/>
        <v>0.2</v>
      </c>
      <c r="AO167" s="281">
        <f t="shared" si="27"/>
        <v>-17105.739000000001</v>
      </c>
      <c r="AP167" s="282">
        <f t="shared" si="28"/>
        <v>-3421.1478000000006</v>
      </c>
      <c r="AQ167" s="282">
        <f t="shared" si="31"/>
        <v>-6842.2956000000013</v>
      </c>
      <c r="AR167" s="177">
        <f t="shared" si="32"/>
        <v>0.2</v>
      </c>
      <c r="AS167" s="179">
        <f t="shared" si="33"/>
        <v>-3421.1478000000006</v>
      </c>
      <c r="AT167" s="176">
        <f t="shared" si="34"/>
        <v>-6842.2956000000013</v>
      </c>
    </row>
    <row r="168" spans="2:46" s="4" customFormat="1" ht="250.5" customHeight="1">
      <c r="B168" s="1429"/>
      <c r="C168" s="1431"/>
      <c r="D168" s="1433"/>
      <c r="E168" s="1448"/>
      <c r="F168" s="1064"/>
      <c r="G168" s="1438"/>
      <c r="H168" s="165" t="s">
        <v>231</v>
      </c>
      <c r="I168" s="160" t="s">
        <v>447</v>
      </c>
      <c r="J168" s="160" t="s">
        <v>529</v>
      </c>
      <c r="K168" s="158" t="s">
        <v>319</v>
      </c>
      <c r="L168" s="151"/>
      <c r="M168" s="151"/>
      <c r="N168" s="151"/>
      <c r="O168" s="151"/>
      <c r="P168" s="166"/>
      <c r="Q168" s="634" t="s">
        <v>65</v>
      </c>
      <c r="R168" s="772" t="s">
        <v>347</v>
      </c>
      <c r="S168" s="772"/>
      <c r="T168" s="773" t="s">
        <v>299</v>
      </c>
      <c r="U168" s="634"/>
      <c r="V168" s="635" t="s">
        <v>130</v>
      </c>
      <c r="W168" s="774" t="s">
        <v>300</v>
      </c>
      <c r="X168" s="645"/>
      <c r="Y168" s="729">
        <v>0.2</v>
      </c>
      <c r="Z168" s="775">
        <v>-231750</v>
      </c>
      <c r="AA168" s="639">
        <f t="shared" si="35"/>
        <v>-46350</v>
      </c>
      <c r="AB168" s="639"/>
      <c r="AC168" s="776">
        <f t="shared" si="36"/>
        <v>0.2</v>
      </c>
      <c r="AD168" s="706">
        <f>Z168</f>
        <v>-231750</v>
      </c>
      <c r="AE168" s="706">
        <f t="shared" si="37"/>
        <v>-46350</v>
      </c>
      <c r="AF168" s="645"/>
      <c r="AG168" s="645"/>
      <c r="AH168" s="724"/>
      <c r="AI168" s="675" t="s">
        <v>1171</v>
      </c>
      <c r="AJ168" s="262"/>
      <c r="AK168" s="274" t="s">
        <v>136</v>
      </c>
      <c r="AL168" s="56"/>
      <c r="AM168" s="278" t="s">
        <v>348</v>
      </c>
      <c r="AN168" s="292">
        <f t="shared" si="26"/>
        <v>0.2</v>
      </c>
      <c r="AO168" s="281">
        <f t="shared" si="27"/>
        <v>-231750</v>
      </c>
      <c r="AP168" s="282">
        <f t="shared" si="28"/>
        <v>-46350</v>
      </c>
      <c r="AQ168" s="282">
        <f t="shared" si="31"/>
        <v>-46350</v>
      </c>
      <c r="AR168" s="180">
        <f t="shared" si="32"/>
        <v>0.2</v>
      </c>
      <c r="AS168" s="176">
        <f t="shared" si="33"/>
        <v>-46350</v>
      </c>
      <c r="AT168" s="176">
        <f t="shared" si="34"/>
        <v>-46350</v>
      </c>
    </row>
    <row r="169" spans="2:46" s="4" customFormat="1" ht="225" customHeight="1">
      <c r="B169" s="1429"/>
      <c r="C169" s="1431"/>
      <c r="D169" s="1433"/>
      <c r="E169" s="1448"/>
      <c r="F169" s="1064"/>
      <c r="G169" s="1438"/>
      <c r="H169" s="165" t="s">
        <v>232</v>
      </c>
      <c r="I169" s="160" t="s">
        <v>447</v>
      </c>
      <c r="J169" s="160" t="s">
        <v>529</v>
      </c>
      <c r="K169" s="187" t="s">
        <v>64</v>
      </c>
      <c r="L169" s="150"/>
      <c r="M169" s="150"/>
      <c r="N169" s="150"/>
      <c r="O169" s="150"/>
      <c r="P169" s="152"/>
      <c r="Q169" s="777" t="s">
        <v>65</v>
      </c>
      <c r="R169" s="772" t="s">
        <v>347</v>
      </c>
      <c r="S169" s="772"/>
      <c r="T169" s="773" t="s">
        <v>299</v>
      </c>
      <c r="U169" s="634"/>
      <c r="V169" s="635" t="s">
        <v>130</v>
      </c>
      <c r="W169" s="774" t="s">
        <v>300</v>
      </c>
      <c r="X169" s="645"/>
      <c r="Y169" s="729">
        <v>0.05</v>
      </c>
      <c r="Z169" s="778"/>
      <c r="AA169" s="639">
        <f t="shared" si="35"/>
        <v>0</v>
      </c>
      <c r="AB169" s="639"/>
      <c r="AC169" s="776">
        <f t="shared" si="36"/>
        <v>0.05</v>
      </c>
      <c r="AD169" s="706">
        <f>AA169</f>
        <v>0</v>
      </c>
      <c r="AE169" s="706">
        <f t="shared" si="37"/>
        <v>0</v>
      </c>
      <c r="AF169" s="645"/>
      <c r="AG169" s="645"/>
      <c r="AH169" s="769"/>
      <c r="AI169" s="675" t="s">
        <v>63</v>
      </c>
      <c r="AJ169" s="262"/>
      <c r="AK169" s="274" t="s">
        <v>136</v>
      </c>
      <c r="AL169" s="56"/>
      <c r="AM169" s="278" t="s">
        <v>348</v>
      </c>
      <c r="AN169" s="292">
        <f t="shared" si="26"/>
        <v>0.05</v>
      </c>
      <c r="AO169" s="281">
        <f t="shared" si="27"/>
        <v>0</v>
      </c>
      <c r="AP169" s="282">
        <f t="shared" si="28"/>
        <v>0</v>
      </c>
      <c r="AQ169" s="282">
        <f t="shared" si="31"/>
        <v>0</v>
      </c>
      <c r="AR169" s="180">
        <f t="shared" si="32"/>
        <v>0.05</v>
      </c>
      <c r="AS169" s="176">
        <f t="shared" si="33"/>
        <v>0</v>
      </c>
      <c r="AT169" s="176">
        <f t="shared" si="34"/>
        <v>0</v>
      </c>
    </row>
    <row r="170" spans="2:46" s="4" customFormat="1" ht="233.1" customHeight="1">
      <c r="B170" s="1429"/>
      <c r="C170" s="1431"/>
      <c r="D170" s="1433"/>
      <c r="E170" s="1448"/>
      <c r="F170" s="1064"/>
      <c r="G170" s="1439"/>
      <c r="H170" s="165" t="s">
        <v>233</v>
      </c>
      <c r="I170" s="160" t="s">
        <v>158</v>
      </c>
      <c r="J170" s="160" t="s">
        <v>250</v>
      </c>
      <c r="K170" s="158" t="s">
        <v>38</v>
      </c>
      <c r="L170" s="151"/>
      <c r="M170" s="151"/>
      <c r="N170" s="151"/>
      <c r="O170" s="151"/>
      <c r="P170" s="164"/>
      <c r="Q170" s="642" t="s">
        <v>21</v>
      </c>
      <c r="R170" s="642"/>
      <c r="S170" s="642"/>
      <c r="T170" s="779"/>
      <c r="U170" s="634"/>
      <c r="V170" s="635" t="s">
        <v>138</v>
      </c>
      <c r="W170" s="636"/>
      <c r="X170" s="645"/>
      <c r="Y170" s="703">
        <v>0.25</v>
      </c>
      <c r="Z170" s="771">
        <f>-3100</f>
        <v>-3100</v>
      </c>
      <c r="AA170" s="639">
        <f t="shared" si="35"/>
        <v>-775</v>
      </c>
      <c r="AB170" s="639"/>
      <c r="AC170" s="705">
        <f t="shared" si="36"/>
        <v>0.25</v>
      </c>
      <c r="AD170" s="706">
        <f t="shared" ref="AD170:AD182" si="38">Z170</f>
        <v>-3100</v>
      </c>
      <c r="AE170" s="780">
        <f t="shared" si="37"/>
        <v>-775</v>
      </c>
      <c r="AF170" s="737"/>
      <c r="AG170" s="738"/>
      <c r="AH170" s="640"/>
      <c r="AI170" s="675" t="s">
        <v>153</v>
      </c>
      <c r="AJ170" s="262"/>
      <c r="AK170" s="274" t="s">
        <v>250</v>
      </c>
      <c r="AL170" s="56"/>
      <c r="AM170" s="278" t="s">
        <v>349</v>
      </c>
      <c r="AN170" s="279">
        <f t="shared" si="26"/>
        <v>0.125</v>
      </c>
      <c r="AO170" s="281">
        <f t="shared" si="27"/>
        <v>-1550</v>
      </c>
      <c r="AP170" s="282">
        <f t="shared" si="28"/>
        <v>-193.75</v>
      </c>
      <c r="AQ170" s="282">
        <f t="shared" si="31"/>
        <v>-387.5</v>
      </c>
      <c r="AR170" s="181">
        <f t="shared" si="32"/>
        <v>0.125</v>
      </c>
      <c r="AS170" s="176">
        <f t="shared" si="33"/>
        <v>-193.75</v>
      </c>
      <c r="AT170" s="182">
        <f t="shared" si="34"/>
        <v>-387.5</v>
      </c>
    </row>
    <row r="171" spans="2:46" s="4" customFormat="1" ht="233.1" customHeight="1">
      <c r="B171" s="1429"/>
      <c r="C171" s="1431"/>
      <c r="D171" s="1433"/>
      <c r="E171" s="1448"/>
      <c r="F171" s="1064"/>
      <c r="G171" s="261"/>
      <c r="H171" s="165" t="s">
        <v>234</v>
      </c>
      <c r="I171" s="458" t="s">
        <v>1195</v>
      </c>
      <c r="J171" s="448" t="s">
        <v>480</v>
      </c>
      <c r="K171" s="158" t="s">
        <v>918</v>
      </c>
      <c r="L171" s="297"/>
      <c r="M171" s="297"/>
      <c r="N171" s="297"/>
      <c r="O171" s="297"/>
      <c r="P171" s="298"/>
      <c r="Q171" s="642" t="s">
        <v>1635</v>
      </c>
      <c r="R171" s="642" t="s">
        <v>933</v>
      </c>
      <c r="S171" s="781"/>
      <c r="T171" s="779"/>
      <c r="U171" s="634"/>
      <c r="V171" s="635"/>
      <c r="W171" s="782"/>
      <c r="X171" s="645"/>
      <c r="Y171" s="703">
        <v>0.4</v>
      </c>
      <c r="Z171" s="771">
        <v>-5003</v>
      </c>
      <c r="AA171" s="639">
        <f>Y171*Z171</f>
        <v>-2001.2</v>
      </c>
      <c r="AB171" s="639"/>
      <c r="AC171" s="705">
        <f>Y171</f>
        <v>0.4</v>
      </c>
      <c r="AD171" s="706">
        <f t="shared" si="38"/>
        <v>-5003</v>
      </c>
      <c r="AE171" s="780">
        <f>AA171</f>
        <v>-2001.2</v>
      </c>
      <c r="AF171" s="737">
        <f>4003/0.8</f>
        <v>5003.75</v>
      </c>
      <c r="AG171" s="738"/>
      <c r="AH171" s="640"/>
      <c r="AI171" s="675"/>
      <c r="AJ171" s="262"/>
      <c r="AK171" s="274"/>
      <c r="AL171" s="56"/>
      <c r="AM171" s="278" t="s">
        <v>349</v>
      </c>
      <c r="AN171" s="279">
        <f>IF(Z171&gt;0,Y171,IF(AM171="низкая",Y171*$AR$40,IF(AM171="средняя",Y171*$AS$40,IF(AM171="высокая",Y171*$AT$40,0))))</f>
        <v>0.2</v>
      </c>
      <c r="AO171" s="281">
        <f>IF(Z171&gt;0,Z171,IF($AM171="низкая",Z171*$AR$40,IF(AM171="средняя",Z171*$AS$40,IF(AM171="высокая",Z171*$AT$40,0))))</f>
        <v>-2501.5</v>
      </c>
      <c r="AP171" s="282">
        <f>AN171*AO171</f>
        <v>-500.3</v>
      </c>
      <c r="AQ171" s="282">
        <f>IF(AA171&gt;0,AA171,IF(AM171="низкая",AA171*$AR$40,IF(AM171="средняя",AA171*$AS$40,IF(AM171="высокая",AA171*$AT$40))))</f>
        <v>-1000.6</v>
      </c>
      <c r="AR171" s="181">
        <f>AN171</f>
        <v>0.2</v>
      </c>
      <c r="AS171" s="176">
        <f>AP171</f>
        <v>-500.3</v>
      </c>
      <c r="AT171" s="182">
        <f>AQ171</f>
        <v>-1000.6</v>
      </c>
    </row>
    <row r="172" spans="2:46" s="4" customFormat="1" ht="233.1" customHeight="1">
      <c r="B172" s="1429"/>
      <c r="C172" s="1431"/>
      <c r="D172" s="1433"/>
      <c r="E172" s="1448"/>
      <c r="F172" s="1065"/>
      <c r="G172" s="261"/>
      <c r="H172" s="165" t="s">
        <v>235</v>
      </c>
      <c r="I172" s="458" t="s">
        <v>1647</v>
      </c>
      <c r="J172" s="448" t="s">
        <v>1648</v>
      </c>
      <c r="K172" s="158" t="s">
        <v>1646</v>
      </c>
      <c r="L172" s="297"/>
      <c r="M172" s="297"/>
      <c r="N172" s="297"/>
      <c r="O172" s="297"/>
      <c r="P172" s="298"/>
      <c r="Q172" s="634" t="s">
        <v>1675</v>
      </c>
      <c r="R172" s="634" t="s">
        <v>1676</v>
      </c>
      <c r="S172" s="781"/>
      <c r="T172" s="779"/>
      <c r="U172" s="634"/>
      <c r="V172" s="635"/>
      <c r="W172" s="782"/>
      <c r="X172" s="645"/>
      <c r="Y172" s="703">
        <v>0.5</v>
      </c>
      <c r="Z172" s="771">
        <v>-40000</v>
      </c>
      <c r="AA172" s="639">
        <f>Z172*Y172</f>
        <v>-20000</v>
      </c>
      <c r="AB172" s="639"/>
      <c r="AC172" s="705">
        <v>0.5</v>
      </c>
      <c r="AD172" s="706">
        <f>Z172</f>
        <v>-40000</v>
      </c>
      <c r="AE172" s="780">
        <f>AC172*AD172</f>
        <v>-20000</v>
      </c>
      <c r="AF172" s="737"/>
      <c r="AG172" s="738"/>
      <c r="AH172" s="640"/>
      <c r="AI172" s="675"/>
      <c r="AJ172" s="262"/>
      <c r="AK172" s="274"/>
      <c r="AL172" s="56"/>
      <c r="AM172" s="278" t="s">
        <v>349</v>
      </c>
      <c r="AN172" s="279">
        <f>IF(Z172&gt;0,Y172,IF(AM172="низкая",Y172*$AR$40,IF(AM172="средняя",Y172*$AS$40,IF(AM172="высокая",Y172*$AT$40,0))))</f>
        <v>0.25</v>
      </c>
      <c r="AO172" s="281">
        <f>IF(Z172&gt;0,Z172,IF($AM172="низкая",Z172*$AR$40,IF(AM172="средняя",Z172*$AS$40,IF(AM172="высокая",Z172*$AT$40,0))))</f>
        <v>-20000</v>
      </c>
      <c r="AP172" s="282">
        <f>AN172*AO172</f>
        <v>-5000</v>
      </c>
      <c r="AQ172" s="282">
        <f>IF(AA172&gt;0,AA172,IF(AM172="низкая",AA172*$AR$40,IF(AM172="средняя",AA172*$AS$40,IF(AM172="высокая",AA172*$AT$40))))</f>
        <v>-10000</v>
      </c>
      <c r="AR172" s="181">
        <f>AN172</f>
        <v>0.25</v>
      </c>
      <c r="AS172" s="176">
        <f>AP172</f>
        <v>-5000</v>
      </c>
      <c r="AT172" s="182">
        <f>AQ172</f>
        <v>-10000</v>
      </c>
    </row>
    <row r="173" spans="2:46" s="4" customFormat="1" ht="290.25" customHeight="1">
      <c r="B173" s="1429"/>
      <c r="C173" s="1431"/>
      <c r="D173" s="1433"/>
      <c r="E173" s="1448"/>
      <c r="F173" s="1063" t="s">
        <v>82</v>
      </c>
      <c r="G173" s="261"/>
      <c r="H173" s="157" t="s">
        <v>193</v>
      </c>
      <c r="I173" s="458" t="s">
        <v>173</v>
      </c>
      <c r="J173" s="160" t="s">
        <v>252</v>
      </c>
      <c r="K173" s="158" t="s">
        <v>1414</v>
      </c>
      <c r="L173" s="321">
        <v>99.7</v>
      </c>
      <c r="M173" s="321" t="s">
        <v>487</v>
      </c>
      <c r="N173" s="321"/>
      <c r="O173" s="321"/>
      <c r="P173" s="321"/>
      <c r="Q173" s="642" t="s">
        <v>1415</v>
      </c>
      <c r="R173" s="642" t="s">
        <v>1416</v>
      </c>
      <c r="S173" s="642"/>
      <c r="T173" s="634"/>
      <c r="U173" s="634"/>
      <c r="V173" s="635" t="s">
        <v>130</v>
      </c>
      <c r="W173" s="783" t="s">
        <v>488</v>
      </c>
      <c r="X173" s="645"/>
      <c r="Y173" s="740">
        <v>0.02</v>
      </c>
      <c r="Z173" s="739">
        <v>0</v>
      </c>
      <c r="AA173" s="639">
        <f>Y173*Z173</f>
        <v>0</v>
      </c>
      <c r="AB173" s="639"/>
      <c r="AC173" s="784">
        <f>Y173</f>
        <v>0.02</v>
      </c>
      <c r="AD173" s="706">
        <f t="shared" si="38"/>
        <v>0</v>
      </c>
      <c r="AE173" s="706">
        <f>AC173*AD173</f>
        <v>0</v>
      </c>
      <c r="AF173" s="737"/>
      <c r="AG173" s="738"/>
      <c r="AH173" s="640"/>
      <c r="AI173" s="741" t="s">
        <v>1448</v>
      </c>
      <c r="AJ173" s="382"/>
      <c r="AK173" s="270" t="s">
        <v>252</v>
      </c>
      <c r="AL173" s="56"/>
      <c r="AM173" s="278" t="s">
        <v>349</v>
      </c>
      <c r="AN173" s="283">
        <f>IF(Z173&gt;0,Y173,IF(AM173="низкая",Y173*$AR$40,IF(AM173="средняя",Y173*$AS$40,IF(AM173="высокая",Y173*$AT$40,0))))</f>
        <v>0.01</v>
      </c>
      <c r="AO173" s="281">
        <f>IF(Z173&gt;0,Z173,IF($AM173="низкая",Z173*$AR$40,IF(AM173="средняя",Z173*$AS$40,IF(AM173="высокая",Z173*$AT$40,0))))</f>
        <v>0</v>
      </c>
      <c r="AP173" s="282">
        <f>AN173*AO173</f>
        <v>0</v>
      </c>
      <c r="AQ173" s="282">
        <f t="shared" ref="AQ173:AQ201" si="39">IF(AA173&gt;0,AA173,IF(AM173="низкая",AA173*$AR$40,IF(AM173="средняя",AA173*$AS$40,IF(AM173="высокая",AA173*$AT$40))))</f>
        <v>0</v>
      </c>
      <c r="AR173" s="319">
        <v>0.8</v>
      </c>
      <c r="AS173" s="320" t="e">
        <f>#REF!</f>
        <v>#REF!</v>
      </c>
      <c r="AT173" s="318">
        <f t="shared" si="34"/>
        <v>0</v>
      </c>
    </row>
    <row r="174" spans="2:46" s="4" customFormat="1" ht="233.85" customHeight="1">
      <c r="B174" s="1429"/>
      <c r="C174" s="1431"/>
      <c r="D174" s="1433"/>
      <c r="E174" s="1448"/>
      <c r="F174" s="1064"/>
      <c r="G174" s="1440"/>
      <c r="H174" s="157" t="s">
        <v>194</v>
      </c>
      <c r="I174" s="160" t="s">
        <v>173</v>
      </c>
      <c r="J174" s="160" t="s">
        <v>252</v>
      </c>
      <c r="K174" s="188" t="s">
        <v>1649</v>
      </c>
      <c r="L174" s="156"/>
      <c r="M174" s="156"/>
      <c r="N174" s="167"/>
      <c r="O174" s="167"/>
      <c r="P174" s="168"/>
      <c r="Q174" s="633" t="s">
        <v>1418</v>
      </c>
      <c r="R174" s="634" t="s">
        <v>1419</v>
      </c>
      <c r="S174" s="642"/>
      <c r="T174" s="634"/>
      <c r="U174" s="634"/>
      <c r="V174" s="635" t="s">
        <v>130</v>
      </c>
      <c r="W174" s="636" t="s">
        <v>490</v>
      </c>
      <c r="X174" s="645"/>
      <c r="Y174" s="729">
        <v>0.45</v>
      </c>
      <c r="Z174" s="739">
        <v>0</v>
      </c>
      <c r="AA174" s="639">
        <f t="shared" si="35"/>
        <v>0</v>
      </c>
      <c r="AB174" s="639"/>
      <c r="AC174" s="776">
        <f t="shared" si="36"/>
        <v>0.45</v>
      </c>
      <c r="AD174" s="706">
        <f t="shared" si="38"/>
        <v>0</v>
      </c>
      <c r="AE174" s="780">
        <f t="shared" si="37"/>
        <v>0</v>
      </c>
      <c r="AF174" s="737"/>
      <c r="AG174" s="738"/>
      <c r="AH174" s="640"/>
      <c r="AI174" s="722" t="s">
        <v>1449</v>
      </c>
      <c r="AJ174" s="381"/>
      <c r="AK174" s="270" t="s">
        <v>252</v>
      </c>
      <c r="AL174" s="268">
        <v>2021</v>
      </c>
      <c r="AM174" s="278" t="s">
        <v>349</v>
      </c>
      <c r="AN174" s="292">
        <f t="shared" si="26"/>
        <v>0.22500000000000001</v>
      </c>
      <c r="AO174" s="281">
        <f t="shared" si="27"/>
        <v>0</v>
      </c>
      <c r="AP174" s="282">
        <f t="shared" si="28"/>
        <v>0</v>
      </c>
      <c r="AQ174" s="282">
        <f t="shared" si="39"/>
        <v>0</v>
      </c>
      <c r="AR174" s="180">
        <f>AN174</f>
        <v>0.22500000000000001</v>
      </c>
      <c r="AS174" s="176">
        <f>AP174</f>
        <v>0</v>
      </c>
      <c r="AT174" s="182">
        <f t="shared" si="34"/>
        <v>0</v>
      </c>
    </row>
    <row r="175" spans="2:46" s="4" customFormat="1" ht="220.5" customHeight="1">
      <c r="B175" s="1429"/>
      <c r="C175" s="1431"/>
      <c r="D175" s="1433"/>
      <c r="E175" s="1448"/>
      <c r="F175" s="1064"/>
      <c r="G175" s="1441"/>
      <c r="H175" s="157" t="s">
        <v>195</v>
      </c>
      <c r="I175" s="172" t="s">
        <v>112</v>
      </c>
      <c r="J175" s="160" t="s">
        <v>1483</v>
      </c>
      <c r="K175" s="188" t="s">
        <v>1650</v>
      </c>
      <c r="L175" s="167"/>
      <c r="M175" s="167"/>
      <c r="N175" s="167"/>
      <c r="O175" s="167"/>
      <c r="P175" s="168"/>
      <c r="Q175" s="642" t="s">
        <v>1421</v>
      </c>
      <c r="R175" s="642" t="s">
        <v>1422</v>
      </c>
      <c r="S175" s="642"/>
      <c r="T175" s="634"/>
      <c r="U175" s="634"/>
      <c r="V175" s="635" t="s">
        <v>130</v>
      </c>
      <c r="W175" s="636"/>
      <c r="X175" s="645"/>
      <c r="Y175" s="740">
        <v>0.5</v>
      </c>
      <c r="Z175" s="739">
        <v>0</v>
      </c>
      <c r="AA175" s="639">
        <f t="shared" si="35"/>
        <v>0</v>
      </c>
      <c r="AB175" s="639"/>
      <c r="AC175" s="679">
        <f>Y175</f>
        <v>0.5</v>
      </c>
      <c r="AD175" s="706">
        <f t="shared" si="38"/>
        <v>0</v>
      </c>
      <c r="AE175" s="770">
        <f>AC175*AD175</f>
        <v>0</v>
      </c>
      <c r="AF175" s="737"/>
      <c r="AG175" s="738"/>
      <c r="AH175" s="640"/>
      <c r="AI175" s="741" t="s">
        <v>1450</v>
      </c>
      <c r="AJ175" s="382"/>
      <c r="AK175" s="270" t="s">
        <v>252</v>
      </c>
      <c r="AL175" s="56"/>
      <c r="AM175" s="278" t="s">
        <v>349</v>
      </c>
      <c r="AN175" s="283">
        <f t="shared" si="26"/>
        <v>0.25</v>
      </c>
      <c r="AO175" s="281">
        <f t="shared" si="27"/>
        <v>0</v>
      </c>
      <c r="AP175" s="282">
        <f t="shared" si="28"/>
        <v>0</v>
      </c>
      <c r="AQ175" s="282">
        <f t="shared" si="39"/>
        <v>0</v>
      </c>
      <c r="AR175" s="175">
        <f>AN175</f>
        <v>0.25</v>
      </c>
      <c r="AS175" s="176">
        <f>AP175</f>
        <v>0</v>
      </c>
      <c r="AT175" s="182">
        <f t="shared" si="34"/>
        <v>0</v>
      </c>
    </row>
    <row r="176" spans="2:46" s="4" customFormat="1" ht="190.5" customHeight="1">
      <c r="B176" s="1429"/>
      <c r="C176" s="1431"/>
      <c r="D176" s="1433"/>
      <c r="E176" s="1448"/>
      <c r="F176" s="1064"/>
      <c r="G176" s="1441"/>
      <c r="H176" s="157" t="s">
        <v>196</v>
      </c>
      <c r="I176" s="172" t="s">
        <v>112</v>
      </c>
      <c r="J176" s="160" t="s">
        <v>1483</v>
      </c>
      <c r="K176" s="188" t="s">
        <v>1651</v>
      </c>
      <c r="L176" s="167"/>
      <c r="M176" s="167"/>
      <c r="N176" s="167"/>
      <c r="O176" s="167"/>
      <c r="P176" s="168"/>
      <c r="Q176" s="634" t="s">
        <v>1424</v>
      </c>
      <c r="R176" s="642" t="s">
        <v>1425</v>
      </c>
      <c r="S176" s="642"/>
      <c r="T176" s="634"/>
      <c r="U176" s="634"/>
      <c r="V176" s="635" t="s">
        <v>130</v>
      </c>
      <c r="W176" s="634" t="s">
        <v>490</v>
      </c>
      <c r="X176" s="645"/>
      <c r="Y176" s="740">
        <v>0.5</v>
      </c>
      <c r="Z176" s="739">
        <v>0</v>
      </c>
      <c r="AA176" s="639">
        <f>Y176*Z176</f>
        <v>0</v>
      </c>
      <c r="AB176" s="639"/>
      <c r="AC176" s="679">
        <v>0.5</v>
      </c>
      <c r="AD176" s="706">
        <f t="shared" si="38"/>
        <v>0</v>
      </c>
      <c r="AE176" s="785">
        <f>AC176*AD176</f>
        <v>0</v>
      </c>
      <c r="AF176" s="737"/>
      <c r="AG176" s="738"/>
      <c r="AH176" s="640"/>
      <c r="AI176" s="741" t="s">
        <v>1451</v>
      </c>
      <c r="AJ176" s="382"/>
      <c r="AK176" s="277" t="s">
        <v>252</v>
      </c>
      <c r="AL176" s="56"/>
      <c r="AM176" s="278" t="s">
        <v>349</v>
      </c>
      <c r="AN176" s="283"/>
      <c r="AO176" s="281"/>
      <c r="AP176" s="282"/>
      <c r="AQ176" s="282"/>
      <c r="AR176" s="175"/>
      <c r="AS176" s="176"/>
      <c r="AT176" s="182">
        <f t="shared" si="34"/>
        <v>0</v>
      </c>
    </row>
    <row r="177" spans="2:46" s="4" customFormat="1" ht="222" customHeight="1">
      <c r="B177" s="1429"/>
      <c r="C177" s="1431"/>
      <c r="D177" s="1433"/>
      <c r="E177" s="1448"/>
      <c r="F177" s="1064"/>
      <c r="G177" s="1442"/>
      <c r="H177" s="157" t="s">
        <v>197</v>
      </c>
      <c r="I177" s="172" t="s">
        <v>112</v>
      </c>
      <c r="J177" s="160" t="s">
        <v>1483</v>
      </c>
      <c r="K177" s="158" t="s">
        <v>156</v>
      </c>
      <c r="L177" s="157"/>
      <c r="M177" s="157"/>
      <c r="N177" s="157"/>
      <c r="O177" s="157"/>
      <c r="P177" s="155"/>
      <c r="Q177" s="642" t="s">
        <v>157</v>
      </c>
      <c r="R177" s="642"/>
      <c r="S177" s="642"/>
      <c r="T177" s="634"/>
      <c r="U177" s="634"/>
      <c r="V177" s="635" t="s">
        <v>130</v>
      </c>
      <c r="W177" s="636"/>
      <c r="X177" s="645"/>
      <c r="Y177" s="740">
        <v>0.4</v>
      </c>
      <c r="Z177" s="785">
        <v>0</v>
      </c>
      <c r="AA177" s="639">
        <f t="shared" ref="AA177:AA201" si="40">Y177*Z177</f>
        <v>0</v>
      </c>
      <c r="AB177" s="639"/>
      <c r="AC177" s="786">
        <f t="shared" ref="AC177:AC182" si="41">Y177</f>
        <v>0.4</v>
      </c>
      <c r="AD177" s="639">
        <f t="shared" si="38"/>
        <v>0</v>
      </c>
      <c r="AE177" s="770">
        <f t="shared" ref="AE177:AE182" si="42">AD177*AC177</f>
        <v>0</v>
      </c>
      <c r="AF177" s="737"/>
      <c r="AG177" s="738"/>
      <c r="AH177" s="640"/>
      <c r="AI177" s="741" t="s">
        <v>1452</v>
      </c>
      <c r="AJ177" s="382"/>
      <c r="AK177" s="270" t="s">
        <v>1460</v>
      </c>
      <c r="AL177" s="56"/>
      <c r="AM177" s="278" t="s">
        <v>349</v>
      </c>
      <c r="AN177" s="283">
        <f t="shared" si="26"/>
        <v>0.2</v>
      </c>
      <c r="AO177" s="281">
        <f t="shared" si="27"/>
        <v>0</v>
      </c>
      <c r="AP177" s="282">
        <f t="shared" si="28"/>
        <v>0</v>
      </c>
      <c r="AQ177" s="282">
        <f t="shared" si="39"/>
        <v>0</v>
      </c>
      <c r="AR177" s="183">
        <f>AN177</f>
        <v>0.2</v>
      </c>
      <c r="AS177" s="174">
        <f>AP177</f>
        <v>0</v>
      </c>
      <c r="AT177" s="182">
        <f t="shared" si="34"/>
        <v>0</v>
      </c>
    </row>
    <row r="178" spans="2:46" s="4" customFormat="1" ht="153" customHeight="1">
      <c r="B178" s="1429"/>
      <c r="C178" s="1431"/>
      <c r="D178" s="1433"/>
      <c r="E178" s="1448"/>
      <c r="F178" s="1064"/>
      <c r="G178" s="169"/>
      <c r="H178" s="1089" t="s">
        <v>1593</v>
      </c>
      <c r="I178" s="569" t="s">
        <v>1392</v>
      </c>
      <c r="J178" s="569" t="s">
        <v>1185</v>
      </c>
      <c r="K178" s="981" t="s">
        <v>1426</v>
      </c>
      <c r="L178" s="570"/>
      <c r="M178" s="571"/>
      <c r="N178" s="572"/>
      <c r="O178" s="571"/>
      <c r="P178" s="388"/>
      <c r="Q178" s="649" t="s">
        <v>1427</v>
      </c>
      <c r="R178" s="787" t="s">
        <v>1428</v>
      </c>
      <c r="S178" s="642"/>
      <c r="T178" s="634"/>
      <c r="U178" s="634"/>
      <c r="V178" s="635"/>
      <c r="W178" s="636"/>
      <c r="X178" s="645"/>
      <c r="Y178" s="740">
        <v>0.25</v>
      </c>
      <c r="Z178" s="785">
        <v>0</v>
      </c>
      <c r="AA178" s="639">
        <f t="shared" si="40"/>
        <v>0</v>
      </c>
      <c r="AB178" s="639"/>
      <c r="AC178" s="786">
        <f t="shared" si="41"/>
        <v>0.25</v>
      </c>
      <c r="AD178" s="639">
        <f t="shared" si="38"/>
        <v>0</v>
      </c>
      <c r="AE178" s="770">
        <f t="shared" si="42"/>
        <v>0</v>
      </c>
      <c r="AF178" s="737"/>
      <c r="AG178" s="738"/>
      <c r="AH178" s="640"/>
      <c r="AI178" s="741" t="s">
        <v>1453</v>
      </c>
      <c r="AJ178" s="382"/>
      <c r="AK178" s="270" t="s">
        <v>1461</v>
      </c>
      <c r="AL178" s="56"/>
      <c r="AM178" s="278" t="s">
        <v>349</v>
      </c>
      <c r="AN178" s="283">
        <f t="shared" ref="AN178:AN188" si="43">IF(Z178&gt;0,Y178,IF(AM178="низкая",Y178*$AR$40,IF(AM178="средняя",Y178*$AS$40,IF(AM178="высокая",Y178*$AT$40,0))))</f>
        <v>0.125</v>
      </c>
      <c r="AO178" s="281">
        <f t="shared" ref="AO178:AO188" si="44">IF(Z178&gt;0,Z178,IF($AM178="низкая",Z178*$AR$40,IF(AM178="средняя",Z178*$AS$40,IF(AM178="высокая",Z178*$AT$40,0))))</f>
        <v>0</v>
      </c>
      <c r="AP178" s="282">
        <f t="shared" ref="AP178:AP188" si="45">AN178*AO178</f>
        <v>0</v>
      </c>
      <c r="AQ178" s="282">
        <f t="shared" ref="AQ178:AQ188" si="46">IF(AA178&gt;0,AA178,IF(AM178="низкая",AA178*$AR$40,IF(AM178="средняя",AA178*$AS$40,IF(AM178="высокая",AA178*$AT$40))))</f>
        <v>0</v>
      </c>
      <c r="AR178" s="183">
        <f t="shared" ref="AR178:AR188" si="47">AN178</f>
        <v>0.125</v>
      </c>
      <c r="AS178" s="174">
        <f t="shared" ref="AS178:AS188" si="48">AP178</f>
        <v>0</v>
      </c>
      <c r="AT178" s="182">
        <f t="shared" ref="AT178:AT188" si="49">AQ178</f>
        <v>0</v>
      </c>
    </row>
    <row r="179" spans="2:46" s="4" customFormat="1" ht="159" customHeight="1">
      <c r="B179" s="1429"/>
      <c r="C179" s="1431"/>
      <c r="D179" s="1433"/>
      <c r="E179" s="1448"/>
      <c r="F179" s="1064"/>
      <c r="G179" s="169"/>
      <c r="H179" s="1091"/>
      <c r="I179" s="569" t="s">
        <v>1392</v>
      </c>
      <c r="J179" s="569" t="s">
        <v>1185</v>
      </c>
      <c r="K179" s="982"/>
      <c r="L179" s="570"/>
      <c r="M179" s="571"/>
      <c r="N179" s="572"/>
      <c r="O179" s="571"/>
      <c r="P179" s="388"/>
      <c r="Q179" s="788" t="s">
        <v>1429</v>
      </c>
      <c r="R179" s="787" t="s">
        <v>1430</v>
      </c>
      <c r="S179" s="642"/>
      <c r="T179" s="634"/>
      <c r="U179" s="634"/>
      <c r="V179" s="635"/>
      <c r="W179" s="636"/>
      <c r="X179" s="645"/>
      <c r="Y179" s="740">
        <v>0.4</v>
      </c>
      <c r="Z179" s="785">
        <v>0</v>
      </c>
      <c r="AA179" s="639">
        <f t="shared" si="40"/>
        <v>0</v>
      </c>
      <c r="AB179" s="639"/>
      <c r="AC179" s="786">
        <f t="shared" si="41"/>
        <v>0.4</v>
      </c>
      <c r="AD179" s="639">
        <f t="shared" si="38"/>
        <v>0</v>
      </c>
      <c r="AE179" s="770">
        <f t="shared" si="42"/>
        <v>0</v>
      </c>
      <c r="AF179" s="737"/>
      <c r="AG179" s="738"/>
      <c r="AH179" s="640"/>
      <c r="AI179" s="741" t="s">
        <v>1454</v>
      </c>
      <c r="AJ179" s="382"/>
      <c r="AK179" s="270" t="s">
        <v>1462</v>
      </c>
      <c r="AL179" s="56"/>
      <c r="AM179" s="278" t="s">
        <v>349</v>
      </c>
      <c r="AN179" s="283">
        <f t="shared" si="43"/>
        <v>0.2</v>
      </c>
      <c r="AO179" s="281">
        <f t="shared" si="44"/>
        <v>0</v>
      </c>
      <c r="AP179" s="282">
        <f t="shared" si="45"/>
        <v>0</v>
      </c>
      <c r="AQ179" s="282">
        <f t="shared" si="46"/>
        <v>0</v>
      </c>
      <c r="AR179" s="183">
        <f t="shared" si="47"/>
        <v>0.2</v>
      </c>
      <c r="AS179" s="174">
        <f t="shared" si="48"/>
        <v>0</v>
      </c>
      <c r="AT179" s="182">
        <f t="shared" si="49"/>
        <v>0</v>
      </c>
    </row>
    <row r="180" spans="2:46" s="4" customFormat="1" ht="375" customHeight="1">
      <c r="B180" s="1429"/>
      <c r="C180" s="1431"/>
      <c r="D180" s="1433"/>
      <c r="E180" s="1448"/>
      <c r="F180" s="1064"/>
      <c r="G180" s="169"/>
      <c r="H180" s="1091"/>
      <c r="I180" s="569" t="s">
        <v>1392</v>
      </c>
      <c r="J180" s="569" t="s">
        <v>1185</v>
      </c>
      <c r="K180" s="982"/>
      <c r="L180" s="570"/>
      <c r="M180" s="571"/>
      <c r="N180" s="572"/>
      <c r="O180" s="571"/>
      <c r="P180" s="388"/>
      <c r="Q180" s="788" t="s">
        <v>1431</v>
      </c>
      <c r="R180" s="787" t="s">
        <v>1432</v>
      </c>
      <c r="S180" s="642"/>
      <c r="T180" s="634"/>
      <c r="U180" s="634"/>
      <c r="V180" s="635"/>
      <c r="W180" s="636"/>
      <c r="X180" s="645"/>
      <c r="Y180" s="740">
        <v>0.25</v>
      </c>
      <c r="Z180" s="785">
        <v>0</v>
      </c>
      <c r="AA180" s="639">
        <f t="shared" si="40"/>
        <v>0</v>
      </c>
      <c r="AB180" s="639"/>
      <c r="AC180" s="786">
        <f t="shared" si="41"/>
        <v>0.25</v>
      </c>
      <c r="AD180" s="639">
        <f t="shared" si="38"/>
        <v>0</v>
      </c>
      <c r="AE180" s="770">
        <f t="shared" si="42"/>
        <v>0</v>
      </c>
      <c r="AF180" s="737"/>
      <c r="AG180" s="738"/>
      <c r="AH180" s="640"/>
      <c r="AI180" s="741" t="s">
        <v>1454</v>
      </c>
      <c r="AJ180" s="382"/>
      <c r="AK180" s="270" t="s">
        <v>1463</v>
      </c>
      <c r="AL180" s="56"/>
      <c r="AM180" s="278" t="s">
        <v>349</v>
      </c>
      <c r="AN180" s="283">
        <f t="shared" si="43"/>
        <v>0.125</v>
      </c>
      <c r="AO180" s="281">
        <f t="shared" si="44"/>
        <v>0</v>
      </c>
      <c r="AP180" s="282">
        <f t="shared" si="45"/>
        <v>0</v>
      </c>
      <c r="AQ180" s="282">
        <f t="shared" si="46"/>
        <v>0</v>
      </c>
      <c r="AR180" s="183">
        <f t="shared" si="47"/>
        <v>0.125</v>
      </c>
      <c r="AS180" s="174">
        <f t="shared" si="48"/>
        <v>0</v>
      </c>
      <c r="AT180" s="182">
        <f t="shared" si="49"/>
        <v>0</v>
      </c>
    </row>
    <row r="181" spans="2:46" s="4" customFormat="1" ht="129" customHeight="1">
      <c r="B181" s="1429"/>
      <c r="C181" s="1431"/>
      <c r="D181" s="1433"/>
      <c r="E181" s="1448"/>
      <c r="F181" s="1064"/>
      <c r="G181" s="169"/>
      <c r="H181" s="1091"/>
      <c r="I181" s="569" t="s">
        <v>1392</v>
      </c>
      <c r="J181" s="569" t="s">
        <v>1185</v>
      </c>
      <c r="K181" s="982"/>
      <c r="L181" s="570"/>
      <c r="M181" s="571"/>
      <c r="N181" s="572"/>
      <c r="O181" s="571"/>
      <c r="P181" s="388"/>
      <c r="Q181" s="788" t="s">
        <v>1433</v>
      </c>
      <c r="R181" s="787" t="s">
        <v>1434</v>
      </c>
      <c r="S181" s="642"/>
      <c r="T181" s="634"/>
      <c r="U181" s="634"/>
      <c r="V181" s="635"/>
      <c r="W181" s="636"/>
      <c r="X181" s="645"/>
      <c r="Y181" s="740">
        <v>0.25</v>
      </c>
      <c r="Z181" s="785">
        <v>0</v>
      </c>
      <c r="AA181" s="639">
        <f t="shared" si="40"/>
        <v>0</v>
      </c>
      <c r="AB181" s="639"/>
      <c r="AC181" s="786">
        <f t="shared" si="41"/>
        <v>0.25</v>
      </c>
      <c r="AD181" s="639">
        <f t="shared" si="38"/>
        <v>0</v>
      </c>
      <c r="AE181" s="770">
        <f t="shared" si="42"/>
        <v>0</v>
      </c>
      <c r="AF181" s="737"/>
      <c r="AG181" s="738"/>
      <c r="AH181" s="640"/>
      <c r="AI181" s="741" t="s">
        <v>1455</v>
      </c>
      <c r="AJ181" s="382"/>
      <c r="AK181" s="270" t="s">
        <v>1464</v>
      </c>
      <c r="AL181" s="56"/>
      <c r="AM181" s="278" t="s">
        <v>349</v>
      </c>
      <c r="AN181" s="283">
        <f t="shared" si="43"/>
        <v>0.125</v>
      </c>
      <c r="AO181" s="281">
        <f t="shared" si="44"/>
        <v>0</v>
      </c>
      <c r="AP181" s="282">
        <f t="shared" si="45"/>
        <v>0</v>
      </c>
      <c r="AQ181" s="282">
        <f t="shared" si="46"/>
        <v>0</v>
      </c>
      <c r="AR181" s="183">
        <f t="shared" si="47"/>
        <v>0.125</v>
      </c>
      <c r="AS181" s="174">
        <f t="shared" si="48"/>
        <v>0</v>
      </c>
      <c r="AT181" s="182">
        <f t="shared" si="49"/>
        <v>0</v>
      </c>
    </row>
    <row r="182" spans="2:46" s="4" customFormat="1" ht="375" customHeight="1">
      <c r="B182" s="1429"/>
      <c r="C182" s="1431"/>
      <c r="D182" s="1433"/>
      <c r="E182" s="1448"/>
      <c r="F182" s="1064"/>
      <c r="G182" s="169"/>
      <c r="H182" s="1090"/>
      <c r="I182" s="569" t="s">
        <v>1392</v>
      </c>
      <c r="J182" s="569" t="s">
        <v>1185</v>
      </c>
      <c r="K182" s="983"/>
      <c r="L182" s="570"/>
      <c r="M182" s="571"/>
      <c r="N182" s="572"/>
      <c r="O182" s="571"/>
      <c r="P182" s="388"/>
      <c r="Q182" s="788" t="s">
        <v>1435</v>
      </c>
      <c r="R182" s="787" t="s">
        <v>1436</v>
      </c>
      <c r="S182" s="642"/>
      <c r="T182" s="634"/>
      <c r="U182" s="634"/>
      <c r="V182" s="635"/>
      <c r="W182" s="636"/>
      <c r="X182" s="645"/>
      <c r="Y182" s="740">
        <v>0.45</v>
      </c>
      <c r="Z182" s="785">
        <v>0</v>
      </c>
      <c r="AA182" s="639">
        <f t="shared" si="40"/>
        <v>0</v>
      </c>
      <c r="AB182" s="639"/>
      <c r="AC182" s="786">
        <f t="shared" si="41"/>
        <v>0.45</v>
      </c>
      <c r="AD182" s="639">
        <f t="shared" si="38"/>
        <v>0</v>
      </c>
      <c r="AE182" s="770">
        <f t="shared" si="42"/>
        <v>0</v>
      </c>
      <c r="AF182" s="737"/>
      <c r="AG182" s="738"/>
      <c r="AH182" s="640"/>
      <c r="AI182" s="741" t="s">
        <v>1456</v>
      </c>
      <c r="AJ182" s="382"/>
      <c r="AK182" s="270" t="s">
        <v>1185</v>
      </c>
      <c r="AL182" s="56"/>
      <c r="AM182" s="278" t="s">
        <v>349</v>
      </c>
      <c r="AN182" s="283">
        <f t="shared" si="43"/>
        <v>0.22500000000000001</v>
      </c>
      <c r="AO182" s="281">
        <f t="shared" si="44"/>
        <v>0</v>
      </c>
      <c r="AP182" s="282">
        <f t="shared" si="45"/>
        <v>0</v>
      </c>
      <c r="AQ182" s="282">
        <f t="shared" si="46"/>
        <v>0</v>
      </c>
      <c r="AR182" s="183">
        <f t="shared" si="47"/>
        <v>0.22500000000000001</v>
      </c>
      <c r="AS182" s="174">
        <f t="shared" si="48"/>
        <v>0</v>
      </c>
      <c r="AT182" s="182">
        <f t="shared" si="49"/>
        <v>0</v>
      </c>
    </row>
    <row r="183" spans="2:46" s="4" customFormat="1" ht="138" customHeight="1">
      <c r="B183" s="1429"/>
      <c r="C183" s="1431"/>
      <c r="D183" s="1433"/>
      <c r="E183" s="1448"/>
      <c r="F183" s="1064"/>
      <c r="G183" s="169"/>
      <c r="H183" s="1089" t="s">
        <v>1441</v>
      </c>
      <c r="I183" s="1089" t="s">
        <v>1392</v>
      </c>
      <c r="J183" s="1089" t="s">
        <v>1185</v>
      </c>
      <c r="K183" s="981" t="s">
        <v>1437</v>
      </c>
      <c r="L183" s="570"/>
      <c r="M183" s="571"/>
      <c r="N183" s="572"/>
      <c r="O183" s="571"/>
      <c r="P183" s="388"/>
      <c r="Q183" s="787" t="s">
        <v>1438</v>
      </c>
      <c r="R183" s="788" t="s">
        <v>1439</v>
      </c>
      <c r="S183" s="642"/>
      <c r="T183" s="634"/>
      <c r="U183" s="634"/>
      <c r="V183" s="635"/>
      <c r="W183" s="636"/>
      <c r="X183" s="645"/>
      <c r="Y183" s="740">
        <v>0.75</v>
      </c>
      <c r="Z183" s="785">
        <v>0</v>
      </c>
      <c r="AA183" s="639">
        <f t="shared" si="40"/>
        <v>0</v>
      </c>
      <c r="AB183" s="639"/>
      <c r="AC183" s="786">
        <f t="shared" ref="AC183:AC188" si="50">Y183</f>
        <v>0.75</v>
      </c>
      <c r="AD183" s="639">
        <f t="shared" ref="AD183:AD188" si="51">Z183</f>
        <v>0</v>
      </c>
      <c r="AE183" s="770">
        <f t="shared" ref="AE183:AE188" si="52">AD183*AC183</f>
        <v>0</v>
      </c>
      <c r="AF183" s="737"/>
      <c r="AG183" s="738"/>
      <c r="AH183" s="640"/>
      <c r="AI183" s="1095" t="s">
        <v>1457</v>
      </c>
      <c r="AJ183" s="382"/>
      <c r="AK183" s="270" t="s">
        <v>1465</v>
      </c>
      <c r="AL183" s="56"/>
      <c r="AM183" s="278" t="s">
        <v>349</v>
      </c>
      <c r="AN183" s="283">
        <f t="shared" si="43"/>
        <v>0.375</v>
      </c>
      <c r="AO183" s="281">
        <f t="shared" si="44"/>
        <v>0</v>
      </c>
      <c r="AP183" s="282">
        <f t="shared" si="45"/>
        <v>0</v>
      </c>
      <c r="AQ183" s="282">
        <f t="shared" si="46"/>
        <v>0</v>
      </c>
      <c r="AR183" s="183">
        <f t="shared" si="47"/>
        <v>0.375</v>
      </c>
      <c r="AS183" s="174">
        <f t="shared" si="48"/>
        <v>0</v>
      </c>
      <c r="AT183" s="182">
        <f t="shared" si="49"/>
        <v>0</v>
      </c>
    </row>
    <row r="184" spans="2:46" s="4" customFormat="1" ht="147" customHeight="1">
      <c r="B184" s="1429"/>
      <c r="C184" s="1431"/>
      <c r="D184" s="1433"/>
      <c r="E184" s="1448"/>
      <c r="F184" s="1064"/>
      <c r="G184" s="169"/>
      <c r="H184" s="1090"/>
      <c r="I184" s="1090"/>
      <c r="J184" s="1090"/>
      <c r="K184" s="983"/>
      <c r="L184" s="570"/>
      <c r="M184" s="571"/>
      <c r="N184" s="572"/>
      <c r="O184" s="571"/>
      <c r="P184" s="388"/>
      <c r="Q184" s="787" t="s">
        <v>1440</v>
      </c>
      <c r="R184" s="788" t="s">
        <v>1059</v>
      </c>
      <c r="S184" s="642"/>
      <c r="T184" s="634"/>
      <c r="U184" s="634"/>
      <c r="V184" s="635"/>
      <c r="W184" s="636"/>
      <c r="X184" s="645"/>
      <c r="Y184" s="740">
        <v>0.5</v>
      </c>
      <c r="Z184" s="785">
        <v>0</v>
      </c>
      <c r="AA184" s="639">
        <f t="shared" si="40"/>
        <v>0</v>
      </c>
      <c r="AB184" s="639"/>
      <c r="AC184" s="786">
        <f t="shared" si="50"/>
        <v>0.5</v>
      </c>
      <c r="AD184" s="639">
        <f t="shared" si="51"/>
        <v>0</v>
      </c>
      <c r="AE184" s="770">
        <f t="shared" si="52"/>
        <v>0</v>
      </c>
      <c r="AF184" s="737"/>
      <c r="AG184" s="738"/>
      <c r="AH184" s="640"/>
      <c r="AI184" s="1096"/>
      <c r="AJ184" s="382"/>
      <c r="AK184" s="1092" t="s">
        <v>1466</v>
      </c>
      <c r="AL184" s="56"/>
      <c r="AM184" s="278" t="s">
        <v>349</v>
      </c>
      <c r="AN184" s="283">
        <f t="shared" si="43"/>
        <v>0.25</v>
      </c>
      <c r="AO184" s="281">
        <f t="shared" si="44"/>
        <v>0</v>
      </c>
      <c r="AP184" s="282">
        <f t="shared" si="45"/>
        <v>0</v>
      </c>
      <c r="AQ184" s="282">
        <f t="shared" si="46"/>
        <v>0</v>
      </c>
      <c r="AR184" s="183">
        <f t="shared" si="47"/>
        <v>0.25</v>
      </c>
      <c r="AS184" s="174">
        <f t="shared" si="48"/>
        <v>0</v>
      </c>
      <c r="AT184" s="182">
        <f t="shared" si="49"/>
        <v>0</v>
      </c>
    </row>
    <row r="185" spans="2:46" s="4" customFormat="1" ht="129" customHeight="1">
      <c r="B185" s="1429"/>
      <c r="C185" s="1431"/>
      <c r="D185" s="1433"/>
      <c r="E185" s="1448"/>
      <c r="F185" s="1064"/>
      <c r="G185" s="169"/>
      <c r="H185" s="1089" t="s">
        <v>1594</v>
      </c>
      <c r="I185" s="1089" t="s">
        <v>1392</v>
      </c>
      <c r="J185" s="1089" t="s">
        <v>1185</v>
      </c>
      <c r="K185" s="981" t="s">
        <v>489</v>
      </c>
      <c r="L185" s="990"/>
      <c r="M185" s="990"/>
      <c r="N185" s="990"/>
      <c r="O185" s="990"/>
      <c r="P185" s="990"/>
      <c r="Q185" s="788" t="s">
        <v>1442</v>
      </c>
      <c r="R185" s="788" t="s">
        <v>1059</v>
      </c>
      <c r="S185" s="642"/>
      <c r="T185" s="634"/>
      <c r="U185" s="634"/>
      <c r="V185" s="635"/>
      <c r="W185" s="636"/>
      <c r="X185" s="645"/>
      <c r="Y185" s="740">
        <v>0.5</v>
      </c>
      <c r="Z185" s="785">
        <v>0</v>
      </c>
      <c r="AA185" s="639">
        <f t="shared" si="40"/>
        <v>0</v>
      </c>
      <c r="AB185" s="639"/>
      <c r="AC185" s="786">
        <f t="shared" si="50"/>
        <v>0.5</v>
      </c>
      <c r="AD185" s="639">
        <f t="shared" si="51"/>
        <v>0</v>
      </c>
      <c r="AE185" s="770">
        <f t="shared" si="52"/>
        <v>0</v>
      </c>
      <c r="AF185" s="737"/>
      <c r="AG185" s="738"/>
      <c r="AH185" s="640"/>
      <c r="AI185" s="1038" t="s">
        <v>1458</v>
      </c>
      <c r="AJ185" s="382"/>
      <c r="AK185" s="1093"/>
      <c r="AL185" s="56"/>
      <c r="AM185" s="278" t="s">
        <v>349</v>
      </c>
      <c r="AN185" s="283">
        <f t="shared" si="43"/>
        <v>0.25</v>
      </c>
      <c r="AO185" s="281">
        <f t="shared" si="44"/>
        <v>0</v>
      </c>
      <c r="AP185" s="282">
        <f t="shared" si="45"/>
        <v>0</v>
      </c>
      <c r="AQ185" s="282">
        <f t="shared" si="46"/>
        <v>0</v>
      </c>
      <c r="AR185" s="183">
        <f t="shared" si="47"/>
        <v>0.25</v>
      </c>
      <c r="AS185" s="174">
        <f t="shared" si="48"/>
        <v>0</v>
      </c>
      <c r="AT185" s="182">
        <f t="shared" si="49"/>
        <v>0</v>
      </c>
    </row>
    <row r="186" spans="2:46" s="4" customFormat="1" ht="129" customHeight="1">
      <c r="B186" s="1429"/>
      <c r="C186" s="1431"/>
      <c r="D186" s="1433"/>
      <c r="E186" s="1448"/>
      <c r="F186" s="1064"/>
      <c r="G186" s="169"/>
      <c r="H186" s="1091"/>
      <c r="I186" s="1091"/>
      <c r="J186" s="1091"/>
      <c r="K186" s="982"/>
      <c r="L186" s="991"/>
      <c r="M186" s="991"/>
      <c r="N186" s="991"/>
      <c r="O186" s="991"/>
      <c r="P186" s="991"/>
      <c r="Q186" s="788" t="s">
        <v>1443</v>
      </c>
      <c r="R186" s="788" t="s">
        <v>1059</v>
      </c>
      <c r="S186" s="642"/>
      <c r="T186" s="634"/>
      <c r="U186" s="634"/>
      <c r="V186" s="635"/>
      <c r="W186" s="636"/>
      <c r="X186" s="645"/>
      <c r="Y186" s="740">
        <v>0.5</v>
      </c>
      <c r="Z186" s="785">
        <v>0</v>
      </c>
      <c r="AA186" s="639">
        <f t="shared" si="40"/>
        <v>0</v>
      </c>
      <c r="AB186" s="639"/>
      <c r="AC186" s="786">
        <f t="shared" si="50"/>
        <v>0.5</v>
      </c>
      <c r="AD186" s="639">
        <f t="shared" si="51"/>
        <v>0</v>
      </c>
      <c r="AE186" s="770">
        <f t="shared" si="52"/>
        <v>0</v>
      </c>
      <c r="AF186" s="737"/>
      <c r="AG186" s="738"/>
      <c r="AH186" s="640"/>
      <c r="AI186" s="1097"/>
      <c r="AJ186" s="382"/>
      <c r="AK186" s="1094"/>
      <c r="AL186" s="56"/>
      <c r="AM186" s="278" t="s">
        <v>349</v>
      </c>
      <c r="AN186" s="283">
        <f t="shared" si="43"/>
        <v>0.25</v>
      </c>
      <c r="AO186" s="281">
        <f t="shared" si="44"/>
        <v>0</v>
      </c>
      <c r="AP186" s="282">
        <f t="shared" si="45"/>
        <v>0</v>
      </c>
      <c r="AQ186" s="282">
        <f t="shared" si="46"/>
        <v>0</v>
      </c>
      <c r="AR186" s="183">
        <f t="shared" si="47"/>
        <v>0.25</v>
      </c>
      <c r="AS186" s="174">
        <f t="shared" si="48"/>
        <v>0</v>
      </c>
      <c r="AT186" s="182">
        <f t="shared" si="49"/>
        <v>0</v>
      </c>
    </row>
    <row r="187" spans="2:46" s="4" customFormat="1" ht="129" customHeight="1">
      <c r="B187" s="1429"/>
      <c r="C187" s="1431"/>
      <c r="D187" s="1433"/>
      <c r="E187" s="1448"/>
      <c r="F187" s="1064"/>
      <c r="G187" s="169"/>
      <c r="H187" s="1090"/>
      <c r="I187" s="1090"/>
      <c r="J187" s="1090"/>
      <c r="K187" s="983"/>
      <c r="L187" s="992"/>
      <c r="M187" s="992"/>
      <c r="N187" s="992"/>
      <c r="O187" s="992"/>
      <c r="P187" s="992"/>
      <c r="Q187" s="788" t="s">
        <v>1444</v>
      </c>
      <c r="R187" s="788"/>
      <c r="S187" s="642"/>
      <c r="T187" s="634"/>
      <c r="U187" s="634"/>
      <c r="V187" s="635"/>
      <c r="W187" s="634"/>
      <c r="X187" s="645"/>
      <c r="Y187" s="740">
        <v>0.5</v>
      </c>
      <c r="Z187" s="739">
        <v>0</v>
      </c>
      <c r="AA187" s="639">
        <f t="shared" si="40"/>
        <v>0</v>
      </c>
      <c r="AB187" s="639"/>
      <c r="AC187" s="786">
        <f t="shared" si="50"/>
        <v>0.5</v>
      </c>
      <c r="AD187" s="639">
        <f t="shared" si="51"/>
        <v>0</v>
      </c>
      <c r="AE187" s="770">
        <f t="shared" si="52"/>
        <v>0</v>
      </c>
      <c r="AF187" s="737"/>
      <c r="AG187" s="738"/>
      <c r="AH187" s="640"/>
      <c r="AI187" s="1039"/>
      <c r="AJ187" s="382"/>
      <c r="AL187" s="56"/>
      <c r="AM187" s="278" t="s">
        <v>349</v>
      </c>
      <c r="AN187" s="283">
        <f t="shared" si="43"/>
        <v>0.25</v>
      </c>
      <c r="AO187" s="281">
        <f t="shared" si="44"/>
        <v>0</v>
      </c>
      <c r="AP187" s="282">
        <f t="shared" si="45"/>
        <v>0</v>
      </c>
      <c r="AQ187" s="282">
        <f t="shared" si="46"/>
        <v>0</v>
      </c>
      <c r="AR187" s="183">
        <f t="shared" si="47"/>
        <v>0.25</v>
      </c>
      <c r="AS187" s="174">
        <f t="shared" si="48"/>
        <v>0</v>
      </c>
      <c r="AT187" s="182">
        <f t="shared" si="49"/>
        <v>0</v>
      </c>
    </row>
    <row r="188" spans="2:46" s="4" customFormat="1" ht="375" customHeight="1">
      <c r="B188" s="1429"/>
      <c r="C188" s="1431"/>
      <c r="D188" s="1433"/>
      <c r="E188" s="1448"/>
      <c r="F188" s="1064"/>
      <c r="G188" s="169"/>
      <c r="H188" s="573" t="s">
        <v>1469</v>
      </c>
      <c r="I188" s="569" t="s">
        <v>1392</v>
      </c>
      <c r="J188" s="569" t="s">
        <v>1531</v>
      </c>
      <c r="K188" s="574" t="s">
        <v>1446</v>
      </c>
      <c r="L188" s="570"/>
      <c r="M188" s="571"/>
      <c r="N188" s="572"/>
      <c r="O188" s="571"/>
      <c r="P188" s="388"/>
      <c r="Q188" s="788" t="s">
        <v>1447</v>
      </c>
      <c r="R188" s="788"/>
      <c r="S188" s="642"/>
      <c r="T188" s="634"/>
      <c r="U188" s="634"/>
      <c r="V188" s="635"/>
      <c r="W188" s="634"/>
      <c r="X188" s="645"/>
      <c r="Y188" s="740">
        <v>0.5</v>
      </c>
      <c r="Z188" s="739">
        <v>0</v>
      </c>
      <c r="AA188" s="639">
        <f t="shared" si="40"/>
        <v>0</v>
      </c>
      <c r="AB188" s="639"/>
      <c r="AC188" s="786">
        <f t="shared" si="50"/>
        <v>0.5</v>
      </c>
      <c r="AD188" s="639">
        <f t="shared" si="51"/>
        <v>0</v>
      </c>
      <c r="AE188" s="770">
        <f t="shared" si="52"/>
        <v>0</v>
      </c>
      <c r="AF188" s="737"/>
      <c r="AG188" s="738"/>
      <c r="AH188" s="640"/>
      <c r="AI188" s="741" t="s">
        <v>1459</v>
      </c>
      <c r="AJ188" s="382"/>
      <c r="AK188" s="277" t="s">
        <v>252</v>
      </c>
      <c r="AL188" s="56"/>
      <c r="AM188" s="278" t="s">
        <v>349</v>
      </c>
      <c r="AN188" s="283">
        <f t="shared" si="43"/>
        <v>0.25</v>
      </c>
      <c r="AO188" s="281">
        <f t="shared" si="44"/>
        <v>0</v>
      </c>
      <c r="AP188" s="282">
        <f t="shared" si="45"/>
        <v>0</v>
      </c>
      <c r="AQ188" s="282">
        <f t="shared" si="46"/>
        <v>0</v>
      </c>
      <c r="AR188" s="183">
        <f t="shared" si="47"/>
        <v>0.25</v>
      </c>
      <c r="AS188" s="174">
        <f t="shared" si="48"/>
        <v>0</v>
      </c>
      <c r="AT188" s="182">
        <f t="shared" si="49"/>
        <v>0</v>
      </c>
    </row>
    <row r="189" spans="2:46" s="4" customFormat="1" ht="408.75" customHeight="1">
      <c r="B189" s="1429"/>
      <c r="C189" s="1431"/>
      <c r="D189" s="1433"/>
      <c r="E189" s="1448"/>
      <c r="F189" s="1064"/>
      <c r="G189" s="169"/>
      <c r="H189" s="573" t="s">
        <v>1470</v>
      </c>
      <c r="I189" s="569" t="s">
        <v>1392</v>
      </c>
      <c r="J189" s="569" t="s">
        <v>1531</v>
      </c>
      <c r="K189" s="574" t="s">
        <v>1005</v>
      </c>
      <c r="L189" s="570"/>
      <c r="M189" s="571"/>
      <c r="N189" s="572"/>
      <c r="O189" s="571"/>
      <c r="P189" s="388"/>
      <c r="Q189" s="788" t="s">
        <v>1595</v>
      </c>
      <c r="R189" s="788"/>
      <c r="S189" s="642"/>
      <c r="T189" s="634"/>
      <c r="U189" s="634"/>
      <c r="V189" s="635"/>
      <c r="W189" s="634"/>
      <c r="X189" s="645"/>
      <c r="Y189" s="740">
        <v>0.5</v>
      </c>
      <c r="Z189" s="739">
        <v>0</v>
      </c>
      <c r="AA189" s="639">
        <f t="shared" ref="AA189" si="53">Y189*Z189</f>
        <v>0</v>
      </c>
      <c r="AB189" s="639"/>
      <c r="AC189" s="786">
        <f t="shared" ref="AC189" si="54">Y189</f>
        <v>0.5</v>
      </c>
      <c r="AD189" s="639">
        <f t="shared" ref="AD189" si="55">Z189</f>
        <v>0</v>
      </c>
      <c r="AE189" s="770">
        <f t="shared" ref="AE189" si="56">AD189*AC189</f>
        <v>0</v>
      </c>
      <c r="AF189" s="737"/>
      <c r="AG189" s="738"/>
      <c r="AH189" s="640"/>
      <c r="AI189" s="741" t="s">
        <v>1596</v>
      </c>
      <c r="AJ189" s="382"/>
      <c r="AK189" s="277" t="s">
        <v>252</v>
      </c>
      <c r="AL189" s="56"/>
      <c r="AM189" s="278" t="s">
        <v>349</v>
      </c>
      <c r="AN189" s="283">
        <f t="shared" ref="AN189" si="57">IF(Z189&gt;0,Y189,IF(AM189="низкая",Y189*$AR$40,IF(AM189="средняя",Y189*$AS$40,IF(AM189="высокая",Y189*$AT$40,0))))</f>
        <v>0.25</v>
      </c>
      <c r="AO189" s="281">
        <f t="shared" ref="AO189" si="58">IF(Z189&gt;0,Z189,IF($AM189="низкая",Z189*$AR$40,IF(AM189="средняя",Z189*$AS$40,IF(AM189="высокая",Z189*$AT$40,0))))</f>
        <v>0</v>
      </c>
      <c r="AP189" s="282">
        <f t="shared" ref="AP189" si="59">AN189*AO189</f>
        <v>0</v>
      </c>
      <c r="AQ189" s="282">
        <f t="shared" ref="AQ189" si="60">IF(AA189&gt;0,AA189,IF(AM189="низкая",AA189*$AR$40,IF(AM189="средняя",AA189*$AS$40,IF(AM189="высокая",AA189*$AT$40))))</f>
        <v>0</v>
      </c>
      <c r="AR189" s="183">
        <f t="shared" ref="AR189" si="61">AN189</f>
        <v>0.25</v>
      </c>
      <c r="AS189" s="174">
        <f t="shared" ref="AS189" si="62">AP189</f>
        <v>0</v>
      </c>
      <c r="AT189" s="182">
        <f t="shared" ref="AT189" si="63">AQ189</f>
        <v>0</v>
      </c>
    </row>
    <row r="190" spans="2:46" s="4" customFormat="1" ht="408.75" customHeight="1">
      <c r="B190" s="1429"/>
      <c r="C190" s="1431"/>
      <c r="D190" s="1433"/>
      <c r="E190" s="1448"/>
      <c r="F190" s="1065"/>
      <c r="G190" s="169"/>
      <c r="H190" s="573" t="s">
        <v>1597</v>
      </c>
      <c r="I190" s="569" t="s">
        <v>1392</v>
      </c>
      <c r="J190" s="569" t="s">
        <v>1531</v>
      </c>
      <c r="K190" s="574" t="s">
        <v>1598</v>
      </c>
      <c r="L190" s="570"/>
      <c r="M190" s="571"/>
      <c r="N190" s="572"/>
      <c r="O190" s="571"/>
      <c r="P190" s="388"/>
      <c r="Q190" s="788" t="s">
        <v>1599</v>
      </c>
      <c r="R190" s="788"/>
      <c r="S190" s="642"/>
      <c r="T190" s="634"/>
      <c r="U190" s="634"/>
      <c r="V190" s="635"/>
      <c r="W190" s="634"/>
      <c r="X190" s="645"/>
      <c r="Y190" s="740">
        <v>0.5</v>
      </c>
      <c r="Z190" s="739">
        <v>0</v>
      </c>
      <c r="AA190" s="639">
        <f t="shared" ref="AA190" si="64">Y190*Z190</f>
        <v>0</v>
      </c>
      <c r="AB190" s="639"/>
      <c r="AC190" s="786">
        <f t="shared" ref="AC190" si="65">Y190</f>
        <v>0.5</v>
      </c>
      <c r="AD190" s="639">
        <f t="shared" ref="AD190" si="66">Z190</f>
        <v>0</v>
      </c>
      <c r="AE190" s="770">
        <f t="shared" ref="AE190" si="67">AD190*AC190</f>
        <v>0</v>
      </c>
      <c r="AF190" s="737"/>
      <c r="AG190" s="738"/>
      <c r="AH190" s="640"/>
      <c r="AI190" s="741" t="s">
        <v>1600</v>
      </c>
      <c r="AJ190" s="382"/>
      <c r="AK190" s="277" t="s">
        <v>252</v>
      </c>
      <c r="AL190" s="56"/>
      <c r="AM190" s="278" t="s">
        <v>349</v>
      </c>
      <c r="AN190" s="283">
        <f t="shared" ref="AN190" si="68">IF(Z190&gt;0,Y190,IF(AM190="низкая",Y190*$AR$40,IF(AM190="средняя",Y190*$AS$40,IF(AM190="высокая",Y190*$AT$40,0))))</f>
        <v>0.25</v>
      </c>
      <c r="AO190" s="281">
        <f t="shared" ref="AO190" si="69">IF(Z190&gt;0,Z190,IF($AM190="низкая",Z190*$AR$40,IF(AM190="средняя",Z190*$AS$40,IF(AM190="высокая",Z190*$AT$40,0))))</f>
        <v>0</v>
      </c>
      <c r="AP190" s="282">
        <f t="shared" ref="AP190" si="70">AN190*AO190</f>
        <v>0</v>
      </c>
      <c r="AQ190" s="282">
        <f t="shared" ref="AQ190" si="71">IF(AA190&gt;0,AA190,IF(AM190="низкая",AA190*$AR$40,IF(AM190="средняя",AA190*$AS$40,IF(AM190="высокая",AA190*$AT$40))))</f>
        <v>0</v>
      </c>
      <c r="AR190" s="183">
        <f t="shared" ref="AR190" si="72">AN190</f>
        <v>0.25</v>
      </c>
      <c r="AS190" s="174">
        <f t="shared" ref="AS190" si="73">AP190</f>
        <v>0</v>
      </c>
      <c r="AT190" s="182">
        <f t="shared" ref="AT190" si="74">AQ190</f>
        <v>0</v>
      </c>
    </row>
    <row r="191" spans="2:46" s="4" customFormat="1" ht="141" customHeight="1">
      <c r="B191" s="1429"/>
      <c r="C191" s="1431"/>
      <c r="D191" s="1434"/>
      <c r="E191" s="1449"/>
      <c r="F191" s="154" t="s">
        <v>83</v>
      </c>
      <c r="G191" s="169"/>
      <c r="H191" s="156" t="s">
        <v>190</v>
      </c>
      <c r="I191" s="451" t="s">
        <v>158</v>
      </c>
      <c r="J191" s="160" t="s">
        <v>418</v>
      </c>
      <c r="K191" s="158" t="s">
        <v>3</v>
      </c>
      <c r="L191" s="151"/>
      <c r="M191" s="151"/>
      <c r="N191" s="151"/>
      <c r="O191" s="151"/>
      <c r="P191" s="159"/>
      <c r="Q191" s="642" t="s">
        <v>419</v>
      </c>
      <c r="R191" s="642"/>
      <c r="S191" s="642"/>
      <c r="T191" s="634"/>
      <c r="U191" s="634"/>
      <c r="V191" s="635" t="s">
        <v>130</v>
      </c>
      <c r="W191" s="636" t="s">
        <v>518</v>
      </c>
      <c r="X191" s="645"/>
      <c r="Y191" s="703">
        <v>0.25</v>
      </c>
      <c r="Z191" s="639">
        <v>-269.72699999999998</v>
      </c>
      <c r="AA191" s="639">
        <f t="shared" si="40"/>
        <v>-67.431749999999994</v>
      </c>
      <c r="AB191" s="639" t="s">
        <v>378</v>
      </c>
      <c r="AC191" s="705">
        <f>Y191</f>
        <v>0.25</v>
      </c>
      <c r="AD191" s="706">
        <f>Z191</f>
        <v>-269.72699999999998</v>
      </c>
      <c r="AE191" s="706">
        <f>AC191*AD191</f>
        <v>-67.431749999999994</v>
      </c>
      <c r="AF191" s="737"/>
      <c r="AG191" s="738"/>
      <c r="AH191" s="640"/>
      <c r="AI191" s="727"/>
      <c r="AJ191" s="56"/>
      <c r="AK191" s="277" t="s">
        <v>418</v>
      </c>
      <c r="AL191" s="56"/>
      <c r="AM191" s="278" t="s">
        <v>349</v>
      </c>
      <c r="AN191" s="279">
        <f t="shared" si="26"/>
        <v>0.125</v>
      </c>
      <c r="AO191" s="281">
        <f t="shared" si="27"/>
        <v>-134.86349999999999</v>
      </c>
      <c r="AP191" s="282">
        <f t="shared" si="28"/>
        <v>-16.857937499999998</v>
      </c>
      <c r="AQ191" s="282">
        <f t="shared" si="39"/>
        <v>-33.715874999999997</v>
      </c>
      <c r="AR191" s="184">
        <f>AN191</f>
        <v>0.125</v>
      </c>
      <c r="AS191" s="176">
        <f>AP191</f>
        <v>-16.857937499999998</v>
      </c>
      <c r="AT191" s="182">
        <f t="shared" si="34"/>
        <v>-33.715874999999997</v>
      </c>
    </row>
    <row r="192" spans="2:46" s="4" customFormat="1" ht="189" customHeight="1">
      <c r="B192" s="1429"/>
      <c r="C192" s="1431"/>
      <c r="D192" s="1424"/>
      <c r="E192" s="1426" t="s">
        <v>264</v>
      </c>
      <c r="F192" s="1063" t="s">
        <v>85</v>
      </c>
      <c r="G192" s="1440"/>
      <c r="H192" s="165" t="s">
        <v>191</v>
      </c>
      <c r="I192" s="451" t="s">
        <v>158</v>
      </c>
      <c r="J192" s="170" t="s">
        <v>420</v>
      </c>
      <c r="K192" s="158" t="s">
        <v>37</v>
      </c>
      <c r="L192" s="987"/>
      <c r="M192" s="987"/>
      <c r="N192" s="987"/>
      <c r="O192" s="987"/>
      <c r="P192" s="987"/>
      <c r="Q192" s="634" t="s">
        <v>20</v>
      </c>
      <c r="R192" s="642"/>
      <c r="S192" s="642"/>
      <c r="T192" s="634"/>
      <c r="U192" s="634"/>
      <c r="V192" s="635" t="s">
        <v>130</v>
      </c>
      <c r="W192" s="636"/>
      <c r="X192" s="645"/>
      <c r="Y192" s="740">
        <v>0.05</v>
      </c>
      <c r="Z192" s="639">
        <v>-4332.5230000000001</v>
      </c>
      <c r="AA192" s="639">
        <f>Y192*Z192</f>
        <v>-216.62615000000002</v>
      </c>
      <c r="AB192" s="639"/>
      <c r="AC192" s="1098">
        <f>AA192/(SUM($AA$192:$AA$194))*Y192+AA193/(SUM($AA$192:$AA$194))*Y193+AA194/(SUM($AA$192:$AA$194))*Y194</f>
        <v>0.45179023155256937</v>
      </c>
      <c r="AD192" s="1020">
        <f>SUM(AA192:AA194)</f>
        <v>-29603.176149999999</v>
      </c>
      <c r="AE192" s="1020">
        <f>AD192*AC192</f>
        <v>-13374.425807499998</v>
      </c>
      <c r="AF192" s="789"/>
      <c r="AG192" s="790"/>
      <c r="AH192" s="724"/>
      <c r="AI192" s="675" t="s">
        <v>155</v>
      </c>
      <c r="AJ192" s="262"/>
      <c r="AK192" s="277" t="s">
        <v>420</v>
      </c>
      <c r="AL192" s="56"/>
      <c r="AM192" s="278" t="s">
        <v>349</v>
      </c>
      <c r="AN192" s="279">
        <v>0.05</v>
      </c>
      <c r="AO192" s="281">
        <f t="shared" si="27"/>
        <v>-2166.2615000000001</v>
      </c>
      <c r="AP192" s="282">
        <f t="shared" si="28"/>
        <v>-108.31307500000001</v>
      </c>
      <c r="AQ192" s="282">
        <f t="shared" si="39"/>
        <v>-108.31307500000001</v>
      </c>
      <c r="AR192" s="1043" t="e">
        <f>AP192/(SUM($AA$192:$AA$193))*AN192+AP193/(SUM($AA$192:$AA$193))*AN193+#REF!/(SUM($AA$192:$AA$193))*#REF!</f>
        <v>#REF!</v>
      </c>
      <c r="AS192" s="1044">
        <f>SUM(AP192:AP193)</f>
        <v>-6509.5130750000008</v>
      </c>
      <c r="AT192" s="1024">
        <v>-14390</v>
      </c>
    </row>
    <row r="193" spans="2:46" s="4" customFormat="1" ht="185.1" customHeight="1">
      <c r="B193" s="1429"/>
      <c r="C193" s="1431"/>
      <c r="D193" s="1425"/>
      <c r="E193" s="1427"/>
      <c r="F193" s="1064"/>
      <c r="G193" s="1442"/>
      <c r="H193" s="165" t="s">
        <v>192</v>
      </c>
      <c r="I193" s="451" t="s">
        <v>158</v>
      </c>
      <c r="J193" s="451" t="s">
        <v>249</v>
      </c>
      <c r="K193" s="187" t="s">
        <v>390</v>
      </c>
      <c r="L193" s="988"/>
      <c r="M193" s="988"/>
      <c r="N193" s="988"/>
      <c r="O193" s="988"/>
      <c r="P193" s="988"/>
      <c r="Q193" s="634" t="s">
        <v>154</v>
      </c>
      <c r="R193" s="642"/>
      <c r="S193" s="642"/>
      <c r="T193" s="634"/>
      <c r="U193" s="634"/>
      <c r="V193" s="635" t="s">
        <v>130</v>
      </c>
      <c r="W193" s="636"/>
      <c r="X193" s="645"/>
      <c r="Y193" s="740">
        <v>0.4</v>
      </c>
      <c r="Z193" s="639">
        <v>-16003</v>
      </c>
      <c r="AA193" s="639">
        <f>Y193*Z193</f>
        <v>-6401.2000000000007</v>
      </c>
      <c r="AB193" s="639"/>
      <c r="AC193" s="1099"/>
      <c r="AD193" s="1021"/>
      <c r="AE193" s="1021"/>
      <c r="AF193" s="791"/>
      <c r="AG193" s="790"/>
      <c r="AH193" s="792"/>
      <c r="AI193" s="675" t="s">
        <v>1199</v>
      </c>
      <c r="AJ193" s="384"/>
      <c r="AK193" s="277" t="s">
        <v>249</v>
      </c>
      <c r="AL193" s="56"/>
      <c r="AM193" s="278" t="s">
        <v>348</v>
      </c>
      <c r="AN193" s="292">
        <v>0.4</v>
      </c>
      <c r="AO193" s="281">
        <f t="shared" si="27"/>
        <v>-16003</v>
      </c>
      <c r="AP193" s="282">
        <f t="shared" si="28"/>
        <v>-6401.2000000000007</v>
      </c>
      <c r="AQ193" s="282">
        <f t="shared" si="39"/>
        <v>-6401.2000000000007</v>
      </c>
      <c r="AR193" s="1043"/>
      <c r="AS193" s="1044"/>
      <c r="AT193" s="1025"/>
    </row>
    <row r="194" spans="2:46" s="4" customFormat="1" ht="409.5" customHeight="1">
      <c r="B194" s="453"/>
      <c r="C194" s="455"/>
      <c r="D194" s="456"/>
      <c r="E194" s="454"/>
      <c r="F194" s="1065"/>
      <c r="G194" s="169"/>
      <c r="H194" s="165" t="s">
        <v>301</v>
      </c>
      <c r="I194" s="451" t="s">
        <v>158</v>
      </c>
      <c r="J194" s="451" t="s">
        <v>251</v>
      </c>
      <c r="K194" s="187" t="s">
        <v>391</v>
      </c>
      <c r="L194" s="452"/>
      <c r="M194" s="452"/>
      <c r="N194" s="452"/>
      <c r="O194" s="452"/>
      <c r="P194" s="452"/>
      <c r="Q194" s="702" t="s">
        <v>308</v>
      </c>
      <c r="R194" s="642"/>
      <c r="S194" s="642"/>
      <c r="T194" s="634"/>
      <c r="U194" s="634"/>
      <c r="V194" s="635" t="s">
        <v>130</v>
      </c>
      <c r="W194" s="636"/>
      <c r="X194" s="645"/>
      <c r="Y194" s="740">
        <v>0.47</v>
      </c>
      <c r="Z194" s="639">
        <v>-48905</v>
      </c>
      <c r="AA194" s="639">
        <f>Y194*Z194</f>
        <v>-22985.35</v>
      </c>
      <c r="AB194" s="639" t="s">
        <v>1387</v>
      </c>
      <c r="AC194" s="1100"/>
      <c r="AD194" s="1022"/>
      <c r="AE194" s="1022"/>
      <c r="AF194" s="791"/>
      <c r="AG194" s="790"/>
      <c r="AH194" s="769"/>
      <c r="AI194" s="716" t="s">
        <v>1388</v>
      </c>
      <c r="AJ194" s="384"/>
      <c r="AK194" s="277" t="s">
        <v>251</v>
      </c>
      <c r="AL194" s="56"/>
      <c r="AM194" s="278" t="s">
        <v>349</v>
      </c>
      <c r="AN194" s="292">
        <v>0.47</v>
      </c>
      <c r="AO194" s="281">
        <f>IF(Z194&gt;0,Z194,IF($AM194="низкая",Z194*$AR$40,IF(AM194="средняя",Z194*$AS$40,IF(AM194="высокая",Z194*$AT$40,0))))</f>
        <v>-24452.5</v>
      </c>
      <c r="AP194" s="282">
        <f>AN194*AO194</f>
        <v>-11492.674999999999</v>
      </c>
      <c r="AQ194" s="282">
        <f>IF(AA194&gt;0,AA194,IF(AM194="низкая",AA194*$AR$40,IF(AM194="средняя",AA194*$AS$40,IF(AM194="высокая",AA194*$AT$40))))</f>
        <v>-11492.674999999999</v>
      </c>
      <c r="AR194" s="175"/>
      <c r="AS194" s="178"/>
      <c r="AT194" s="1026"/>
    </row>
    <row r="195" spans="2:46" s="4" customFormat="1" ht="210.6" customHeight="1">
      <c r="B195" s="1420" t="s">
        <v>1</v>
      </c>
      <c r="C195" s="1422" t="s">
        <v>11</v>
      </c>
      <c r="D195" s="40"/>
      <c r="E195" s="86"/>
      <c r="F195" s="1468" t="s">
        <v>161</v>
      </c>
      <c r="G195" s="171"/>
      <c r="H195" s="157" t="s">
        <v>363</v>
      </c>
      <c r="I195" s="1088" t="s">
        <v>111</v>
      </c>
      <c r="J195" s="1088" t="s">
        <v>257</v>
      </c>
      <c r="K195" s="158" t="s">
        <v>48</v>
      </c>
      <c r="L195" s="1010"/>
      <c r="M195" s="1010"/>
      <c r="N195" s="1010"/>
      <c r="O195" s="1010"/>
      <c r="P195" s="1010"/>
      <c r="Q195" s="1018" t="s">
        <v>19</v>
      </c>
      <c r="R195" s="642"/>
      <c r="S195" s="642"/>
      <c r="T195" s="634"/>
      <c r="U195" s="634"/>
      <c r="V195" s="635" t="s">
        <v>130</v>
      </c>
      <c r="W195" s="636"/>
      <c r="X195" s="645"/>
      <c r="Y195" s="793">
        <v>0.4</v>
      </c>
      <c r="Z195" s="794">
        <v>-401.4</v>
      </c>
      <c r="AA195" s="639">
        <f t="shared" si="40"/>
        <v>-160.56</v>
      </c>
      <c r="AB195" s="1008" t="s">
        <v>1485</v>
      </c>
      <c r="AC195" s="679">
        <f t="shared" ref="AC195:AC201" si="75">Y195</f>
        <v>0.4</v>
      </c>
      <c r="AD195" s="706">
        <f t="shared" ref="AD195:AD197" si="76">Z195</f>
        <v>-401.4</v>
      </c>
      <c r="AE195" s="706">
        <f t="shared" ref="AE195:AE202" si="77">AC195*AD195</f>
        <v>-160.56</v>
      </c>
      <c r="AF195" s="737"/>
      <c r="AG195" s="738"/>
      <c r="AH195" s="640"/>
      <c r="AI195" s="1038" t="s">
        <v>1484</v>
      </c>
      <c r="AJ195" s="383"/>
      <c r="AK195" s="1027" t="s">
        <v>240</v>
      </c>
      <c r="AL195" s="56"/>
      <c r="AM195" s="278" t="s">
        <v>349</v>
      </c>
      <c r="AN195" s="283">
        <f t="shared" si="26"/>
        <v>0.2</v>
      </c>
      <c r="AO195" s="281">
        <f t="shared" si="27"/>
        <v>-200.7</v>
      </c>
      <c r="AP195" s="282">
        <f t="shared" si="28"/>
        <v>-40.14</v>
      </c>
      <c r="AQ195" s="282">
        <f t="shared" si="39"/>
        <v>-80.28</v>
      </c>
      <c r="AR195" s="175">
        <f t="shared" ref="AR195:AR201" si="78">AN195</f>
        <v>0.2</v>
      </c>
      <c r="AS195" s="176">
        <f t="shared" ref="AS195:AS201" si="79">AP195</f>
        <v>-40.14</v>
      </c>
      <c r="AT195" s="202">
        <f>AQ195</f>
        <v>-80.28</v>
      </c>
    </row>
    <row r="196" spans="2:46" s="4" customFormat="1" ht="214.2" customHeight="1">
      <c r="B196" s="1421"/>
      <c r="C196" s="1423"/>
      <c r="D196" s="40"/>
      <c r="E196" s="86"/>
      <c r="F196" s="1468"/>
      <c r="G196" s="171"/>
      <c r="H196" s="157" t="s">
        <v>364</v>
      </c>
      <c r="I196" s="1088"/>
      <c r="J196" s="1088"/>
      <c r="K196" s="158" t="s">
        <v>934</v>
      </c>
      <c r="L196" s="1014"/>
      <c r="M196" s="1014"/>
      <c r="N196" s="1014"/>
      <c r="O196" s="1014"/>
      <c r="P196" s="1014"/>
      <c r="Q196" s="1019"/>
      <c r="R196" s="642"/>
      <c r="S196" s="642"/>
      <c r="T196" s="634"/>
      <c r="U196" s="634"/>
      <c r="V196" s="635" t="s">
        <v>138</v>
      </c>
      <c r="W196" s="636"/>
      <c r="X196" s="645"/>
      <c r="Y196" s="793">
        <v>0.45</v>
      </c>
      <c r="Z196" s="794">
        <v>-15</v>
      </c>
      <c r="AA196" s="639">
        <f t="shared" si="40"/>
        <v>-6.75</v>
      </c>
      <c r="AB196" s="1030"/>
      <c r="AC196" s="705">
        <f t="shared" si="75"/>
        <v>0.45</v>
      </c>
      <c r="AD196" s="706">
        <f t="shared" si="76"/>
        <v>-15</v>
      </c>
      <c r="AE196" s="706">
        <f t="shared" si="77"/>
        <v>-6.75</v>
      </c>
      <c r="AF196" s="737"/>
      <c r="AG196" s="738"/>
      <c r="AH196" s="640"/>
      <c r="AI196" s="1039"/>
      <c r="AJ196" s="383"/>
      <c r="AK196" s="1027"/>
      <c r="AL196" s="56"/>
      <c r="AM196" s="278" t="s">
        <v>349</v>
      </c>
      <c r="AN196" s="279">
        <f t="shared" si="26"/>
        <v>0.22500000000000001</v>
      </c>
      <c r="AO196" s="281">
        <f t="shared" si="27"/>
        <v>-7.5</v>
      </c>
      <c r="AP196" s="282">
        <f t="shared" si="28"/>
        <v>-1.6875</v>
      </c>
      <c r="AQ196" s="282">
        <f t="shared" si="39"/>
        <v>-3.375</v>
      </c>
      <c r="AR196" s="181">
        <f t="shared" si="78"/>
        <v>0.22500000000000001</v>
      </c>
      <c r="AS196" s="176">
        <f t="shared" si="79"/>
        <v>-1.6875</v>
      </c>
      <c r="AT196" s="202">
        <f t="shared" ref="AT196:AT201" si="80">AR196*AS196</f>
        <v>-0.37968750000000001</v>
      </c>
    </row>
    <row r="197" spans="2:46" s="4" customFormat="1" ht="300" customHeight="1">
      <c r="B197" s="1421"/>
      <c r="C197" s="131" t="s">
        <v>1479</v>
      </c>
      <c r="D197" s="40"/>
      <c r="E197" s="86"/>
      <c r="F197" s="1468"/>
      <c r="G197" s="171"/>
      <c r="H197" s="157" t="s">
        <v>365</v>
      </c>
      <c r="I197" s="160" t="s">
        <v>111</v>
      </c>
      <c r="J197" s="172" t="s">
        <v>1589</v>
      </c>
      <c r="K197" s="158" t="s">
        <v>476</v>
      </c>
      <c r="L197" s="317">
        <v>0.22</v>
      </c>
      <c r="M197" s="317">
        <v>0.23</v>
      </c>
      <c r="N197" s="317" t="s">
        <v>478</v>
      </c>
      <c r="O197" s="317" t="s">
        <v>479</v>
      </c>
      <c r="P197" s="157" t="s">
        <v>477</v>
      </c>
      <c r="Q197" s="634" t="s">
        <v>481</v>
      </c>
      <c r="R197" s="642"/>
      <c r="S197" s="642"/>
      <c r="T197" s="634"/>
      <c r="U197" s="634"/>
      <c r="V197" s="635" t="s">
        <v>130</v>
      </c>
      <c r="W197" s="636"/>
      <c r="X197" s="645"/>
      <c r="Y197" s="638">
        <v>0.75</v>
      </c>
      <c r="Z197" s="739">
        <v>-399</v>
      </c>
      <c r="AA197" s="639">
        <f t="shared" si="40"/>
        <v>-299.25</v>
      </c>
      <c r="AB197" s="639"/>
      <c r="AC197" s="766">
        <f t="shared" si="75"/>
        <v>0.75</v>
      </c>
      <c r="AD197" s="706">
        <f t="shared" si="76"/>
        <v>-399</v>
      </c>
      <c r="AE197" s="706">
        <f t="shared" si="77"/>
        <v>-299.25</v>
      </c>
      <c r="AF197" s="737"/>
      <c r="AG197" s="738"/>
      <c r="AH197" s="640"/>
      <c r="AI197" s="675" t="s">
        <v>166</v>
      </c>
      <c r="AJ197" s="275"/>
      <c r="AK197" s="270" t="s">
        <v>1590</v>
      </c>
      <c r="AL197" s="56"/>
      <c r="AM197" s="278" t="s">
        <v>348</v>
      </c>
      <c r="AN197" s="280">
        <f t="shared" si="26"/>
        <v>0.75</v>
      </c>
      <c r="AO197" s="281">
        <f t="shared" si="27"/>
        <v>-399</v>
      </c>
      <c r="AP197" s="282">
        <f t="shared" si="28"/>
        <v>-299.25</v>
      </c>
      <c r="AQ197" s="282">
        <f t="shared" si="39"/>
        <v>-299.25</v>
      </c>
      <c r="AR197" s="177">
        <f t="shared" si="78"/>
        <v>0.75</v>
      </c>
      <c r="AS197" s="176">
        <f t="shared" si="79"/>
        <v>-299.25</v>
      </c>
      <c r="AT197" s="202">
        <f t="shared" si="80"/>
        <v>-224.4375</v>
      </c>
    </row>
    <row r="198" spans="2:46" s="4" customFormat="1" ht="187.95" customHeight="1">
      <c r="B198" s="1550" t="s">
        <v>2</v>
      </c>
      <c r="C198" s="1550" t="s">
        <v>4</v>
      </c>
      <c r="D198" s="391"/>
      <c r="E198" s="86"/>
      <c r="F198" s="1068" t="s">
        <v>1394</v>
      </c>
      <c r="G198" s="169"/>
      <c r="H198" s="157" t="s">
        <v>201</v>
      </c>
      <c r="I198" s="1028" t="s">
        <v>173</v>
      </c>
      <c r="J198" s="1028" t="s">
        <v>258</v>
      </c>
      <c r="K198" s="158" t="s">
        <v>869</v>
      </c>
      <c r="L198" s="1010"/>
      <c r="M198" s="1010"/>
      <c r="N198" s="1010"/>
      <c r="O198" s="1010"/>
      <c r="P198" s="1010"/>
      <c r="Q198" s="634" t="s">
        <v>1601</v>
      </c>
      <c r="R198" s="642"/>
      <c r="S198" s="642"/>
      <c r="T198" s="634"/>
      <c r="U198" s="634"/>
      <c r="V198" s="635" t="s">
        <v>138</v>
      </c>
      <c r="W198" s="636" t="s">
        <v>860</v>
      </c>
      <c r="X198" s="645"/>
      <c r="Y198" s="729">
        <v>0.8</v>
      </c>
      <c r="Z198" s="739">
        <v>-75</v>
      </c>
      <c r="AA198" s="639">
        <v>-60</v>
      </c>
      <c r="AB198" s="639"/>
      <c r="AC198" s="776">
        <v>0.8</v>
      </c>
      <c r="AD198" s="723">
        <v>-75</v>
      </c>
      <c r="AE198" s="706">
        <v>-60</v>
      </c>
      <c r="AF198" s="737"/>
      <c r="AG198" s="738"/>
      <c r="AH198" s="640"/>
      <c r="AI198" s="675" t="s">
        <v>1602</v>
      </c>
      <c r="AJ198" s="262"/>
      <c r="AK198" s="1007" t="s">
        <v>258</v>
      </c>
      <c r="AL198" s="56"/>
      <c r="AM198" s="278" t="s">
        <v>348</v>
      </c>
      <c r="AN198" s="292">
        <v>0.8</v>
      </c>
      <c r="AO198" s="281">
        <v>-75</v>
      </c>
      <c r="AP198" s="282">
        <v>-60</v>
      </c>
      <c r="AQ198" s="282">
        <v>-60</v>
      </c>
      <c r="AR198" s="180">
        <v>0.8</v>
      </c>
      <c r="AS198" s="841">
        <v>-60</v>
      </c>
      <c r="AT198" s="202">
        <v>-48</v>
      </c>
    </row>
    <row r="199" spans="2:46" s="4" customFormat="1" ht="282" customHeight="1">
      <c r="B199" s="1551"/>
      <c r="C199" s="1551"/>
      <c r="D199" s="391"/>
      <c r="E199" s="86"/>
      <c r="F199" s="1068"/>
      <c r="G199" s="169"/>
      <c r="H199" s="157" t="s">
        <v>202</v>
      </c>
      <c r="I199" s="1028"/>
      <c r="J199" s="1028"/>
      <c r="K199" s="158" t="s">
        <v>53</v>
      </c>
      <c r="L199" s="1014"/>
      <c r="M199" s="1014"/>
      <c r="N199" s="1014"/>
      <c r="O199" s="1014"/>
      <c r="P199" s="1014"/>
      <c r="Q199" s="634" t="s">
        <v>1591</v>
      </c>
      <c r="R199" s="642"/>
      <c r="S199" s="642"/>
      <c r="T199" s="634"/>
      <c r="U199" s="634"/>
      <c r="V199" s="635" t="s">
        <v>130</v>
      </c>
      <c r="W199" s="636"/>
      <c r="X199" s="645"/>
      <c r="Y199" s="729">
        <v>0.8</v>
      </c>
      <c r="Z199" s="739"/>
      <c r="AA199" s="639">
        <v>0</v>
      </c>
      <c r="AB199" s="639"/>
      <c r="AC199" s="776">
        <v>0.8</v>
      </c>
      <c r="AD199" s="723">
        <v>0</v>
      </c>
      <c r="AE199" s="706">
        <v>0</v>
      </c>
      <c r="AF199" s="737"/>
      <c r="AG199" s="738"/>
      <c r="AH199" s="640"/>
      <c r="AI199" s="675" t="s">
        <v>1592</v>
      </c>
      <c r="AJ199" s="275"/>
      <c r="AK199" s="1007"/>
      <c r="AL199" s="56"/>
      <c r="AM199" s="278" t="s">
        <v>348</v>
      </c>
      <c r="AN199" s="292">
        <v>0.8</v>
      </c>
      <c r="AO199" s="281">
        <v>0</v>
      </c>
      <c r="AP199" s="282">
        <v>0</v>
      </c>
      <c r="AQ199" s="282">
        <v>0</v>
      </c>
      <c r="AR199" s="180">
        <v>0.8</v>
      </c>
      <c r="AS199" s="841">
        <v>0</v>
      </c>
      <c r="AT199" s="202">
        <v>0</v>
      </c>
    </row>
    <row r="200" spans="2:46" s="4" customFormat="1" ht="409.5" customHeight="1">
      <c r="B200" s="1551"/>
      <c r="C200" s="1551"/>
      <c r="D200" s="391"/>
      <c r="E200" s="86"/>
      <c r="F200" s="1068"/>
      <c r="G200" s="169"/>
      <c r="H200" s="157" t="s">
        <v>203</v>
      </c>
      <c r="I200" s="1028"/>
      <c r="J200" s="1028"/>
      <c r="K200" s="158" t="s">
        <v>41</v>
      </c>
      <c r="L200" s="1014"/>
      <c r="M200" s="1014"/>
      <c r="N200" s="1014"/>
      <c r="O200" s="1014"/>
      <c r="P200" s="1014"/>
      <c r="Q200" s="634" t="s">
        <v>1603</v>
      </c>
      <c r="R200" s="642"/>
      <c r="S200" s="642"/>
      <c r="T200" s="634"/>
      <c r="U200" s="634"/>
      <c r="V200" s="635" t="s">
        <v>130</v>
      </c>
      <c r="W200" s="636" t="s">
        <v>1489</v>
      </c>
      <c r="X200" s="645"/>
      <c r="Y200" s="740">
        <v>0.4</v>
      </c>
      <c r="Z200" s="639">
        <v>-69886.5</v>
      </c>
      <c r="AA200" s="639">
        <v>-27954.600000000002</v>
      </c>
      <c r="AB200" s="639" t="s">
        <v>1541</v>
      </c>
      <c r="AC200" s="679">
        <v>0.4</v>
      </c>
      <c r="AD200" s="723">
        <v>-69886.5</v>
      </c>
      <c r="AE200" s="706">
        <v>-27954.600000000002</v>
      </c>
      <c r="AF200" s="737"/>
      <c r="AG200" s="738"/>
      <c r="AH200" s="640"/>
      <c r="AI200" s="741" t="s">
        <v>1604</v>
      </c>
      <c r="AJ200" s="382"/>
      <c r="AK200" s="1007"/>
      <c r="AL200" s="56"/>
      <c r="AM200" s="278" t="s">
        <v>349</v>
      </c>
      <c r="AN200" s="283">
        <v>0.2</v>
      </c>
      <c r="AO200" s="281">
        <v>-34943.25</v>
      </c>
      <c r="AP200" s="282">
        <v>-6988.6500000000005</v>
      </c>
      <c r="AQ200" s="282">
        <v>-13977.300000000001</v>
      </c>
      <c r="AR200" s="175">
        <v>0.2</v>
      </c>
      <c r="AS200" s="841">
        <v>-6988.6500000000005</v>
      </c>
      <c r="AT200" s="202">
        <v>-13977.300000000001</v>
      </c>
    </row>
    <row r="201" spans="2:46" s="4" customFormat="1" ht="290.39999999999998" customHeight="1">
      <c r="B201" s="1551"/>
      <c r="C201" s="1551"/>
      <c r="D201" s="391"/>
      <c r="E201" s="86"/>
      <c r="F201" s="1066" t="s">
        <v>68</v>
      </c>
      <c r="G201" s="171"/>
      <c r="H201" s="157" t="s">
        <v>204</v>
      </c>
      <c r="I201" s="160" t="s">
        <v>112</v>
      </c>
      <c r="J201" s="160" t="s">
        <v>1197</v>
      </c>
      <c r="K201" s="387" t="s">
        <v>169</v>
      </c>
      <c r="L201" s="388"/>
      <c r="M201" s="388"/>
      <c r="N201" s="388"/>
      <c r="O201" s="388"/>
      <c r="P201" s="388"/>
      <c r="Q201" s="795" t="s">
        <v>645</v>
      </c>
      <c r="R201" s="796"/>
      <c r="S201" s="796"/>
      <c r="T201" s="634"/>
      <c r="U201" s="634"/>
      <c r="V201" s="635" t="s">
        <v>130</v>
      </c>
      <c r="W201" s="719" t="s">
        <v>170</v>
      </c>
      <c r="X201" s="645"/>
      <c r="Y201" s="740">
        <v>1</v>
      </c>
      <c r="Z201" s="739"/>
      <c r="AA201" s="639">
        <f t="shared" si="40"/>
        <v>0</v>
      </c>
      <c r="AB201" s="639"/>
      <c r="AC201" s="679">
        <f t="shared" si="75"/>
        <v>1</v>
      </c>
      <c r="AD201" s="706">
        <f>AA201</f>
        <v>0</v>
      </c>
      <c r="AE201" s="706">
        <f t="shared" si="77"/>
        <v>0</v>
      </c>
      <c r="AF201" s="737"/>
      <c r="AG201" s="738"/>
      <c r="AH201" s="640"/>
      <c r="AI201" s="675" t="s">
        <v>171</v>
      </c>
      <c r="AJ201" s="275"/>
      <c r="AK201" s="270" t="s">
        <v>172</v>
      </c>
      <c r="AL201" s="56"/>
      <c r="AM201" s="278" t="s">
        <v>348</v>
      </c>
      <c r="AN201" s="283">
        <f>IF(Z201&gt;0,Y201,IF(AM201="низкая",Y201*$AR$40,IF(AM201="средняя",Y201*$AS$40,IF(AM201="высокая",Y201*$AT$40,0))))</f>
        <v>1</v>
      </c>
      <c r="AO201" s="281">
        <f>IF(Z201&gt;0,Z201,IF($AM201="низкая",Z201*$AR$40,IF(AM201="средняя",Z201*$AS$40,IF(AM201="высокая",Z201*$AT$40,0))))</f>
        <v>0</v>
      </c>
      <c r="AP201" s="282">
        <f>AN201*AO201</f>
        <v>0</v>
      </c>
      <c r="AQ201" s="282">
        <f t="shared" si="39"/>
        <v>0</v>
      </c>
      <c r="AR201" s="175">
        <f t="shared" si="78"/>
        <v>1</v>
      </c>
      <c r="AS201" s="176">
        <f t="shared" si="79"/>
        <v>0</v>
      </c>
      <c r="AT201" s="176">
        <f t="shared" si="80"/>
        <v>0</v>
      </c>
    </row>
    <row r="202" spans="2:46" s="4" customFormat="1" ht="76.5" customHeight="1">
      <c r="B202" s="1551"/>
      <c r="C202" s="1551"/>
      <c r="D202" s="391"/>
      <c r="E202" s="86"/>
      <c r="F202" s="1067"/>
      <c r="G202" s="1010"/>
      <c r="H202" s="1010" t="s">
        <v>807</v>
      </c>
      <c r="I202" s="1040" t="s">
        <v>112</v>
      </c>
      <c r="J202" s="1010" t="s">
        <v>1197</v>
      </c>
      <c r="K202" s="984" t="s">
        <v>826</v>
      </c>
      <c r="L202" s="385"/>
      <c r="M202" s="385"/>
      <c r="N202" s="385"/>
      <c r="O202" s="385"/>
      <c r="P202" s="385"/>
      <c r="Q202" s="744" t="s">
        <v>650</v>
      </c>
      <c r="R202" s="719" t="s">
        <v>696</v>
      </c>
      <c r="S202" s="797"/>
      <c r="T202" s="1034" t="s">
        <v>697</v>
      </c>
      <c r="U202" s="634"/>
      <c r="V202" s="635"/>
      <c r="W202" s="719" t="s">
        <v>698</v>
      </c>
      <c r="X202" s="645"/>
      <c r="Y202" s="740">
        <v>1</v>
      </c>
      <c r="Z202" s="739"/>
      <c r="AA202" s="639">
        <v>0</v>
      </c>
      <c r="AB202" s="798"/>
      <c r="AC202" s="679">
        <v>1</v>
      </c>
      <c r="AD202" s="706">
        <v>0</v>
      </c>
      <c r="AE202" s="706">
        <f t="shared" si="77"/>
        <v>0</v>
      </c>
      <c r="AF202" s="737"/>
      <c r="AG202" s="738"/>
      <c r="AH202" s="640"/>
      <c r="AI202" s="675" t="s">
        <v>695</v>
      </c>
      <c r="AJ202" s="275"/>
      <c r="AK202" s="270"/>
      <c r="AL202" s="56"/>
      <c r="AM202" s="278"/>
      <c r="AN202" s="283"/>
      <c r="AO202" s="281"/>
      <c r="AP202" s="282"/>
      <c r="AQ202" s="282"/>
      <c r="AR202" s="175"/>
      <c r="AS202" s="176"/>
      <c r="AT202" s="176"/>
    </row>
    <row r="203" spans="2:46" s="4" customFormat="1" ht="163.5" customHeight="1">
      <c r="B203" s="1551"/>
      <c r="C203" s="1551"/>
      <c r="D203" s="391"/>
      <c r="E203" s="86"/>
      <c r="F203" s="1067"/>
      <c r="G203" s="1014"/>
      <c r="H203" s="1014"/>
      <c r="I203" s="1041"/>
      <c r="J203" s="1014"/>
      <c r="K203" s="985"/>
      <c r="L203" s="385"/>
      <c r="M203" s="385"/>
      <c r="N203" s="385"/>
      <c r="O203" s="385"/>
      <c r="P203" s="385"/>
      <c r="Q203" s="687" t="s">
        <v>651</v>
      </c>
      <c r="R203" s="719" t="s">
        <v>699</v>
      </c>
      <c r="S203" s="799"/>
      <c r="T203" s="1035"/>
      <c r="U203" s="634"/>
      <c r="V203" s="635"/>
      <c r="W203" s="800" t="s">
        <v>710</v>
      </c>
      <c r="X203" s="645"/>
      <c r="Y203" s="740">
        <v>0.2</v>
      </c>
      <c r="Z203" s="739"/>
      <c r="AA203" s="639"/>
      <c r="AB203" s="801"/>
      <c r="AC203" s="679"/>
      <c r="AD203" s="706"/>
      <c r="AE203" s="706"/>
      <c r="AF203" s="737"/>
      <c r="AG203" s="738"/>
      <c r="AH203" s="640"/>
      <c r="AI203" s="675"/>
      <c r="AJ203" s="262"/>
      <c r="AK203" s="270"/>
      <c r="AL203" s="56"/>
      <c r="AM203" s="278"/>
      <c r="AN203" s="283"/>
      <c r="AO203" s="281"/>
      <c r="AP203" s="282"/>
      <c r="AQ203" s="282"/>
      <c r="AR203" s="175"/>
      <c r="AS203" s="176"/>
      <c r="AT203" s="176"/>
    </row>
    <row r="204" spans="2:46" s="4" customFormat="1" ht="227.25" customHeight="1">
      <c r="B204" s="1551"/>
      <c r="C204" s="1551"/>
      <c r="D204" s="391"/>
      <c r="E204" s="86"/>
      <c r="F204" s="1067"/>
      <c r="G204" s="1014"/>
      <c r="H204" s="1014"/>
      <c r="I204" s="1041"/>
      <c r="J204" s="1014"/>
      <c r="K204" s="985"/>
      <c r="L204" s="385"/>
      <c r="M204" s="385"/>
      <c r="N204" s="385"/>
      <c r="O204" s="385"/>
      <c r="P204" s="385"/>
      <c r="Q204" s="687" t="s">
        <v>652</v>
      </c>
      <c r="R204" s="719" t="s">
        <v>700</v>
      </c>
      <c r="S204" s="799"/>
      <c r="T204" s="1035"/>
      <c r="U204" s="634"/>
      <c r="V204" s="635"/>
      <c r="W204" s="719" t="s">
        <v>711</v>
      </c>
      <c r="X204" s="645"/>
      <c r="Y204" s="740">
        <v>0.5</v>
      </c>
      <c r="Z204" s="739"/>
      <c r="AA204" s="639"/>
      <c r="AB204" s="639"/>
      <c r="AC204" s="679"/>
      <c r="AD204" s="706"/>
      <c r="AE204" s="706"/>
      <c r="AF204" s="737"/>
      <c r="AG204" s="738"/>
      <c r="AH204" s="640"/>
      <c r="AI204" s="675"/>
      <c r="AJ204" s="262"/>
      <c r="AK204" s="270"/>
      <c r="AL204" s="56"/>
      <c r="AM204" s="278"/>
      <c r="AN204" s="283"/>
      <c r="AO204" s="281"/>
      <c r="AP204" s="282"/>
      <c r="AQ204" s="282"/>
      <c r="AR204" s="175"/>
      <c r="AS204" s="176"/>
      <c r="AT204" s="176"/>
    </row>
    <row r="205" spans="2:46" s="4" customFormat="1" ht="91.5" customHeight="1">
      <c r="B205" s="1551"/>
      <c r="C205" s="1551"/>
      <c r="D205" s="391"/>
      <c r="E205" s="86"/>
      <c r="F205" s="1067"/>
      <c r="G205" s="1014"/>
      <c r="H205" s="1014"/>
      <c r="I205" s="1041"/>
      <c r="J205" s="1014"/>
      <c r="K205" s="985"/>
      <c r="L205" s="385"/>
      <c r="M205" s="385"/>
      <c r="N205" s="385"/>
      <c r="O205" s="385"/>
      <c r="P205" s="385"/>
      <c r="Q205" s="687" t="s">
        <v>653</v>
      </c>
      <c r="R205" s="719" t="s">
        <v>701</v>
      </c>
      <c r="S205" s="799"/>
      <c r="T205" s="1035"/>
      <c r="U205" s="634"/>
      <c r="V205" s="635"/>
      <c r="W205" s="719" t="s">
        <v>712</v>
      </c>
      <c r="X205" s="645"/>
      <c r="Y205" s="740">
        <v>0.5</v>
      </c>
      <c r="Z205" s="739"/>
      <c r="AA205" s="639"/>
      <c r="AB205" s="639"/>
      <c r="AC205" s="679"/>
      <c r="AD205" s="706"/>
      <c r="AE205" s="706"/>
      <c r="AF205" s="737"/>
      <c r="AG205" s="738"/>
      <c r="AH205" s="640"/>
      <c r="AI205" s="675"/>
      <c r="AJ205" s="262"/>
      <c r="AK205" s="270"/>
      <c r="AL205" s="56"/>
      <c r="AM205" s="278"/>
      <c r="AN205" s="283"/>
      <c r="AO205" s="281"/>
      <c r="AP205" s="282"/>
      <c r="AQ205" s="282"/>
      <c r="AR205" s="175"/>
      <c r="AS205" s="176"/>
      <c r="AT205" s="176"/>
    </row>
    <row r="206" spans="2:46" s="4" customFormat="1" ht="148.5" customHeight="1">
      <c r="B206" s="1551"/>
      <c r="C206" s="1551"/>
      <c r="D206" s="391"/>
      <c r="E206" s="86"/>
      <c r="F206" s="1067"/>
      <c r="G206" s="1014"/>
      <c r="H206" s="1014"/>
      <c r="I206" s="1041"/>
      <c r="J206" s="1014"/>
      <c r="K206" s="985"/>
      <c r="L206" s="385"/>
      <c r="M206" s="385"/>
      <c r="N206" s="385"/>
      <c r="O206" s="385"/>
      <c r="P206" s="385"/>
      <c r="Q206" s="687" t="s">
        <v>654</v>
      </c>
      <c r="R206" s="719" t="s">
        <v>702</v>
      </c>
      <c r="S206" s="799"/>
      <c r="T206" s="1035"/>
      <c r="U206" s="634"/>
      <c r="V206" s="635"/>
      <c r="W206" s="633" t="s">
        <v>713</v>
      </c>
      <c r="X206" s="645"/>
      <c r="Y206" s="740">
        <v>0.2</v>
      </c>
      <c r="Z206" s="739"/>
      <c r="AA206" s="639"/>
      <c r="AB206" s="639"/>
      <c r="AC206" s="679"/>
      <c r="AD206" s="706"/>
      <c r="AE206" s="706"/>
      <c r="AF206" s="737"/>
      <c r="AG206" s="738"/>
      <c r="AH206" s="640"/>
      <c r="AI206" s="675"/>
      <c r="AJ206" s="262"/>
      <c r="AK206" s="270"/>
      <c r="AL206" s="56"/>
      <c r="AM206" s="278"/>
      <c r="AN206" s="283"/>
      <c r="AO206" s="281"/>
      <c r="AP206" s="282"/>
      <c r="AQ206" s="282"/>
      <c r="AR206" s="175"/>
      <c r="AS206" s="176"/>
      <c r="AT206" s="176"/>
    </row>
    <row r="207" spans="2:46" s="4" customFormat="1" ht="138" customHeight="1">
      <c r="B207" s="1551"/>
      <c r="C207" s="1551"/>
      <c r="D207" s="391"/>
      <c r="E207" s="86"/>
      <c r="F207" s="1067"/>
      <c r="G207" s="1014"/>
      <c r="H207" s="1014"/>
      <c r="I207" s="1041"/>
      <c r="J207" s="1014"/>
      <c r="K207" s="985"/>
      <c r="L207" s="385"/>
      <c r="M207" s="385"/>
      <c r="N207" s="385"/>
      <c r="O207" s="385"/>
      <c r="P207" s="385"/>
      <c r="Q207" s="687" t="s">
        <v>655</v>
      </c>
      <c r="R207" s="719" t="s">
        <v>703</v>
      </c>
      <c r="S207" s="799"/>
      <c r="T207" s="1035"/>
      <c r="U207" s="634"/>
      <c r="V207" s="635"/>
      <c r="W207" s="633" t="s">
        <v>714</v>
      </c>
      <c r="X207" s="645"/>
      <c r="Y207" s="740">
        <v>0.2</v>
      </c>
      <c r="Z207" s="739"/>
      <c r="AA207" s="639"/>
      <c r="AB207" s="639"/>
      <c r="AC207" s="679"/>
      <c r="AD207" s="706"/>
      <c r="AE207" s="706"/>
      <c r="AF207" s="737"/>
      <c r="AG207" s="738"/>
      <c r="AH207" s="640"/>
      <c r="AI207" s="675"/>
      <c r="AJ207" s="262"/>
      <c r="AK207" s="270"/>
      <c r="AL207" s="56"/>
      <c r="AM207" s="278"/>
      <c r="AN207" s="283"/>
      <c r="AO207" s="281"/>
      <c r="AP207" s="282"/>
      <c r="AQ207" s="282"/>
      <c r="AR207" s="175"/>
      <c r="AS207" s="176"/>
      <c r="AT207" s="176"/>
    </row>
    <row r="208" spans="2:46" s="4" customFormat="1" ht="117.6" customHeight="1">
      <c r="B208" s="1551"/>
      <c r="C208" s="1551"/>
      <c r="D208" s="391"/>
      <c r="E208" s="86"/>
      <c r="F208" s="1067"/>
      <c r="G208" s="1014"/>
      <c r="H208" s="1014"/>
      <c r="I208" s="1041"/>
      <c r="J208" s="1014"/>
      <c r="K208" s="985"/>
      <c r="L208" s="385"/>
      <c r="M208" s="385"/>
      <c r="N208" s="385"/>
      <c r="O208" s="385"/>
      <c r="P208" s="385"/>
      <c r="Q208" s="687" t="s">
        <v>656</v>
      </c>
      <c r="R208" s="719" t="s">
        <v>704</v>
      </c>
      <c r="S208" s="799"/>
      <c r="T208" s="1035"/>
      <c r="U208" s="634"/>
      <c r="V208" s="635"/>
      <c r="W208" s="719" t="s">
        <v>715</v>
      </c>
      <c r="X208" s="645"/>
      <c r="Y208" s="740">
        <v>0.2</v>
      </c>
      <c r="Z208" s="739"/>
      <c r="AA208" s="639"/>
      <c r="AB208" s="639"/>
      <c r="AC208" s="679"/>
      <c r="AD208" s="706"/>
      <c r="AE208" s="706"/>
      <c r="AF208" s="737"/>
      <c r="AG208" s="738"/>
      <c r="AH208" s="640"/>
      <c r="AI208" s="675"/>
      <c r="AJ208" s="262"/>
      <c r="AK208" s="270"/>
      <c r="AL208" s="56"/>
      <c r="AM208" s="278"/>
      <c r="AN208" s="283"/>
      <c r="AO208" s="281"/>
      <c r="AP208" s="282"/>
      <c r="AQ208" s="282"/>
      <c r="AR208" s="175"/>
      <c r="AS208" s="176"/>
      <c r="AT208" s="176"/>
    </row>
    <row r="209" spans="2:46" s="4" customFormat="1" ht="137.4" customHeight="1">
      <c r="B209" s="1551"/>
      <c r="C209" s="1551"/>
      <c r="D209" s="391"/>
      <c r="E209" s="86"/>
      <c r="F209" s="1067"/>
      <c r="G209" s="1014"/>
      <c r="H209" s="1014"/>
      <c r="I209" s="1041"/>
      <c r="J209" s="1014"/>
      <c r="K209" s="985"/>
      <c r="L209" s="385"/>
      <c r="M209" s="385"/>
      <c r="N209" s="385"/>
      <c r="O209" s="385"/>
      <c r="P209" s="385"/>
      <c r="Q209" s="687" t="s">
        <v>657</v>
      </c>
      <c r="R209" s="719" t="s">
        <v>705</v>
      </c>
      <c r="S209" s="799"/>
      <c r="T209" s="1035"/>
      <c r="U209" s="634"/>
      <c r="V209" s="635"/>
      <c r="W209" s="719" t="s">
        <v>716</v>
      </c>
      <c r="X209" s="645"/>
      <c r="Y209" s="740">
        <v>0.5</v>
      </c>
      <c r="Z209" s="739"/>
      <c r="AA209" s="639"/>
      <c r="AB209" s="639"/>
      <c r="AC209" s="679"/>
      <c r="AD209" s="706"/>
      <c r="AE209" s="706"/>
      <c r="AF209" s="737"/>
      <c r="AG209" s="738"/>
      <c r="AH209" s="640"/>
      <c r="AI209" s="675"/>
      <c r="AJ209" s="262"/>
      <c r="AK209" s="270"/>
      <c r="AL209" s="56"/>
      <c r="AM209" s="278"/>
      <c r="AN209" s="283"/>
      <c r="AO209" s="281"/>
      <c r="AP209" s="282"/>
      <c r="AQ209" s="282"/>
      <c r="AR209" s="175"/>
      <c r="AS209" s="176"/>
      <c r="AT209" s="176"/>
    </row>
    <row r="210" spans="2:46" s="4" customFormat="1" ht="191.4" customHeight="1">
      <c r="B210" s="1551"/>
      <c r="C210" s="1551"/>
      <c r="D210" s="391"/>
      <c r="E210" s="86"/>
      <c r="F210" s="1067"/>
      <c r="G210" s="1014"/>
      <c r="H210" s="1014"/>
      <c r="I210" s="1041"/>
      <c r="J210" s="1014"/>
      <c r="K210" s="985"/>
      <c r="L210" s="385"/>
      <c r="M210" s="385"/>
      <c r="N210" s="385"/>
      <c r="O210" s="385"/>
      <c r="P210" s="385"/>
      <c r="Q210" s="687" t="s">
        <v>658</v>
      </c>
      <c r="R210" s="719" t="s">
        <v>706</v>
      </c>
      <c r="S210" s="799"/>
      <c r="T210" s="1035"/>
      <c r="U210" s="634"/>
      <c r="V210" s="635"/>
      <c r="W210" s="719" t="s">
        <v>717</v>
      </c>
      <c r="X210" s="645"/>
      <c r="Y210" s="740">
        <v>1</v>
      </c>
      <c r="Z210" s="739"/>
      <c r="AA210" s="639"/>
      <c r="AB210" s="639"/>
      <c r="AC210" s="679"/>
      <c r="AD210" s="706"/>
      <c r="AE210" s="706"/>
      <c r="AF210" s="737"/>
      <c r="AG210" s="738"/>
      <c r="AH210" s="640"/>
      <c r="AI210" s="675"/>
      <c r="AJ210" s="262"/>
      <c r="AK210" s="270"/>
      <c r="AL210" s="56"/>
      <c r="AM210" s="278"/>
      <c r="AN210" s="283"/>
      <c r="AO210" s="281"/>
      <c r="AP210" s="282"/>
      <c r="AQ210" s="282"/>
      <c r="AR210" s="175"/>
      <c r="AS210" s="176"/>
      <c r="AT210" s="176"/>
    </row>
    <row r="211" spans="2:46" s="4" customFormat="1" ht="125.4" customHeight="1">
      <c r="B211" s="1551"/>
      <c r="C211" s="1551"/>
      <c r="D211" s="391"/>
      <c r="E211" s="86"/>
      <c r="F211" s="1067"/>
      <c r="G211" s="1014"/>
      <c r="H211" s="1014"/>
      <c r="I211" s="1041"/>
      <c r="J211" s="1014"/>
      <c r="K211" s="985"/>
      <c r="L211" s="385"/>
      <c r="M211" s="385"/>
      <c r="N211" s="385"/>
      <c r="O211" s="385"/>
      <c r="P211" s="385"/>
      <c r="Q211" s="687" t="s">
        <v>659</v>
      </c>
      <c r="R211" s="719" t="s">
        <v>707</v>
      </c>
      <c r="S211" s="799"/>
      <c r="T211" s="1035"/>
      <c r="U211" s="634"/>
      <c r="V211" s="635"/>
      <c r="W211" s="719" t="s">
        <v>718</v>
      </c>
      <c r="X211" s="645"/>
      <c r="Y211" s="740">
        <v>0.2</v>
      </c>
      <c r="Z211" s="739"/>
      <c r="AA211" s="639"/>
      <c r="AB211" s="639"/>
      <c r="AC211" s="679"/>
      <c r="AD211" s="706"/>
      <c r="AE211" s="706"/>
      <c r="AF211" s="737"/>
      <c r="AG211" s="738"/>
      <c r="AH211" s="640"/>
      <c r="AI211" s="675"/>
      <c r="AJ211" s="262"/>
      <c r="AK211" s="270"/>
      <c r="AL211" s="56"/>
      <c r="AM211" s="278"/>
      <c r="AN211" s="283"/>
      <c r="AO211" s="281"/>
      <c r="AP211" s="282"/>
      <c r="AQ211" s="282"/>
      <c r="AR211" s="175"/>
      <c r="AS211" s="176"/>
      <c r="AT211" s="176"/>
    </row>
    <row r="212" spans="2:46" s="4" customFormat="1" ht="131.4" customHeight="1">
      <c r="B212" s="1551"/>
      <c r="C212" s="1551"/>
      <c r="D212" s="391"/>
      <c r="E212" s="86"/>
      <c r="F212" s="1067"/>
      <c r="G212" s="1011"/>
      <c r="H212" s="1011"/>
      <c r="I212" s="1042"/>
      <c r="J212" s="1011"/>
      <c r="K212" s="986"/>
      <c r="L212" s="386"/>
      <c r="M212" s="386"/>
      <c r="N212" s="386"/>
      <c r="O212" s="386"/>
      <c r="P212" s="386"/>
      <c r="Q212" s="687" t="s">
        <v>660</v>
      </c>
      <c r="R212" s="719" t="s">
        <v>708</v>
      </c>
      <c r="S212" s="799"/>
      <c r="T212" s="1035"/>
      <c r="U212" s="634"/>
      <c r="V212" s="635"/>
      <c r="W212" s="719" t="s">
        <v>719</v>
      </c>
      <c r="X212" s="645"/>
      <c r="Y212" s="740">
        <v>0.5</v>
      </c>
      <c r="Z212" s="739"/>
      <c r="AA212" s="639"/>
      <c r="AB212" s="639"/>
      <c r="AC212" s="679"/>
      <c r="AD212" s="706"/>
      <c r="AE212" s="706"/>
      <c r="AF212" s="737"/>
      <c r="AG212" s="738"/>
      <c r="AH212" s="640"/>
      <c r="AI212" s="675"/>
      <c r="AJ212" s="262"/>
      <c r="AK212" s="270"/>
      <c r="AL212" s="56"/>
      <c r="AM212" s="278"/>
      <c r="AN212" s="283"/>
      <c r="AO212" s="281"/>
      <c r="AP212" s="282"/>
      <c r="AQ212" s="282"/>
      <c r="AR212" s="175"/>
      <c r="AS212" s="176"/>
      <c r="AT212" s="176"/>
    </row>
    <row r="213" spans="2:46" s="4" customFormat="1" ht="79.5" customHeight="1">
      <c r="B213" s="1551"/>
      <c r="C213" s="1551"/>
      <c r="D213" s="391"/>
      <c r="E213" s="86"/>
      <c r="F213" s="1067"/>
      <c r="G213" s="1010"/>
      <c r="H213" s="1010" t="s">
        <v>808</v>
      </c>
      <c r="I213" s="1040" t="s">
        <v>112</v>
      </c>
      <c r="J213" s="1010" t="s">
        <v>1197</v>
      </c>
      <c r="K213" s="984" t="s">
        <v>827</v>
      </c>
      <c r="L213" s="1010"/>
      <c r="M213" s="1010"/>
      <c r="N213" s="1010"/>
      <c r="O213" s="1010"/>
      <c r="P213" s="1010"/>
      <c r="Q213" s="687" t="s">
        <v>661</v>
      </c>
      <c r="R213" s="719" t="s">
        <v>709</v>
      </c>
      <c r="S213" s="799"/>
      <c r="T213" s="1035"/>
      <c r="U213" s="634"/>
      <c r="V213" s="635"/>
      <c r="W213" s="719" t="s">
        <v>720</v>
      </c>
      <c r="X213" s="645"/>
      <c r="Y213" s="740">
        <v>0.2</v>
      </c>
      <c r="Z213" s="739"/>
      <c r="AA213" s="639"/>
      <c r="AB213" s="639"/>
      <c r="AC213" s="679"/>
      <c r="AD213" s="706"/>
      <c r="AE213" s="706"/>
      <c r="AF213" s="737"/>
      <c r="AG213" s="738"/>
      <c r="AH213" s="640"/>
      <c r="AI213" s="675"/>
      <c r="AJ213" s="262"/>
      <c r="AK213" s="270"/>
      <c r="AL213" s="56"/>
      <c r="AM213" s="278"/>
      <c r="AN213" s="283"/>
      <c r="AO213" s="281"/>
      <c r="AP213" s="282"/>
      <c r="AQ213" s="282"/>
      <c r="AR213" s="175"/>
      <c r="AS213" s="176"/>
      <c r="AT213" s="176"/>
    </row>
    <row r="214" spans="2:46" s="4" customFormat="1" ht="234.75" customHeight="1">
      <c r="B214" s="1551"/>
      <c r="C214" s="1551"/>
      <c r="D214" s="391"/>
      <c r="E214" s="86"/>
      <c r="F214" s="1067"/>
      <c r="G214" s="1014"/>
      <c r="H214" s="1014"/>
      <c r="I214" s="1041"/>
      <c r="J214" s="1014"/>
      <c r="K214" s="985"/>
      <c r="L214" s="1014"/>
      <c r="M214" s="1014"/>
      <c r="N214" s="1014"/>
      <c r="O214" s="1014"/>
      <c r="P214" s="1014"/>
      <c r="Q214" s="687" t="s">
        <v>662</v>
      </c>
      <c r="R214" s="719" t="s">
        <v>721</v>
      </c>
      <c r="S214" s="799"/>
      <c r="T214" s="1035"/>
      <c r="U214" s="634"/>
      <c r="V214" s="635"/>
      <c r="W214" s="719" t="s">
        <v>737</v>
      </c>
      <c r="X214" s="645"/>
      <c r="Y214" s="740">
        <v>0.2</v>
      </c>
      <c r="Z214" s="739"/>
      <c r="AA214" s="639"/>
      <c r="AB214" s="639"/>
      <c r="AC214" s="679"/>
      <c r="AD214" s="706"/>
      <c r="AE214" s="706"/>
      <c r="AF214" s="737"/>
      <c r="AG214" s="738"/>
      <c r="AH214" s="640"/>
      <c r="AI214" s="675"/>
      <c r="AJ214" s="262"/>
      <c r="AK214" s="270"/>
      <c r="AL214" s="56"/>
      <c r="AM214" s="278"/>
      <c r="AN214" s="283"/>
      <c r="AO214" s="281"/>
      <c r="AP214" s="282"/>
      <c r="AQ214" s="282"/>
      <c r="AR214" s="175"/>
      <c r="AS214" s="176"/>
      <c r="AT214" s="176"/>
    </row>
    <row r="215" spans="2:46" s="4" customFormat="1" ht="113.25" customHeight="1">
      <c r="B215" s="1551"/>
      <c r="C215" s="1551"/>
      <c r="D215" s="391"/>
      <c r="E215" s="86"/>
      <c r="F215" s="1067"/>
      <c r="G215" s="1014"/>
      <c r="H215" s="1014"/>
      <c r="I215" s="1041"/>
      <c r="J215" s="1014"/>
      <c r="K215" s="985"/>
      <c r="L215" s="1014"/>
      <c r="M215" s="1014"/>
      <c r="N215" s="1014"/>
      <c r="O215" s="1014"/>
      <c r="P215" s="1014"/>
      <c r="Q215" s="687" t="s">
        <v>665</v>
      </c>
      <c r="R215" s="719" t="s">
        <v>744</v>
      </c>
      <c r="S215" s="799"/>
      <c r="T215" s="1035"/>
      <c r="U215" s="634"/>
      <c r="V215" s="635"/>
      <c r="W215" s="719" t="s">
        <v>754</v>
      </c>
      <c r="X215" s="645"/>
      <c r="Y215" s="740">
        <v>0.2</v>
      </c>
      <c r="Z215" s="739"/>
      <c r="AA215" s="639"/>
      <c r="AB215" s="639"/>
      <c r="AC215" s="679"/>
      <c r="AD215" s="706"/>
      <c r="AE215" s="706"/>
      <c r="AF215" s="737"/>
      <c r="AG215" s="738"/>
      <c r="AH215" s="640"/>
      <c r="AI215" s="675"/>
      <c r="AJ215" s="262"/>
      <c r="AK215" s="270"/>
      <c r="AL215" s="56"/>
      <c r="AM215" s="278"/>
      <c r="AN215" s="283"/>
      <c r="AO215" s="281"/>
      <c r="AP215" s="282"/>
      <c r="AQ215" s="282"/>
      <c r="AR215" s="175"/>
      <c r="AS215" s="176"/>
      <c r="AT215" s="176"/>
    </row>
    <row r="216" spans="2:46" s="4" customFormat="1" ht="93" customHeight="1">
      <c r="B216" s="1551"/>
      <c r="C216" s="1551"/>
      <c r="D216" s="391"/>
      <c r="E216" s="86"/>
      <c r="F216" s="1067"/>
      <c r="G216" s="1014"/>
      <c r="H216" s="1014"/>
      <c r="I216" s="1041"/>
      <c r="J216" s="1014"/>
      <c r="K216" s="985"/>
      <c r="L216" s="1014"/>
      <c r="M216" s="1014"/>
      <c r="N216" s="1014"/>
      <c r="O216" s="1014"/>
      <c r="P216" s="1014"/>
      <c r="Q216" s="687" t="s">
        <v>663</v>
      </c>
      <c r="R216" s="719" t="s">
        <v>722</v>
      </c>
      <c r="S216" s="799"/>
      <c r="T216" s="1035"/>
      <c r="U216" s="634"/>
      <c r="V216" s="635"/>
      <c r="W216" s="719" t="s">
        <v>723</v>
      </c>
      <c r="X216" s="645"/>
      <c r="Y216" s="740"/>
      <c r="Z216" s="739"/>
      <c r="AA216" s="639"/>
      <c r="AB216" s="639"/>
      <c r="AC216" s="679"/>
      <c r="AD216" s="706"/>
      <c r="AE216" s="706"/>
      <c r="AF216" s="737"/>
      <c r="AG216" s="738"/>
      <c r="AH216" s="640"/>
      <c r="AI216" s="675"/>
      <c r="AJ216" s="262"/>
      <c r="AK216" s="270"/>
      <c r="AL216" s="56"/>
      <c r="AM216" s="278"/>
      <c r="AN216" s="283"/>
      <c r="AO216" s="281"/>
      <c r="AP216" s="282"/>
      <c r="AQ216" s="282"/>
      <c r="AR216" s="175"/>
      <c r="AS216" s="176"/>
      <c r="AT216" s="176"/>
    </row>
    <row r="217" spans="2:46" s="4" customFormat="1" ht="175.95" customHeight="1">
      <c r="B217" s="1551"/>
      <c r="C217" s="1551"/>
      <c r="D217" s="391"/>
      <c r="E217" s="86"/>
      <c r="F217" s="1067"/>
      <c r="G217" s="1014"/>
      <c r="H217" s="1014"/>
      <c r="I217" s="1041"/>
      <c r="J217" s="1014"/>
      <c r="K217" s="985"/>
      <c r="L217" s="1014"/>
      <c r="M217" s="1014"/>
      <c r="N217" s="1014"/>
      <c r="O217" s="1014"/>
      <c r="P217" s="1014"/>
      <c r="Q217" s="687" t="s">
        <v>664</v>
      </c>
      <c r="R217" s="719" t="s">
        <v>745</v>
      </c>
      <c r="S217" s="799"/>
      <c r="T217" s="1035"/>
      <c r="U217" s="634"/>
      <c r="V217" s="635"/>
      <c r="W217" s="719" t="s">
        <v>753</v>
      </c>
      <c r="X217" s="645"/>
      <c r="Y217" s="740"/>
      <c r="Z217" s="739"/>
      <c r="AA217" s="639"/>
      <c r="AB217" s="639"/>
      <c r="AC217" s="679"/>
      <c r="AD217" s="706"/>
      <c r="AE217" s="706"/>
      <c r="AF217" s="737"/>
      <c r="AG217" s="738"/>
      <c r="AH217" s="640"/>
      <c r="AI217" s="675"/>
      <c r="AJ217" s="262"/>
      <c r="AK217" s="270"/>
      <c r="AL217" s="56"/>
      <c r="AM217" s="278"/>
      <c r="AN217" s="283"/>
      <c r="AO217" s="281"/>
      <c r="AP217" s="282"/>
      <c r="AQ217" s="282"/>
      <c r="AR217" s="175"/>
      <c r="AS217" s="176"/>
      <c r="AT217" s="176"/>
    </row>
    <row r="218" spans="2:46" s="4" customFormat="1" ht="129" customHeight="1">
      <c r="B218" s="1551"/>
      <c r="C218" s="1551"/>
      <c r="D218" s="391"/>
      <c r="E218" s="86"/>
      <c r="F218" s="1067"/>
      <c r="G218" s="1014"/>
      <c r="H218" s="1014"/>
      <c r="I218" s="1041"/>
      <c r="J218" s="1014"/>
      <c r="K218" s="985"/>
      <c r="L218" s="1014"/>
      <c r="M218" s="1014"/>
      <c r="N218" s="1014"/>
      <c r="O218" s="1014"/>
      <c r="P218" s="1014"/>
      <c r="Q218" s="687" t="s">
        <v>666</v>
      </c>
      <c r="R218" s="719" t="s">
        <v>746</v>
      </c>
      <c r="S218" s="799"/>
      <c r="T218" s="1035"/>
      <c r="U218" s="634"/>
      <c r="V218" s="635"/>
      <c r="W218" s="719" t="s">
        <v>752</v>
      </c>
      <c r="X218" s="645"/>
      <c r="Y218" s="740"/>
      <c r="Z218" s="739"/>
      <c r="AA218" s="639"/>
      <c r="AB218" s="639"/>
      <c r="AC218" s="679"/>
      <c r="AD218" s="706"/>
      <c r="AE218" s="706"/>
      <c r="AF218" s="737"/>
      <c r="AG218" s="738"/>
      <c r="AH218" s="640"/>
      <c r="AI218" s="675"/>
      <c r="AJ218" s="262"/>
      <c r="AK218" s="270"/>
      <c r="AL218" s="56"/>
      <c r="AM218" s="278"/>
      <c r="AN218" s="283"/>
      <c r="AO218" s="281"/>
      <c r="AP218" s="282"/>
      <c r="AQ218" s="282"/>
      <c r="AR218" s="175"/>
      <c r="AS218" s="176"/>
      <c r="AT218" s="176"/>
    </row>
    <row r="219" spans="2:46" s="4" customFormat="1" ht="71.25" customHeight="1">
      <c r="B219" s="1551"/>
      <c r="C219" s="1551"/>
      <c r="D219" s="391"/>
      <c r="E219" s="86"/>
      <c r="F219" s="1067"/>
      <c r="G219" s="1014"/>
      <c r="H219" s="1014"/>
      <c r="I219" s="1041"/>
      <c r="J219" s="1014"/>
      <c r="K219" s="985"/>
      <c r="L219" s="1014"/>
      <c r="M219" s="1014"/>
      <c r="N219" s="1014"/>
      <c r="O219" s="1014"/>
      <c r="P219" s="1014"/>
      <c r="Q219" s="687" t="s">
        <v>670</v>
      </c>
      <c r="R219" s="719" t="s">
        <v>747</v>
      </c>
      <c r="S219" s="799"/>
      <c r="T219" s="1035"/>
      <c r="U219" s="634"/>
      <c r="V219" s="635"/>
      <c r="W219" s="719" t="s">
        <v>751</v>
      </c>
      <c r="X219" s="645"/>
      <c r="Y219" s="740"/>
      <c r="Z219" s="739"/>
      <c r="AA219" s="639"/>
      <c r="AB219" s="639"/>
      <c r="AC219" s="679"/>
      <c r="AD219" s="706"/>
      <c r="AE219" s="706"/>
      <c r="AF219" s="737"/>
      <c r="AG219" s="738"/>
      <c r="AH219" s="640"/>
      <c r="AI219" s="675"/>
      <c r="AJ219" s="262"/>
      <c r="AK219" s="270"/>
      <c r="AL219" s="56"/>
      <c r="AM219" s="278"/>
      <c r="AN219" s="283"/>
      <c r="AO219" s="281"/>
      <c r="AP219" s="282"/>
      <c r="AQ219" s="282"/>
      <c r="AR219" s="175"/>
      <c r="AS219" s="176"/>
      <c r="AT219" s="176"/>
    </row>
    <row r="220" spans="2:46" s="4" customFormat="1" ht="66" customHeight="1">
      <c r="B220" s="1551"/>
      <c r="C220" s="1551"/>
      <c r="D220" s="391"/>
      <c r="E220" s="86"/>
      <c r="F220" s="1067"/>
      <c r="G220" s="1014"/>
      <c r="H220" s="1014"/>
      <c r="I220" s="1041"/>
      <c r="J220" s="1014"/>
      <c r="K220" s="985"/>
      <c r="L220" s="1014"/>
      <c r="M220" s="1014"/>
      <c r="N220" s="1014"/>
      <c r="O220" s="1014"/>
      <c r="P220" s="1014"/>
      <c r="Q220" s="687" t="s">
        <v>667</v>
      </c>
      <c r="R220" s="719" t="s">
        <v>748</v>
      </c>
      <c r="S220" s="799"/>
      <c r="T220" s="1035"/>
      <c r="U220" s="634"/>
      <c r="V220" s="635"/>
      <c r="W220" s="719" t="s">
        <v>750</v>
      </c>
      <c r="X220" s="645"/>
      <c r="Y220" s="740"/>
      <c r="Z220" s="739"/>
      <c r="AA220" s="639"/>
      <c r="AB220" s="639"/>
      <c r="AC220" s="679"/>
      <c r="AD220" s="706"/>
      <c r="AE220" s="706"/>
      <c r="AF220" s="737"/>
      <c r="AG220" s="738"/>
      <c r="AH220" s="640"/>
      <c r="AI220" s="675"/>
      <c r="AJ220" s="262"/>
      <c r="AK220" s="270"/>
      <c r="AL220" s="56"/>
      <c r="AM220" s="278"/>
      <c r="AN220" s="283"/>
      <c r="AO220" s="281"/>
      <c r="AP220" s="282"/>
      <c r="AQ220" s="282"/>
      <c r="AR220" s="175"/>
      <c r="AS220" s="176"/>
      <c r="AT220" s="176"/>
    </row>
    <row r="221" spans="2:46" s="4" customFormat="1" ht="58.5" customHeight="1">
      <c r="B221" s="1551"/>
      <c r="C221" s="1551"/>
      <c r="D221" s="391"/>
      <c r="E221" s="86"/>
      <c r="F221" s="1067"/>
      <c r="G221" s="1014"/>
      <c r="H221" s="1014"/>
      <c r="I221" s="1041"/>
      <c r="J221" s="1014"/>
      <c r="K221" s="985"/>
      <c r="L221" s="1014"/>
      <c r="M221" s="1014"/>
      <c r="N221" s="1014"/>
      <c r="O221" s="1014"/>
      <c r="P221" s="1014"/>
      <c r="Q221" s="687" t="s">
        <v>668</v>
      </c>
      <c r="R221" s="797" t="s">
        <v>749</v>
      </c>
      <c r="S221" s="799"/>
      <c r="T221" s="1035"/>
      <c r="U221" s="634"/>
      <c r="V221" s="635"/>
      <c r="W221" s="642" t="s">
        <v>755</v>
      </c>
      <c r="X221" s="645"/>
      <c r="Y221" s="740"/>
      <c r="Z221" s="739"/>
      <c r="AA221" s="639"/>
      <c r="AB221" s="639"/>
      <c r="AC221" s="679"/>
      <c r="AD221" s="706"/>
      <c r="AE221" s="706"/>
      <c r="AF221" s="737"/>
      <c r="AG221" s="738"/>
      <c r="AH221" s="640"/>
      <c r="AI221" s="675"/>
      <c r="AJ221" s="262"/>
      <c r="AK221" s="270"/>
      <c r="AL221" s="56"/>
      <c r="AM221" s="278"/>
      <c r="AN221" s="283"/>
      <c r="AO221" s="281"/>
      <c r="AP221" s="282"/>
      <c r="AQ221" s="282"/>
      <c r="AR221" s="175"/>
      <c r="AS221" s="176"/>
      <c r="AT221" s="176"/>
    </row>
    <row r="222" spans="2:46" s="4" customFormat="1" ht="63" customHeight="1">
      <c r="B222" s="1551"/>
      <c r="C222" s="1551"/>
      <c r="D222" s="391"/>
      <c r="E222" s="86"/>
      <c r="F222" s="1067"/>
      <c r="G222" s="1014"/>
      <c r="H222" s="1014"/>
      <c r="I222" s="1041"/>
      <c r="J222" s="1014"/>
      <c r="K222" s="985"/>
      <c r="L222" s="1014"/>
      <c r="M222" s="1014"/>
      <c r="N222" s="1014"/>
      <c r="O222" s="1014"/>
      <c r="P222" s="1014"/>
      <c r="Q222" s="802" t="s">
        <v>669</v>
      </c>
      <c r="R222" s="803" t="s">
        <v>756</v>
      </c>
      <c r="S222" s="804"/>
      <c r="T222" s="1036"/>
      <c r="U222" s="634"/>
      <c r="V222" s="635"/>
      <c r="W222" s="719" t="s">
        <v>757</v>
      </c>
      <c r="X222" s="645"/>
      <c r="Y222" s="740"/>
      <c r="Z222" s="739"/>
      <c r="AA222" s="639"/>
      <c r="AB222" s="639"/>
      <c r="AC222" s="679"/>
      <c r="AD222" s="706"/>
      <c r="AE222" s="706"/>
      <c r="AF222" s="737"/>
      <c r="AG222" s="738"/>
      <c r="AH222" s="640"/>
      <c r="AI222" s="675"/>
      <c r="AJ222" s="262"/>
      <c r="AK222" s="270"/>
      <c r="AL222" s="56"/>
      <c r="AM222" s="278"/>
      <c r="AN222" s="283"/>
      <c r="AO222" s="281"/>
      <c r="AP222" s="282"/>
      <c r="AQ222" s="282"/>
      <c r="AR222" s="175"/>
      <c r="AS222" s="176"/>
      <c r="AT222" s="176"/>
    </row>
    <row r="223" spans="2:46" s="4" customFormat="1" ht="157.94999999999999" customHeight="1">
      <c r="B223" s="1551"/>
      <c r="C223" s="1551"/>
      <c r="D223" s="391"/>
      <c r="E223" s="86"/>
      <c r="F223" s="1067"/>
      <c r="G223" s="1011"/>
      <c r="H223" s="1011"/>
      <c r="I223" s="1042"/>
      <c r="J223" s="1011"/>
      <c r="K223" s="986"/>
      <c r="L223" s="1011"/>
      <c r="M223" s="1011"/>
      <c r="N223" s="1011"/>
      <c r="O223" s="1011"/>
      <c r="P223" s="1011"/>
      <c r="Q223" s="802" t="s">
        <v>671</v>
      </c>
      <c r="R223" s="803" t="s">
        <v>758</v>
      </c>
      <c r="S223" s="804"/>
      <c r="T223" s="1036"/>
      <c r="U223" s="634"/>
      <c r="V223" s="635"/>
      <c r="W223" s="719" t="s">
        <v>759</v>
      </c>
      <c r="X223" s="645"/>
      <c r="Y223" s="740"/>
      <c r="Z223" s="739"/>
      <c r="AA223" s="639"/>
      <c r="AB223" s="639"/>
      <c r="AC223" s="679"/>
      <c r="AD223" s="706"/>
      <c r="AE223" s="706"/>
      <c r="AF223" s="737"/>
      <c r="AG223" s="738"/>
      <c r="AH223" s="640"/>
      <c r="AI223" s="675"/>
      <c r="AJ223" s="262"/>
      <c r="AK223" s="270"/>
      <c r="AL223" s="56"/>
      <c r="AM223" s="278"/>
      <c r="AN223" s="283"/>
      <c r="AO223" s="281"/>
      <c r="AP223" s="282"/>
      <c r="AQ223" s="282"/>
      <c r="AR223" s="175"/>
      <c r="AS223" s="176"/>
      <c r="AT223" s="176"/>
    </row>
    <row r="224" spans="2:46" s="4" customFormat="1" ht="116.4" customHeight="1">
      <c r="B224" s="1551"/>
      <c r="C224" s="1551"/>
      <c r="D224" s="391"/>
      <c r="E224" s="86"/>
      <c r="F224" s="1067"/>
      <c r="G224" s="1010"/>
      <c r="H224" s="1010" t="s">
        <v>809</v>
      </c>
      <c r="I224" s="1040" t="s">
        <v>112</v>
      </c>
      <c r="J224" s="1010" t="s">
        <v>1197</v>
      </c>
      <c r="K224" s="984" t="s">
        <v>836</v>
      </c>
      <c r="L224" s="317"/>
      <c r="M224" s="317"/>
      <c r="N224" s="317"/>
      <c r="O224" s="317"/>
      <c r="P224" s="321"/>
      <c r="Q224" s="802" t="s">
        <v>672</v>
      </c>
      <c r="R224" s="803" t="s">
        <v>760</v>
      </c>
      <c r="S224" s="804"/>
      <c r="T224" s="1036"/>
      <c r="U224" s="634"/>
      <c r="V224" s="635"/>
      <c r="W224" s="719" t="s">
        <v>761</v>
      </c>
      <c r="X224" s="645"/>
      <c r="Y224" s="740"/>
      <c r="Z224" s="739"/>
      <c r="AA224" s="639"/>
      <c r="AB224" s="639"/>
      <c r="AC224" s="679"/>
      <c r="AD224" s="706"/>
      <c r="AE224" s="706"/>
      <c r="AF224" s="737"/>
      <c r="AG224" s="738"/>
      <c r="AH224" s="640"/>
      <c r="AI224" s="675"/>
      <c r="AJ224" s="262"/>
      <c r="AK224" s="270"/>
      <c r="AL224" s="56"/>
      <c r="AM224" s="278"/>
      <c r="AN224" s="283"/>
      <c r="AO224" s="281"/>
      <c r="AP224" s="282"/>
      <c r="AQ224" s="282"/>
      <c r="AR224" s="175"/>
      <c r="AS224" s="176"/>
      <c r="AT224" s="176"/>
    </row>
    <row r="225" spans="2:46" s="4" customFormat="1" ht="95.25" customHeight="1">
      <c r="B225" s="1551"/>
      <c r="C225" s="1551"/>
      <c r="D225" s="391"/>
      <c r="E225" s="86"/>
      <c r="F225" s="1067"/>
      <c r="G225" s="1011"/>
      <c r="H225" s="1011"/>
      <c r="I225" s="1042"/>
      <c r="J225" s="1011"/>
      <c r="K225" s="985"/>
      <c r="L225" s="317"/>
      <c r="M225" s="317"/>
      <c r="N225" s="317"/>
      <c r="O225" s="317"/>
      <c r="P225" s="321"/>
      <c r="Q225" s="802" t="s">
        <v>673</v>
      </c>
      <c r="R225" s="803" t="s">
        <v>762</v>
      </c>
      <c r="S225" s="804"/>
      <c r="T225" s="1036"/>
      <c r="U225" s="634"/>
      <c r="V225" s="635"/>
      <c r="W225" s="719" t="s">
        <v>763</v>
      </c>
      <c r="X225" s="645"/>
      <c r="Y225" s="740"/>
      <c r="Z225" s="739"/>
      <c r="AA225" s="639"/>
      <c r="AB225" s="639"/>
      <c r="AC225" s="679"/>
      <c r="AD225" s="706"/>
      <c r="AE225" s="706"/>
      <c r="AF225" s="737"/>
      <c r="AG225" s="738"/>
      <c r="AH225" s="640"/>
      <c r="AI225" s="675"/>
      <c r="AJ225" s="262"/>
      <c r="AK225" s="270"/>
      <c r="AL225" s="56"/>
      <c r="AM225" s="278"/>
      <c r="AN225" s="283"/>
      <c r="AO225" s="281"/>
      <c r="AP225" s="282"/>
      <c r="AQ225" s="282"/>
      <c r="AR225" s="175"/>
      <c r="AS225" s="176"/>
      <c r="AT225" s="176"/>
    </row>
    <row r="226" spans="2:46" s="4" customFormat="1" ht="145.5" customHeight="1">
      <c r="B226" s="1551"/>
      <c r="C226" s="1551"/>
      <c r="D226" s="391"/>
      <c r="E226" s="86"/>
      <c r="F226" s="1067"/>
      <c r="G226" s="1010"/>
      <c r="H226" s="1010" t="s">
        <v>810</v>
      </c>
      <c r="I226" s="1040" t="s">
        <v>112</v>
      </c>
      <c r="J226" s="1010" t="s">
        <v>1197</v>
      </c>
      <c r="K226" s="984" t="s">
        <v>829</v>
      </c>
      <c r="L226" s="317"/>
      <c r="M226" s="317"/>
      <c r="N226" s="317"/>
      <c r="O226" s="317"/>
      <c r="P226" s="321"/>
      <c r="Q226" s="744" t="s">
        <v>674</v>
      </c>
      <c r="R226" s="803" t="s">
        <v>764</v>
      </c>
      <c r="S226" s="804"/>
      <c r="T226" s="1035"/>
      <c r="U226" s="634"/>
      <c r="V226" s="635"/>
      <c r="W226" s="719" t="s">
        <v>765</v>
      </c>
      <c r="X226" s="645"/>
      <c r="Y226" s="740"/>
      <c r="Z226" s="739"/>
      <c r="AA226" s="639"/>
      <c r="AB226" s="639"/>
      <c r="AC226" s="679"/>
      <c r="AD226" s="706"/>
      <c r="AE226" s="706"/>
      <c r="AF226" s="737"/>
      <c r="AG226" s="738"/>
      <c r="AH226" s="640"/>
      <c r="AI226" s="675"/>
      <c r="AJ226" s="262"/>
      <c r="AK226" s="270"/>
      <c r="AL226" s="56"/>
      <c r="AM226" s="278"/>
      <c r="AN226" s="283"/>
      <c r="AO226" s="281"/>
      <c r="AP226" s="282"/>
      <c r="AQ226" s="282"/>
      <c r="AR226" s="175"/>
      <c r="AS226" s="176"/>
      <c r="AT226" s="176"/>
    </row>
    <row r="227" spans="2:46" s="4" customFormat="1" ht="96" customHeight="1">
      <c r="B227" s="1551"/>
      <c r="C227" s="1551"/>
      <c r="D227" s="391"/>
      <c r="E227" s="86"/>
      <c r="F227" s="1067"/>
      <c r="G227" s="1014"/>
      <c r="H227" s="1014"/>
      <c r="I227" s="1041"/>
      <c r="J227" s="1014"/>
      <c r="K227" s="985"/>
      <c r="L227" s="317"/>
      <c r="M227" s="317"/>
      <c r="N227" s="317"/>
      <c r="O227" s="317"/>
      <c r="P227" s="321"/>
      <c r="Q227" s="687" t="s">
        <v>675</v>
      </c>
      <c r="R227" s="803" t="s">
        <v>766</v>
      </c>
      <c r="S227" s="804"/>
      <c r="T227" s="1035"/>
      <c r="U227" s="634"/>
      <c r="V227" s="635"/>
      <c r="W227" s="719" t="s">
        <v>767</v>
      </c>
      <c r="X227" s="645"/>
      <c r="Y227" s="740"/>
      <c r="Z227" s="739"/>
      <c r="AA227" s="639"/>
      <c r="AB227" s="639"/>
      <c r="AC227" s="679"/>
      <c r="AD227" s="706"/>
      <c r="AE227" s="706"/>
      <c r="AF227" s="737"/>
      <c r="AG227" s="738"/>
      <c r="AH227" s="640"/>
      <c r="AI227" s="675"/>
      <c r="AJ227" s="262"/>
      <c r="AK227" s="270"/>
      <c r="AL227" s="56"/>
      <c r="AM227" s="278"/>
      <c r="AN227" s="283"/>
      <c r="AO227" s="281"/>
      <c r="AP227" s="282"/>
      <c r="AQ227" s="282"/>
      <c r="AR227" s="175"/>
      <c r="AS227" s="176"/>
      <c r="AT227" s="176"/>
    </row>
    <row r="228" spans="2:46" s="4" customFormat="1" ht="105" customHeight="1">
      <c r="B228" s="1551"/>
      <c r="C228" s="1551"/>
      <c r="D228" s="391"/>
      <c r="E228" s="86"/>
      <c r="F228" s="1067"/>
      <c r="G228" s="1014"/>
      <c r="H228" s="1014"/>
      <c r="I228" s="1041"/>
      <c r="J228" s="1014"/>
      <c r="K228" s="985"/>
      <c r="L228" s="317"/>
      <c r="M228" s="317"/>
      <c r="N228" s="317"/>
      <c r="O228" s="317"/>
      <c r="P228" s="321"/>
      <c r="Q228" s="687" t="s">
        <v>676</v>
      </c>
      <c r="R228" s="803" t="s">
        <v>768</v>
      </c>
      <c r="S228" s="804"/>
      <c r="T228" s="1035"/>
      <c r="U228" s="634"/>
      <c r="V228" s="635"/>
      <c r="W228" s="719" t="s">
        <v>769</v>
      </c>
      <c r="X228" s="645"/>
      <c r="Y228" s="740"/>
      <c r="Z228" s="739"/>
      <c r="AA228" s="639"/>
      <c r="AB228" s="639"/>
      <c r="AC228" s="679"/>
      <c r="AD228" s="706"/>
      <c r="AE228" s="706"/>
      <c r="AF228" s="737"/>
      <c r="AG228" s="738"/>
      <c r="AH228" s="640"/>
      <c r="AI228" s="675"/>
      <c r="AJ228" s="262"/>
      <c r="AK228" s="270"/>
      <c r="AL228" s="56"/>
      <c r="AM228" s="278"/>
      <c r="AN228" s="283"/>
      <c r="AO228" s="281"/>
      <c r="AP228" s="282"/>
      <c r="AQ228" s="282"/>
      <c r="AR228" s="175"/>
      <c r="AS228" s="176"/>
      <c r="AT228" s="176"/>
    </row>
    <row r="229" spans="2:46" s="4" customFormat="1" ht="244.95" customHeight="1">
      <c r="B229" s="1551"/>
      <c r="C229" s="1551"/>
      <c r="D229" s="391"/>
      <c r="E229" s="86"/>
      <c r="F229" s="1067"/>
      <c r="G229" s="1014"/>
      <c r="H229" s="1014"/>
      <c r="I229" s="1041"/>
      <c r="J229" s="1014"/>
      <c r="K229" s="985"/>
      <c r="L229" s="317"/>
      <c r="M229" s="317"/>
      <c r="N229" s="317"/>
      <c r="O229" s="317"/>
      <c r="P229" s="321"/>
      <c r="Q229" s="687" t="s">
        <v>677</v>
      </c>
      <c r="R229" s="803" t="s">
        <v>770</v>
      </c>
      <c r="S229" s="804"/>
      <c r="T229" s="1035"/>
      <c r="U229" s="634"/>
      <c r="V229" s="635"/>
      <c r="W229" s="719" t="s">
        <v>771</v>
      </c>
      <c r="X229" s="645"/>
      <c r="Y229" s="740"/>
      <c r="Z229" s="739"/>
      <c r="AA229" s="639"/>
      <c r="AB229" s="639"/>
      <c r="AC229" s="679"/>
      <c r="AD229" s="706"/>
      <c r="AE229" s="706"/>
      <c r="AF229" s="737"/>
      <c r="AG229" s="738"/>
      <c r="AH229" s="640"/>
      <c r="AI229" s="675"/>
      <c r="AJ229" s="262"/>
      <c r="AK229" s="270"/>
      <c r="AL229" s="56"/>
      <c r="AM229" s="278"/>
      <c r="AN229" s="283"/>
      <c r="AO229" s="281"/>
      <c r="AP229" s="282"/>
      <c r="AQ229" s="282"/>
      <c r="AR229" s="175"/>
      <c r="AS229" s="176"/>
      <c r="AT229" s="176"/>
    </row>
    <row r="230" spans="2:46" s="4" customFormat="1" ht="195.6" customHeight="1">
      <c r="B230" s="1551"/>
      <c r="C230" s="1551"/>
      <c r="D230" s="391"/>
      <c r="E230" s="86"/>
      <c r="F230" s="1067"/>
      <c r="G230" s="1014"/>
      <c r="H230" s="1014"/>
      <c r="I230" s="1041"/>
      <c r="J230" s="1014"/>
      <c r="K230" s="985"/>
      <c r="L230" s="317"/>
      <c r="M230" s="317"/>
      <c r="N230" s="317"/>
      <c r="O230" s="317"/>
      <c r="P230" s="321"/>
      <c r="Q230" s="687" t="s">
        <v>678</v>
      </c>
      <c r="R230" s="803" t="s">
        <v>772</v>
      </c>
      <c r="S230" s="804"/>
      <c r="T230" s="1035"/>
      <c r="U230" s="634"/>
      <c r="V230" s="635"/>
      <c r="W230" s="719" t="s">
        <v>773</v>
      </c>
      <c r="X230" s="645"/>
      <c r="Y230" s="740"/>
      <c r="Z230" s="739"/>
      <c r="AA230" s="639"/>
      <c r="AB230" s="639"/>
      <c r="AC230" s="679"/>
      <c r="AD230" s="706"/>
      <c r="AE230" s="706"/>
      <c r="AF230" s="737"/>
      <c r="AG230" s="738"/>
      <c r="AH230" s="640"/>
      <c r="AI230" s="675"/>
      <c r="AJ230" s="262"/>
      <c r="AK230" s="270"/>
      <c r="AL230" s="56"/>
      <c r="AM230" s="278"/>
      <c r="AN230" s="283"/>
      <c r="AO230" s="281"/>
      <c r="AP230" s="282"/>
      <c r="AQ230" s="282"/>
      <c r="AR230" s="175"/>
      <c r="AS230" s="176"/>
      <c r="AT230" s="176"/>
    </row>
    <row r="231" spans="2:46" s="4" customFormat="1" ht="193.95" customHeight="1">
      <c r="B231" s="1551"/>
      <c r="C231" s="1551"/>
      <c r="D231" s="391"/>
      <c r="E231" s="86"/>
      <c r="F231" s="1067"/>
      <c r="G231" s="1014"/>
      <c r="H231" s="1014"/>
      <c r="I231" s="1041"/>
      <c r="J231" s="1014"/>
      <c r="K231" s="985"/>
      <c r="L231" s="317"/>
      <c r="M231" s="317"/>
      <c r="N231" s="317"/>
      <c r="O231" s="317"/>
      <c r="P231" s="321"/>
      <c r="Q231" s="687" t="s">
        <v>679</v>
      </c>
      <c r="R231" s="803" t="s">
        <v>774</v>
      </c>
      <c r="S231" s="804"/>
      <c r="T231" s="1035"/>
      <c r="U231" s="634"/>
      <c r="V231" s="635"/>
      <c r="W231" s="719" t="s">
        <v>775</v>
      </c>
      <c r="X231" s="645"/>
      <c r="Y231" s="740"/>
      <c r="Z231" s="739"/>
      <c r="AA231" s="639"/>
      <c r="AB231" s="639"/>
      <c r="AC231" s="679"/>
      <c r="AD231" s="706"/>
      <c r="AE231" s="706"/>
      <c r="AF231" s="737"/>
      <c r="AG231" s="738"/>
      <c r="AH231" s="640"/>
      <c r="AI231" s="675"/>
      <c r="AJ231" s="262"/>
      <c r="AK231" s="270"/>
      <c r="AL231" s="56"/>
      <c r="AM231" s="278"/>
      <c r="AN231" s="283"/>
      <c r="AO231" s="281"/>
      <c r="AP231" s="282"/>
      <c r="AQ231" s="282"/>
      <c r="AR231" s="175"/>
      <c r="AS231" s="176"/>
      <c r="AT231" s="176"/>
    </row>
    <row r="232" spans="2:46" s="4" customFormat="1" ht="228" customHeight="1">
      <c r="B232" s="1551"/>
      <c r="C232" s="1551"/>
      <c r="D232" s="391"/>
      <c r="E232" s="86"/>
      <c r="F232" s="1067"/>
      <c r="G232" s="1014"/>
      <c r="H232" s="1014"/>
      <c r="I232" s="1041"/>
      <c r="J232" s="1014"/>
      <c r="K232" s="985"/>
      <c r="L232" s="317"/>
      <c r="M232" s="317"/>
      <c r="N232" s="317"/>
      <c r="O232" s="317"/>
      <c r="P232" s="321"/>
      <c r="Q232" s="687" t="s">
        <v>680</v>
      </c>
      <c r="R232" s="719" t="s">
        <v>776</v>
      </c>
      <c r="S232" s="799"/>
      <c r="T232" s="1035"/>
      <c r="U232" s="634"/>
      <c r="V232" s="635"/>
      <c r="W232" s="719" t="s">
        <v>777</v>
      </c>
      <c r="X232" s="645"/>
      <c r="Y232" s="740"/>
      <c r="Z232" s="739"/>
      <c r="AA232" s="639"/>
      <c r="AB232" s="639"/>
      <c r="AC232" s="679"/>
      <c r="AD232" s="706"/>
      <c r="AE232" s="706"/>
      <c r="AF232" s="737"/>
      <c r="AG232" s="738"/>
      <c r="AH232" s="640"/>
      <c r="AI232" s="675"/>
      <c r="AJ232" s="262"/>
      <c r="AK232" s="270"/>
      <c r="AL232" s="56"/>
      <c r="AM232" s="278"/>
      <c r="AN232" s="283"/>
      <c r="AO232" s="281"/>
      <c r="AP232" s="282"/>
      <c r="AQ232" s="282"/>
      <c r="AR232" s="175"/>
      <c r="AS232" s="176"/>
      <c r="AT232" s="176"/>
    </row>
    <row r="233" spans="2:46" s="4" customFormat="1" ht="185.25" customHeight="1">
      <c r="B233" s="1551"/>
      <c r="C233" s="1551"/>
      <c r="D233" s="391"/>
      <c r="E233" s="86"/>
      <c r="F233" s="1067"/>
      <c r="G233" s="1014"/>
      <c r="H233" s="1014"/>
      <c r="I233" s="1041"/>
      <c r="J233" s="1014"/>
      <c r="K233" s="985"/>
      <c r="L233" s="317"/>
      <c r="M233" s="317"/>
      <c r="N233" s="317"/>
      <c r="O233" s="317"/>
      <c r="P233" s="321"/>
      <c r="Q233" s="687" t="s">
        <v>682</v>
      </c>
      <c r="R233" s="719" t="s">
        <v>778</v>
      </c>
      <c r="S233" s="799"/>
      <c r="T233" s="1035"/>
      <c r="U233" s="634"/>
      <c r="V233" s="635"/>
      <c r="W233" s="719" t="s">
        <v>779</v>
      </c>
      <c r="X233" s="645"/>
      <c r="Y233" s="740"/>
      <c r="Z233" s="739"/>
      <c r="AA233" s="639"/>
      <c r="AB233" s="639"/>
      <c r="AC233" s="679"/>
      <c r="AD233" s="706"/>
      <c r="AE233" s="706"/>
      <c r="AF233" s="737"/>
      <c r="AG233" s="738"/>
      <c r="AH233" s="640"/>
      <c r="AI233" s="675"/>
      <c r="AJ233" s="262"/>
      <c r="AK233" s="270"/>
      <c r="AL233" s="56"/>
      <c r="AM233" s="278"/>
      <c r="AN233" s="283"/>
      <c r="AO233" s="281"/>
      <c r="AP233" s="282"/>
      <c r="AQ233" s="282"/>
      <c r="AR233" s="175"/>
      <c r="AS233" s="176"/>
      <c r="AT233" s="176"/>
    </row>
    <row r="234" spans="2:46" s="4" customFormat="1" ht="81" customHeight="1">
      <c r="B234" s="1551"/>
      <c r="C234" s="1551"/>
      <c r="D234" s="391"/>
      <c r="E234" s="86"/>
      <c r="F234" s="1067"/>
      <c r="G234" s="1014"/>
      <c r="H234" s="1014"/>
      <c r="I234" s="1041"/>
      <c r="J234" s="1014"/>
      <c r="K234" s="985"/>
      <c r="L234" s="317"/>
      <c r="M234" s="317"/>
      <c r="N234" s="317"/>
      <c r="O234" s="317"/>
      <c r="P234" s="321"/>
      <c r="Q234" s="687" t="s">
        <v>681</v>
      </c>
      <c r="R234" s="719" t="s">
        <v>780</v>
      </c>
      <c r="S234" s="799"/>
      <c r="T234" s="1035"/>
      <c r="U234" s="634"/>
      <c r="V234" s="635"/>
      <c r="W234" s="719" t="s">
        <v>782</v>
      </c>
      <c r="X234" s="645"/>
      <c r="Y234" s="740"/>
      <c r="Z234" s="739"/>
      <c r="AA234" s="639"/>
      <c r="AB234" s="639"/>
      <c r="AC234" s="679"/>
      <c r="AD234" s="706"/>
      <c r="AE234" s="706"/>
      <c r="AF234" s="737"/>
      <c r="AG234" s="738"/>
      <c r="AH234" s="640"/>
      <c r="AI234" s="675"/>
      <c r="AJ234" s="262"/>
      <c r="AK234" s="270"/>
      <c r="AL234" s="56"/>
      <c r="AM234" s="278"/>
      <c r="AN234" s="283"/>
      <c r="AO234" s="281"/>
      <c r="AP234" s="282"/>
      <c r="AQ234" s="282"/>
      <c r="AR234" s="175"/>
      <c r="AS234" s="176"/>
      <c r="AT234" s="176"/>
    </row>
    <row r="235" spans="2:46" s="4" customFormat="1" ht="69" customHeight="1">
      <c r="B235" s="1551"/>
      <c r="C235" s="1551"/>
      <c r="D235" s="391"/>
      <c r="E235" s="86"/>
      <c r="F235" s="1067"/>
      <c r="G235" s="1014"/>
      <c r="H235" s="1014"/>
      <c r="I235" s="1041"/>
      <c r="J235" s="1014"/>
      <c r="K235" s="985"/>
      <c r="L235" s="317"/>
      <c r="M235" s="317"/>
      <c r="N235" s="317"/>
      <c r="O235" s="317"/>
      <c r="P235" s="321"/>
      <c r="Q235" s="687" t="s">
        <v>683</v>
      </c>
      <c r="R235" s="719" t="s">
        <v>783</v>
      </c>
      <c r="S235" s="799"/>
      <c r="T235" s="1035"/>
      <c r="U235" s="634"/>
      <c r="V235" s="635"/>
      <c r="W235" s="719" t="s">
        <v>784</v>
      </c>
      <c r="X235" s="645"/>
      <c r="Y235" s="740"/>
      <c r="Z235" s="739"/>
      <c r="AA235" s="639"/>
      <c r="AB235" s="639"/>
      <c r="AC235" s="679"/>
      <c r="AD235" s="706"/>
      <c r="AE235" s="706"/>
      <c r="AF235" s="737"/>
      <c r="AG235" s="738"/>
      <c r="AH235" s="640"/>
      <c r="AI235" s="675"/>
      <c r="AJ235" s="262"/>
      <c r="AK235" s="270"/>
      <c r="AL235" s="56"/>
      <c r="AM235" s="278"/>
      <c r="AN235" s="283"/>
      <c r="AO235" s="281"/>
      <c r="AP235" s="282"/>
      <c r="AQ235" s="282"/>
      <c r="AR235" s="175"/>
      <c r="AS235" s="176"/>
      <c r="AT235" s="176"/>
    </row>
    <row r="236" spans="2:46" s="4" customFormat="1" ht="66.75" customHeight="1">
      <c r="B236" s="1551"/>
      <c r="C236" s="1551"/>
      <c r="D236" s="391"/>
      <c r="E236" s="86"/>
      <c r="F236" s="1067"/>
      <c r="G236" s="1011"/>
      <c r="H236" s="1011"/>
      <c r="I236" s="1042"/>
      <c r="J236" s="1011"/>
      <c r="K236" s="985"/>
      <c r="L236" s="317"/>
      <c r="M236" s="317"/>
      <c r="N236" s="317"/>
      <c r="O236" s="317"/>
      <c r="P236" s="321"/>
      <c r="Q236" s="687" t="s">
        <v>684</v>
      </c>
      <c r="R236" s="719" t="s">
        <v>785</v>
      </c>
      <c r="S236" s="799"/>
      <c r="T236" s="1035"/>
      <c r="U236" s="634"/>
      <c r="V236" s="635"/>
      <c r="W236" s="719" t="s">
        <v>781</v>
      </c>
      <c r="X236" s="645"/>
      <c r="Y236" s="740"/>
      <c r="Z236" s="739"/>
      <c r="AA236" s="639"/>
      <c r="AB236" s="639"/>
      <c r="AC236" s="679"/>
      <c r="AD236" s="706"/>
      <c r="AE236" s="706"/>
      <c r="AF236" s="737"/>
      <c r="AG236" s="738"/>
      <c r="AH236" s="640"/>
      <c r="AI236" s="675"/>
      <c r="AJ236" s="262"/>
      <c r="AK236" s="270"/>
      <c r="AL236" s="56"/>
      <c r="AM236" s="278"/>
      <c r="AN236" s="283"/>
      <c r="AO236" s="281"/>
      <c r="AP236" s="282"/>
      <c r="AQ236" s="282"/>
      <c r="AR236" s="175"/>
      <c r="AS236" s="176"/>
      <c r="AT236" s="176"/>
    </row>
    <row r="237" spans="2:46" s="4" customFormat="1" ht="69.75" customHeight="1">
      <c r="B237" s="1551"/>
      <c r="C237" s="1551"/>
      <c r="D237" s="391"/>
      <c r="E237" s="86"/>
      <c r="F237" s="1067"/>
      <c r="G237" s="1010"/>
      <c r="H237" s="1010" t="s">
        <v>811</v>
      </c>
      <c r="I237" s="1040" t="s">
        <v>112</v>
      </c>
      <c r="J237" s="1010" t="s">
        <v>1197</v>
      </c>
      <c r="K237" s="984" t="s">
        <v>830</v>
      </c>
      <c r="L237" s="317"/>
      <c r="M237" s="317"/>
      <c r="N237" s="317"/>
      <c r="O237" s="317"/>
      <c r="P237" s="321"/>
      <c r="Q237" s="687" t="s">
        <v>685</v>
      </c>
      <c r="R237" s="719" t="s">
        <v>786</v>
      </c>
      <c r="S237" s="799"/>
      <c r="T237" s="1035"/>
      <c r="U237" s="634"/>
      <c r="V237" s="635"/>
      <c r="W237" s="719" t="s">
        <v>787</v>
      </c>
      <c r="X237" s="645"/>
      <c r="Y237" s="740"/>
      <c r="Z237" s="739"/>
      <c r="AA237" s="639"/>
      <c r="AB237" s="639"/>
      <c r="AC237" s="679"/>
      <c r="AD237" s="706"/>
      <c r="AE237" s="706"/>
      <c r="AF237" s="737"/>
      <c r="AG237" s="738"/>
      <c r="AH237" s="640"/>
      <c r="AI237" s="675"/>
      <c r="AJ237" s="262"/>
      <c r="AK237" s="270"/>
      <c r="AL237" s="56"/>
      <c r="AM237" s="278"/>
      <c r="AN237" s="283"/>
      <c r="AO237" s="281"/>
      <c r="AP237" s="282"/>
      <c r="AQ237" s="282"/>
      <c r="AR237" s="175"/>
      <c r="AS237" s="176"/>
      <c r="AT237" s="176"/>
    </row>
    <row r="238" spans="2:46" s="4" customFormat="1" ht="88.95" customHeight="1">
      <c r="B238" s="1551"/>
      <c r="C238" s="1551"/>
      <c r="D238" s="391"/>
      <c r="E238" s="86"/>
      <c r="F238" s="1067"/>
      <c r="G238" s="1014"/>
      <c r="H238" s="1014"/>
      <c r="I238" s="1041"/>
      <c r="J238" s="1014"/>
      <c r="K238" s="985"/>
      <c r="L238" s="317"/>
      <c r="M238" s="317"/>
      <c r="N238" s="317"/>
      <c r="O238" s="317"/>
      <c r="P238" s="321"/>
      <c r="Q238" s="687" t="s">
        <v>686</v>
      </c>
      <c r="R238" s="719" t="s">
        <v>788</v>
      </c>
      <c r="S238" s="799"/>
      <c r="T238" s="1035"/>
      <c r="U238" s="634"/>
      <c r="V238" s="635"/>
      <c r="W238" s="719" t="s">
        <v>789</v>
      </c>
      <c r="X238" s="645"/>
      <c r="Y238" s="740"/>
      <c r="Z238" s="739"/>
      <c r="AA238" s="639"/>
      <c r="AB238" s="639"/>
      <c r="AC238" s="679"/>
      <c r="AD238" s="706"/>
      <c r="AE238" s="706"/>
      <c r="AF238" s="737"/>
      <c r="AG238" s="738"/>
      <c r="AH238" s="640"/>
      <c r="AI238" s="675"/>
      <c r="AJ238" s="262"/>
      <c r="AK238" s="270"/>
      <c r="AL238" s="56"/>
      <c r="AM238" s="278"/>
      <c r="AN238" s="283"/>
      <c r="AO238" s="281"/>
      <c r="AP238" s="282"/>
      <c r="AQ238" s="282"/>
      <c r="AR238" s="175"/>
      <c r="AS238" s="176"/>
      <c r="AT238" s="176"/>
    </row>
    <row r="239" spans="2:46" s="4" customFormat="1" ht="73.5" customHeight="1">
      <c r="B239" s="1551"/>
      <c r="C239" s="1551"/>
      <c r="D239" s="391"/>
      <c r="E239" s="86"/>
      <c r="F239" s="1067"/>
      <c r="G239" s="1011"/>
      <c r="H239" s="1011"/>
      <c r="I239" s="1042"/>
      <c r="J239" s="1011"/>
      <c r="K239" s="985"/>
      <c r="L239" s="317"/>
      <c r="M239" s="317"/>
      <c r="N239" s="317"/>
      <c r="O239" s="317"/>
      <c r="P239" s="321"/>
      <c r="Q239" s="802" t="s">
        <v>687</v>
      </c>
      <c r="R239" s="719" t="s">
        <v>790</v>
      </c>
      <c r="S239" s="805"/>
      <c r="T239" s="1036"/>
      <c r="U239" s="634"/>
      <c r="V239" s="635"/>
      <c r="W239" s="719" t="s">
        <v>791</v>
      </c>
      <c r="X239" s="645"/>
      <c r="Y239" s="740"/>
      <c r="Z239" s="739"/>
      <c r="AA239" s="639"/>
      <c r="AB239" s="639"/>
      <c r="AC239" s="679"/>
      <c r="AD239" s="706"/>
      <c r="AE239" s="706"/>
      <c r="AF239" s="737"/>
      <c r="AG239" s="738"/>
      <c r="AH239" s="640"/>
      <c r="AI239" s="675"/>
      <c r="AJ239" s="262"/>
      <c r="AK239" s="270"/>
      <c r="AL239" s="56"/>
      <c r="AM239" s="278"/>
      <c r="AN239" s="283"/>
      <c r="AO239" s="281"/>
      <c r="AP239" s="282"/>
      <c r="AQ239" s="282"/>
      <c r="AR239" s="175"/>
      <c r="AS239" s="176"/>
      <c r="AT239" s="176"/>
    </row>
    <row r="240" spans="2:46" s="4" customFormat="1" ht="229.95" customHeight="1">
      <c r="B240" s="1551"/>
      <c r="C240" s="1551"/>
      <c r="D240" s="391"/>
      <c r="E240" s="86"/>
      <c r="F240" s="1067"/>
      <c r="G240" s="171"/>
      <c r="H240" s="157" t="s">
        <v>812</v>
      </c>
      <c r="I240" s="160" t="s">
        <v>112</v>
      </c>
      <c r="J240" s="160" t="s">
        <v>1197</v>
      </c>
      <c r="K240" s="158" t="s">
        <v>831</v>
      </c>
      <c r="L240" s="317"/>
      <c r="M240" s="317"/>
      <c r="N240" s="317"/>
      <c r="O240" s="317"/>
      <c r="P240" s="321"/>
      <c r="Q240" s="802" t="s">
        <v>688</v>
      </c>
      <c r="R240" s="719" t="s">
        <v>792</v>
      </c>
      <c r="S240" s="805"/>
      <c r="T240" s="1036"/>
      <c r="U240" s="634"/>
      <c r="V240" s="635"/>
      <c r="W240" s="719" t="s">
        <v>793</v>
      </c>
      <c r="X240" s="645"/>
      <c r="Y240" s="740"/>
      <c r="Z240" s="739"/>
      <c r="AA240" s="639"/>
      <c r="AB240" s="639"/>
      <c r="AC240" s="679"/>
      <c r="AD240" s="706"/>
      <c r="AE240" s="706"/>
      <c r="AF240" s="737"/>
      <c r="AG240" s="738"/>
      <c r="AH240" s="640"/>
      <c r="AI240" s="675"/>
      <c r="AJ240" s="262"/>
      <c r="AK240" s="270"/>
      <c r="AL240" s="56"/>
      <c r="AM240" s="278"/>
      <c r="AN240" s="283"/>
      <c r="AO240" s="281"/>
      <c r="AP240" s="282"/>
      <c r="AQ240" s="282"/>
      <c r="AR240" s="175"/>
      <c r="AS240" s="176"/>
      <c r="AT240" s="176"/>
    </row>
    <row r="241" spans="2:46" s="4" customFormat="1" ht="108" customHeight="1">
      <c r="B241" s="1551"/>
      <c r="C241" s="1551"/>
      <c r="D241" s="391"/>
      <c r="E241" s="86"/>
      <c r="F241" s="1067"/>
      <c r="G241" s="171"/>
      <c r="H241" s="157" t="s">
        <v>813</v>
      </c>
      <c r="I241" s="160" t="s">
        <v>112</v>
      </c>
      <c r="J241" s="160" t="s">
        <v>1197</v>
      </c>
      <c r="K241" s="158" t="s">
        <v>832</v>
      </c>
      <c r="L241" s="317"/>
      <c r="M241" s="317"/>
      <c r="N241" s="317"/>
      <c r="O241" s="317"/>
      <c r="P241" s="321"/>
      <c r="Q241" s="802" t="s">
        <v>689</v>
      </c>
      <c r="R241" s="719" t="s">
        <v>794</v>
      </c>
      <c r="S241" s="805"/>
      <c r="T241" s="1036"/>
      <c r="U241" s="634"/>
      <c r="V241" s="635"/>
      <c r="W241" s="719" t="s">
        <v>795</v>
      </c>
      <c r="X241" s="645"/>
      <c r="Y241" s="740"/>
      <c r="Z241" s="739"/>
      <c r="AA241" s="639"/>
      <c r="AB241" s="639"/>
      <c r="AC241" s="679"/>
      <c r="AD241" s="706"/>
      <c r="AE241" s="706"/>
      <c r="AF241" s="737"/>
      <c r="AG241" s="738"/>
      <c r="AH241" s="640"/>
      <c r="AI241" s="675"/>
      <c r="AJ241" s="262"/>
      <c r="AK241" s="270"/>
      <c r="AL241" s="56"/>
      <c r="AM241" s="278"/>
      <c r="AN241" s="283"/>
      <c r="AO241" s="281"/>
      <c r="AP241" s="282"/>
      <c r="AQ241" s="282"/>
      <c r="AR241" s="175"/>
      <c r="AS241" s="176"/>
      <c r="AT241" s="176"/>
    </row>
    <row r="242" spans="2:46" s="4" customFormat="1" ht="131.4" customHeight="1">
      <c r="B242" s="1551"/>
      <c r="C242" s="1551"/>
      <c r="D242" s="391"/>
      <c r="E242" s="86"/>
      <c r="F242" s="1067"/>
      <c r="G242" s="171"/>
      <c r="H242" s="157" t="s">
        <v>814</v>
      </c>
      <c r="I242" s="160" t="s">
        <v>112</v>
      </c>
      <c r="J242" s="160" t="s">
        <v>1197</v>
      </c>
      <c r="K242" s="158" t="s">
        <v>837</v>
      </c>
      <c r="L242" s="317"/>
      <c r="M242" s="317"/>
      <c r="N242" s="317"/>
      <c r="O242" s="317"/>
      <c r="P242" s="321"/>
      <c r="Q242" s="802" t="s">
        <v>690</v>
      </c>
      <c r="R242" s="719" t="s">
        <v>796</v>
      </c>
      <c r="S242" s="805"/>
      <c r="T242" s="1036"/>
      <c r="U242" s="634"/>
      <c r="V242" s="635"/>
      <c r="W242" s="719" t="s">
        <v>797</v>
      </c>
      <c r="X242" s="645"/>
      <c r="Y242" s="740"/>
      <c r="Z242" s="739"/>
      <c r="AA242" s="639"/>
      <c r="AB242" s="639"/>
      <c r="AC242" s="679"/>
      <c r="AD242" s="706"/>
      <c r="AE242" s="706"/>
      <c r="AF242" s="737"/>
      <c r="AG242" s="738"/>
      <c r="AH242" s="640"/>
      <c r="AI242" s="675"/>
      <c r="AJ242" s="262"/>
      <c r="AK242" s="270"/>
      <c r="AL242" s="56"/>
      <c r="AM242" s="278"/>
      <c r="AN242" s="283"/>
      <c r="AO242" s="281"/>
      <c r="AP242" s="282"/>
      <c r="AQ242" s="282"/>
      <c r="AR242" s="175"/>
      <c r="AS242" s="176"/>
      <c r="AT242" s="176"/>
    </row>
    <row r="243" spans="2:46" s="4" customFormat="1" ht="103.2" customHeight="1">
      <c r="B243" s="1551"/>
      <c r="C243" s="1551"/>
      <c r="D243" s="391"/>
      <c r="E243" s="86"/>
      <c r="F243" s="1067"/>
      <c r="G243" s="171"/>
      <c r="H243" s="1010" t="s">
        <v>815</v>
      </c>
      <c r="I243" s="1453" t="s">
        <v>112</v>
      </c>
      <c r="J243" s="1453" t="s">
        <v>1197</v>
      </c>
      <c r="K243" s="984" t="s">
        <v>834</v>
      </c>
      <c r="L243" s="317"/>
      <c r="M243" s="317"/>
      <c r="N243" s="317"/>
      <c r="O243" s="317"/>
      <c r="P243" s="321"/>
      <c r="Q243" s="687" t="s">
        <v>691</v>
      </c>
      <c r="R243" s="719" t="s">
        <v>798</v>
      </c>
      <c r="S243" s="799"/>
      <c r="T243" s="1035"/>
      <c r="U243" s="634"/>
      <c r="V243" s="635"/>
      <c r="W243" s="719" t="s">
        <v>799</v>
      </c>
      <c r="X243" s="645"/>
      <c r="Y243" s="740"/>
      <c r="Z243" s="739"/>
      <c r="AA243" s="639"/>
      <c r="AB243" s="639"/>
      <c r="AC243" s="679"/>
      <c r="AD243" s="706"/>
      <c r="AE243" s="706"/>
      <c r="AF243" s="737"/>
      <c r="AG243" s="738"/>
      <c r="AH243" s="640"/>
      <c r="AI243" s="675"/>
      <c r="AJ243" s="262"/>
      <c r="AK243" s="270"/>
      <c r="AL243" s="56"/>
      <c r="AM243" s="278"/>
      <c r="AN243" s="283"/>
      <c r="AO243" s="281"/>
      <c r="AP243" s="282"/>
      <c r="AQ243" s="282"/>
      <c r="AR243" s="175"/>
      <c r="AS243" s="176"/>
      <c r="AT243" s="176"/>
    </row>
    <row r="244" spans="2:46" s="4" customFormat="1" ht="90.75" customHeight="1">
      <c r="B244" s="1551"/>
      <c r="C244" s="1551"/>
      <c r="D244" s="391"/>
      <c r="E244" s="86"/>
      <c r="F244" s="1067"/>
      <c r="G244" s="171"/>
      <c r="H244" s="1014"/>
      <c r="I244" s="1416"/>
      <c r="J244" s="1416"/>
      <c r="K244" s="985"/>
      <c r="L244" s="317"/>
      <c r="M244" s="317"/>
      <c r="N244" s="317"/>
      <c r="O244" s="317"/>
      <c r="P244" s="321"/>
      <c r="Q244" s="687" t="s">
        <v>692</v>
      </c>
      <c r="R244" s="719" t="s">
        <v>800</v>
      </c>
      <c r="S244" s="799"/>
      <c r="T244" s="1035"/>
      <c r="U244" s="634"/>
      <c r="V244" s="635"/>
      <c r="W244" s="719" t="s">
        <v>801</v>
      </c>
      <c r="X244" s="645"/>
      <c r="Y244" s="740"/>
      <c r="Z244" s="739"/>
      <c r="AA244" s="639"/>
      <c r="AB244" s="639"/>
      <c r="AC244" s="679"/>
      <c r="AD244" s="706"/>
      <c r="AE244" s="706"/>
      <c r="AF244" s="737"/>
      <c r="AG244" s="738"/>
      <c r="AH244" s="640"/>
      <c r="AI244" s="675"/>
      <c r="AJ244" s="262"/>
      <c r="AK244" s="270"/>
      <c r="AL244" s="56"/>
      <c r="AM244" s="278"/>
      <c r="AN244" s="283"/>
      <c r="AO244" s="281"/>
      <c r="AP244" s="282"/>
      <c r="AQ244" s="282"/>
      <c r="AR244" s="175"/>
      <c r="AS244" s="176"/>
      <c r="AT244" s="176"/>
    </row>
    <row r="245" spans="2:46" s="4" customFormat="1" ht="84.75" customHeight="1">
      <c r="B245" s="1551"/>
      <c r="C245" s="1551"/>
      <c r="D245" s="391"/>
      <c r="E245" s="86"/>
      <c r="F245" s="1067"/>
      <c r="G245" s="171"/>
      <c r="H245" s="1011"/>
      <c r="I245" s="1454"/>
      <c r="J245" s="1454"/>
      <c r="K245" s="986"/>
      <c r="L245" s="317"/>
      <c r="M245" s="317"/>
      <c r="N245" s="317"/>
      <c r="O245" s="317"/>
      <c r="P245" s="321"/>
      <c r="Q245" s="687" t="s">
        <v>693</v>
      </c>
      <c r="R245" s="719" t="s">
        <v>802</v>
      </c>
      <c r="S245" s="799"/>
      <c r="T245" s="1035"/>
      <c r="U245" s="634"/>
      <c r="V245" s="635"/>
      <c r="W245" s="719" t="s">
        <v>803</v>
      </c>
      <c r="X245" s="645"/>
      <c r="Y245" s="740"/>
      <c r="Z245" s="739"/>
      <c r="AA245" s="639"/>
      <c r="AB245" s="639"/>
      <c r="AC245" s="679"/>
      <c r="AD245" s="706"/>
      <c r="AE245" s="706"/>
      <c r="AF245" s="737"/>
      <c r="AG245" s="738"/>
      <c r="AH245" s="640"/>
      <c r="AI245" s="675"/>
      <c r="AJ245" s="262"/>
      <c r="AK245" s="270"/>
      <c r="AL245" s="56"/>
      <c r="AM245" s="278"/>
      <c r="AN245" s="283"/>
      <c r="AO245" s="281"/>
      <c r="AP245" s="282"/>
      <c r="AQ245" s="282"/>
      <c r="AR245" s="175"/>
      <c r="AS245" s="176"/>
      <c r="AT245" s="176"/>
    </row>
    <row r="246" spans="2:46" s="4" customFormat="1" ht="90" customHeight="1">
      <c r="B246" s="1551"/>
      <c r="C246" s="1551"/>
      <c r="D246" s="391"/>
      <c r="E246" s="86"/>
      <c r="F246" s="1067"/>
      <c r="G246" s="171"/>
      <c r="H246" s="157" t="s">
        <v>816</v>
      </c>
      <c r="I246" s="160" t="s">
        <v>112</v>
      </c>
      <c r="J246" s="160" t="s">
        <v>1197</v>
      </c>
      <c r="K246" s="158" t="s">
        <v>835</v>
      </c>
      <c r="L246" s="317"/>
      <c r="M246" s="317"/>
      <c r="N246" s="317"/>
      <c r="O246" s="317"/>
      <c r="P246" s="321"/>
      <c r="Q246" s="687" t="s">
        <v>694</v>
      </c>
      <c r="R246" s="719" t="s">
        <v>804</v>
      </c>
      <c r="S246" s="806"/>
      <c r="T246" s="1037"/>
      <c r="U246" s="634"/>
      <c r="V246" s="635"/>
      <c r="W246" s="719" t="s">
        <v>805</v>
      </c>
      <c r="X246" s="645"/>
      <c r="Y246" s="740"/>
      <c r="Z246" s="739"/>
      <c r="AA246" s="639"/>
      <c r="AB246" s="639"/>
      <c r="AC246" s="679"/>
      <c r="AD246" s="706"/>
      <c r="AE246" s="706"/>
      <c r="AF246" s="737"/>
      <c r="AG246" s="738"/>
      <c r="AH246" s="640"/>
      <c r="AI246" s="675" t="s">
        <v>806</v>
      </c>
      <c r="AJ246" s="262"/>
      <c r="AK246" s="270"/>
      <c r="AL246" s="56"/>
      <c r="AM246" s="278"/>
      <c r="AN246" s="283"/>
      <c r="AO246" s="281"/>
      <c r="AP246" s="282"/>
      <c r="AQ246" s="282"/>
      <c r="AR246" s="175"/>
      <c r="AS246" s="176"/>
      <c r="AT246" s="176"/>
    </row>
    <row r="247" spans="2:46" s="4" customFormat="1" ht="218.4" customHeight="1">
      <c r="B247" s="1551"/>
      <c r="C247" s="1551"/>
      <c r="D247" s="391"/>
      <c r="E247" s="86"/>
      <c r="F247" s="1059" t="s">
        <v>66</v>
      </c>
      <c r="G247" s="171"/>
      <c r="H247" s="157" t="s">
        <v>205</v>
      </c>
      <c r="I247" s="172" t="s">
        <v>112</v>
      </c>
      <c r="J247" s="172" t="s">
        <v>260</v>
      </c>
      <c r="K247" s="158" t="s">
        <v>40</v>
      </c>
      <c r="L247" s="1010"/>
      <c r="M247" s="1010"/>
      <c r="N247" s="1010"/>
      <c r="O247" s="1010"/>
      <c r="P247" s="1010"/>
      <c r="Q247" s="634" t="s">
        <v>1051</v>
      </c>
      <c r="R247" s="719"/>
      <c r="S247" s="719"/>
      <c r="T247" s="634"/>
      <c r="U247" s="634"/>
      <c r="V247" s="635" t="s">
        <v>138</v>
      </c>
      <c r="W247" s="636"/>
      <c r="X247" s="645"/>
      <c r="Y247" s="740">
        <v>0.4</v>
      </c>
      <c r="Z247" s="739"/>
      <c r="AA247" s="639">
        <f>Y247*Z247</f>
        <v>0</v>
      </c>
      <c r="AB247" s="639"/>
      <c r="AC247" s="679">
        <f>Y247</f>
        <v>0.4</v>
      </c>
      <c r="AD247" s="706">
        <f>AA247</f>
        <v>0</v>
      </c>
      <c r="AE247" s="706">
        <f>AC247*AD247</f>
        <v>0</v>
      </c>
      <c r="AF247" s="737"/>
      <c r="AG247" s="738"/>
      <c r="AH247" s="640"/>
      <c r="AI247" s="675" t="s">
        <v>1052</v>
      </c>
      <c r="AJ247" s="275"/>
      <c r="AK247" s="269" t="s">
        <v>260</v>
      </c>
      <c r="AL247" s="56"/>
      <c r="AM247" s="278" t="s">
        <v>349</v>
      </c>
      <c r="AN247" s="283">
        <f>IF(Z247&gt;0,Y247,IF(AM247="низкая",Y247*$AR$40,IF(AM247="средняя",Y247*$AS$40,IF(AM247="высокая",Y247*$AT$40,0))))</f>
        <v>0.2</v>
      </c>
      <c r="AO247" s="281">
        <f>IF(Z247&gt;0,Z247,IF($AM247="низкая",Z247*$AR$40,IF(AM247="средняя",Z247*$AS$40,IF(AM247="высокая",Z247*$AT$40,0))))</f>
        <v>0</v>
      </c>
      <c r="AP247" s="282">
        <f>AN247*AO247</f>
        <v>0</v>
      </c>
      <c r="AQ247" s="282">
        <f>IF(AA247&gt;0,AA247,IF(AM247="низкая",AA247*$AR$40,IF(AM247="средняя",AA247*$AS$40,IF(AM247="высокая",AA247*$AT$40))))</f>
        <v>0</v>
      </c>
      <c r="AR247" s="175">
        <f>AN247</f>
        <v>0.2</v>
      </c>
      <c r="AS247" s="176">
        <f>AP247</f>
        <v>0</v>
      </c>
      <c r="AT247" s="202">
        <f>AR247*AS247</f>
        <v>0</v>
      </c>
    </row>
    <row r="248" spans="2:46" s="4" customFormat="1" ht="409.5" customHeight="1">
      <c r="B248" s="1551"/>
      <c r="C248" s="1551"/>
      <c r="D248" s="391"/>
      <c r="E248" s="86"/>
      <c r="F248" s="1060"/>
      <c r="G248" s="173"/>
      <c r="H248" s="157" t="s">
        <v>206</v>
      </c>
      <c r="I248" s="172" t="s">
        <v>158</v>
      </c>
      <c r="J248" s="172" t="s">
        <v>381</v>
      </c>
      <c r="K248" s="158" t="s">
        <v>55</v>
      </c>
      <c r="L248" s="1011"/>
      <c r="M248" s="1011"/>
      <c r="N248" s="1011"/>
      <c r="O248" s="1011"/>
      <c r="P248" s="1011"/>
      <c r="Q248" s="763" t="s">
        <v>1157</v>
      </c>
      <c r="R248" s="642"/>
      <c r="S248" s="642"/>
      <c r="T248" s="634"/>
      <c r="U248" s="634"/>
      <c r="V248" s="635" t="s">
        <v>130</v>
      </c>
      <c r="W248" s="636" t="s">
        <v>159</v>
      </c>
      <c r="X248" s="645"/>
      <c r="Y248" s="703">
        <v>0.25</v>
      </c>
      <c r="Z248" s="739"/>
      <c r="AA248" s="639">
        <f>Y248*Z248</f>
        <v>0</v>
      </c>
      <c r="AB248" s="639"/>
      <c r="AC248" s="705">
        <f>Y248</f>
        <v>0.25</v>
      </c>
      <c r="AD248" s="706">
        <f>AA248</f>
        <v>0</v>
      </c>
      <c r="AE248" s="706">
        <f>AC248*AD248</f>
        <v>0</v>
      </c>
      <c r="AF248" s="737"/>
      <c r="AG248" s="738"/>
      <c r="AH248" s="640"/>
      <c r="AI248" s="675" t="s">
        <v>1158</v>
      </c>
      <c r="AJ248" s="275"/>
      <c r="AK248" s="269" t="s">
        <v>381</v>
      </c>
      <c r="AL248" s="56"/>
      <c r="AM248" s="278" t="s">
        <v>349</v>
      </c>
      <c r="AN248" s="279">
        <f>IF(Z248&gt;0,Y248,IF(AM248="низкая",Y248*$AR$40,IF(AM248="средняя",Y248*$AS$40,IF(AM248="высокая",Y248*$AT$40,0))))</f>
        <v>0.125</v>
      </c>
      <c r="AO248" s="281">
        <f>IF(Z248&gt;0,Z248,IF($AM248="низкая",Z248*$AR$40,IF(AM248="средняя",Z248*$AS$40,IF(AM248="высокая",Z248*$AT$40,0))))</f>
        <v>0</v>
      </c>
      <c r="AP248" s="282">
        <f>AN248*AO248</f>
        <v>0</v>
      </c>
      <c r="AQ248" s="282">
        <f>IF(AA248&gt;0,AA248,IF(AM248="низкая",AA248*$AR$40,IF(AM248="средняя",AA248*$AS$40,IF(AM248="высокая",AA248*$AT$40))))</f>
        <v>0</v>
      </c>
      <c r="AR248" s="181">
        <f>AN248</f>
        <v>0.125</v>
      </c>
      <c r="AS248" s="176">
        <f>AP248</f>
        <v>0</v>
      </c>
      <c r="AT248" s="202">
        <f>AR248*AS248</f>
        <v>0</v>
      </c>
    </row>
    <row r="249" spans="2:46" ht="255.75" customHeight="1">
      <c r="B249" s="1551"/>
      <c r="C249" s="1551"/>
      <c r="D249" s="391"/>
      <c r="E249" s="86"/>
      <c r="F249" s="1060"/>
      <c r="G249" s="173"/>
      <c r="H249" s="157" t="s">
        <v>1006</v>
      </c>
      <c r="I249" s="172" t="s">
        <v>158</v>
      </c>
      <c r="J249" s="172" t="s">
        <v>381</v>
      </c>
      <c r="K249" s="158" t="s">
        <v>1007</v>
      </c>
      <c r="L249" s="317"/>
      <c r="M249" s="317"/>
      <c r="N249" s="317"/>
      <c r="O249" s="317"/>
      <c r="P249" s="317"/>
      <c r="Q249" s="634" t="s">
        <v>1008</v>
      </c>
      <c r="R249" s="719"/>
      <c r="S249" s="719"/>
      <c r="T249" s="634"/>
      <c r="U249" s="634"/>
      <c r="V249" s="635" t="s">
        <v>130</v>
      </c>
      <c r="W249" s="636" t="s">
        <v>1159</v>
      </c>
      <c r="X249" s="645"/>
      <c r="Y249" s="740">
        <v>0.25</v>
      </c>
      <c r="Z249" s="739"/>
      <c r="AA249" s="639">
        <f>Y249*Z249</f>
        <v>0</v>
      </c>
      <c r="AB249" s="639"/>
      <c r="AC249" s="679">
        <f>Y249</f>
        <v>0.25</v>
      </c>
      <c r="AD249" s="706">
        <f>AA249</f>
        <v>0</v>
      </c>
      <c r="AE249" s="706">
        <f>AC249*AD249</f>
        <v>0</v>
      </c>
      <c r="AF249" s="737"/>
      <c r="AG249" s="738"/>
      <c r="AH249" s="640"/>
      <c r="AI249" s="675" t="s">
        <v>1009</v>
      </c>
      <c r="AJ249" s="275"/>
      <c r="AK249" s="269" t="s">
        <v>381</v>
      </c>
      <c r="AL249" s="56"/>
      <c r="AM249" s="278" t="s">
        <v>349</v>
      </c>
      <c r="AN249" s="283">
        <f>IF(Z249&gt;0,Y249,IF(AM249="низкая",Y249*$AR$40,IF(AM249="средняя",Y249*$AS$40,IF(AM249="высокая",Y249*$AT$40,0))))</f>
        <v>0.125</v>
      </c>
      <c r="AO249" s="281">
        <f>IF(Z249&gt;0,Z249,IF($AM249="низкая",Z249*$AR$40,IF(AM249="средняя",Z249*$AS$40,IF(AM249="высокая",Z249*$AT$40,0))))</f>
        <v>0</v>
      </c>
      <c r="AP249" s="282">
        <f>AN249*AO249</f>
        <v>0</v>
      </c>
      <c r="AQ249" s="282">
        <f>IF(AA249&gt;0,AA249,IF(AM249="низкая",AA249*$AR$40,IF(AM249="средняя",AA249*$AS$40,IF(AM249="высокая",AA249*$AT$40))))</f>
        <v>0</v>
      </c>
      <c r="AR249" s="175">
        <f>AN249</f>
        <v>0.125</v>
      </c>
      <c r="AS249" s="176">
        <f>AP249</f>
        <v>0</v>
      </c>
      <c r="AT249" s="202">
        <f>AR249*AS249</f>
        <v>0</v>
      </c>
    </row>
    <row r="250" spans="2:46" ht="117" customHeight="1">
      <c r="B250" s="1551"/>
      <c r="C250" s="1551"/>
      <c r="D250" s="391"/>
      <c r="E250" s="86"/>
      <c r="F250" s="1060"/>
      <c r="G250" s="173"/>
      <c r="H250" s="157" t="s">
        <v>1010</v>
      </c>
      <c r="I250" s="172" t="s">
        <v>158</v>
      </c>
      <c r="J250" s="172" t="s">
        <v>1174</v>
      </c>
      <c r="K250" s="158" t="s">
        <v>1175</v>
      </c>
      <c r="L250" s="317"/>
      <c r="M250" s="317"/>
      <c r="N250" s="317"/>
      <c r="O250" s="317"/>
      <c r="P250" s="317"/>
      <c r="Q250" s="634" t="s">
        <v>1176</v>
      </c>
      <c r="R250" s="719"/>
      <c r="S250" s="719"/>
      <c r="T250" s="634"/>
      <c r="U250" s="634"/>
      <c r="V250" s="635"/>
      <c r="W250" s="636"/>
      <c r="X250" s="645"/>
      <c r="Y250" s="740"/>
      <c r="Z250" s="739"/>
      <c r="AA250" s="639"/>
      <c r="AB250" s="639"/>
      <c r="AC250" s="679"/>
      <c r="AD250" s="706"/>
      <c r="AE250" s="706"/>
      <c r="AF250" s="737"/>
      <c r="AG250" s="738"/>
      <c r="AH250" s="640"/>
      <c r="AI250" s="675" t="s">
        <v>1177</v>
      </c>
      <c r="AJ250" s="275"/>
      <c r="AK250" s="269" t="s">
        <v>1178</v>
      </c>
      <c r="AL250" s="56"/>
      <c r="AM250" s="278"/>
      <c r="AN250" s="283"/>
      <c r="AO250" s="281"/>
      <c r="AP250" s="282"/>
      <c r="AQ250" s="282"/>
      <c r="AR250" s="175"/>
      <c r="AS250" s="176"/>
      <c r="AT250" s="202"/>
    </row>
    <row r="251" spans="2:46" ht="99.75" customHeight="1">
      <c r="B251" s="1551"/>
      <c r="C251" s="1551"/>
      <c r="D251" s="391"/>
      <c r="E251" s="86"/>
      <c r="F251" s="1061"/>
      <c r="G251" s="173"/>
      <c r="H251" s="157" t="s">
        <v>1173</v>
      </c>
      <c r="I251" s="172" t="s">
        <v>416</v>
      </c>
      <c r="J251" s="172"/>
      <c r="K251" s="158" t="s">
        <v>1011</v>
      </c>
      <c r="L251" s="317"/>
      <c r="M251" s="317"/>
      <c r="N251" s="317"/>
      <c r="O251" s="317"/>
      <c r="P251" s="317"/>
      <c r="Q251" s="634" t="s">
        <v>1012</v>
      </c>
      <c r="R251" s="719"/>
      <c r="S251" s="719"/>
      <c r="T251" s="634"/>
      <c r="U251" s="634"/>
      <c r="V251" s="635"/>
      <c r="W251" s="636" t="s">
        <v>1013</v>
      </c>
      <c r="X251" s="645"/>
      <c r="Y251" s="740">
        <v>0.01</v>
      </c>
      <c r="Z251" s="739">
        <v>1.3</v>
      </c>
      <c r="AA251" s="639"/>
      <c r="AB251" s="639"/>
      <c r="AC251" s="679">
        <f>Y251</f>
        <v>0.01</v>
      </c>
      <c r="AD251" s="706">
        <f>Z251</f>
        <v>1.3</v>
      </c>
      <c r="AE251" s="706">
        <f>AD251*AC251</f>
        <v>1.3000000000000001E-2</v>
      </c>
      <c r="AF251" s="737"/>
      <c r="AG251" s="738"/>
      <c r="AH251" s="640"/>
      <c r="AI251" s="675" t="s">
        <v>1014</v>
      </c>
      <c r="AJ251" s="275"/>
      <c r="AK251" s="269" t="s">
        <v>416</v>
      </c>
      <c r="AL251" s="56"/>
      <c r="AM251" s="278" t="s">
        <v>349</v>
      </c>
      <c r="AN251" s="283"/>
      <c r="AO251" s="281"/>
      <c r="AP251" s="282"/>
      <c r="AQ251" s="282"/>
      <c r="AR251" s="175"/>
      <c r="AS251" s="176"/>
      <c r="AT251" s="202"/>
    </row>
    <row r="252" spans="2:46" ht="165" customHeight="1">
      <c r="B252" s="1551"/>
      <c r="C252" s="1551"/>
      <c r="D252" s="391"/>
      <c r="E252" s="86"/>
      <c r="F252" s="450" t="s">
        <v>838</v>
      </c>
      <c r="G252" s="171"/>
      <c r="H252" s="157" t="s">
        <v>1137</v>
      </c>
      <c r="I252" s="172" t="s">
        <v>296</v>
      </c>
      <c r="J252" s="172" t="s">
        <v>1155</v>
      </c>
      <c r="K252" s="158" t="s">
        <v>1026</v>
      </c>
      <c r="L252" s="317"/>
      <c r="M252" s="317"/>
      <c r="N252" s="317"/>
      <c r="O252" s="317"/>
      <c r="P252" s="317"/>
      <c r="Q252" s="633" t="s">
        <v>1027</v>
      </c>
      <c r="R252" s="633"/>
      <c r="S252" s="719"/>
      <c r="T252" s="634"/>
      <c r="U252" s="634"/>
      <c r="V252" s="635"/>
      <c r="W252" s="636" t="s">
        <v>1028</v>
      </c>
      <c r="X252" s="645"/>
      <c r="Y252" s="740">
        <v>0.4</v>
      </c>
      <c r="Z252" s="739"/>
      <c r="AA252" s="639">
        <f>Y252*Z252</f>
        <v>0</v>
      </c>
      <c r="AB252" s="639"/>
      <c r="AC252" s="679">
        <f>Y252</f>
        <v>0.4</v>
      </c>
      <c r="AD252" s="706">
        <f>AA252</f>
        <v>0</v>
      </c>
      <c r="AE252" s="706">
        <f>AC252*AD252</f>
        <v>0</v>
      </c>
      <c r="AF252" s="737"/>
      <c r="AG252" s="738"/>
      <c r="AH252" s="640"/>
      <c r="AI252" s="675" t="s">
        <v>1029</v>
      </c>
      <c r="AJ252" s="275"/>
      <c r="AK252" s="269"/>
      <c r="AL252" s="56"/>
      <c r="AM252" s="278" t="s">
        <v>349</v>
      </c>
      <c r="AN252" s="283">
        <f>IF(Z252&gt;0,Y252,IF(AM252="низкая",Y252*$AR$40,IF(AM252="средняя",Y252*$AS$40,IF(AM252="высокая",Y252*$AT$40,0))))</f>
        <v>0.2</v>
      </c>
      <c r="AO252" s="281">
        <f>IF(Z252&gt;0,Z252,IF($AM252="низкая",Z252*$AR$40,IF(AM252="средняя",Z252*$AS$40,IF(AM252="высокая",Z252*$AT$40,0))))</f>
        <v>0</v>
      </c>
      <c r="AP252" s="282">
        <f>AN252*AO252</f>
        <v>0</v>
      </c>
      <c r="AQ252" s="282">
        <f>IF(AA252&gt;0,AA252,IF(AM252="низкая",AA252*$AR$40,IF(AM252="средняя",AA252*$AS$40,IF(AM252="высокая",AA252*$AT$40))))</f>
        <v>0</v>
      </c>
      <c r="AR252" s="175">
        <f>AN252</f>
        <v>0.2</v>
      </c>
      <c r="AS252" s="176">
        <f>AP252</f>
        <v>0</v>
      </c>
      <c r="AT252" s="202">
        <f>AR252*AS252</f>
        <v>0</v>
      </c>
    </row>
    <row r="253" spans="2:46" ht="152.4">
      <c r="B253" s="1551"/>
      <c r="C253" s="1551"/>
      <c r="D253" s="391"/>
      <c r="E253" s="86"/>
      <c r="F253" s="1066" t="s">
        <v>844</v>
      </c>
      <c r="G253" s="171"/>
      <c r="H253" s="157" t="s">
        <v>1131</v>
      </c>
      <c r="I253" s="172" t="s">
        <v>112</v>
      </c>
      <c r="J253" s="172" t="s">
        <v>529</v>
      </c>
      <c r="K253" s="158" t="s">
        <v>606</v>
      </c>
      <c r="L253" s="1010"/>
      <c r="M253" s="1010"/>
      <c r="N253" s="1010"/>
      <c r="O253" s="1010"/>
      <c r="P253" s="1010"/>
      <c r="Q253" s="634"/>
      <c r="R253" s="719"/>
      <c r="S253" s="719"/>
      <c r="T253" s="634"/>
      <c r="U253" s="634"/>
      <c r="V253" s="635" t="s">
        <v>138</v>
      </c>
      <c r="W253" s="636"/>
      <c r="X253" s="645"/>
      <c r="Y253" s="740">
        <v>0</v>
      </c>
      <c r="Z253" s="739">
        <v>0</v>
      </c>
      <c r="AA253" s="639">
        <f t="shared" ref="AA253:AA266" si="81">Y253*Z253</f>
        <v>0</v>
      </c>
      <c r="AB253" s="639"/>
      <c r="AC253" s="679">
        <f t="shared" ref="AC253:AC266" si="82">Y253</f>
        <v>0</v>
      </c>
      <c r="AD253" s="706">
        <f>AA253</f>
        <v>0</v>
      </c>
      <c r="AE253" s="706">
        <f t="shared" ref="AE253:AE266" si="83">AC253*AD253</f>
        <v>0</v>
      </c>
      <c r="AF253" s="737"/>
      <c r="AG253" s="738"/>
      <c r="AH253" s="640"/>
      <c r="AI253" s="675"/>
      <c r="AJ253" s="275"/>
      <c r="AK253" s="269"/>
      <c r="AL253" s="56"/>
      <c r="AM253" s="278" t="s">
        <v>349</v>
      </c>
      <c r="AN253" s="283">
        <f t="shared" ref="AN253:AN263" si="84">IF(Z253&gt;0,Y253,IF(AM253="низкая",Y253*$AR$40,IF(AM253="средняя",Y253*$AS$40,IF(AM253="высокая",Y253*$AT$40,0))))</f>
        <v>0</v>
      </c>
      <c r="AO253" s="281">
        <f t="shared" ref="AO253:AO263" si="85">IF(Z253&gt;0,Z253,IF($AM253="низкая",Z253*$AR$40,IF(AM253="средняя",Z253*$AS$40,IF(AM253="высокая",Z253*$AT$40,0))))</f>
        <v>0</v>
      </c>
      <c r="AP253" s="282">
        <f t="shared" ref="AP253:AP263" si="86">AN253*AO253</f>
        <v>0</v>
      </c>
      <c r="AQ253" s="282">
        <f t="shared" ref="AQ253:AQ266" si="87">IF(AA253&gt;0,AA253,IF(AM253="низкая",AA253*$AR$40,IF(AM253="средняя",AA253*$AS$40,IF(AM253="высокая",AA253*$AT$40))))</f>
        <v>0</v>
      </c>
      <c r="AR253" s="175">
        <f t="shared" ref="AR253:AR266" si="88">AN253</f>
        <v>0</v>
      </c>
      <c r="AS253" s="176">
        <f t="shared" ref="AS253:AS266" si="89">AP253</f>
        <v>0</v>
      </c>
      <c r="AT253" s="202">
        <f>AR253*AS253</f>
        <v>0</v>
      </c>
    </row>
    <row r="254" spans="2:46" ht="144.75" customHeight="1">
      <c r="B254" s="1551"/>
      <c r="C254" s="1551"/>
      <c r="D254" s="391"/>
      <c r="E254" s="86"/>
      <c r="F254" s="1067"/>
      <c r="G254" s="173"/>
      <c r="H254" s="157" t="s">
        <v>1132</v>
      </c>
      <c r="I254" s="172" t="s">
        <v>447</v>
      </c>
      <c r="J254" s="172" t="s">
        <v>529</v>
      </c>
      <c r="K254" s="158" t="s">
        <v>856</v>
      </c>
      <c r="L254" s="1011"/>
      <c r="M254" s="1011"/>
      <c r="N254" s="1011"/>
      <c r="O254" s="1011"/>
      <c r="P254" s="1011"/>
      <c r="Q254" s="634"/>
      <c r="R254" s="642"/>
      <c r="S254" s="642"/>
      <c r="T254" s="634"/>
      <c r="U254" s="634"/>
      <c r="V254" s="635" t="s">
        <v>130</v>
      </c>
      <c r="W254" s="636" t="s">
        <v>159</v>
      </c>
      <c r="X254" s="645"/>
      <c r="Y254" s="703">
        <v>0.25</v>
      </c>
      <c r="Z254" s="739"/>
      <c r="AA254" s="639">
        <f t="shared" si="81"/>
        <v>0</v>
      </c>
      <c r="AB254" s="639"/>
      <c r="AC254" s="705">
        <f t="shared" si="82"/>
        <v>0.25</v>
      </c>
      <c r="AD254" s="706">
        <f t="shared" ref="AD254:AD259" si="90">Z254</f>
        <v>0</v>
      </c>
      <c r="AE254" s="706">
        <f t="shared" si="83"/>
        <v>0</v>
      </c>
      <c r="AF254" s="737"/>
      <c r="AG254" s="738"/>
      <c r="AH254" s="640"/>
      <c r="AI254" s="675"/>
      <c r="AJ254" s="275"/>
      <c r="AK254" s="269"/>
      <c r="AL254" s="56"/>
      <c r="AM254" s="278" t="s">
        <v>349</v>
      </c>
      <c r="AN254" s="279">
        <f t="shared" si="84"/>
        <v>0.125</v>
      </c>
      <c r="AO254" s="281">
        <f t="shared" si="85"/>
        <v>0</v>
      </c>
      <c r="AP254" s="282">
        <f t="shared" si="86"/>
        <v>0</v>
      </c>
      <c r="AQ254" s="282">
        <f t="shared" si="87"/>
        <v>0</v>
      </c>
      <c r="AR254" s="181">
        <f t="shared" si="88"/>
        <v>0.125</v>
      </c>
      <c r="AS254" s="176">
        <f t="shared" si="89"/>
        <v>0</v>
      </c>
      <c r="AT254" s="202">
        <f>AR254*AS254</f>
        <v>0</v>
      </c>
    </row>
    <row r="255" spans="2:46" ht="111.75" customHeight="1">
      <c r="B255" s="1551"/>
      <c r="C255" s="1551"/>
      <c r="D255" s="391"/>
      <c r="E255" s="86"/>
      <c r="F255" s="1067"/>
      <c r="G255" s="1046"/>
      <c r="H255" s="1010" t="s">
        <v>1133</v>
      </c>
      <c r="I255" s="1040" t="s">
        <v>112</v>
      </c>
      <c r="J255" s="1040" t="s">
        <v>1154</v>
      </c>
      <c r="K255" s="984" t="s">
        <v>1036</v>
      </c>
      <c r="L255" s="1010" t="s">
        <v>1037</v>
      </c>
      <c r="M255" s="390" t="s">
        <v>1038</v>
      </c>
      <c r="N255" s="390" t="s">
        <v>1039</v>
      </c>
      <c r="O255" s="390"/>
      <c r="P255" s="390"/>
      <c r="Q255" s="634" t="s">
        <v>1040</v>
      </c>
      <c r="R255" s="634" t="s">
        <v>1041</v>
      </c>
      <c r="S255" s="642"/>
      <c r="T255" s="634"/>
      <c r="U255" s="634"/>
      <c r="V255" s="635"/>
      <c r="W255" s="636"/>
      <c r="X255" s="645"/>
      <c r="Y255" s="703">
        <v>0.05</v>
      </c>
      <c r="Z255" s="739">
        <v>-50000</v>
      </c>
      <c r="AA255" s="706">
        <f t="shared" si="81"/>
        <v>-2500</v>
      </c>
      <c r="AB255" s="639"/>
      <c r="AC255" s="705">
        <v>0.05</v>
      </c>
      <c r="AD255" s="706">
        <f t="shared" si="90"/>
        <v>-50000</v>
      </c>
      <c r="AE255" s="706">
        <f t="shared" si="83"/>
        <v>-2500</v>
      </c>
      <c r="AF255" s="737"/>
      <c r="AG255" s="738"/>
      <c r="AH255" s="640"/>
      <c r="AI255" s="675" t="s">
        <v>1395</v>
      </c>
      <c r="AJ255" s="275"/>
      <c r="AK255" s="269" t="s">
        <v>1050</v>
      </c>
      <c r="AL255" s="56"/>
      <c r="AM255" s="278"/>
      <c r="AN255" s="279"/>
      <c r="AO255" s="281"/>
      <c r="AP255" s="282"/>
      <c r="AQ255" s="282"/>
      <c r="AR255" s="181"/>
      <c r="AS255" s="176"/>
      <c r="AT255" s="202"/>
    </row>
    <row r="256" spans="2:46" ht="204.75" customHeight="1">
      <c r="B256" s="1551"/>
      <c r="C256" s="1551"/>
      <c r="D256" s="391"/>
      <c r="E256" s="86"/>
      <c r="F256" s="1067"/>
      <c r="G256" s="1047"/>
      <c r="H256" s="1014"/>
      <c r="I256" s="1041"/>
      <c r="J256" s="1041"/>
      <c r="K256" s="985"/>
      <c r="L256" s="1014"/>
      <c r="M256" s="390"/>
      <c r="N256" s="390"/>
      <c r="O256" s="390"/>
      <c r="P256" s="390"/>
      <c r="Q256" s="634" t="s">
        <v>1042</v>
      </c>
      <c r="R256" s="634" t="s">
        <v>1043</v>
      </c>
      <c r="S256" s="642"/>
      <c r="T256" s="634"/>
      <c r="U256" s="634"/>
      <c r="V256" s="635"/>
      <c r="W256" s="636"/>
      <c r="X256" s="645"/>
      <c r="Y256" s="703">
        <v>0.05</v>
      </c>
      <c r="Z256" s="739">
        <v>1</v>
      </c>
      <c r="AA256" s="706">
        <f t="shared" si="81"/>
        <v>0.05</v>
      </c>
      <c r="AB256" s="639"/>
      <c r="AC256" s="705">
        <v>0.05</v>
      </c>
      <c r="AD256" s="706">
        <f t="shared" si="90"/>
        <v>1</v>
      </c>
      <c r="AE256" s="706">
        <f t="shared" si="83"/>
        <v>0.05</v>
      </c>
      <c r="AF256" s="737"/>
      <c r="AG256" s="738"/>
      <c r="AH256" s="640"/>
      <c r="AI256" s="675" t="s">
        <v>1478</v>
      </c>
      <c r="AJ256" s="275"/>
      <c r="AK256" s="269" t="s">
        <v>1050</v>
      </c>
      <c r="AL256" s="56"/>
      <c r="AM256" s="278"/>
      <c r="AN256" s="279"/>
      <c r="AO256" s="281"/>
      <c r="AP256" s="282"/>
      <c r="AQ256" s="282"/>
      <c r="AR256" s="181"/>
      <c r="AS256" s="176"/>
      <c r="AT256" s="202"/>
    </row>
    <row r="257" spans="2:46" ht="111.75" customHeight="1">
      <c r="B257" s="1551"/>
      <c r="C257" s="1551"/>
      <c r="D257" s="391"/>
      <c r="E257" s="86"/>
      <c r="F257" s="1067"/>
      <c r="G257" s="1047"/>
      <c r="H257" s="1014"/>
      <c r="I257" s="1041"/>
      <c r="J257" s="1041"/>
      <c r="K257" s="985"/>
      <c r="L257" s="1014"/>
      <c r="M257" s="390"/>
      <c r="N257" s="390"/>
      <c r="O257" s="390"/>
      <c r="P257" s="390"/>
      <c r="Q257" s="634" t="s">
        <v>1044</v>
      </c>
      <c r="R257" s="634" t="s">
        <v>1045</v>
      </c>
      <c r="S257" s="642"/>
      <c r="T257" s="634"/>
      <c r="U257" s="634"/>
      <c r="V257" s="635"/>
      <c r="W257" s="636"/>
      <c r="X257" s="645"/>
      <c r="Y257" s="703">
        <v>0.05</v>
      </c>
      <c r="Z257" s="739">
        <v>1</v>
      </c>
      <c r="AA257" s="706">
        <f t="shared" si="81"/>
        <v>0.05</v>
      </c>
      <c r="AB257" s="639"/>
      <c r="AC257" s="705">
        <v>0.05</v>
      </c>
      <c r="AD257" s="706">
        <f t="shared" si="90"/>
        <v>1</v>
      </c>
      <c r="AE257" s="706">
        <f t="shared" si="83"/>
        <v>0.05</v>
      </c>
      <c r="AF257" s="737"/>
      <c r="AG257" s="738"/>
      <c r="AH257" s="640"/>
      <c r="AI257" s="675" t="s">
        <v>1477</v>
      </c>
      <c r="AJ257" s="275"/>
      <c r="AK257" s="269" t="s">
        <v>1050</v>
      </c>
      <c r="AL257" s="56"/>
      <c r="AM257" s="278"/>
      <c r="AN257" s="279"/>
      <c r="AO257" s="281"/>
      <c r="AP257" s="282"/>
      <c r="AQ257" s="282"/>
      <c r="AR257" s="181"/>
      <c r="AS257" s="176"/>
      <c r="AT257" s="202"/>
    </row>
    <row r="258" spans="2:46" ht="111.75" customHeight="1">
      <c r="B258" s="1551"/>
      <c r="C258" s="1551"/>
      <c r="D258" s="391"/>
      <c r="E258" s="86"/>
      <c r="F258" s="1067"/>
      <c r="G258" s="1047"/>
      <c r="H258" s="1014"/>
      <c r="I258" s="1041"/>
      <c r="J258" s="1041"/>
      <c r="K258" s="985"/>
      <c r="L258" s="1014"/>
      <c r="M258" s="390"/>
      <c r="N258" s="390"/>
      <c r="O258" s="390"/>
      <c r="P258" s="390"/>
      <c r="Q258" s="634" t="s">
        <v>1046</v>
      </c>
      <c r="R258" s="634" t="s">
        <v>1047</v>
      </c>
      <c r="S258" s="642"/>
      <c r="T258" s="634"/>
      <c r="U258" s="634"/>
      <c r="V258" s="635"/>
      <c r="W258" s="636"/>
      <c r="X258" s="645"/>
      <c r="Y258" s="703">
        <v>0.05</v>
      </c>
      <c r="Z258" s="739">
        <v>1</v>
      </c>
      <c r="AA258" s="706">
        <f t="shared" si="81"/>
        <v>0.05</v>
      </c>
      <c r="AB258" s="639"/>
      <c r="AC258" s="705">
        <v>0.05</v>
      </c>
      <c r="AD258" s="706">
        <f t="shared" si="90"/>
        <v>1</v>
      </c>
      <c r="AE258" s="706">
        <f t="shared" si="83"/>
        <v>0.05</v>
      </c>
      <c r="AF258" s="737"/>
      <c r="AG258" s="738"/>
      <c r="AH258" s="640"/>
      <c r="AI258" s="675" t="s">
        <v>1396</v>
      </c>
      <c r="AJ258" s="275"/>
      <c r="AK258" s="269" t="s">
        <v>1050</v>
      </c>
      <c r="AL258" s="56"/>
      <c r="AM258" s="278"/>
      <c r="AN258" s="279"/>
      <c r="AO258" s="281"/>
      <c r="AP258" s="282"/>
      <c r="AQ258" s="282"/>
      <c r="AR258" s="181"/>
      <c r="AS258" s="176"/>
      <c r="AT258" s="202"/>
    </row>
    <row r="259" spans="2:46" ht="111.75" customHeight="1">
      <c r="B259" s="1551"/>
      <c r="C259" s="1551"/>
      <c r="D259" s="391"/>
      <c r="E259" s="86"/>
      <c r="F259" s="1067"/>
      <c r="G259" s="1048"/>
      <c r="H259" s="1011"/>
      <c r="I259" s="1042"/>
      <c r="J259" s="1042"/>
      <c r="K259" s="986"/>
      <c r="L259" s="1011"/>
      <c r="M259" s="390"/>
      <c r="N259" s="390"/>
      <c r="O259" s="390"/>
      <c r="P259" s="390"/>
      <c r="Q259" s="634" t="s">
        <v>1048</v>
      </c>
      <c r="R259" s="634" t="s">
        <v>1049</v>
      </c>
      <c r="S259" s="642"/>
      <c r="T259" s="634"/>
      <c r="U259" s="634"/>
      <c r="V259" s="635"/>
      <c r="W259" s="636"/>
      <c r="X259" s="645"/>
      <c r="Y259" s="703">
        <v>0.05</v>
      </c>
      <c r="Z259" s="739">
        <v>1</v>
      </c>
      <c r="AA259" s="706">
        <f t="shared" si="81"/>
        <v>0.05</v>
      </c>
      <c r="AB259" s="639"/>
      <c r="AC259" s="705">
        <v>0.05</v>
      </c>
      <c r="AD259" s="706">
        <f t="shared" si="90"/>
        <v>1</v>
      </c>
      <c r="AE259" s="706">
        <f t="shared" si="83"/>
        <v>0.05</v>
      </c>
      <c r="AF259" s="737"/>
      <c r="AG259" s="738"/>
      <c r="AH259" s="640"/>
      <c r="AI259" s="675" t="s">
        <v>1397</v>
      </c>
      <c r="AJ259" s="275"/>
      <c r="AK259" s="269" t="s">
        <v>1050</v>
      </c>
      <c r="AL259" s="56"/>
      <c r="AM259" s="278"/>
      <c r="AN259" s="279"/>
      <c r="AO259" s="281"/>
      <c r="AP259" s="282"/>
      <c r="AQ259" s="282"/>
      <c r="AR259" s="181"/>
      <c r="AS259" s="176"/>
      <c r="AT259" s="202"/>
    </row>
    <row r="260" spans="2:46" ht="178.5" hidden="1" customHeight="1">
      <c r="B260" s="1551"/>
      <c r="C260" s="1551"/>
      <c r="D260" s="391"/>
      <c r="E260" s="86"/>
      <c r="F260" s="1560" t="s">
        <v>845</v>
      </c>
      <c r="G260" s="171"/>
      <c r="H260" s="157"/>
      <c r="I260" s="172"/>
      <c r="J260" s="162"/>
      <c r="K260" s="158" t="s">
        <v>854</v>
      </c>
      <c r="L260" s="439"/>
      <c r="M260" s="439"/>
      <c r="N260" s="439"/>
      <c r="O260" s="439"/>
      <c r="P260" s="439"/>
      <c r="Q260" s="634"/>
      <c r="R260" s="719"/>
      <c r="S260" s="719"/>
      <c r="T260" s="634"/>
      <c r="U260" s="634"/>
      <c r="V260" s="635" t="s">
        <v>138</v>
      </c>
      <c r="W260" s="636"/>
      <c r="X260" s="645"/>
      <c r="Y260" s="740">
        <v>0.4</v>
      </c>
      <c r="Z260" s="739"/>
      <c r="AA260" s="639">
        <f t="shared" si="81"/>
        <v>0</v>
      </c>
      <c r="AB260" s="639"/>
      <c r="AC260" s="679">
        <f t="shared" si="82"/>
        <v>0.4</v>
      </c>
      <c r="AD260" s="706">
        <f>AA260</f>
        <v>0</v>
      </c>
      <c r="AE260" s="706">
        <f t="shared" si="83"/>
        <v>0</v>
      </c>
      <c r="AF260" s="737"/>
      <c r="AG260" s="738"/>
      <c r="AH260" s="640"/>
      <c r="AI260" s="675"/>
      <c r="AJ260" s="275"/>
      <c r="AK260" s="269"/>
      <c r="AL260" s="56"/>
      <c r="AM260" s="278" t="s">
        <v>349</v>
      </c>
      <c r="AN260" s="283">
        <f t="shared" si="84"/>
        <v>0.2</v>
      </c>
      <c r="AO260" s="281">
        <f t="shared" si="85"/>
        <v>0</v>
      </c>
      <c r="AP260" s="282">
        <f t="shared" si="86"/>
        <v>0</v>
      </c>
      <c r="AQ260" s="282">
        <f t="shared" si="87"/>
        <v>0</v>
      </c>
      <c r="AR260" s="175">
        <f t="shared" si="88"/>
        <v>0.2</v>
      </c>
      <c r="AS260" s="176">
        <f t="shared" si="89"/>
        <v>0</v>
      </c>
      <c r="AT260" s="202">
        <f>AR260*AS260</f>
        <v>0</v>
      </c>
    </row>
    <row r="261" spans="2:46" ht="153" hidden="1" customHeight="1">
      <c r="B261" s="1551"/>
      <c r="C261" s="1551"/>
      <c r="D261" s="391"/>
      <c r="E261" s="86"/>
      <c r="F261" s="1560"/>
      <c r="G261" s="173"/>
      <c r="H261" s="157"/>
      <c r="I261" s="172"/>
      <c r="J261" s="162"/>
      <c r="K261" s="158" t="s">
        <v>855</v>
      </c>
      <c r="L261" s="386"/>
      <c r="M261" s="386"/>
      <c r="N261" s="386"/>
      <c r="O261" s="386"/>
      <c r="P261" s="386"/>
      <c r="Q261" s="634"/>
      <c r="R261" s="642"/>
      <c r="S261" s="642"/>
      <c r="T261" s="634"/>
      <c r="U261" s="634"/>
      <c r="V261" s="635" t="s">
        <v>130</v>
      </c>
      <c r="W261" s="636" t="s">
        <v>159</v>
      </c>
      <c r="X261" s="645"/>
      <c r="Y261" s="703">
        <v>0.25</v>
      </c>
      <c r="Z261" s="739"/>
      <c r="AA261" s="639">
        <f t="shared" si="81"/>
        <v>0</v>
      </c>
      <c r="AB261" s="639"/>
      <c r="AC261" s="705">
        <f t="shared" si="82"/>
        <v>0.25</v>
      </c>
      <c r="AD261" s="706">
        <f>AA261</f>
        <v>0</v>
      </c>
      <c r="AE261" s="706">
        <f t="shared" si="83"/>
        <v>0</v>
      </c>
      <c r="AF261" s="737"/>
      <c r="AG261" s="738"/>
      <c r="AH261" s="640"/>
      <c r="AI261" s="675"/>
      <c r="AJ261" s="275"/>
      <c r="AK261" s="269"/>
      <c r="AL261" s="56"/>
      <c r="AM261" s="278" t="s">
        <v>349</v>
      </c>
      <c r="AN261" s="279">
        <f t="shared" si="84"/>
        <v>0.125</v>
      </c>
      <c r="AO261" s="281">
        <f t="shared" si="85"/>
        <v>0</v>
      </c>
      <c r="AP261" s="282">
        <f t="shared" si="86"/>
        <v>0</v>
      </c>
      <c r="AQ261" s="282">
        <f t="shared" si="87"/>
        <v>0</v>
      </c>
      <c r="AR261" s="181">
        <f t="shared" si="88"/>
        <v>0.125</v>
      </c>
      <c r="AS261" s="176">
        <f t="shared" si="89"/>
        <v>0</v>
      </c>
      <c r="AT261" s="202">
        <f>AR261*AS261</f>
        <v>0</v>
      </c>
    </row>
    <row r="262" spans="2:46" ht="216.75" hidden="1" customHeight="1">
      <c r="B262" s="1551"/>
      <c r="C262" s="1551"/>
      <c r="D262" s="391"/>
      <c r="E262" s="86"/>
      <c r="F262" s="1533" t="s">
        <v>846</v>
      </c>
      <c r="G262" s="171"/>
      <c r="H262" s="157"/>
      <c r="I262" s="172"/>
      <c r="J262" s="162"/>
      <c r="K262" s="158" t="s">
        <v>851</v>
      </c>
      <c r="L262" s="1010"/>
      <c r="M262" s="1010"/>
      <c r="N262" s="1010"/>
      <c r="O262" s="1010"/>
      <c r="P262" s="1010"/>
      <c r="Q262" s="634"/>
      <c r="R262" s="719"/>
      <c r="S262" s="719"/>
      <c r="T262" s="634"/>
      <c r="U262" s="634"/>
      <c r="V262" s="635" t="s">
        <v>138</v>
      </c>
      <c r="W262" s="636"/>
      <c r="X262" s="645"/>
      <c r="Y262" s="740">
        <v>0.4</v>
      </c>
      <c r="Z262" s="739"/>
      <c r="AA262" s="639">
        <f t="shared" si="81"/>
        <v>0</v>
      </c>
      <c r="AB262" s="639"/>
      <c r="AC262" s="679">
        <f t="shared" si="82"/>
        <v>0.4</v>
      </c>
      <c r="AD262" s="706">
        <f>AA262</f>
        <v>0</v>
      </c>
      <c r="AE262" s="706">
        <f t="shared" si="83"/>
        <v>0</v>
      </c>
      <c r="AF262" s="737"/>
      <c r="AG262" s="738"/>
      <c r="AH262" s="640"/>
      <c r="AI262" s="675"/>
      <c r="AJ262" s="275"/>
      <c r="AK262" s="269"/>
      <c r="AL262" s="56"/>
      <c r="AM262" s="278" t="s">
        <v>349</v>
      </c>
      <c r="AN262" s="283">
        <f t="shared" si="84"/>
        <v>0.2</v>
      </c>
      <c r="AO262" s="281">
        <f t="shared" si="85"/>
        <v>0</v>
      </c>
      <c r="AP262" s="282">
        <f t="shared" si="86"/>
        <v>0</v>
      </c>
      <c r="AQ262" s="282">
        <f t="shared" si="87"/>
        <v>0</v>
      </c>
      <c r="AR262" s="175">
        <f t="shared" si="88"/>
        <v>0.2</v>
      </c>
      <c r="AS262" s="176">
        <f t="shared" si="89"/>
        <v>0</v>
      </c>
      <c r="AT262" s="202">
        <f>AR262*AS262</f>
        <v>0</v>
      </c>
    </row>
    <row r="263" spans="2:46" ht="109.5" hidden="1" customHeight="1">
      <c r="B263" s="1551"/>
      <c r="C263" s="1551"/>
      <c r="D263" s="391"/>
      <c r="E263" s="86"/>
      <c r="F263" s="1534"/>
      <c r="G263" s="173"/>
      <c r="H263" s="157"/>
      <c r="I263" s="172"/>
      <c r="J263" s="162"/>
      <c r="K263" s="158" t="s">
        <v>852</v>
      </c>
      <c r="L263" s="1011"/>
      <c r="M263" s="1011"/>
      <c r="N263" s="1011"/>
      <c r="O263" s="1011"/>
      <c r="P263" s="1011"/>
      <c r="Q263" s="634"/>
      <c r="R263" s="642"/>
      <c r="S263" s="642"/>
      <c r="T263" s="634"/>
      <c r="U263" s="634"/>
      <c r="V263" s="635" t="s">
        <v>130</v>
      </c>
      <c r="W263" s="636" t="s">
        <v>159</v>
      </c>
      <c r="X263" s="645"/>
      <c r="Y263" s="703">
        <v>0.25</v>
      </c>
      <c r="Z263" s="739"/>
      <c r="AA263" s="639">
        <f t="shared" si="81"/>
        <v>0</v>
      </c>
      <c r="AB263" s="639"/>
      <c r="AC263" s="705">
        <f t="shared" si="82"/>
        <v>0.25</v>
      </c>
      <c r="AD263" s="706">
        <f>AA263</f>
        <v>0</v>
      </c>
      <c r="AE263" s="706">
        <f t="shared" si="83"/>
        <v>0</v>
      </c>
      <c r="AF263" s="737"/>
      <c r="AG263" s="738"/>
      <c r="AH263" s="640"/>
      <c r="AI263" s="675"/>
      <c r="AJ263" s="275"/>
      <c r="AK263" s="269"/>
      <c r="AL263" s="56"/>
      <c r="AM263" s="278" t="s">
        <v>349</v>
      </c>
      <c r="AN263" s="279">
        <f t="shared" si="84"/>
        <v>0.125</v>
      </c>
      <c r="AO263" s="281">
        <f t="shared" si="85"/>
        <v>0</v>
      </c>
      <c r="AP263" s="282">
        <f t="shared" si="86"/>
        <v>0</v>
      </c>
      <c r="AQ263" s="282">
        <f t="shared" si="87"/>
        <v>0</v>
      </c>
      <c r="AR263" s="181">
        <f t="shared" si="88"/>
        <v>0.125</v>
      </c>
      <c r="AS263" s="176">
        <f t="shared" si="89"/>
        <v>0</v>
      </c>
      <c r="AT263" s="202">
        <f>AR263*AS263</f>
        <v>0</v>
      </c>
    </row>
    <row r="264" spans="2:46" ht="195" hidden="1" customHeight="1">
      <c r="B264" s="1551"/>
      <c r="C264" s="1551"/>
      <c r="D264" s="391"/>
      <c r="E264" s="86"/>
      <c r="F264" s="1535"/>
      <c r="G264" s="173"/>
      <c r="H264" s="157"/>
      <c r="I264" s="172"/>
      <c r="J264" s="162"/>
      <c r="K264" s="158" t="s">
        <v>853</v>
      </c>
      <c r="L264" s="390"/>
      <c r="M264" s="390"/>
      <c r="N264" s="390"/>
      <c r="O264" s="390"/>
      <c r="P264" s="390"/>
      <c r="Q264" s="634"/>
      <c r="R264" s="642"/>
      <c r="S264" s="642"/>
      <c r="T264" s="634"/>
      <c r="U264" s="634"/>
      <c r="V264" s="635"/>
      <c r="W264" s="636"/>
      <c r="X264" s="645"/>
      <c r="Y264" s="703"/>
      <c r="Z264" s="739"/>
      <c r="AA264" s="639"/>
      <c r="AB264" s="639"/>
      <c r="AC264" s="705"/>
      <c r="AD264" s="706"/>
      <c r="AE264" s="706"/>
      <c r="AF264" s="737"/>
      <c r="AG264" s="738"/>
      <c r="AH264" s="640"/>
      <c r="AI264" s="675"/>
      <c r="AJ264" s="275"/>
      <c r="AK264" s="269"/>
      <c r="AL264" s="56"/>
      <c r="AM264" s="278"/>
      <c r="AN264" s="279"/>
      <c r="AO264" s="281"/>
      <c r="AP264" s="282"/>
      <c r="AQ264" s="282"/>
      <c r="AR264" s="181"/>
      <c r="AS264" s="176"/>
      <c r="AT264" s="202"/>
    </row>
    <row r="265" spans="2:46" ht="95.25" customHeight="1">
      <c r="B265" s="1551"/>
      <c r="C265" s="1551"/>
      <c r="D265" s="391"/>
      <c r="E265" s="86"/>
      <c r="F265" s="1066" t="s">
        <v>1384</v>
      </c>
      <c r="G265" s="171"/>
      <c r="H265" s="157" t="s">
        <v>1575</v>
      </c>
      <c r="I265" s="172" t="s">
        <v>177</v>
      </c>
      <c r="J265" s="172" t="s">
        <v>1121</v>
      </c>
      <c r="K265" s="158" t="s">
        <v>1065</v>
      </c>
      <c r="L265" s="439"/>
      <c r="M265" s="439"/>
      <c r="N265" s="439"/>
      <c r="O265" s="439"/>
      <c r="P265" s="439"/>
      <c r="Q265" s="634" t="s">
        <v>1066</v>
      </c>
      <c r="R265" s="719"/>
      <c r="S265" s="719"/>
      <c r="T265" s="634" t="s">
        <v>1064</v>
      </c>
      <c r="U265" s="634"/>
      <c r="V265" s="635" t="s">
        <v>130</v>
      </c>
      <c r="W265" s="636"/>
      <c r="X265" s="645"/>
      <c r="Y265" s="740">
        <v>0.4</v>
      </c>
      <c r="Z265" s="739">
        <f>-13600</f>
        <v>-13600</v>
      </c>
      <c r="AA265" s="639">
        <f t="shared" si="81"/>
        <v>-5440</v>
      </c>
      <c r="AB265" s="639"/>
      <c r="AC265" s="679">
        <f t="shared" si="82"/>
        <v>0.4</v>
      </c>
      <c r="AD265" s="706">
        <f>Z265</f>
        <v>-13600</v>
      </c>
      <c r="AE265" s="706">
        <f t="shared" si="83"/>
        <v>-5440</v>
      </c>
      <c r="AF265" s="737"/>
      <c r="AG265" s="738"/>
      <c r="AH265" s="640"/>
      <c r="AI265" s="675" t="s">
        <v>1067</v>
      </c>
      <c r="AJ265" s="275"/>
      <c r="AK265" s="269"/>
      <c r="AL265" s="56"/>
      <c r="AM265" s="278" t="s">
        <v>242</v>
      </c>
      <c r="AN265" s="283">
        <f>IF(Z265&gt;0,Y265,IF(AM265="низкая",Y265*$AR$40,IF(AM265="средняя",Y265*$AS$40,IF(AM265="высокая",Y265*$AT$40,0))))</f>
        <v>0.12</v>
      </c>
      <c r="AO265" s="281">
        <f>IF(Z265&gt;0,Z265,IF($AM265="низкая",Z265*$AR$40,IF(AM265="средняя",Z265*$AS$40,IF(AM265="высокая",Z265*$AT$40,0))))</f>
        <v>-4080</v>
      </c>
      <c r="AP265" s="282">
        <f>AN265*AO265</f>
        <v>-489.59999999999997</v>
      </c>
      <c r="AQ265" s="282">
        <f t="shared" si="87"/>
        <v>-1632</v>
      </c>
      <c r="AR265" s="175">
        <f t="shared" si="88"/>
        <v>0.12</v>
      </c>
      <c r="AS265" s="176">
        <f t="shared" si="89"/>
        <v>-489.59999999999997</v>
      </c>
      <c r="AT265" s="202">
        <f>AQ265</f>
        <v>-1632</v>
      </c>
    </row>
    <row r="266" spans="2:46" ht="152.25" customHeight="1">
      <c r="B266" s="1551"/>
      <c r="C266" s="1551"/>
      <c r="D266" s="391"/>
      <c r="E266" s="86"/>
      <c r="F266" s="1067"/>
      <c r="G266" s="173"/>
      <c r="H266" s="157" t="s">
        <v>1576</v>
      </c>
      <c r="I266" s="172" t="s">
        <v>112</v>
      </c>
      <c r="J266" s="172" t="s">
        <v>1156</v>
      </c>
      <c r="K266" s="158" t="s">
        <v>857</v>
      </c>
      <c r="L266" s="386"/>
      <c r="M266" s="386"/>
      <c r="N266" s="386"/>
      <c r="O266" s="386"/>
      <c r="P266" s="386"/>
      <c r="Q266" s="634" t="s">
        <v>1068</v>
      </c>
      <c r="R266" s="642"/>
      <c r="S266" s="642"/>
      <c r="T266" s="634"/>
      <c r="U266" s="634"/>
      <c r="V266" s="635" t="s">
        <v>130</v>
      </c>
      <c r="W266" s="636" t="s">
        <v>159</v>
      </c>
      <c r="X266" s="645"/>
      <c r="Y266" s="703">
        <v>0.25</v>
      </c>
      <c r="Z266" s="739"/>
      <c r="AA266" s="639">
        <f t="shared" si="81"/>
        <v>0</v>
      </c>
      <c r="AB266" s="639"/>
      <c r="AC266" s="705">
        <f t="shared" si="82"/>
        <v>0.25</v>
      </c>
      <c r="AD266" s="706">
        <f>AA266</f>
        <v>0</v>
      </c>
      <c r="AE266" s="706">
        <f t="shared" si="83"/>
        <v>0</v>
      </c>
      <c r="AF266" s="737"/>
      <c r="AG266" s="738"/>
      <c r="AH266" s="640"/>
      <c r="AI266" s="675"/>
      <c r="AJ266" s="275"/>
      <c r="AK266" s="269"/>
      <c r="AL266" s="56"/>
      <c r="AM266" s="278" t="s">
        <v>349</v>
      </c>
      <c r="AN266" s="279">
        <f>IF(Z266&gt;0,Y266,IF(AM266="низкая",Y266*$AR$40,IF(AM266="средняя",Y266*$AS$40,IF(AM266="высокая",Y266*$AT$40,0))))</f>
        <v>0.125</v>
      </c>
      <c r="AO266" s="281">
        <f>IF(Z266&gt;0,Z266,IF($AM266="низкая",Z266*$AR$40,IF(AM266="средняя",Z266*$AS$40,IF(AM266="высокая",Z266*$AT$40,0))))</f>
        <v>0</v>
      </c>
      <c r="AP266" s="282">
        <f>AN266*AO266</f>
        <v>0</v>
      </c>
      <c r="AQ266" s="282">
        <f t="shared" si="87"/>
        <v>0</v>
      </c>
      <c r="AR266" s="181">
        <f t="shared" si="88"/>
        <v>0.125</v>
      </c>
      <c r="AS266" s="176">
        <f t="shared" si="89"/>
        <v>0</v>
      </c>
      <c r="AT266" s="202">
        <f>AR266*AS266</f>
        <v>0</v>
      </c>
    </row>
    <row r="267" spans="2:46" ht="152.25" customHeight="1">
      <c r="B267" s="1551"/>
      <c r="C267" s="1551"/>
      <c r="D267" s="391"/>
      <c r="E267" s="822"/>
      <c r="F267" s="1067"/>
      <c r="G267" s="819"/>
      <c r="H267" s="157" t="s">
        <v>1577</v>
      </c>
      <c r="I267" s="160" t="s">
        <v>1194</v>
      </c>
      <c r="J267" s="163" t="s">
        <v>259</v>
      </c>
      <c r="K267" s="158" t="s">
        <v>45</v>
      </c>
      <c r="L267" s="157"/>
      <c r="M267" s="157"/>
      <c r="N267" s="157"/>
      <c r="O267" s="157"/>
      <c r="P267" s="157"/>
      <c r="Q267" s="642" t="s">
        <v>46</v>
      </c>
      <c r="R267" s="642"/>
      <c r="S267" s="642"/>
      <c r="T267" s="634"/>
      <c r="U267" s="634"/>
      <c r="V267" s="725" t="s">
        <v>130</v>
      </c>
      <c r="W267" s="636"/>
      <c r="X267" s="645"/>
      <c r="Y267" s="726">
        <v>0.25</v>
      </c>
      <c r="Z267" s="739">
        <v>-1</v>
      </c>
      <c r="AA267" s="639"/>
      <c r="AB267" s="639"/>
      <c r="AC267" s="705">
        <f t="shared" ref="AC267:AC271" si="91">Y267</f>
        <v>0.25</v>
      </c>
      <c r="AD267" s="706">
        <f t="shared" ref="AD267:AD271" si="92">AA267</f>
        <v>0</v>
      </c>
      <c r="AE267" s="706">
        <f t="shared" ref="AE267:AE271" si="93">AC267*AD267</f>
        <v>0</v>
      </c>
      <c r="AF267" s="645"/>
      <c r="AG267" s="738"/>
      <c r="AH267" s="640"/>
      <c r="AI267" s="675" t="s">
        <v>165</v>
      </c>
      <c r="AJ267" s="275"/>
      <c r="AK267" s="274" t="s">
        <v>259</v>
      </c>
      <c r="AL267" s="56"/>
      <c r="AM267" s="278" t="s">
        <v>349</v>
      </c>
      <c r="AN267" s="279">
        <f t="shared" ref="AN267" si="94">IF(Z267&gt;0,Y267,IF(AM267="низкая",Y267*$AR$40,IF(AM267="средняя",Y267*$AS$40,IF(AM267="высокая",Y267*$AT$40,0))))</f>
        <v>0.125</v>
      </c>
      <c r="AO267" s="281">
        <f t="shared" ref="AO267:AO277" si="95">IF(Z267&gt;0,Z267,IF($AM267="низкая",Z267*$AR$40,IF(AM267="средняя",Z267*$AS$40,IF(AM267="высокая",Z267*$AT$40,0))))</f>
        <v>-0.5</v>
      </c>
      <c r="AP267" s="282">
        <f t="shared" ref="AP267:AP277" si="96">AN267*AO267</f>
        <v>-6.25E-2</v>
      </c>
      <c r="AQ267" s="282">
        <f t="shared" ref="AQ267:AQ277" si="97">IF(AA267&gt;0,AA267,IF(AM267="низкая",AA267*$AR$40,IF(AM267="средняя",AA267*$AS$40,IF(AM267="высокая",AA267*$AT$40))))</f>
        <v>0</v>
      </c>
      <c r="AR267" s="181">
        <f t="shared" ref="AR267:AR277" si="98">AN267</f>
        <v>0.125</v>
      </c>
      <c r="AS267" s="176">
        <f t="shared" ref="AS267:AS277" si="99">AP267</f>
        <v>-6.25E-2</v>
      </c>
      <c r="AT267" s="202">
        <f t="shared" ref="AT267:AT277" si="100">AR267*AS267</f>
        <v>-7.8125E-3</v>
      </c>
    </row>
    <row r="268" spans="2:46" ht="152.25" customHeight="1">
      <c r="B268" s="1551"/>
      <c r="C268" s="1551"/>
      <c r="D268" s="391"/>
      <c r="E268" s="822"/>
      <c r="F268" s="1067"/>
      <c r="G268" s="819"/>
      <c r="H268" s="157" t="s">
        <v>1578</v>
      </c>
      <c r="I268" s="160" t="s">
        <v>1194</v>
      </c>
      <c r="J268" s="820" t="s">
        <v>1557</v>
      </c>
      <c r="K268" s="300" t="s">
        <v>1558</v>
      </c>
      <c r="L268" s="317"/>
      <c r="M268" s="317"/>
      <c r="N268" s="317"/>
      <c r="O268" s="317"/>
      <c r="P268" s="317"/>
      <c r="Q268" s="821" t="s">
        <v>1559</v>
      </c>
      <c r="R268" s="2"/>
      <c r="S268" s="642"/>
      <c r="T268" s="702"/>
      <c r="U268" s="634"/>
      <c r="V268" s="725" t="s">
        <v>130</v>
      </c>
      <c r="W268" s="642" t="s">
        <v>1560</v>
      </c>
      <c r="X268" s="645"/>
      <c r="Y268" s="726">
        <v>0.9</v>
      </c>
      <c r="Z268" s="739">
        <v>-2.85</v>
      </c>
      <c r="AA268" s="639"/>
      <c r="AB268" s="639"/>
      <c r="AC268" s="705">
        <f t="shared" si="91"/>
        <v>0.9</v>
      </c>
      <c r="AD268" s="706">
        <f t="shared" si="92"/>
        <v>0</v>
      </c>
      <c r="AE268" s="706">
        <f t="shared" si="93"/>
        <v>0</v>
      </c>
      <c r="AF268" s="645"/>
      <c r="AG268" s="738"/>
      <c r="AH268" s="640"/>
      <c r="AI268" s="675" t="s">
        <v>1571</v>
      </c>
      <c r="AJ268" s="275"/>
      <c r="AK268" s="823"/>
      <c r="AL268" s="56"/>
      <c r="AM268" s="278" t="s">
        <v>349</v>
      </c>
      <c r="AN268" s="279"/>
      <c r="AO268" s="281">
        <f t="shared" si="95"/>
        <v>-1.425</v>
      </c>
      <c r="AP268" s="282">
        <f t="shared" si="96"/>
        <v>0</v>
      </c>
      <c r="AQ268" s="282">
        <f t="shared" si="97"/>
        <v>0</v>
      </c>
      <c r="AR268" s="181">
        <f t="shared" si="98"/>
        <v>0</v>
      </c>
      <c r="AS268" s="176">
        <f t="shared" si="99"/>
        <v>0</v>
      </c>
      <c r="AT268" s="202">
        <f t="shared" si="100"/>
        <v>0</v>
      </c>
    </row>
    <row r="269" spans="2:46" ht="152.25" customHeight="1">
      <c r="B269" s="1551"/>
      <c r="C269" s="1551"/>
      <c r="D269" s="391"/>
      <c r="E269" s="822"/>
      <c r="F269" s="1067"/>
      <c r="G269" s="819"/>
      <c r="H269" s="157" t="s">
        <v>1579</v>
      </c>
      <c r="I269" s="160" t="s">
        <v>1194</v>
      </c>
      <c r="J269" s="820" t="s">
        <v>1557</v>
      </c>
      <c r="K269" s="300" t="s">
        <v>1561</v>
      </c>
      <c r="L269" s="317"/>
      <c r="M269" s="317"/>
      <c r="N269" s="317"/>
      <c r="O269" s="317"/>
      <c r="P269" s="317"/>
      <c r="Q269" s="821" t="s">
        <v>1562</v>
      </c>
      <c r="R269" s="2"/>
      <c r="S269" s="642"/>
      <c r="T269" s="702"/>
      <c r="U269" s="634"/>
      <c r="V269" s="725" t="s">
        <v>130</v>
      </c>
      <c r="W269" s="642" t="s">
        <v>1563</v>
      </c>
      <c r="X269" s="645"/>
      <c r="Y269" s="726">
        <v>1</v>
      </c>
      <c r="Z269" s="739">
        <v>0</v>
      </c>
      <c r="AA269" s="639"/>
      <c r="AB269" s="639"/>
      <c r="AC269" s="705">
        <f t="shared" si="91"/>
        <v>1</v>
      </c>
      <c r="AD269" s="706">
        <f t="shared" si="92"/>
        <v>0</v>
      </c>
      <c r="AE269" s="706">
        <f t="shared" si="93"/>
        <v>0</v>
      </c>
      <c r="AF269" s="645"/>
      <c r="AG269" s="738"/>
      <c r="AH269" s="640"/>
      <c r="AI269" s="675" t="s">
        <v>1572</v>
      </c>
      <c r="AJ269" s="275"/>
      <c r="AK269" s="823"/>
      <c r="AL269" s="56"/>
      <c r="AM269" s="278" t="s">
        <v>349</v>
      </c>
      <c r="AN269" s="279"/>
      <c r="AO269" s="281">
        <f t="shared" si="95"/>
        <v>0</v>
      </c>
      <c r="AP269" s="282">
        <f t="shared" si="96"/>
        <v>0</v>
      </c>
      <c r="AQ269" s="282">
        <f t="shared" si="97"/>
        <v>0</v>
      </c>
      <c r="AR269" s="181">
        <f t="shared" si="98"/>
        <v>0</v>
      </c>
      <c r="AS269" s="176">
        <f t="shared" si="99"/>
        <v>0</v>
      </c>
      <c r="AT269" s="202">
        <f t="shared" si="100"/>
        <v>0</v>
      </c>
    </row>
    <row r="270" spans="2:46" ht="152.25" customHeight="1">
      <c r="B270" s="1551"/>
      <c r="C270" s="1551"/>
      <c r="D270" s="391"/>
      <c r="E270" s="822"/>
      <c r="F270" s="1067"/>
      <c r="G270" s="819"/>
      <c r="H270" s="157" t="s">
        <v>1580</v>
      </c>
      <c r="I270" s="160" t="s">
        <v>1194</v>
      </c>
      <c r="J270" s="820" t="s">
        <v>1564</v>
      </c>
      <c r="K270" s="300" t="s">
        <v>1565</v>
      </c>
      <c r="L270" s="317"/>
      <c r="M270" s="317"/>
      <c r="N270" s="317"/>
      <c r="O270" s="317"/>
      <c r="P270" s="317"/>
      <c r="Q270" s="821" t="s">
        <v>1566</v>
      </c>
      <c r="R270" s="2"/>
      <c r="S270" s="642"/>
      <c r="T270" s="702"/>
      <c r="U270" s="634"/>
      <c r="V270" s="725" t="s">
        <v>130</v>
      </c>
      <c r="W270" s="642" t="s">
        <v>1567</v>
      </c>
      <c r="X270" s="645"/>
      <c r="Y270" s="726">
        <v>1</v>
      </c>
      <c r="Z270" s="739">
        <v>0</v>
      </c>
      <c r="AA270" s="639"/>
      <c r="AB270" s="639"/>
      <c r="AC270" s="705">
        <f t="shared" si="91"/>
        <v>1</v>
      </c>
      <c r="AD270" s="706">
        <f t="shared" si="92"/>
        <v>0</v>
      </c>
      <c r="AE270" s="706">
        <f t="shared" si="93"/>
        <v>0</v>
      </c>
      <c r="AF270" s="645"/>
      <c r="AG270" s="738"/>
      <c r="AH270" s="640"/>
      <c r="AI270" s="675" t="s">
        <v>1573</v>
      </c>
      <c r="AJ270" s="275"/>
      <c r="AK270" s="823"/>
      <c r="AL270" s="56"/>
      <c r="AM270" s="278" t="s">
        <v>349</v>
      </c>
      <c r="AN270" s="279"/>
      <c r="AO270" s="281">
        <f t="shared" si="95"/>
        <v>0</v>
      </c>
      <c r="AP270" s="282">
        <f t="shared" si="96"/>
        <v>0</v>
      </c>
      <c r="AQ270" s="282">
        <f t="shared" si="97"/>
        <v>0</v>
      </c>
      <c r="AR270" s="181">
        <f t="shared" si="98"/>
        <v>0</v>
      </c>
      <c r="AS270" s="176">
        <f t="shared" si="99"/>
        <v>0</v>
      </c>
      <c r="AT270" s="202">
        <f t="shared" si="100"/>
        <v>0</v>
      </c>
    </row>
    <row r="271" spans="2:46" ht="152.25" customHeight="1">
      <c r="B271" s="1551"/>
      <c r="C271" s="1551"/>
      <c r="D271" s="391"/>
      <c r="E271" s="822"/>
      <c r="F271" s="1547"/>
      <c r="G271" s="819"/>
      <c r="H271" s="157" t="s">
        <v>1581</v>
      </c>
      <c r="I271" s="160" t="s">
        <v>1582</v>
      </c>
      <c r="J271" s="820" t="s">
        <v>1564</v>
      </c>
      <c r="K271" s="300" t="s">
        <v>1568</v>
      </c>
      <c r="L271" s="317"/>
      <c r="M271" s="317"/>
      <c r="N271" s="317"/>
      <c r="O271" s="317"/>
      <c r="P271" s="317"/>
      <c r="Q271" s="821" t="s">
        <v>1569</v>
      </c>
      <c r="R271" s="2"/>
      <c r="S271" s="642"/>
      <c r="T271" s="702"/>
      <c r="U271" s="634"/>
      <c r="V271" s="725" t="s">
        <v>130</v>
      </c>
      <c r="W271" s="642" t="s">
        <v>1570</v>
      </c>
      <c r="X271" s="645"/>
      <c r="Y271" s="726">
        <v>1</v>
      </c>
      <c r="Z271" s="739"/>
      <c r="AA271" s="639"/>
      <c r="AB271" s="639"/>
      <c r="AC271" s="705">
        <f t="shared" si="91"/>
        <v>1</v>
      </c>
      <c r="AD271" s="706">
        <f t="shared" si="92"/>
        <v>0</v>
      </c>
      <c r="AE271" s="706">
        <f t="shared" si="93"/>
        <v>0</v>
      </c>
      <c r="AF271" s="645"/>
      <c r="AG271" s="738"/>
      <c r="AH271" s="640"/>
      <c r="AI271" s="675" t="s">
        <v>1574</v>
      </c>
      <c r="AJ271" s="275"/>
      <c r="AK271" s="823"/>
      <c r="AL271" s="56"/>
      <c r="AM271" s="278" t="s">
        <v>349</v>
      </c>
      <c r="AN271" s="279"/>
      <c r="AO271" s="281">
        <f t="shared" si="95"/>
        <v>0</v>
      </c>
      <c r="AP271" s="282">
        <f t="shared" si="96"/>
        <v>0</v>
      </c>
      <c r="AQ271" s="282">
        <f t="shared" si="97"/>
        <v>0</v>
      </c>
      <c r="AR271" s="181">
        <f t="shared" si="98"/>
        <v>0</v>
      </c>
      <c r="AS271" s="176">
        <f t="shared" si="99"/>
        <v>0</v>
      </c>
      <c r="AT271" s="202">
        <f t="shared" si="100"/>
        <v>0</v>
      </c>
    </row>
    <row r="272" spans="2:46" ht="68.25" customHeight="1">
      <c r="B272" s="1551"/>
      <c r="C272" s="1551"/>
      <c r="D272" s="391"/>
      <c r="E272" s="1561" t="s">
        <v>4</v>
      </c>
      <c r="F272" s="1468" t="s">
        <v>1393</v>
      </c>
      <c r="G272" s="1556"/>
      <c r="H272" s="1010" t="s">
        <v>1134</v>
      </c>
      <c r="I272" s="1558" t="s">
        <v>1392</v>
      </c>
      <c r="J272" s="1040" t="s">
        <v>1053</v>
      </c>
      <c r="K272" s="984" t="s">
        <v>1054</v>
      </c>
      <c r="L272" s="1010" t="s">
        <v>1186</v>
      </c>
      <c r="M272" s="1010" t="s">
        <v>1055</v>
      </c>
      <c r="N272" s="1010" t="s">
        <v>1056</v>
      </c>
      <c r="O272" s="1010"/>
      <c r="P272" s="1010"/>
      <c r="Q272" s="1012" t="s">
        <v>1206</v>
      </c>
      <c r="R272" s="634" t="s">
        <v>1057</v>
      </c>
      <c r="S272" s="719"/>
      <c r="T272" s="702" t="s">
        <v>1056</v>
      </c>
      <c r="U272" s="634"/>
      <c r="V272" s="635" t="s">
        <v>138</v>
      </c>
      <c r="W272" s="636"/>
      <c r="X272" s="645"/>
      <c r="Y272" s="740">
        <v>0.05</v>
      </c>
      <c r="Z272" s="739"/>
      <c r="AA272" s="639">
        <f t="shared" ref="AA272:AA279" si="101">Y272*Z272</f>
        <v>0</v>
      </c>
      <c r="AB272" s="639"/>
      <c r="AC272" s="679">
        <f>Y272</f>
        <v>0.05</v>
      </c>
      <c r="AD272" s="706">
        <f>AA272</f>
        <v>0</v>
      </c>
      <c r="AE272" s="706">
        <f>AC272*AD272</f>
        <v>0</v>
      </c>
      <c r="AF272" s="788" t="s">
        <v>1072</v>
      </c>
      <c r="AG272" s="738"/>
      <c r="AH272" s="640"/>
      <c r="AI272" s="675" t="s">
        <v>1148</v>
      </c>
      <c r="AJ272" s="275"/>
      <c r="AK272" s="449" t="s">
        <v>1053</v>
      </c>
      <c r="AL272" s="56">
        <v>2023</v>
      </c>
      <c r="AM272" s="278" t="s">
        <v>242</v>
      </c>
      <c r="AN272" s="283">
        <f>IF(Z272&gt;0,Y272,IF(AM272="низкая",Y272*$AR$40,IF(AM272="средняя",Y272*$AS$40,IF(AM272="высокая",Y272*$AT$40,0))))</f>
        <v>1.4999999999999999E-2</v>
      </c>
      <c r="AO272" s="281">
        <f t="shared" si="95"/>
        <v>0</v>
      </c>
      <c r="AP272" s="282">
        <f t="shared" si="96"/>
        <v>0</v>
      </c>
      <c r="AQ272" s="282">
        <f t="shared" si="97"/>
        <v>0</v>
      </c>
      <c r="AR272" s="181">
        <f t="shared" si="98"/>
        <v>1.4999999999999999E-2</v>
      </c>
      <c r="AS272" s="176">
        <f t="shared" si="99"/>
        <v>0</v>
      </c>
      <c r="AT272" s="202">
        <f t="shared" si="100"/>
        <v>0</v>
      </c>
    </row>
    <row r="273" spans="2:46" ht="91.2">
      <c r="B273" s="1552"/>
      <c r="C273" s="1552"/>
      <c r="D273" s="519"/>
      <c r="E273" s="1562"/>
      <c r="F273" s="1066"/>
      <c r="G273" s="1557"/>
      <c r="H273" s="1014"/>
      <c r="I273" s="1559"/>
      <c r="J273" s="1041"/>
      <c r="K273" s="986"/>
      <c r="L273" s="1011"/>
      <c r="M273" s="1011"/>
      <c r="N273" s="1011"/>
      <c r="O273" s="1011"/>
      <c r="P273" s="1011"/>
      <c r="Q273" s="1013"/>
      <c r="R273" s="634" t="s">
        <v>1058</v>
      </c>
      <c r="S273" s="642"/>
      <c r="T273" s="702" t="s">
        <v>1482</v>
      </c>
      <c r="U273" s="634"/>
      <c r="V273" s="635" t="s">
        <v>130</v>
      </c>
      <c r="W273" s="636" t="s">
        <v>1413</v>
      </c>
      <c r="X273" s="645"/>
      <c r="Y273" s="703">
        <v>0.05</v>
      </c>
      <c r="Z273" s="739"/>
      <c r="AA273" s="639">
        <f t="shared" si="101"/>
        <v>0</v>
      </c>
      <c r="AB273" s="639"/>
      <c r="AC273" s="705">
        <f>Y273</f>
        <v>0.05</v>
      </c>
      <c r="AD273" s="706">
        <f>AA273</f>
        <v>0</v>
      </c>
      <c r="AE273" s="706">
        <f>AC273*AD273</f>
        <v>0</v>
      </c>
      <c r="AF273" s="787" t="s">
        <v>1538</v>
      </c>
      <c r="AG273" s="738"/>
      <c r="AH273" s="640"/>
      <c r="AI273" s="675" t="s">
        <v>1149</v>
      </c>
      <c r="AJ273" s="275"/>
      <c r="AK273" s="449" t="s">
        <v>1053</v>
      </c>
      <c r="AL273" s="56">
        <v>2023</v>
      </c>
      <c r="AM273" s="278" t="s">
        <v>242</v>
      </c>
      <c r="AN273" s="279">
        <f>IF(Z273&gt;0,Y273,IF(AM273="низкая",Y273*$AR$40,IF(AM273="средняя",Y273*$AS$40,IF(AM273="высокая",Y273*$AT$40,0))))</f>
        <v>1.4999999999999999E-2</v>
      </c>
      <c r="AO273" s="281">
        <f t="shared" si="95"/>
        <v>0</v>
      </c>
      <c r="AP273" s="282">
        <f t="shared" si="96"/>
        <v>0</v>
      </c>
      <c r="AQ273" s="282">
        <f t="shared" si="97"/>
        <v>0</v>
      </c>
      <c r="AR273" s="181">
        <f t="shared" si="98"/>
        <v>1.4999999999999999E-2</v>
      </c>
      <c r="AS273" s="176">
        <f t="shared" si="99"/>
        <v>0</v>
      </c>
      <c r="AT273" s="202">
        <f t="shared" si="100"/>
        <v>0</v>
      </c>
    </row>
    <row r="274" spans="2:46" ht="94.5" customHeight="1">
      <c r="B274" s="1513"/>
      <c r="C274" s="1513"/>
      <c r="D274" s="1513"/>
      <c r="E274" s="1520"/>
      <c r="F274" s="1517" t="s">
        <v>394</v>
      </c>
      <c r="G274" s="1527"/>
      <c r="H274" s="157" t="s">
        <v>1347</v>
      </c>
      <c r="I274" s="172" t="s">
        <v>158</v>
      </c>
      <c r="J274" s="172" t="s">
        <v>1153</v>
      </c>
      <c r="K274" s="518" t="s">
        <v>121</v>
      </c>
      <c r="L274" s="622">
        <v>0.05</v>
      </c>
      <c r="M274" s="1538"/>
      <c r="N274" s="1541"/>
      <c r="O274" s="1544"/>
      <c r="P274" s="623">
        <v>0.17499999999999999</v>
      </c>
      <c r="Q274" s="634" t="s">
        <v>1677</v>
      </c>
      <c r="R274" s="634"/>
      <c r="S274" s="634"/>
      <c r="T274" s="634"/>
      <c r="U274" s="634"/>
      <c r="V274" s="635" t="s">
        <v>130</v>
      </c>
      <c r="W274" s="634" t="s">
        <v>1527</v>
      </c>
      <c r="X274" s="678"/>
      <c r="Y274" s="726">
        <v>0.7</v>
      </c>
      <c r="Z274" s="761">
        <f>-757000+669000</f>
        <v>-88000</v>
      </c>
      <c r="AA274" s="639">
        <f t="shared" ref="AA274" si="102">Y274*Z274</f>
        <v>-61599.999999999993</v>
      </c>
      <c r="AB274" s="639" t="s">
        <v>1678</v>
      </c>
      <c r="AC274" s="1015">
        <f>Y274</f>
        <v>0.7</v>
      </c>
      <c r="AD274" s="1017">
        <f>Z274</f>
        <v>-88000</v>
      </c>
      <c r="AE274" s="1008">
        <f>AA274</f>
        <v>-61599.999999999993</v>
      </c>
      <c r="AF274" s="665"/>
      <c r="AG274" s="712"/>
      <c r="AH274" s="640"/>
      <c r="AI274" s="727"/>
      <c r="AJ274" s="119"/>
      <c r="AK274" s="119"/>
      <c r="AL274" s="56"/>
      <c r="AM274" s="278" t="s">
        <v>348</v>
      </c>
      <c r="AN274" s="279">
        <f t="shared" ref="AN274:AN285" si="103">IF(Z274&gt;0,Y274,IF(AM274="низкая",Y274*$AR$40,IF(AM274="средняя",Y274*$AS$40,IF(AM274="высокая",Y274*$AT$40,0))))</f>
        <v>0.7</v>
      </c>
      <c r="AO274" s="281">
        <f t="shared" si="95"/>
        <v>-88000</v>
      </c>
      <c r="AP274" s="282">
        <f t="shared" si="96"/>
        <v>-61599.999999999993</v>
      </c>
      <c r="AQ274" s="282">
        <f t="shared" si="97"/>
        <v>-61599.999999999993</v>
      </c>
      <c r="AR274" s="181">
        <f t="shared" si="98"/>
        <v>0.7</v>
      </c>
      <c r="AS274" s="176">
        <f t="shared" si="99"/>
        <v>-61599.999999999993</v>
      </c>
      <c r="AT274" s="202">
        <f t="shared" si="100"/>
        <v>-43119.999999999993</v>
      </c>
    </row>
    <row r="275" spans="2:46" ht="89.25" customHeight="1">
      <c r="B275" s="1514"/>
      <c r="C275" s="1514"/>
      <c r="D275" s="1514"/>
      <c r="E275" s="1521"/>
      <c r="F275" s="1518"/>
      <c r="G275" s="1528"/>
      <c r="H275" s="157" t="s">
        <v>1348</v>
      </c>
      <c r="I275" s="172" t="s">
        <v>112</v>
      </c>
      <c r="J275" s="172" t="s">
        <v>1529</v>
      </c>
      <c r="K275" s="521" t="s">
        <v>122</v>
      </c>
      <c r="L275" s="620"/>
      <c r="M275" s="1539"/>
      <c r="N275" s="1542"/>
      <c r="O275" s="1545"/>
      <c r="P275" s="620"/>
      <c r="Q275" s="634"/>
      <c r="R275" s="634"/>
      <c r="S275" s="634"/>
      <c r="T275" s="634"/>
      <c r="U275" s="634"/>
      <c r="V275" s="635" t="s">
        <v>130</v>
      </c>
      <c r="W275" s="634"/>
      <c r="X275" s="678"/>
      <c r="Y275" s="726">
        <v>0.4</v>
      </c>
      <c r="Z275" s="739"/>
      <c r="AA275" s="639"/>
      <c r="AB275" s="639"/>
      <c r="AC275" s="1016"/>
      <c r="AD275" s="1009"/>
      <c r="AE275" s="1009"/>
      <c r="AF275" s="665"/>
      <c r="AG275" s="712"/>
      <c r="AH275" s="640"/>
      <c r="AI275" s="727"/>
      <c r="AJ275" s="119"/>
      <c r="AK275" s="119"/>
      <c r="AL275" s="56"/>
      <c r="AM275" s="278" t="s">
        <v>348</v>
      </c>
      <c r="AN275" s="279">
        <f t="shared" si="103"/>
        <v>0.4</v>
      </c>
      <c r="AO275" s="281">
        <f t="shared" si="95"/>
        <v>0</v>
      </c>
      <c r="AP275" s="282">
        <f t="shared" si="96"/>
        <v>0</v>
      </c>
      <c r="AQ275" s="282">
        <f t="shared" si="97"/>
        <v>0</v>
      </c>
      <c r="AR275" s="181">
        <f t="shared" si="98"/>
        <v>0.4</v>
      </c>
      <c r="AS275" s="176">
        <f t="shared" si="99"/>
        <v>0</v>
      </c>
      <c r="AT275" s="202">
        <f t="shared" si="100"/>
        <v>0</v>
      </c>
    </row>
    <row r="276" spans="2:46" ht="100.5" customHeight="1">
      <c r="B276" s="1514"/>
      <c r="C276" s="1514"/>
      <c r="D276" s="1514"/>
      <c r="E276" s="1521"/>
      <c r="F276" s="1518"/>
      <c r="G276" s="1528"/>
      <c r="H276" s="852" t="s">
        <v>1349</v>
      </c>
      <c r="I276" s="322" t="s">
        <v>158</v>
      </c>
      <c r="J276" s="322" t="s">
        <v>1153</v>
      </c>
      <c r="K276" s="520" t="s">
        <v>1346</v>
      </c>
      <c r="L276" s="850"/>
      <c r="M276" s="1539"/>
      <c r="N276" s="1542"/>
      <c r="O276" s="1545"/>
      <c r="P276" s="851"/>
      <c r="Q276" s="634" t="s">
        <v>396</v>
      </c>
      <c r="R276" s="634"/>
      <c r="S276" s="634"/>
      <c r="T276" s="634"/>
      <c r="U276" s="634"/>
      <c r="V276" s="635" t="s">
        <v>130</v>
      </c>
      <c r="W276" s="634"/>
      <c r="X276" s="678"/>
      <c r="Y276" s="726">
        <v>0.5</v>
      </c>
      <c r="Z276" s="739"/>
      <c r="AA276" s="639">
        <f t="shared" si="101"/>
        <v>0</v>
      </c>
      <c r="AB276" s="659"/>
      <c r="AC276" s="1016"/>
      <c r="AD276" s="1009"/>
      <c r="AE276" s="1009"/>
      <c r="AF276" s="665"/>
      <c r="AG276" s="712"/>
      <c r="AH276" s="640"/>
      <c r="AI276" s="727"/>
      <c r="AJ276" s="119"/>
      <c r="AK276" s="119"/>
      <c r="AL276" s="56"/>
      <c r="AM276" s="278" t="s">
        <v>348</v>
      </c>
      <c r="AN276" s="279">
        <f t="shared" si="103"/>
        <v>0.5</v>
      </c>
      <c r="AO276" s="281">
        <f t="shared" si="95"/>
        <v>0</v>
      </c>
      <c r="AP276" s="282">
        <f t="shared" si="96"/>
        <v>0</v>
      </c>
      <c r="AQ276" s="282">
        <f t="shared" si="97"/>
        <v>0</v>
      </c>
      <c r="AR276" s="181">
        <f t="shared" si="98"/>
        <v>0.5</v>
      </c>
      <c r="AS276" s="176">
        <f t="shared" si="99"/>
        <v>0</v>
      </c>
      <c r="AT276" s="202">
        <f t="shared" si="100"/>
        <v>0</v>
      </c>
    </row>
    <row r="277" spans="2:46" ht="81" customHeight="1">
      <c r="B277" s="1523"/>
      <c r="C277" s="1523"/>
      <c r="D277" s="1523"/>
      <c r="E277" s="1522"/>
      <c r="F277" s="1518"/>
      <c r="G277" s="1529"/>
      <c r="H277" s="157" t="s">
        <v>1350</v>
      </c>
      <c r="I277" s="322" t="s">
        <v>158</v>
      </c>
      <c r="J277" s="172" t="s">
        <v>1528</v>
      </c>
      <c r="K277" s="520" t="s">
        <v>1323</v>
      </c>
      <c r="L277" s="621"/>
      <c r="M277" s="1540"/>
      <c r="N277" s="1543"/>
      <c r="O277" s="1546"/>
      <c r="P277" s="621"/>
      <c r="Q277" s="807"/>
      <c r="R277" s="808"/>
      <c r="S277" s="808"/>
      <c r="T277" s="807"/>
      <c r="U277" s="634"/>
      <c r="V277" s="635" t="s">
        <v>130</v>
      </c>
      <c r="W277" s="634"/>
      <c r="X277" s="678"/>
      <c r="Y277" s="726">
        <v>0.65</v>
      </c>
      <c r="Z277" s="739"/>
      <c r="AA277" s="639">
        <f t="shared" si="101"/>
        <v>0</v>
      </c>
      <c r="AB277" s="639"/>
      <c r="AC277" s="809">
        <v>0.05</v>
      </c>
      <c r="AD277" s="810">
        <v>0</v>
      </c>
      <c r="AE277" s="810">
        <v>0</v>
      </c>
      <c r="AF277" s="665"/>
      <c r="AG277" s="712"/>
      <c r="AH277" s="640"/>
      <c r="AI277" s="727"/>
      <c r="AJ277" s="119"/>
      <c r="AK277" s="119"/>
      <c r="AL277" s="56"/>
      <c r="AM277" s="278" t="s">
        <v>348</v>
      </c>
      <c r="AN277" s="279">
        <f t="shared" si="103"/>
        <v>0.65</v>
      </c>
      <c r="AO277" s="281">
        <f t="shared" si="95"/>
        <v>0</v>
      </c>
      <c r="AP277" s="282">
        <f t="shared" si="96"/>
        <v>0</v>
      </c>
      <c r="AQ277" s="282">
        <f t="shared" si="97"/>
        <v>0</v>
      </c>
      <c r="AR277" s="181">
        <f t="shared" si="98"/>
        <v>0.65</v>
      </c>
      <c r="AS277" s="176">
        <f t="shared" si="99"/>
        <v>0</v>
      </c>
      <c r="AT277" s="202">
        <f t="shared" si="100"/>
        <v>0</v>
      </c>
    </row>
    <row r="278" spans="2:46" ht="62.25" customHeight="1">
      <c r="B278" s="1513"/>
      <c r="C278" s="1513"/>
      <c r="D278" s="1513"/>
      <c r="E278" s="1515"/>
      <c r="F278" s="1517" t="s">
        <v>1322</v>
      </c>
      <c r="G278" s="1524"/>
      <c r="H278" s="1530" t="s">
        <v>1474</v>
      </c>
      <c r="I278" s="1548" t="s">
        <v>177</v>
      </c>
      <c r="J278" s="1530" t="s">
        <v>1530</v>
      </c>
      <c r="K278" s="1553" t="s">
        <v>1336</v>
      </c>
      <c r="L278" s="1536"/>
      <c r="M278" s="1536"/>
      <c r="N278" s="1536"/>
      <c r="O278" s="1536"/>
      <c r="P278" s="1536"/>
      <c r="Q278" s="634" t="s">
        <v>1335</v>
      </c>
      <c r="R278" s="811" t="s">
        <v>1339</v>
      </c>
      <c r="S278" s="811"/>
      <c r="T278" s="812"/>
      <c r="U278" s="634"/>
      <c r="V278" s="635" t="s">
        <v>130</v>
      </c>
      <c r="W278" s="634"/>
      <c r="X278" s="678"/>
      <c r="Y278" s="726">
        <v>0.5</v>
      </c>
      <c r="Z278" s="739"/>
      <c r="AA278" s="639">
        <f t="shared" si="101"/>
        <v>0</v>
      </c>
      <c r="AB278" s="639"/>
      <c r="AC278" s="726">
        <v>0.5</v>
      </c>
      <c r="AD278" s="814">
        <v>0</v>
      </c>
      <c r="AE278" s="814">
        <v>0</v>
      </c>
      <c r="AF278" s="665"/>
      <c r="AG278" s="712"/>
      <c r="AH278" s="640"/>
      <c r="AI278" s="727"/>
      <c r="AJ278" s="119"/>
      <c r="AK278" s="119"/>
      <c r="AL278" s="56"/>
      <c r="AM278" s="278" t="s">
        <v>348</v>
      </c>
      <c r="AN278" s="279">
        <f t="shared" si="103"/>
        <v>0.5</v>
      </c>
      <c r="AO278" s="291">
        <f t="shared" ref="AO278:AO279" si="104">IF(Z278&gt;0,Y278,IF(AN278="низкая",Y278*$AS$36,IF(AN278="средняя",Y278*$AT$36,IF(AN278="высокая",Y278*$AU$36,0))))</f>
        <v>0</v>
      </c>
      <c r="AP278" s="281">
        <f t="shared" ref="AP278:AP279" si="105">IF(Z278&gt;0,Z278,IF($AN278="низкая",Z278*$AS$36,IF(AN278="средняя",Z278*$AT$36,IF(AN278="высокая",Z278*$AU$36,0))))</f>
        <v>0</v>
      </c>
      <c r="AQ278" s="282">
        <f t="shared" ref="AQ278:AQ279" si="106">AO278*AP278</f>
        <v>0</v>
      </c>
      <c r="AR278" s="282" t="b">
        <f t="shared" ref="AR278:AR279" si="107">IF(AA278&gt;0,AA278,IF(AN278="низкая",AA278*$AS$36,IF(AN278="средняя",AA278*$AT$36,IF(AN278="высокая",AA278*$AU$36))))</f>
        <v>0</v>
      </c>
      <c r="AS278" s="176">
        <f t="shared" ref="AS278:AS284" si="108">AP278</f>
        <v>0</v>
      </c>
      <c r="AT278" s="202">
        <f t="shared" ref="AT278:AT284" si="109">AR278*AS278</f>
        <v>0</v>
      </c>
    </row>
    <row r="279" spans="2:46" ht="62.25" customHeight="1">
      <c r="B279" s="1514"/>
      <c r="C279" s="1514"/>
      <c r="D279" s="1514"/>
      <c r="E279" s="1516"/>
      <c r="F279" s="1518"/>
      <c r="G279" s="1525"/>
      <c r="H279" s="1531"/>
      <c r="I279" s="1549"/>
      <c r="J279" s="1531"/>
      <c r="K279" s="1554"/>
      <c r="L279" s="1537"/>
      <c r="M279" s="1537"/>
      <c r="N279" s="1537"/>
      <c r="O279" s="1537"/>
      <c r="P279" s="1537"/>
      <c r="Q279" s="634" t="s">
        <v>1337</v>
      </c>
      <c r="R279" s="815" t="s">
        <v>1606</v>
      </c>
      <c r="S279" s="815"/>
      <c r="T279" s="816"/>
      <c r="U279" s="634"/>
      <c r="V279" s="635" t="s">
        <v>130</v>
      </c>
      <c r="W279" s="634"/>
      <c r="X279" s="678"/>
      <c r="Y279" s="726">
        <v>0.5</v>
      </c>
      <c r="Z279" s="739"/>
      <c r="AA279" s="639">
        <f t="shared" si="101"/>
        <v>0</v>
      </c>
      <c r="AB279" s="1008"/>
      <c r="AC279" s="726">
        <v>0.5</v>
      </c>
      <c r="AD279" s="814">
        <v>0</v>
      </c>
      <c r="AE279" s="814">
        <v>0</v>
      </c>
      <c r="AF279" s="665"/>
      <c r="AG279" s="712"/>
      <c r="AH279" s="640"/>
      <c r="AI279" s="727"/>
      <c r="AJ279" s="119"/>
      <c r="AK279" s="119"/>
      <c r="AL279" s="56"/>
      <c r="AM279" s="278" t="s">
        <v>348</v>
      </c>
      <c r="AN279" s="279">
        <f t="shared" si="103"/>
        <v>0.5</v>
      </c>
      <c r="AO279" s="291">
        <f t="shared" si="104"/>
        <v>0</v>
      </c>
      <c r="AP279" s="281">
        <f t="shared" si="105"/>
        <v>0</v>
      </c>
      <c r="AQ279" s="282">
        <f t="shared" si="106"/>
        <v>0</v>
      </c>
      <c r="AR279" s="282" t="b">
        <f t="shared" si="107"/>
        <v>0</v>
      </c>
      <c r="AS279" s="176">
        <f t="shared" si="108"/>
        <v>0</v>
      </c>
      <c r="AT279" s="202">
        <f t="shared" si="109"/>
        <v>0</v>
      </c>
    </row>
    <row r="280" spans="2:46" ht="62.25" customHeight="1">
      <c r="B280" s="1514"/>
      <c r="C280" s="1514"/>
      <c r="D280" s="1514"/>
      <c r="E280" s="1516"/>
      <c r="F280" s="1518"/>
      <c r="G280" s="1525"/>
      <c r="H280" s="1531"/>
      <c r="I280" s="1549"/>
      <c r="J280" s="1531"/>
      <c r="K280" s="1554"/>
      <c r="L280" s="1537"/>
      <c r="M280" s="1537"/>
      <c r="N280" s="1537"/>
      <c r="O280" s="1537"/>
      <c r="P280" s="1537"/>
      <c r="Q280" s="634" t="s">
        <v>1618</v>
      </c>
      <c r="R280" s="815"/>
      <c r="S280" s="815"/>
      <c r="T280" s="816"/>
      <c r="U280" s="634"/>
      <c r="V280" s="635"/>
      <c r="W280" s="634"/>
      <c r="X280" s="678"/>
      <c r="Y280" s="726">
        <v>0.5</v>
      </c>
      <c r="Z280" s="739"/>
      <c r="AA280" s="639"/>
      <c r="AB280" s="1023"/>
      <c r="AC280" s="726">
        <v>0.5</v>
      </c>
      <c r="AD280" s="814">
        <v>0</v>
      </c>
      <c r="AE280" s="814">
        <v>0</v>
      </c>
      <c r="AF280" s="665"/>
      <c r="AG280" s="712"/>
      <c r="AH280" s="724"/>
      <c r="AI280" s="727"/>
      <c r="AJ280" s="119"/>
      <c r="AK280" s="119"/>
      <c r="AL280" s="56"/>
      <c r="AM280" s="56"/>
      <c r="AN280" s="279">
        <f t="shared" si="103"/>
        <v>0</v>
      </c>
      <c r="AO280" s="291"/>
      <c r="AP280" s="281"/>
      <c r="AQ280" s="282"/>
      <c r="AR280" s="282"/>
      <c r="AS280" s="176">
        <f t="shared" si="108"/>
        <v>0</v>
      </c>
      <c r="AT280" s="202">
        <f t="shared" si="109"/>
        <v>0</v>
      </c>
    </row>
    <row r="281" spans="2:46" ht="62.25" customHeight="1">
      <c r="B281" s="1514"/>
      <c r="C281" s="1514"/>
      <c r="D281" s="1514"/>
      <c r="E281" s="1516"/>
      <c r="F281" s="1518"/>
      <c r="G281" s="1525"/>
      <c r="H281" s="1531"/>
      <c r="I281" s="1549"/>
      <c r="J281" s="1531"/>
      <c r="K281" s="1554"/>
      <c r="L281" s="1537"/>
      <c r="M281" s="1537"/>
      <c r="N281" s="1537"/>
      <c r="O281" s="1537"/>
      <c r="P281" s="1537"/>
      <c r="Q281" s="634" t="s">
        <v>1338</v>
      </c>
      <c r="R281" s="815"/>
      <c r="S281" s="815"/>
      <c r="T281" s="816"/>
      <c r="U281" s="634"/>
      <c r="V281" s="635"/>
      <c r="W281" s="634"/>
      <c r="X281" s="678"/>
      <c r="Y281" s="726">
        <v>0.5</v>
      </c>
      <c r="Z281" s="739"/>
      <c r="AA281" s="639"/>
      <c r="AB281" s="1023"/>
      <c r="AC281" s="726">
        <v>0.5</v>
      </c>
      <c r="AD281" s="814">
        <v>0</v>
      </c>
      <c r="AE281" s="814">
        <v>0</v>
      </c>
      <c r="AF281" s="665"/>
      <c r="AG281" s="712"/>
      <c r="AH281" s="724"/>
      <c r="AI281" s="727"/>
      <c r="AJ281" s="119"/>
      <c r="AK281" s="119"/>
      <c r="AL281" s="56"/>
      <c r="AM281" s="56"/>
      <c r="AN281" s="279">
        <f t="shared" si="103"/>
        <v>0</v>
      </c>
      <c r="AO281" s="291"/>
      <c r="AP281" s="281"/>
      <c r="AQ281" s="282"/>
      <c r="AR281" s="282"/>
      <c r="AS281" s="176">
        <f t="shared" si="108"/>
        <v>0</v>
      </c>
      <c r="AT281" s="202">
        <f t="shared" si="109"/>
        <v>0</v>
      </c>
    </row>
    <row r="282" spans="2:46" ht="62.25" customHeight="1">
      <c r="B282" s="1514"/>
      <c r="C282" s="1514"/>
      <c r="D282" s="1514"/>
      <c r="E282" s="1516"/>
      <c r="F282" s="1518"/>
      <c r="G282" s="1525"/>
      <c r="H282" s="1532"/>
      <c r="I282" s="1549"/>
      <c r="J282" s="1531"/>
      <c r="K282" s="1555"/>
      <c r="L282" s="1537"/>
      <c r="M282" s="1537"/>
      <c r="N282" s="1537"/>
      <c r="O282" s="1537"/>
      <c r="P282" s="1537"/>
      <c r="Q282" s="634" t="s">
        <v>423</v>
      </c>
      <c r="R282" s="815"/>
      <c r="S282" s="815"/>
      <c r="T282" s="816"/>
      <c r="U282" s="634"/>
      <c r="V282" s="635" t="s">
        <v>130</v>
      </c>
      <c r="W282" s="634"/>
      <c r="X282" s="678"/>
      <c r="Y282" s="726">
        <v>2.1</v>
      </c>
      <c r="Z282" s="739"/>
      <c r="AA282" s="639">
        <f>Y282*Z282</f>
        <v>0</v>
      </c>
      <c r="AB282" s="1008"/>
      <c r="AC282" s="813"/>
      <c r="AD282" s="814"/>
      <c r="AE282" s="814"/>
      <c r="AF282" s="665"/>
      <c r="AG282" s="712"/>
      <c r="AH282" s="640"/>
      <c r="AI282" s="727"/>
      <c r="AJ282" s="119"/>
      <c r="AK282" s="119"/>
      <c r="AL282" s="56"/>
      <c r="AM282" s="56"/>
      <c r="AN282" s="279">
        <f t="shared" si="103"/>
        <v>0</v>
      </c>
      <c r="AO282" s="291">
        <f>IF(Z282&gt;0,Y282,IF(AN282="низкая",Y282*$AS$36,IF(AN282="средняя",Y282*$AT$36,IF(AN282="высокая",Y282*$AU$36,0))))</f>
        <v>0</v>
      </c>
      <c r="AP282" s="281">
        <f>IF(Z282&gt;0,Z282,IF($AN282="низкая",Z282*$AS$36,IF(AN282="средняя",Z282*$AT$36,IF(AN282="высокая",Z282*$AU$36,0))))</f>
        <v>0</v>
      </c>
      <c r="AQ282" s="282">
        <f>AO282*AP282</f>
        <v>0</v>
      </c>
      <c r="AR282" s="282" t="b">
        <f>IF(AA282&gt;0,AA282,IF(AN282="низкая",AA282*$AS$36,IF(AN282="средняя",AA282*$AT$36,IF(AN282="высокая",AA282*$AU$36))))</f>
        <v>0</v>
      </c>
      <c r="AS282" s="176">
        <f t="shared" si="108"/>
        <v>0</v>
      </c>
      <c r="AT282" s="202">
        <f t="shared" si="109"/>
        <v>0</v>
      </c>
    </row>
    <row r="283" spans="2:46" ht="60.75" customHeight="1">
      <c r="B283" s="1514"/>
      <c r="C283" s="1514"/>
      <c r="D283" s="1514"/>
      <c r="E283" s="1516"/>
      <c r="F283" s="1518"/>
      <c r="G283" s="1525"/>
      <c r="H283" s="625" t="s">
        <v>1475</v>
      </c>
      <c r="I283" s="322" t="s">
        <v>158</v>
      </c>
      <c r="J283" s="172" t="s">
        <v>1183</v>
      </c>
      <c r="K283" s="518" t="s">
        <v>1324</v>
      </c>
      <c r="L283" s="1537"/>
      <c r="M283" s="1537"/>
      <c r="N283" s="1537"/>
      <c r="O283" s="1537"/>
      <c r="P283" s="1537"/>
      <c r="Q283" s="816"/>
      <c r="R283" s="815"/>
      <c r="S283" s="815"/>
      <c r="T283" s="816"/>
      <c r="U283" s="634"/>
      <c r="V283" s="635"/>
      <c r="W283" s="634"/>
      <c r="X283" s="678"/>
      <c r="Y283" s="726"/>
      <c r="Z283" s="739"/>
      <c r="AA283" s="639"/>
      <c r="AB283" s="1023"/>
      <c r="AC283" s="813"/>
      <c r="AD283" s="814"/>
      <c r="AE283" s="814"/>
      <c r="AF283" s="665"/>
      <c r="AG283" s="712"/>
      <c r="AH283" s="724"/>
      <c r="AI283" s="727"/>
      <c r="AJ283" s="119"/>
      <c r="AK283" s="119"/>
      <c r="AL283" s="56"/>
      <c r="AM283" s="56"/>
      <c r="AN283" s="279">
        <f t="shared" si="103"/>
        <v>0</v>
      </c>
      <c r="AO283" s="291"/>
      <c r="AP283" s="281"/>
      <c r="AQ283" s="282"/>
      <c r="AR283" s="282"/>
      <c r="AS283" s="176">
        <f t="shared" si="108"/>
        <v>0</v>
      </c>
      <c r="AT283" s="202">
        <f t="shared" si="109"/>
        <v>0</v>
      </c>
    </row>
    <row r="284" spans="2:46" ht="120.75" customHeight="1">
      <c r="B284" s="1514"/>
      <c r="C284" s="1514"/>
      <c r="D284" s="1514"/>
      <c r="E284" s="1516"/>
      <c r="F284" s="1519"/>
      <c r="G284" s="1526"/>
      <c r="H284" s="625" t="s">
        <v>1476</v>
      </c>
      <c r="I284" s="624" t="s">
        <v>112</v>
      </c>
      <c r="J284" s="626" t="s">
        <v>1153</v>
      </c>
      <c r="K284" s="520" t="s">
        <v>1325</v>
      </c>
      <c r="L284" s="1537"/>
      <c r="M284" s="1537"/>
      <c r="N284" s="1537"/>
      <c r="O284" s="1537"/>
      <c r="P284" s="1537"/>
      <c r="Q284" s="634" t="s">
        <v>1539</v>
      </c>
      <c r="R284" s="815"/>
      <c r="S284" s="815"/>
      <c r="T284" s="816"/>
      <c r="U284" s="634"/>
      <c r="V284" s="635"/>
      <c r="W284" s="634"/>
      <c r="X284" s="678"/>
      <c r="Y284" s="726"/>
      <c r="Z284" s="739"/>
      <c r="AA284" s="639"/>
      <c r="AB284" s="1023"/>
      <c r="AC284" s="813"/>
      <c r="AD284" s="814"/>
      <c r="AE284" s="814"/>
      <c r="AF284" s="665"/>
      <c r="AG284" s="712"/>
      <c r="AH284" s="724"/>
      <c r="AI284" s="727"/>
      <c r="AJ284" s="119"/>
      <c r="AK284" s="119"/>
      <c r="AL284" s="56"/>
      <c r="AM284" s="56"/>
      <c r="AN284" s="279">
        <f t="shared" si="103"/>
        <v>0</v>
      </c>
      <c r="AO284" s="291"/>
      <c r="AP284" s="281"/>
      <c r="AQ284" s="282"/>
      <c r="AR284" s="282"/>
      <c r="AS284" s="176">
        <f t="shared" si="108"/>
        <v>0</v>
      </c>
      <c r="AT284" s="202">
        <f t="shared" si="109"/>
        <v>0</v>
      </c>
    </row>
    <row r="285" spans="2:46" ht="156" customHeight="1">
      <c r="D285" s="391"/>
      <c r="E285" s="86"/>
      <c r="F285" s="146" t="s">
        <v>87</v>
      </c>
      <c r="G285" s="171"/>
      <c r="H285" s="625" t="s">
        <v>1352</v>
      </c>
      <c r="I285" s="627" t="s">
        <v>158</v>
      </c>
      <c r="J285" s="628" t="s">
        <v>1528</v>
      </c>
      <c r="K285" s="530" t="s">
        <v>1389</v>
      </c>
      <c r="L285" s="531"/>
      <c r="M285" s="527"/>
      <c r="N285" s="528"/>
      <c r="O285" s="528"/>
      <c r="P285" s="529"/>
      <c r="Q285" s="817" t="s">
        <v>1540</v>
      </c>
      <c r="R285" s="719"/>
      <c r="S285" s="719"/>
      <c r="T285" s="634"/>
      <c r="U285" s="634"/>
      <c r="V285" s="635" t="s">
        <v>130</v>
      </c>
      <c r="W285" s="636"/>
      <c r="X285" s="645"/>
      <c r="Y285" s="740">
        <v>0.4</v>
      </c>
      <c r="Z285" s="739">
        <v>-1800</v>
      </c>
      <c r="AA285" s="639">
        <v>-720</v>
      </c>
      <c r="AB285" s="639" t="s">
        <v>1390</v>
      </c>
      <c r="AC285" s="679">
        <f>Y285</f>
        <v>0.4</v>
      </c>
      <c r="AD285" s="706">
        <f>Z285</f>
        <v>-1800</v>
      </c>
      <c r="AE285" s="706">
        <f>AC285*AD285</f>
        <v>-720</v>
      </c>
      <c r="AF285" s="737"/>
      <c r="AG285" s="738"/>
      <c r="AH285" s="640"/>
      <c r="AI285" s="675" t="s">
        <v>1391</v>
      </c>
      <c r="AJ285" s="275"/>
      <c r="AK285" s="269" t="s">
        <v>251</v>
      </c>
      <c r="AL285" s="56"/>
      <c r="AM285" s="278" t="s">
        <v>242</v>
      </c>
      <c r="AN285" s="279">
        <f t="shared" si="103"/>
        <v>0.12</v>
      </c>
      <c r="AO285" s="281">
        <f>IF(Z285&gt;0,Z285,IF($AM285="низкая",Z285*$AR$40,IF(AM285="средняя",Z285*$AS$40,IF(AM285="высокая",Z285*$AT$40,0))))</f>
        <v>-540</v>
      </c>
      <c r="AP285" s="282">
        <f>AN285*AO285</f>
        <v>-64.8</v>
      </c>
      <c r="AQ285" s="282">
        <f>IF(AA285&gt;0,AA285,IF(AM285="низкая",AA285*$AR$40,IF(AM285="средняя",AA285*$AS$40,IF(AM285="высокая",AA285*$AT$40))))</f>
        <v>-216</v>
      </c>
      <c r="AR285" s="175">
        <f>AN285</f>
        <v>0.12</v>
      </c>
      <c r="AS285" s="176">
        <f>AP285</f>
        <v>-64.8</v>
      </c>
      <c r="AT285" s="202">
        <f>AQ285</f>
        <v>-216</v>
      </c>
    </row>
    <row r="286" spans="2:46">
      <c r="AS286" s="3" t="s">
        <v>850</v>
      </c>
      <c r="AT286" s="3" t="s">
        <v>850</v>
      </c>
    </row>
    <row r="312" spans="17:17" ht="21">
      <c r="Q312" s="378"/>
    </row>
  </sheetData>
  <protectedRanges>
    <protectedRange sqref="F125:H126" name="Диапазон1_1_1_1_4_1"/>
    <protectedRange sqref="Q90" name="Диапазон1_1_1_1_4_1_1_1_2"/>
  </protectedRanges>
  <mergeCells count="718">
    <mergeCell ref="B278:B284"/>
    <mergeCell ref="F265:F271"/>
    <mergeCell ref="J278:J282"/>
    <mergeCell ref="I278:I282"/>
    <mergeCell ref="B274:B277"/>
    <mergeCell ref="B198:B273"/>
    <mergeCell ref="K272:K273"/>
    <mergeCell ref="J272:J273"/>
    <mergeCell ref="K224:K225"/>
    <mergeCell ref="K278:K282"/>
    <mergeCell ref="F272:F273"/>
    <mergeCell ref="G272:G273"/>
    <mergeCell ref="H272:H273"/>
    <mergeCell ref="I272:I273"/>
    <mergeCell ref="H213:H223"/>
    <mergeCell ref="C198:C273"/>
    <mergeCell ref="F260:F261"/>
    <mergeCell ref="E272:E273"/>
    <mergeCell ref="K243:K245"/>
    <mergeCell ref="I224:I225"/>
    <mergeCell ref="F253:F259"/>
    <mergeCell ref="G237:G239"/>
    <mergeCell ref="G202:G212"/>
    <mergeCell ref="G213:G223"/>
    <mergeCell ref="K237:K239"/>
    <mergeCell ref="K255:K259"/>
    <mergeCell ref="K226:K236"/>
    <mergeCell ref="O274:O277"/>
    <mergeCell ref="O247:O248"/>
    <mergeCell ref="O272:O273"/>
    <mergeCell ref="P198:P200"/>
    <mergeCell ref="J198:J200"/>
    <mergeCell ref="L198:L200"/>
    <mergeCell ref="N198:N200"/>
    <mergeCell ref="M198:M200"/>
    <mergeCell ref="M278:M284"/>
    <mergeCell ref="N278:N284"/>
    <mergeCell ref="O278:O284"/>
    <mergeCell ref="P278:P284"/>
    <mergeCell ref="L278:L284"/>
    <mergeCell ref="M274:M277"/>
    <mergeCell ref="N274:N277"/>
    <mergeCell ref="L262:L263"/>
    <mergeCell ref="M262:M263"/>
    <mergeCell ref="N262:N263"/>
    <mergeCell ref="H278:H282"/>
    <mergeCell ref="N247:N248"/>
    <mergeCell ref="I243:I245"/>
    <mergeCell ref="J243:J245"/>
    <mergeCell ref="I226:I236"/>
    <mergeCell ref="J224:J225"/>
    <mergeCell ref="F262:F264"/>
    <mergeCell ref="F198:F200"/>
    <mergeCell ref="I198:I200"/>
    <mergeCell ref="L272:L273"/>
    <mergeCell ref="M272:M273"/>
    <mergeCell ref="N272:N273"/>
    <mergeCell ref="G224:G225"/>
    <mergeCell ref="H224:H225"/>
    <mergeCell ref="H202:H212"/>
    <mergeCell ref="H255:H259"/>
    <mergeCell ref="I255:I259"/>
    <mergeCell ref="J255:J259"/>
    <mergeCell ref="N253:N254"/>
    <mergeCell ref="L247:L248"/>
    <mergeCell ref="M247:M248"/>
    <mergeCell ref="L255:L259"/>
    <mergeCell ref="H243:H245"/>
    <mergeCell ref="H237:H239"/>
    <mergeCell ref="C278:C284"/>
    <mergeCell ref="D278:D284"/>
    <mergeCell ref="E278:E284"/>
    <mergeCell ref="F278:F284"/>
    <mergeCell ref="E274:E277"/>
    <mergeCell ref="D274:D277"/>
    <mergeCell ref="C274:C277"/>
    <mergeCell ref="G278:G284"/>
    <mergeCell ref="F274:F277"/>
    <mergeCell ref="G274:G277"/>
    <mergeCell ref="P84:P87"/>
    <mergeCell ref="P88:P89"/>
    <mergeCell ref="X84:X87"/>
    <mergeCell ref="L101:L102"/>
    <mergeCell ref="M101:M102"/>
    <mergeCell ref="N101:N102"/>
    <mergeCell ref="N125:N126"/>
    <mergeCell ref="AD103:AD106"/>
    <mergeCell ref="Q84:Q85"/>
    <mergeCell ref="U84:U85"/>
    <mergeCell ref="M93:M97"/>
    <mergeCell ref="N88:N89"/>
    <mergeCell ref="M108:M114"/>
    <mergeCell ref="M125:M126"/>
    <mergeCell ref="L88:L89"/>
    <mergeCell ref="N93:N97"/>
    <mergeCell ref="M88:M89"/>
    <mergeCell ref="L93:L97"/>
    <mergeCell ref="AC120:AC124"/>
    <mergeCell ref="O93:O97"/>
    <mergeCell ref="V84:V85"/>
    <mergeCell ref="Y84:Y87"/>
    <mergeCell ref="AA84:AA87"/>
    <mergeCell ref="AC82:AC83"/>
    <mergeCell ref="P104:P105"/>
    <mergeCell ref="P93:P97"/>
    <mergeCell ref="J108:J114"/>
    <mergeCell ref="P101:P102"/>
    <mergeCell ref="K101:K102"/>
    <mergeCell ref="O101:O102"/>
    <mergeCell ref="AC103:AC106"/>
    <mergeCell ref="AC107:AC114"/>
    <mergeCell ref="Z108:Z114"/>
    <mergeCell ref="AA108:AA114"/>
    <mergeCell ref="N84:N87"/>
    <mergeCell ref="Y93:Y97"/>
    <mergeCell ref="R84:R85"/>
    <mergeCell ref="AC88:AC89"/>
    <mergeCell ref="Z93:Z97"/>
    <mergeCell ref="AA93:AA97"/>
    <mergeCell ref="AB93:AB97"/>
    <mergeCell ref="N104:N105"/>
    <mergeCell ref="K93:K97"/>
    <mergeCell ref="K91:K92"/>
    <mergeCell ref="Z84:Z87"/>
    <mergeCell ref="T84:T85"/>
    <mergeCell ref="O88:O89"/>
    <mergeCell ref="H120:H124"/>
    <mergeCell ref="I120:I124"/>
    <mergeCell ref="J125:J126"/>
    <mergeCell ref="H145:H151"/>
    <mergeCell ref="I108:I114"/>
    <mergeCell ref="J185:J187"/>
    <mergeCell ref="J145:J151"/>
    <mergeCell ref="I159:I161"/>
    <mergeCell ref="I152:I153"/>
    <mergeCell ref="I156:I158"/>
    <mergeCell ref="J156:J158"/>
    <mergeCell ref="H183:H184"/>
    <mergeCell ref="I134:I138"/>
    <mergeCell ref="J115:J116"/>
    <mergeCell ref="J117:J118"/>
    <mergeCell ref="H162:H164"/>
    <mergeCell ref="I162:I165"/>
    <mergeCell ref="H178:H182"/>
    <mergeCell ref="J134:J138"/>
    <mergeCell ref="F140:F151"/>
    <mergeCell ref="F103:F106"/>
    <mergeCell ref="F152:F158"/>
    <mergeCell ref="G108:G114"/>
    <mergeCell ref="F107:F114"/>
    <mergeCell ref="G103:G106"/>
    <mergeCell ref="G192:G193"/>
    <mergeCell ref="G159:G161"/>
    <mergeCell ref="F195:F197"/>
    <mergeCell ref="F162:F172"/>
    <mergeCell ref="K88:K89"/>
    <mergeCell ref="I115:I118"/>
    <mergeCell ref="K125:K126"/>
    <mergeCell ref="M192:M193"/>
    <mergeCell ref="N192:N193"/>
    <mergeCell ref="H108:H114"/>
    <mergeCell ref="K115:K118"/>
    <mergeCell ref="H104:H105"/>
    <mergeCell ref="I104:I105"/>
    <mergeCell ref="K104:K105"/>
    <mergeCell ref="M162:M164"/>
    <mergeCell ref="H115:H118"/>
    <mergeCell ref="I145:I151"/>
    <mergeCell ref="J152:J153"/>
    <mergeCell ref="J88:J89"/>
    <mergeCell ref="J91:J97"/>
    <mergeCell ref="J104:J105"/>
    <mergeCell ref="J101:J102"/>
    <mergeCell ref="L104:L105"/>
    <mergeCell ref="M104:M105"/>
    <mergeCell ref="H88:H89"/>
    <mergeCell ref="I88:I89"/>
    <mergeCell ref="H91:H92"/>
    <mergeCell ref="H134:H138"/>
    <mergeCell ref="I91:I97"/>
    <mergeCell ref="G98:G102"/>
    <mergeCell ref="B195:B197"/>
    <mergeCell ref="C195:C196"/>
    <mergeCell ref="D192:D193"/>
    <mergeCell ref="E192:E193"/>
    <mergeCell ref="B41:B193"/>
    <mergeCell ref="C41:C193"/>
    <mergeCell ref="D41:D191"/>
    <mergeCell ref="F127:F139"/>
    <mergeCell ref="G152:G153"/>
    <mergeCell ref="G162:G170"/>
    <mergeCell ref="G125:G126"/>
    <mergeCell ref="G174:G177"/>
    <mergeCell ref="G88:G89"/>
    <mergeCell ref="H71:H78"/>
    <mergeCell ref="G120:G124"/>
    <mergeCell ref="H152:H153"/>
    <mergeCell ref="F98:F102"/>
    <mergeCell ref="E41:E191"/>
    <mergeCell ref="G127:G138"/>
    <mergeCell ref="H185:H187"/>
    <mergeCell ref="H156:H158"/>
    <mergeCell ref="H125:H126"/>
    <mergeCell ref="AB19:AH20"/>
    <mergeCell ref="B30:C30"/>
    <mergeCell ref="F30:K30"/>
    <mergeCell ref="B31:C31"/>
    <mergeCell ref="B22:C22"/>
    <mergeCell ref="B38:E38"/>
    <mergeCell ref="B19:C19"/>
    <mergeCell ref="AB24:AH26"/>
    <mergeCell ref="O33:Q35"/>
    <mergeCell ref="F19:K19"/>
    <mergeCell ref="F22:K22"/>
    <mergeCell ref="F33:K33"/>
    <mergeCell ref="B34:C34"/>
    <mergeCell ref="F34:K34"/>
    <mergeCell ref="B35:C35"/>
    <mergeCell ref="F35:K35"/>
    <mergeCell ref="B26:C26"/>
    <mergeCell ref="B36:C36"/>
    <mergeCell ref="F36:K36"/>
    <mergeCell ref="AB21:AH23"/>
    <mergeCell ref="F25:K25"/>
    <mergeCell ref="AH37:AL37"/>
    <mergeCell ref="Y37:AF37"/>
    <mergeCell ref="B33:C33"/>
    <mergeCell ref="Z9:AA9"/>
    <mergeCell ref="B10:C10"/>
    <mergeCell ref="U39:U40"/>
    <mergeCell ref="Q39:Q40"/>
    <mergeCell ref="B18:C18"/>
    <mergeCell ref="B39:B40"/>
    <mergeCell ref="Y38:AG38"/>
    <mergeCell ref="AB39:AB40"/>
    <mergeCell ref="AC39:AC40"/>
    <mergeCell ref="AB13:AH14"/>
    <mergeCell ref="B13:C13"/>
    <mergeCell ref="AB8:AH9"/>
    <mergeCell ref="B9:C9"/>
    <mergeCell ref="F17:K17"/>
    <mergeCell ref="F28:K28"/>
    <mergeCell ref="R39:R40"/>
    <mergeCell ref="AB15:AH17"/>
    <mergeCell ref="AH39:AH40"/>
    <mergeCell ref="AF39:AF40"/>
    <mergeCell ref="AG39:AG40"/>
    <mergeCell ref="F9:K9"/>
    <mergeCell ref="B14:C14"/>
    <mergeCell ref="B16:C16"/>
    <mergeCell ref="B29:C29"/>
    <mergeCell ref="F16:K16"/>
    <mergeCell ref="G39:G40"/>
    <mergeCell ref="H39:H40"/>
    <mergeCell ref="J39:J40"/>
    <mergeCell ref="K39:K40"/>
    <mergeCell ref="I39:I40"/>
    <mergeCell ref="F18:K18"/>
    <mergeCell ref="F23:K23"/>
    <mergeCell ref="F37:X37"/>
    <mergeCell ref="F38:X38"/>
    <mergeCell ref="AN1:AQ1"/>
    <mergeCell ref="AB10:AH11"/>
    <mergeCell ref="AH38:AL38"/>
    <mergeCell ref="B21:C21"/>
    <mergeCell ref="F21:K21"/>
    <mergeCell ref="B25:C25"/>
    <mergeCell ref="B24:C24"/>
    <mergeCell ref="B11:C11"/>
    <mergeCell ref="AD39:AD40"/>
    <mergeCell ref="C39:C40"/>
    <mergeCell ref="D39:E39"/>
    <mergeCell ref="AN38:AQ38"/>
    <mergeCell ref="B27:C27"/>
    <mergeCell ref="F27:K27"/>
    <mergeCell ref="B28:C28"/>
    <mergeCell ref="F13:K13"/>
    <mergeCell ref="F8:K8"/>
    <mergeCell ref="Z8:AA8"/>
    <mergeCell ref="AE39:AE40"/>
    <mergeCell ref="F10:K10"/>
    <mergeCell ref="Z10:AA10"/>
    <mergeCell ref="B6:K6"/>
    <mergeCell ref="AG6:AI6"/>
    <mergeCell ref="B7:C7"/>
    <mergeCell ref="O71:O76"/>
    <mergeCell ref="P71:P76"/>
    <mergeCell ref="G41:G87"/>
    <mergeCell ref="L84:L87"/>
    <mergeCell ref="L82:L83"/>
    <mergeCell ref="M82:M83"/>
    <mergeCell ref="N82:N83"/>
    <mergeCell ref="O82:O83"/>
    <mergeCell ref="P82:P83"/>
    <mergeCell ref="P41:P50"/>
    <mergeCell ref="O79:O81"/>
    <mergeCell ref="K79:K81"/>
    <mergeCell ref="I79:I83"/>
    <mergeCell ref="J79:J83"/>
    <mergeCell ref="K82:K83"/>
    <mergeCell ref="H60:H70"/>
    <mergeCell ref="N71:N76"/>
    <mergeCell ref="L71:L76"/>
    <mergeCell ref="H41:H50"/>
    <mergeCell ref="O84:O87"/>
    <mergeCell ref="H82:H83"/>
    <mergeCell ref="J84:J87"/>
    <mergeCell ref="K84:K87"/>
    <mergeCell ref="H79:H81"/>
    <mergeCell ref="B2:AO4"/>
    <mergeCell ref="F14:K14"/>
    <mergeCell ref="F29:K29"/>
    <mergeCell ref="F15:K15"/>
    <mergeCell ref="F26:K26"/>
    <mergeCell ref="F24:K24"/>
    <mergeCell ref="V39:V40"/>
    <mergeCell ref="S39:S40"/>
    <mergeCell ref="F7:K7"/>
    <mergeCell ref="F11:K11"/>
    <mergeCell ref="B12:C12"/>
    <mergeCell ref="F12:K12"/>
    <mergeCell ref="F39:F40"/>
    <mergeCell ref="B20:C20"/>
    <mergeCell ref="F20:K20"/>
    <mergeCell ref="B8:C8"/>
    <mergeCell ref="B15:C15"/>
    <mergeCell ref="AA39:AA40"/>
    <mergeCell ref="B17:C17"/>
    <mergeCell ref="B23:C23"/>
    <mergeCell ref="B37:E37"/>
    <mergeCell ref="B32:C32"/>
    <mergeCell ref="F32:K32"/>
    <mergeCell ref="F31:K31"/>
    <mergeCell ref="Q67:Q70"/>
    <mergeCell ref="AO39:AO40"/>
    <mergeCell ref="AK51:AK54"/>
    <mergeCell ref="AC60:AC70"/>
    <mergeCell ref="Q60:Q63"/>
    <mergeCell ref="Q51:Q54"/>
    <mergeCell ref="Q56:Q59"/>
    <mergeCell ref="Z51:Z54"/>
    <mergeCell ref="AA51:AA54"/>
    <mergeCell ref="W39:X40"/>
    <mergeCell ref="Y39:Y40"/>
    <mergeCell ref="Z39:Z40"/>
    <mergeCell ref="AE41:AE50"/>
    <mergeCell ref="AK60:AK63"/>
    <mergeCell ref="AM60:AM63"/>
    <mergeCell ref="AL60:AL63"/>
    <mergeCell ref="AC51:AC59"/>
    <mergeCell ref="AN60:AN63"/>
    <mergeCell ref="AN42:AN45"/>
    <mergeCell ref="AG41:AG50"/>
    <mergeCell ref="AE51:AE59"/>
    <mergeCell ref="AI51:AI54"/>
    <mergeCell ref="AG54:AG56"/>
    <mergeCell ref="AM42:AM45"/>
    <mergeCell ref="N79:N81"/>
    <mergeCell ref="M84:M87"/>
    <mergeCell ref="I84:I87"/>
    <mergeCell ref="M79:M81"/>
    <mergeCell ref="K71:K78"/>
    <mergeCell ref="I71:I78"/>
    <mergeCell ref="J71:J78"/>
    <mergeCell ref="AN37:AQ37"/>
    <mergeCell ref="AP39:AP40"/>
    <mergeCell ref="AQ39:AQ40"/>
    <mergeCell ref="AP42:AP45"/>
    <mergeCell ref="AQ42:AQ45"/>
    <mergeCell ref="I60:I70"/>
    <mergeCell ref="J60:J70"/>
    <mergeCell ref="L60:L70"/>
    <mergeCell ref="M60:M70"/>
    <mergeCell ref="I41:I50"/>
    <mergeCell ref="J41:J50"/>
    <mergeCell ref="AL42:AL45"/>
    <mergeCell ref="AL51:AL54"/>
    <mergeCell ref="AO60:AO63"/>
    <mergeCell ref="K60:K70"/>
    <mergeCell ref="L41:L50"/>
    <mergeCell ref="AN39:AN40"/>
    <mergeCell ref="H51:H59"/>
    <mergeCell ref="I51:I59"/>
    <mergeCell ref="J51:J59"/>
    <mergeCell ref="L39:P39"/>
    <mergeCell ref="T39:T40"/>
    <mergeCell ref="M41:M50"/>
    <mergeCell ref="Y51:Y54"/>
    <mergeCell ref="N51:N59"/>
    <mergeCell ref="L51:L59"/>
    <mergeCell ref="M51:M59"/>
    <mergeCell ref="N41:N50"/>
    <mergeCell ref="K51:K59"/>
    <mergeCell ref="P51:P59"/>
    <mergeCell ref="V51:V54"/>
    <mergeCell ref="O51:O59"/>
    <mergeCell ref="AM51:AM54"/>
    <mergeCell ref="AI39:AI40"/>
    <mergeCell ref="AK39:AK40"/>
    <mergeCell ref="AI47:AI50"/>
    <mergeCell ref="AJ39:AJ40"/>
    <mergeCell ref="AK42:AK45"/>
    <mergeCell ref="AH42:AH45"/>
    <mergeCell ref="AI42:AI45"/>
    <mergeCell ref="AL39:AL40"/>
    <mergeCell ref="AM39:AM40"/>
    <mergeCell ref="AC79:AC81"/>
    <mergeCell ref="AF41:AF50"/>
    <mergeCell ref="K41:K50"/>
    <mergeCell ref="O60:O70"/>
    <mergeCell ref="P60:P70"/>
    <mergeCell ref="P79:P81"/>
    <mergeCell ref="AE71:AE76"/>
    <mergeCell ref="Q42:Q45"/>
    <mergeCell ref="U42:U45"/>
    <mergeCell ref="V42:V45"/>
    <mergeCell ref="Q47:Q50"/>
    <mergeCell ref="AC41:AC50"/>
    <mergeCell ref="AC71:AC76"/>
    <mergeCell ref="Y60:Y63"/>
    <mergeCell ref="Z60:Z63"/>
    <mergeCell ref="AA60:AA63"/>
    <mergeCell ref="AD41:AD50"/>
    <mergeCell ref="AD71:AD76"/>
    <mergeCell ref="AD51:AD59"/>
    <mergeCell ref="AE79:AE81"/>
    <mergeCell ref="AF54:AF56"/>
    <mergeCell ref="AF79:AF80"/>
    <mergeCell ref="AD79:AD81"/>
    <mergeCell ref="L79:L81"/>
    <mergeCell ref="AI56:AI59"/>
    <mergeCell ref="AE82:AE83"/>
    <mergeCell ref="AH84:AH87"/>
    <mergeCell ref="AD60:AD70"/>
    <mergeCell ref="AE60:AE70"/>
    <mergeCell ref="AF71:AF75"/>
    <mergeCell ref="AF60:AF67"/>
    <mergeCell ref="AF84:AF87"/>
    <mergeCell ref="AE84:AE87"/>
    <mergeCell ref="AD82:AD83"/>
    <mergeCell ref="AD84:AD87"/>
    <mergeCell ref="AG60:AG67"/>
    <mergeCell ref="AG71:AG75"/>
    <mergeCell ref="AG79:AG81"/>
    <mergeCell ref="AR51:AR59"/>
    <mergeCell ref="AS51:AS59"/>
    <mergeCell ref="AP60:AP63"/>
    <mergeCell ref="AQ60:AQ63"/>
    <mergeCell ref="AT82:AT83"/>
    <mergeCell ref="AT91:AT97"/>
    <mergeCell ref="AS91:AS97"/>
    <mergeCell ref="AT84:AT87"/>
    <mergeCell ref="AR91:AR97"/>
    <mergeCell ref="AT88:AT89"/>
    <mergeCell ref="AR84:AR87"/>
    <mergeCell ref="AR82:AR83"/>
    <mergeCell ref="AS82:AS83"/>
    <mergeCell ref="AP93:AP97"/>
    <mergeCell ref="AQ93:AQ97"/>
    <mergeCell ref="AS84:AS87"/>
    <mergeCell ref="AR88:AR89"/>
    <mergeCell ref="AS88:AS89"/>
    <mergeCell ref="AR41:AR50"/>
    <mergeCell ref="AS41:AS50"/>
    <mergeCell ref="AT41:AT50"/>
    <mergeCell ref="AO42:AO45"/>
    <mergeCell ref="AT125:AT126"/>
    <mergeCell ref="AS125:AS126"/>
    <mergeCell ref="AR107:AR114"/>
    <mergeCell ref="AS107:AS114"/>
    <mergeCell ref="AT120:AT124"/>
    <mergeCell ref="AT103:AT106"/>
    <mergeCell ref="AS103:AS106"/>
    <mergeCell ref="AT107:AT114"/>
    <mergeCell ref="AT115:AT118"/>
    <mergeCell ref="AT51:AT59"/>
    <mergeCell ref="AR60:AR70"/>
    <mergeCell ref="AS60:AS70"/>
    <mergeCell ref="AT60:AT70"/>
    <mergeCell ref="AR103:AR106"/>
    <mergeCell ref="AS71:AS76"/>
    <mergeCell ref="AT71:AT76"/>
    <mergeCell ref="AR71:AR76"/>
    <mergeCell ref="AR79:AR81"/>
    <mergeCell ref="AS79:AS81"/>
    <mergeCell ref="AT79:AT81"/>
    <mergeCell ref="AK84:AK87"/>
    <mergeCell ref="AL84:AL87"/>
    <mergeCell ref="AN84:AN87"/>
    <mergeCell ref="AO84:AO87"/>
    <mergeCell ref="AM125:AM126"/>
    <mergeCell ref="AQ125:AQ126"/>
    <mergeCell ref="AN125:AN126"/>
    <mergeCell ref="AO125:AO126"/>
    <mergeCell ref="AP125:AP126"/>
    <mergeCell ref="AK91:AK96"/>
    <mergeCell ref="AM93:AM97"/>
    <mergeCell ref="AP84:AP87"/>
    <mergeCell ref="AQ84:AQ87"/>
    <mergeCell ref="AN93:AN97"/>
    <mergeCell ref="AO93:AO97"/>
    <mergeCell ref="AM108:AM114"/>
    <mergeCell ref="AN108:AN114"/>
    <mergeCell ref="AO108:AO114"/>
    <mergeCell ref="AP108:AP114"/>
    <mergeCell ref="AQ108:AQ114"/>
    <mergeCell ref="AL108:AL114"/>
    <mergeCell ref="AM135:AM138"/>
    <mergeCell ref="Y108:Y114"/>
    <mergeCell ref="L108:L114"/>
    <mergeCell ref="O125:O126"/>
    <mergeCell ref="U125:U126"/>
    <mergeCell ref="V134:V138"/>
    <mergeCell ref="Y134:Y138"/>
    <mergeCell ref="Z134:Z138"/>
    <mergeCell ref="Q108:Q114"/>
    <mergeCell ref="W125:W126"/>
    <mergeCell ref="V125:V126"/>
    <mergeCell ref="U134:U138"/>
    <mergeCell ref="Q134:Q138"/>
    <mergeCell ref="AJ108:AJ114"/>
    <mergeCell ref="AK115:AK116"/>
    <mergeCell ref="L125:L126"/>
    <mergeCell ref="AC127:AC139"/>
    <mergeCell ref="AD127:AD139"/>
    <mergeCell ref="AE127:AE139"/>
    <mergeCell ref="T134:T138"/>
    <mergeCell ref="AC125:AC126"/>
    <mergeCell ref="AD120:AD124"/>
    <mergeCell ref="AI125:AI126"/>
    <mergeCell ref="AR115:AR119"/>
    <mergeCell ref="AS115:AS119"/>
    <mergeCell ref="AT159:AT161"/>
    <mergeCell ref="AD159:AD161"/>
    <mergeCell ref="AE159:AE161"/>
    <mergeCell ref="AR159:AR161"/>
    <mergeCell ref="AR127:AR139"/>
    <mergeCell ref="AS127:AS139"/>
    <mergeCell ref="AT127:AT139"/>
    <mergeCell ref="AT152:AT155"/>
    <mergeCell ref="AS140:AS151"/>
    <mergeCell ref="AR152:AR155"/>
    <mergeCell ref="AS152:AS155"/>
    <mergeCell ref="AL135:AL138"/>
    <mergeCell ref="AT140:AT151"/>
    <mergeCell ref="AK143:AK151"/>
    <mergeCell ref="AS159:AS161"/>
    <mergeCell ref="AE140:AE151"/>
    <mergeCell ref="AD140:AD151"/>
    <mergeCell ref="AK159:AK161"/>
    <mergeCell ref="AK134:AK138"/>
    <mergeCell ref="AR125:AR126"/>
    <mergeCell ref="AR120:AR124"/>
    <mergeCell ref="AS120:AS124"/>
    <mergeCell ref="AE103:AE106"/>
    <mergeCell ref="AD107:AD114"/>
    <mergeCell ref="AE107:AE114"/>
    <mergeCell ref="AC84:AC87"/>
    <mergeCell ref="AC115:AC118"/>
    <mergeCell ref="AF108:AF114"/>
    <mergeCell ref="AG108:AG114"/>
    <mergeCell ref="AI134:AI138"/>
    <mergeCell ref="AB135:AB138"/>
    <mergeCell ref="AG84:AG87"/>
    <mergeCell ref="AI93:AI97"/>
    <mergeCell ref="AE88:AE89"/>
    <mergeCell ref="AE91:AE97"/>
    <mergeCell ref="AD88:AD89"/>
    <mergeCell ref="AD91:AD97"/>
    <mergeCell ref="AC91:AC97"/>
    <mergeCell ref="AE120:AE124"/>
    <mergeCell ref="AD125:AD126"/>
    <mergeCell ref="AD115:AD118"/>
    <mergeCell ref="AE115:AE118"/>
    <mergeCell ref="AB108:AB114"/>
    <mergeCell ref="AE125:AE126"/>
    <mergeCell ref="AI108:AI114"/>
    <mergeCell ref="AH108:AH114"/>
    <mergeCell ref="AR140:AR151"/>
    <mergeCell ref="I143:I144"/>
    <mergeCell ref="I140:I142"/>
    <mergeCell ref="I195:I196"/>
    <mergeCell ref="AB195:AB196"/>
    <mergeCell ref="I183:I184"/>
    <mergeCell ref="J183:J184"/>
    <mergeCell ref="I185:I187"/>
    <mergeCell ref="AK184:AK186"/>
    <mergeCell ref="AI183:AI184"/>
    <mergeCell ref="AI185:AI187"/>
    <mergeCell ref="P185:P187"/>
    <mergeCell ref="O192:O193"/>
    <mergeCell ref="P192:P193"/>
    <mergeCell ref="AC192:AC194"/>
    <mergeCell ref="AE192:AE194"/>
    <mergeCell ref="AC152:AC158"/>
    <mergeCell ref="AD152:AD158"/>
    <mergeCell ref="AE152:AE158"/>
    <mergeCell ref="L185:L187"/>
    <mergeCell ref="L159:L161"/>
    <mergeCell ref="AC140:AC151"/>
    <mergeCell ref="J195:J196"/>
    <mergeCell ref="AC159:AC161"/>
    <mergeCell ref="H84:H87"/>
    <mergeCell ref="AB84:AB87"/>
    <mergeCell ref="G226:G236"/>
    <mergeCell ref="F247:F251"/>
    <mergeCell ref="W84:W85"/>
    <mergeCell ref="N213:N223"/>
    <mergeCell ref="M213:M223"/>
    <mergeCell ref="F41:F90"/>
    <mergeCell ref="F192:F194"/>
    <mergeCell ref="F201:F246"/>
    <mergeCell ref="F125:F126"/>
    <mergeCell ref="F159:F161"/>
    <mergeCell ref="F173:F190"/>
    <mergeCell ref="F91:F97"/>
    <mergeCell ref="F115:F124"/>
    <mergeCell ref="G91:G97"/>
    <mergeCell ref="H93:H97"/>
    <mergeCell ref="H101:H102"/>
    <mergeCell ref="I101:I102"/>
    <mergeCell ref="P156:P158"/>
    <mergeCell ref="O41:O50"/>
    <mergeCell ref="N60:N70"/>
    <mergeCell ref="M71:M76"/>
    <mergeCell ref="O185:O187"/>
    <mergeCell ref="G255:G259"/>
    <mergeCell ref="H226:H236"/>
    <mergeCell ref="J226:J236"/>
    <mergeCell ref="I237:I239"/>
    <mergeCell ref="J237:J239"/>
    <mergeCell ref="P159:P161"/>
    <mergeCell ref="K108:K114"/>
    <mergeCell ref="N108:N114"/>
    <mergeCell ref="J159:J161"/>
    <mergeCell ref="J120:J124"/>
    <mergeCell ref="K152:K153"/>
    <mergeCell ref="K156:K158"/>
    <mergeCell ref="K213:K223"/>
    <mergeCell ref="K202:K212"/>
    <mergeCell ref="K185:K187"/>
    <mergeCell ref="K183:K184"/>
    <mergeCell ref="K120:K124"/>
    <mergeCell ref="O108:O114"/>
    <mergeCell ref="P134:P138"/>
    <mergeCell ref="P108:P114"/>
    <mergeCell ref="P125:P126"/>
    <mergeCell ref="L253:L254"/>
    <mergeCell ref="M253:M254"/>
    <mergeCell ref="N195:N196"/>
    <mergeCell ref="AB282:AB284"/>
    <mergeCell ref="AT192:AT194"/>
    <mergeCell ref="AL125:AL126"/>
    <mergeCell ref="I125:I126"/>
    <mergeCell ref="AK125:AK126"/>
    <mergeCell ref="AA134:AA138"/>
    <mergeCell ref="R134:R138"/>
    <mergeCell ref="AK195:AK196"/>
    <mergeCell ref="T202:T246"/>
    <mergeCell ref="AI195:AI196"/>
    <mergeCell ref="P247:P248"/>
    <mergeCell ref="I213:I223"/>
    <mergeCell ref="J213:J223"/>
    <mergeCell ref="I202:I212"/>
    <mergeCell ref="J202:J212"/>
    <mergeCell ref="M195:M196"/>
    <mergeCell ref="P213:P223"/>
    <mergeCell ref="AB279:AB281"/>
    <mergeCell ref="L192:L193"/>
    <mergeCell ref="L195:L196"/>
    <mergeCell ref="L213:L223"/>
    <mergeCell ref="AR192:AR193"/>
    <mergeCell ref="AS192:AS193"/>
    <mergeCell ref="AK162:AK164"/>
    <mergeCell ref="AK108:AK114"/>
    <mergeCell ref="AK198:AK200"/>
    <mergeCell ref="AE274:AE276"/>
    <mergeCell ref="P262:P263"/>
    <mergeCell ref="O253:O254"/>
    <mergeCell ref="Q272:Q273"/>
    <mergeCell ref="P253:P254"/>
    <mergeCell ref="P195:P196"/>
    <mergeCell ref="O213:O223"/>
    <mergeCell ref="AC274:AC276"/>
    <mergeCell ref="AD274:AD276"/>
    <mergeCell ref="Q195:Q196"/>
    <mergeCell ref="O195:O196"/>
    <mergeCell ref="O198:O200"/>
    <mergeCell ref="P272:P273"/>
    <mergeCell ref="O262:O263"/>
    <mergeCell ref="AD192:AD194"/>
    <mergeCell ref="AT162:AT164"/>
    <mergeCell ref="L162:L164"/>
    <mergeCell ref="AC162:AC164"/>
    <mergeCell ref="AD162:AD164"/>
    <mergeCell ref="AE162:AE164"/>
    <mergeCell ref="O162:O164"/>
    <mergeCell ref="P162:P164"/>
    <mergeCell ref="K162:K164"/>
    <mergeCell ref="AR162:AR164"/>
    <mergeCell ref="AS162:AS164"/>
    <mergeCell ref="K178:K182"/>
    <mergeCell ref="K134:K138"/>
    <mergeCell ref="N134:N138"/>
    <mergeCell ref="O134:O138"/>
    <mergeCell ref="M185:M187"/>
    <mergeCell ref="N185:N187"/>
    <mergeCell ref="M134:M138"/>
    <mergeCell ref="N162:N164"/>
    <mergeCell ref="L156:L158"/>
    <mergeCell ref="M156:M158"/>
    <mergeCell ref="N156:N158"/>
    <mergeCell ref="O156:O158"/>
    <mergeCell ref="K145:K151"/>
    <mergeCell ref="N159:N161"/>
    <mergeCell ref="O159:O161"/>
    <mergeCell ref="M159:M161"/>
    <mergeCell ref="L134:L138"/>
  </mergeCells>
  <phoneticPr fontId="88" type="noConversion"/>
  <conditionalFormatting sqref="AC41 AC103 AC51 AC152 AC91:AC92 AC120 AC60 AC84:AC88 AC127 AC107 AC174:AC175 AC71:AC78 AC195:AC248 AC159:AC172 AR165:AR170 AR84:AR87 AR90 AC125 AR174:AR248 AC177:AC192">
    <cfRule type="cellIs" dxfId="579" priority="501" operator="between">
      <formula>0.5</formula>
      <formula>0.74</formula>
    </cfRule>
    <cfRule type="cellIs" dxfId="578" priority="502" operator="between">
      <formula>0.25</formula>
      <formula>0.49</formula>
    </cfRule>
    <cfRule type="cellIs" dxfId="577" priority="503" operator="between">
      <formula>0.01</formula>
      <formula>0.24</formula>
    </cfRule>
    <cfRule type="cellIs" dxfId="576" priority="504" operator="between">
      <formula>0.75</formula>
      <formula>1</formula>
    </cfRule>
  </conditionalFormatting>
  <conditionalFormatting sqref="Y140:Y143 Y41:Y51 Y55:Y60 Y174:Y175 Y71:Y78 Y177:Y186 Y162 Y195:Y248 AN195:AN248 Y166:Y172 Y103:Y108 Y84:Y93 AN41:AN60 AN64:AN92 AN103:AN108 Y191 Y120:Y134 AN174:AN191 AN118:AN170 Y152:Y154 AO278:AO284 Y274:Y284">
    <cfRule type="cellIs" dxfId="575" priority="497" operator="between">
      <formula>0.75</formula>
      <formula>1</formula>
    </cfRule>
    <cfRule type="cellIs" dxfId="574" priority="498" operator="between">
      <formula>0.5</formula>
      <formula>0.74</formula>
    </cfRule>
    <cfRule type="cellIs" dxfId="573" priority="499" operator="between">
      <formula>0.25</formula>
      <formula>0.49</formula>
    </cfRule>
    <cfRule type="cellIs" dxfId="572" priority="500" operator="between">
      <formula>0.01</formula>
      <formula>0.24</formula>
    </cfRule>
  </conditionalFormatting>
  <conditionalFormatting sqref="AR103">
    <cfRule type="cellIs" dxfId="571" priority="449" operator="between">
      <formula>0.5</formula>
      <formula>0.74</formula>
    </cfRule>
    <cfRule type="cellIs" dxfId="570" priority="450" operator="between">
      <formula>0.25</formula>
      <formula>0.49</formula>
    </cfRule>
    <cfRule type="cellIs" dxfId="569" priority="451" operator="between">
      <formula>0.01</formula>
      <formula>0.24</formula>
    </cfRule>
    <cfRule type="cellIs" dxfId="568" priority="452" operator="between">
      <formula>0.75</formula>
      <formula>1</formula>
    </cfRule>
  </conditionalFormatting>
  <conditionalFormatting sqref="AR159:AR161">
    <cfRule type="cellIs" dxfId="567" priority="413" operator="between">
      <formula>0.5</formula>
      <formula>0.74</formula>
    </cfRule>
    <cfRule type="cellIs" dxfId="566" priority="414" operator="between">
      <formula>0.25</formula>
      <formula>0.49</formula>
    </cfRule>
    <cfRule type="cellIs" dxfId="565" priority="415" operator="between">
      <formula>0.01</formula>
      <formula>0.24</formula>
    </cfRule>
    <cfRule type="cellIs" dxfId="564" priority="416" operator="between">
      <formula>0.75</formula>
      <formula>1</formula>
    </cfRule>
  </conditionalFormatting>
  <conditionalFormatting sqref="AC140:AC141">
    <cfRule type="cellIs" dxfId="563" priority="405" operator="between">
      <formula>0.5</formula>
      <formula>0.74</formula>
    </cfRule>
    <cfRule type="cellIs" dxfId="562" priority="406" operator="between">
      <formula>0.25</formula>
      <formula>0.49</formula>
    </cfRule>
    <cfRule type="cellIs" dxfId="561" priority="407" operator="between">
      <formula>0.01</formula>
      <formula>0.24</formula>
    </cfRule>
    <cfRule type="cellIs" dxfId="560" priority="408" operator="between">
      <formula>0.75</formula>
      <formula>1</formula>
    </cfRule>
  </conditionalFormatting>
  <conditionalFormatting sqref="Y79:Y83">
    <cfRule type="cellIs" dxfId="559" priority="393" operator="between">
      <formula>0.75</formula>
      <formula>1</formula>
    </cfRule>
    <cfRule type="cellIs" dxfId="558" priority="394" operator="between">
      <formula>0.5</formula>
      <formula>0.74</formula>
    </cfRule>
    <cfRule type="cellIs" dxfId="557" priority="395" operator="between">
      <formula>0.25</formula>
      <formula>0.49</formula>
    </cfRule>
    <cfRule type="cellIs" dxfId="556" priority="396" operator="between">
      <formula>0.01</formula>
      <formula>0.24</formula>
    </cfRule>
  </conditionalFormatting>
  <conditionalFormatting sqref="AC79">
    <cfRule type="cellIs" dxfId="555" priority="389" operator="between">
      <formula>0.5</formula>
      <formula>0.74</formula>
    </cfRule>
    <cfRule type="cellIs" dxfId="554" priority="390" operator="between">
      <formula>0.25</formula>
      <formula>0.49</formula>
    </cfRule>
    <cfRule type="cellIs" dxfId="553" priority="391" operator="between">
      <formula>0.01</formula>
      <formula>0.24</formula>
    </cfRule>
    <cfRule type="cellIs" dxfId="552" priority="392" operator="between">
      <formula>0.75</formula>
      <formula>1</formula>
    </cfRule>
  </conditionalFormatting>
  <conditionalFormatting sqref="AR173 AC173">
    <cfRule type="cellIs" dxfId="551" priority="385" operator="between">
      <formula>0.5</formula>
      <formula>0.74</formula>
    </cfRule>
    <cfRule type="cellIs" dxfId="550" priority="386" operator="between">
      <formula>0.25</formula>
      <formula>0.49</formula>
    </cfRule>
    <cfRule type="cellIs" dxfId="549" priority="387" operator="between">
      <formula>0.01</formula>
      <formula>0.24</formula>
    </cfRule>
    <cfRule type="cellIs" dxfId="548" priority="388" operator="between">
      <formula>0.75</formula>
      <formula>1</formula>
    </cfRule>
  </conditionalFormatting>
  <conditionalFormatting sqref="AN173 Y173">
    <cfRule type="cellIs" dxfId="547" priority="381" operator="between">
      <formula>0.75</formula>
      <formula>1</formula>
    </cfRule>
    <cfRule type="cellIs" dxfId="546" priority="382" operator="between">
      <formula>0.5</formula>
      <formula>0.74</formula>
    </cfRule>
    <cfRule type="cellIs" dxfId="545" priority="383" operator="between">
      <formula>0.25</formula>
      <formula>0.49</formula>
    </cfRule>
    <cfRule type="cellIs" dxfId="544" priority="384" operator="between">
      <formula>0.01</formula>
      <formula>0.24</formula>
    </cfRule>
  </conditionalFormatting>
  <conditionalFormatting sqref="Y145:Y147 Y149:Y151">
    <cfRule type="cellIs" dxfId="543" priority="377" operator="between">
      <formula>0.75</formula>
      <formula>1</formula>
    </cfRule>
    <cfRule type="cellIs" dxfId="542" priority="378" operator="between">
      <formula>0.5</formula>
      <formula>0.74</formula>
    </cfRule>
    <cfRule type="cellIs" dxfId="541" priority="379" operator="between">
      <formula>0.25</formula>
      <formula>0.49</formula>
    </cfRule>
    <cfRule type="cellIs" dxfId="540" priority="380" operator="between">
      <formula>0.01</formula>
      <formula>0.24</formula>
    </cfRule>
  </conditionalFormatting>
  <conditionalFormatting sqref="Y148">
    <cfRule type="cellIs" dxfId="539" priority="373" operator="between">
      <formula>0.75</formula>
      <formula>1</formula>
    </cfRule>
    <cfRule type="cellIs" dxfId="538" priority="374" operator="between">
      <formula>0.5</formula>
      <formula>0.74</formula>
    </cfRule>
    <cfRule type="cellIs" dxfId="537" priority="375" operator="between">
      <formula>0.25</formula>
      <formula>0.49</formula>
    </cfRule>
    <cfRule type="cellIs" dxfId="536" priority="376" operator="between">
      <formula>0.01</formula>
      <formula>0.24</formula>
    </cfRule>
  </conditionalFormatting>
  <conditionalFormatting sqref="AC115">
    <cfRule type="cellIs" dxfId="535" priority="369" operator="between">
      <formula>0.5</formula>
      <formula>0.74</formula>
    </cfRule>
    <cfRule type="cellIs" dxfId="534" priority="370" operator="between">
      <formula>0.25</formula>
      <formula>0.49</formula>
    </cfRule>
    <cfRule type="cellIs" dxfId="533" priority="371" operator="between">
      <formula>0.01</formula>
      <formula>0.24</formula>
    </cfRule>
    <cfRule type="cellIs" dxfId="532" priority="372" operator="between">
      <formula>0.75</formula>
      <formula>1</formula>
    </cfRule>
  </conditionalFormatting>
  <conditionalFormatting sqref="AN115">
    <cfRule type="cellIs" dxfId="531" priority="357" operator="between">
      <formula>0.75</formula>
      <formula>1</formula>
    </cfRule>
    <cfRule type="cellIs" dxfId="530" priority="358" operator="between">
      <formula>0.5</formula>
      <formula>0.74</formula>
    </cfRule>
    <cfRule type="cellIs" dxfId="529" priority="359" operator="between">
      <formula>0.25</formula>
      <formula>0.49</formula>
    </cfRule>
    <cfRule type="cellIs" dxfId="528" priority="360" operator="between">
      <formula>0.01</formula>
      <formula>0.24</formula>
    </cfRule>
  </conditionalFormatting>
  <conditionalFormatting sqref="AN116:AN117">
    <cfRule type="cellIs" dxfId="527" priority="353" operator="between">
      <formula>0.75</formula>
      <formula>1</formula>
    </cfRule>
    <cfRule type="cellIs" dxfId="526" priority="354" operator="between">
      <formula>0.5</formula>
      <formula>0.74</formula>
    </cfRule>
    <cfRule type="cellIs" dxfId="525" priority="355" operator="between">
      <formula>0.25</formula>
      <formula>0.49</formula>
    </cfRule>
    <cfRule type="cellIs" dxfId="524" priority="356" operator="between">
      <formula>0.01</formula>
      <formula>0.24</formula>
    </cfRule>
  </conditionalFormatting>
  <conditionalFormatting sqref="Y64:Y65">
    <cfRule type="cellIs" dxfId="523" priority="329" operator="between">
      <formula>0.75</formula>
      <formula>1</formula>
    </cfRule>
    <cfRule type="cellIs" dxfId="522" priority="330" operator="between">
      <formula>0.5</formula>
      <formula>0.74</formula>
    </cfRule>
    <cfRule type="cellIs" dxfId="521" priority="331" operator="between">
      <formula>0.25</formula>
      <formula>0.49</formula>
    </cfRule>
    <cfRule type="cellIs" dxfId="520" priority="332" operator="between">
      <formula>0.01</formula>
      <formula>0.24</formula>
    </cfRule>
  </conditionalFormatting>
  <conditionalFormatting sqref="Y66:Y70">
    <cfRule type="cellIs" dxfId="519" priority="333" operator="between">
      <formula>0.75</formula>
      <formula>1</formula>
    </cfRule>
    <cfRule type="cellIs" dxfId="518" priority="334" operator="between">
      <formula>0.5</formula>
      <formula>0.74</formula>
    </cfRule>
    <cfRule type="cellIs" dxfId="517" priority="335" operator="between">
      <formula>0.25</formula>
      <formula>0.49</formula>
    </cfRule>
    <cfRule type="cellIs" dxfId="516" priority="336" operator="between">
      <formula>0.01</formula>
      <formula>0.24</formula>
    </cfRule>
  </conditionalFormatting>
  <conditionalFormatting sqref="AC82">
    <cfRule type="cellIs" dxfId="515" priority="325" operator="between">
      <formula>0.5</formula>
      <formula>0.74</formula>
    </cfRule>
    <cfRule type="cellIs" dxfId="514" priority="326" operator="between">
      <formula>0.25</formula>
      <formula>0.49</formula>
    </cfRule>
    <cfRule type="cellIs" dxfId="513" priority="327" operator="between">
      <formula>0.01</formula>
      <formula>0.24</formula>
    </cfRule>
    <cfRule type="cellIs" dxfId="512" priority="328" operator="between">
      <formula>0.75</formula>
      <formula>1</formula>
    </cfRule>
  </conditionalFormatting>
  <conditionalFormatting sqref="AR91:AR92">
    <cfRule type="cellIs" dxfId="511" priority="321" operator="between">
      <formula>0.5</formula>
      <formula>0.74</formula>
    </cfRule>
    <cfRule type="cellIs" dxfId="510" priority="322" operator="between">
      <formula>0.25</formula>
      <formula>0.49</formula>
    </cfRule>
    <cfRule type="cellIs" dxfId="509" priority="323" operator="between">
      <formula>0.01</formula>
      <formula>0.24</formula>
    </cfRule>
    <cfRule type="cellIs" dxfId="508" priority="324" operator="between">
      <formula>0.75</formula>
      <formula>1</formula>
    </cfRule>
  </conditionalFormatting>
  <conditionalFormatting sqref="AR82">
    <cfRule type="cellIs" dxfId="507" priority="317" operator="between">
      <formula>0.5</formula>
      <formula>0.74</formula>
    </cfRule>
    <cfRule type="cellIs" dxfId="506" priority="318" operator="between">
      <formula>0.25</formula>
      <formula>0.49</formula>
    </cfRule>
    <cfRule type="cellIs" dxfId="505" priority="319" operator="between">
      <formula>0.01</formula>
      <formula>0.24</formula>
    </cfRule>
    <cfRule type="cellIs" dxfId="504" priority="320" operator="between">
      <formula>0.75</formula>
      <formula>1</formula>
    </cfRule>
  </conditionalFormatting>
  <conditionalFormatting sqref="AR79">
    <cfRule type="cellIs" dxfId="503" priority="313" operator="between">
      <formula>0.5</formula>
      <formula>0.74</formula>
    </cfRule>
    <cfRule type="cellIs" dxfId="502" priority="314" operator="between">
      <formula>0.25</formula>
      <formula>0.49</formula>
    </cfRule>
    <cfRule type="cellIs" dxfId="501" priority="315" operator="between">
      <formula>0.01</formula>
      <formula>0.24</formula>
    </cfRule>
    <cfRule type="cellIs" dxfId="500" priority="316" operator="between">
      <formula>0.75</formula>
      <formula>1</formula>
    </cfRule>
  </conditionalFormatting>
  <conditionalFormatting sqref="Y163">
    <cfRule type="cellIs" dxfId="499" priority="297" operator="between">
      <formula>0.75</formula>
      <formula>1</formula>
    </cfRule>
    <cfRule type="cellIs" dxfId="498" priority="298" operator="between">
      <formula>0.5</formula>
      <formula>0.74</formula>
    </cfRule>
    <cfRule type="cellIs" dxfId="497" priority="299" operator="between">
      <formula>0.25</formula>
      <formula>0.49</formula>
    </cfRule>
    <cfRule type="cellIs" dxfId="496" priority="300" operator="between">
      <formula>0.01</formula>
      <formula>0.24</formula>
    </cfRule>
  </conditionalFormatting>
  <conditionalFormatting sqref="Y164">
    <cfRule type="cellIs" dxfId="495" priority="289" operator="between">
      <formula>0.75</formula>
      <formula>1</formula>
    </cfRule>
    <cfRule type="cellIs" dxfId="494" priority="290" operator="between">
      <formula>0.5</formula>
      <formula>0.74</formula>
    </cfRule>
    <cfRule type="cellIs" dxfId="493" priority="291" operator="between">
      <formula>0.25</formula>
      <formula>0.49</formula>
    </cfRule>
    <cfRule type="cellIs" dxfId="492" priority="292" operator="between">
      <formula>0.01</formula>
      <formula>0.24</formula>
    </cfRule>
  </conditionalFormatting>
  <conditionalFormatting sqref="Y165">
    <cfRule type="cellIs" dxfId="491" priority="285" operator="between">
      <formula>0.75</formula>
      <formula>1</formula>
    </cfRule>
    <cfRule type="cellIs" dxfId="490" priority="286" operator="between">
      <formula>0.5</formula>
      <formula>0.74</formula>
    </cfRule>
    <cfRule type="cellIs" dxfId="489" priority="287" operator="between">
      <formula>0.25</formula>
      <formula>0.49</formula>
    </cfRule>
    <cfRule type="cellIs" dxfId="488" priority="288" operator="between">
      <formula>0.01</formula>
      <formula>0.24</formula>
    </cfRule>
  </conditionalFormatting>
  <conditionalFormatting sqref="AR115">
    <cfRule type="cellIs" dxfId="487" priority="281" operator="between">
      <formula>0.5</formula>
      <formula>0.74</formula>
    </cfRule>
    <cfRule type="cellIs" dxfId="486" priority="282" operator="between">
      <formula>0.25</formula>
      <formula>0.49</formula>
    </cfRule>
    <cfRule type="cellIs" dxfId="485" priority="283" operator="between">
      <formula>0.01</formula>
      <formula>0.24</formula>
    </cfRule>
    <cfRule type="cellIs" dxfId="484" priority="284" operator="between">
      <formula>0.75</formula>
      <formula>1</formula>
    </cfRule>
  </conditionalFormatting>
  <conditionalFormatting sqref="AR120">
    <cfRule type="cellIs" dxfId="483" priority="273" operator="between">
      <formula>0.5</formula>
      <formula>0.74</formula>
    </cfRule>
    <cfRule type="cellIs" dxfId="482" priority="274" operator="between">
      <formula>0.25</formula>
      <formula>0.49</formula>
    </cfRule>
    <cfRule type="cellIs" dxfId="481" priority="275" operator="between">
      <formula>0.01</formula>
      <formula>0.24</formula>
    </cfRule>
    <cfRule type="cellIs" dxfId="480" priority="276" operator="between">
      <formula>0.75</formula>
      <formula>1</formula>
    </cfRule>
  </conditionalFormatting>
  <conditionalFormatting sqref="AR125">
    <cfRule type="cellIs" dxfId="479" priority="257" operator="between">
      <formula>0.5</formula>
      <formula>0.74</formula>
    </cfRule>
    <cfRule type="cellIs" dxfId="478" priority="258" operator="between">
      <formula>0.25</formula>
      <formula>0.49</formula>
    </cfRule>
    <cfRule type="cellIs" dxfId="477" priority="259" operator="between">
      <formula>0.01</formula>
      <formula>0.24</formula>
    </cfRule>
    <cfRule type="cellIs" dxfId="476" priority="260" operator="between">
      <formula>0.75</formula>
      <formula>1</formula>
    </cfRule>
  </conditionalFormatting>
  <conditionalFormatting sqref="Y272:Y273 AN272:AN285">
    <cfRule type="cellIs" dxfId="475" priority="209" operator="between">
      <formula>0.75</formula>
      <formula>1</formula>
    </cfRule>
    <cfRule type="cellIs" dxfId="474" priority="210" operator="between">
      <formula>0.5</formula>
      <formula>0.74</formula>
    </cfRule>
    <cfRule type="cellIs" dxfId="473" priority="211" operator="between">
      <formula>0.25</formula>
      <formula>0.49</formula>
    </cfRule>
    <cfRule type="cellIs" dxfId="472" priority="212" operator="between">
      <formula>0.01</formula>
      <formula>0.24</formula>
    </cfRule>
  </conditionalFormatting>
  <conditionalFormatting sqref="AR253:AR259 AC253:AC259">
    <cfRule type="cellIs" dxfId="471" priority="245" operator="between">
      <formula>0.5</formula>
      <formula>0.74</formula>
    </cfRule>
    <cfRule type="cellIs" dxfId="470" priority="246" operator="between">
      <formula>0.25</formula>
      <formula>0.49</formula>
    </cfRule>
    <cfRule type="cellIs" dxfId="469" priority="247" operator="between">
      <formula>0.01</formula>
      <formula>0.24</formula>
    </cfRule>
    <cfRule type="cellIs" dxfId="468" priority="248" operator="between">
      <formula>0.75</formula>
      <formula>1</formula>
    </cfRule>
  </conditionalFormatting>
  <conditionalFormatting sqref="AN253:AN259 Y253:Y259">
    <cfRule type="cellIs" dxfId="467" priority="241" operator="between">
      <formula>0.75</formula>
      <formula>1</formula>
    </cfRule>
    <cfRule type="cellIs" dxfId="466" priority="242" operator="between">
      <formula>0.5</formula>
      <formula>0.74</formula>
    </cfRule>
    <cfRule type="cellIs" dxfId="465" priority="243" operator="between">
      <formula>0.25</formula>
      <formula>0.49</formula>
    </cfRule>
    <cfRule type="cellIs" dxfId="464" priority="244" operator="between">
      <formula>0.01</formula>
      <formula>0.24</formula>
    </cfRule>
  </conditionalFormatting>
  <conditionalFormatting sqref="AR260:AR261 AC260:AC261">
    <cfRule type="cellIs" dxfId="463" priority="237" operator="between">
      <formula>0.5</formula>
      <formula>0.74</formula>
    </cfRule>
    <cfRule type="cellIs" dxfId="462" priority="238" operator="between">
      <formula>0.25</formula>
      <formula>0.49</formula>
    </cfRule>
    <cfRule type="cellIs" dxfId="461" priority="239" operator="between">
      <formula>0.01</formula>
      <formula>0.24</formula>
    </cfRule>
    <cfRule type="cellIs" dxfId="460" priority="240" operator="between">
      <formula>0.75</formula>
      <formula>1</formula>
    </cfRule>
  </conditionalFormatting>
  <conditionalFormatting sqref="AN260:AN261 Y260:Y261">
    <cfRule type="cellIs" dxfId="459" priority="233" operator="between">
      <formula>0.75</formula>
      <formula>1</formula>
    </cfRule>
    <cfRule type="cellIs" dxfId="458" priority="234" operator="between">
      <formula>0.5</formula>
      <formula>0.74</formula>
    </cfRule>
    <cfRule type="cellIs" dxfId="457" priority="235" operator="between">
      <formula>0.25</formula>
      <formula>0.49</formula>
    </cfRule>
    <cfRule type="cellIs" dxfId="456" priority="236" operator="between">
      <formula>0.01</formula>
      <formula>0.24</formula>
    </cfRule>
  </conditionalFormatting>
  <conditionalFormatting sqref="AR262:AR264 AC262:AC264">
    <cfRule type="cellIs" dxfId="455" priority="229" operator="between">
      <formula>0.5</formula>
      <formula>0.74</formula>
    </cfRule>
    <cfRule type="cellIs" dxfId="454" priority="230" operator="between">
      <formula>0.25</formula>
      <formula>0.49</formula>
    </cfRule>
    <cfRule type="cellIs" dxfId="453" priority="231" operator="between">
      <formula>0.01</formula>
      <formula>0.24</formula>
    </cfRule>
    <cfRule type="cellIs" dxfId="452" priority="232" operator="between">
      <formula>0.75</formula>
      <formula>1</formula>
    </cfRule>
  </conditionalFormatting>
  <conditionalFormatting sqref="AN262:AN264 Y262:Y264">
    <cfRule type="cellIs" dxfId="451" priority="225" operator="between">
      <formula>0.75</formula>
      <formula>1</formula>
    </cfRule>
    <cfRule type="cellIs" dxfId="450" priority="226" operator="between">
      <formula>0.5</formula>
      <formula>0.74</formula>
    </cfRule>
    <cfRule type="cellIs" dxfId="449" priority="227" operator="between">
      <formula>0.25</formula>
      <formula>0.49</formula>
    </cfRule>
    <cfRule type="cellIs" dxfId="448" priority="228" operator="between">
      <formula>0.01</formula>
      <formula>0.24</formula>
    </cfRule>
  </conditionalFormatting>
  <conditionalFormatting sqref="AC265:AC271 AR265:AR277">
    <cfRule type="cellIs" dxfId="447" priority="221" operator="between">
      <formula>0.5</formula>
      <formula>0.74</formula>
    </cfRule>
    <cfRule type="cellIs" dxfId="446" priority="222" operator="between">
      <formula>0.25</formula>
      <formula>0.49</formula>
    </cfRule>
    <cfRule type="cellIs" dxfId="445" priority="223" operator="between">
      <formula>0.01</formula>
      <formula>0.24</formula>
    </cfRule>
    <cfRule type="cellIs" dxfId="444" priority="224" operator="between">
      <formula>0.75</formula>
      <formula>1</formula>
    </cfRule>
  </conditionalFormatting>
  <conditionalFormatting sqref="AN265:AN266 Y265:Y266">
    <cfRule type="cellIs" dxfId="443" priority="217" operator="between">
      <formula>0.75</formula>
      <formula>1</formula>
    </cfRule>
    <cfRule type="cellIs" dxfId="442" priority="218" operator="between">
      <formula>0.5</formula>
      <formula>0.74</formula>
    </cfRule>
    <cfRule type="cellIs" dxfId="441" priority="219" operator="between">
      <formula>0.25</formula>
      <formula>0.49</formula>
    </cfRule>
    <cfRule type="cellIs" dxfId="440" priority="220" operator="between">
      <formula>0.01</formula>
      <formula>0.24</formula>
    </cfRule>
  </conditionalFormatting>
  <conditionalFormatting sqref="AC272:AC273">
    <cfRule type="cellIs" dxfId="439" priority="213" operator="between">
      <formula>0.5</formula>
      <formula>0.74</formula>
    </cfRule>
    <cfRule type="cellIs" dxfId="438" priority="214" operator="between">
      <formula>0.25</formula>
      <formula>0.49</formula>
    </cfRule>
    <cfRule type="cellIs" dxfId="437" priority="215" operator="between">
      <formula>0.01</formula>
      <formula>0.24</formula>
    </cfRule>
    <cfRule type="cellIs" dxfId="436" priority="216" operator="between">
      <formula>0.75</formula>
      <formula>1</formula>
    </cfRule>
  </conditionalFormatting>
  <conditionalFormatting sqref="AC274 AC277">
    <cfRule type="cellIs" dxfId="435" priority="201" operator="between">
      <formula>0.5</formula>
      <formula>0.74</formula>
    </cfRule>
    <cfRule type="cellIs" dxfId="434" priority="202" operator="between">
      <formula>0.25</formula>
      <formula>0.49</formula>
    </cfRule>
    <cfRule type="cellIs" dxfId="433" priority="203" operator="between">
      <formula>0.01</formula>
      <formula>0.24</formula>
    </cfRule>
    <cfRule type="cellIs" dxfId="432" priority="204" operator="between">
      <formula>0.75</formula>
      <formula>1</formula>
    </cfRule>
  </conditionalFormatting>
  <conditionalFormatting sqref="AR152">
    <cfRule type="cellIs" dxfId="431" priority="197" operator="between">
      <formula>0.5</formula>
      <formula>0.74</formula>
    </cfRule>
    <cfRule type="cellIs" dxfId="430" priority="198" operator="between">
      <formula>0.25</formula>
      <formula>0.49</formula>
    </cfRule>
    <cfRule type="cellIs" dxfId="429" priority="199" operator="between">
      <formula>0.01</formula>
      <formula>0.24</formula>
    </cfRule>
    <cfRule type="cellIs" dxfId="428" priority="200" operator="between">
      <formula>0.75</formula>
      <formula>1</formula>
    </cfRule>
  </conditionalFormatting>
  <conditionalFormatting sqref="X108:X114">
    <cfRule type="cellIs" dxfId="427" priority="189" operator="between">
      <formula>0.75</formula>
      <formula>1</formula>
    </cfRule>
    <cfRule type="cellIs" dxfId="426" priority="190" operator="between">
      <formula>0.5</formula>
      <formula>0.74</formula>
    </cfRule>
    <cfRule type="cellIs" dxfId="425" priority="191" operator="between">
      <formula>0.25</formula>
      <formula>0.49</formula>
    </cfRule>
    <cfRule type="cellIs" dxfId="424" priority="192" operator="between">
      <formula>0.01</formula>
      <formula>0.24</formula>
    </cfRule>
  </conditionalFormatting>
  <conditionalFormatting sqref="AC176">
    <cfRule type="cellIs" dxfId="423" priority="185" operator="between">
      <formula>0.5</formula>
      <formula>0.74</formula>
    </cfRule>
    <cfRule type="cellIs" dxfId="422" priority="186" operator="between">
      <formula>0.25</formula>
      <formula>0.49</formula>
    </cfRule>
    <cfRule type="cellIs" dxfId="421" priority="187" operator="between">
      <formula>0.01</formula>
      <formula>0.24</formula>
    </cfRule>
    <cfRule type="cellIs" dxfId="420" priority="188" operator="between">
      <formula>0.75</formula>
      <formula>1</formula>
    </cfRule>
  </conditionalFormatting>
  <conditionalFormatting sqref="Y176">
    <cfRule type="cellIs" dxfId="419" priority="181" operator="between">
      <formula>0.75</formula>
      <formula>1</formula>
    </cfRule>
    <cfRule type="cellIs" dxfId="418" priority="182" operator="between">
      <formula>0.5</formula>
      <formula>0.74</formula>
    </cfRule>
    <cfRule type="cellIs" dxfId="417" priority="183" operator="between">
      <formula>0.25</formula>
      <formula>0.49</formula>
    </cfRule>
    <cfRule type="cellIs" dxfId="416" priority="184" operator="between">
      <formula>0.01</formula>
      <formula>0.24</formula>
    </cfRule>
  </conditionalFormatting>
  <conditionalFormatting sqref="AN249:AN251 Y249:Y251">
    <cfRule type="cellIs" dxfId="415" priority="173" operator="between">
      <formula>0.75</formula>
      <formula>1</formula>
    </cfRule>
    <cfRule type="cellIs" dxfId="414" priority="174" operator="between">
      <formula>0.5</formula>
      <formula>0.74</formula>
    </cfRule>
    <cfRule type="cellIs" dxfId="413" priority="175" operator="between">
      <formula>0.25</formula>
      <formula>0.49</formula>
    </cfRule>
    <cfRule type="cellIs" dxfId="412" priority="176" operator="between">
      <formula>0.01</formula>
      <formula>0.24</formula>
    </cfRule>
  </conditionalFormatting>
  <conditionalFormatting sqref="AR249:AR251 AC249:AC251">
    <cfRule type="cellIs" dxfId="411" priority="177" operator="between">
      <formula>0.5</formula>
      <formula>0.74</formula>
    </cfRule>
    <cfRule type="cellIs" dxfId="410" priority="178" operator="between">
      <formula>0.25</formula>
      <formula>0.49</formula>
    </cfRule>
    <cfRule type="cellIs" dxfId="409" priority="179" operator="between">
      <formula>0.01</formula>
      <formula>0.24</formula>
    </cfRule>
    <cfRule type="cellIs" dxfId="408" priority="180" operator="between">
      <formula>0.75</formula>
      <formula>1</formula>
    </cfRule>
  </conditionalFormatting>
  <conditionalFormatting sqref="Y192:Y194">
    <cfRule type="cellIs" dxfId="407" priority="169" operator="between">
      <formula>0.75</formula>
      <formula>1</formula>
    </cfRule>
    <cfRule type="cellIs" dxfId="406" priority="170" operator="between">
      <formula>0.5</formula>
      <formula>0.74</formula>
    </cfRule>
    <cfRule type="cellIs" dxfId="405" priority="171" operator="between">
      <formula>0.25</formula>
      <formula>0.49</formula>
    </cfRule>
    <cfRule type="cellIs" dxfId="404" priority="172" operator="between">
      <formula>0.01</formula>
      <formula>0.24</formula>
    </cfRule>
  </conditionalFormatting>
  <conditionalFormatting sqref="AN192:AN194">
    <cfRule type="cellIs" dxfId="403" priority="165" operator="between">
      <formula>0.75</formula>
      <formula>1</formula>
    </cfRule>
    <cfRule type="cellIs" dxfId="402" priority="166" operator="between">
      <formula>0.5</formula>
      <formula>0.74</formula>
    </cfRule>
    <cfRule type="cellIs" dxfId="401" priority="167" operator="between">
      <formula>0.25</formula>
      <formula>0.49</formula>
    </cfRule>
    <cfRule type="cellIs" dxfId="400" priority="168" operator="between">
      <formula>0.01</formula>
      <formula>0.24</formula>
    </cfRule>
  </conditionalFormatting>
  <conditionalFormatting sqref="Y159:Y161">
    <cfRule type="cellIs" dxfId="399" priority="161" operator="between">
      <formula>0.75</formula>
      <formula>1</formula>
    </cfRule>
    <cfRule type="cellIs" dxfId="398" priority="162" operator="between">
      <formula>0.5</formula>
      <formula>0.74</formula>
    </cfRule>
    <cfRule type="cellIs" dxfId="397" priority="163" operator="between">
      <formula>0.25</formula>
      <formula>0.49</formula>
    </cfRule>
    <cfRule type="cellIs" dxfId="396" priority="164" operator="between">
      <formula>0.01</formula>
      <formula>0.24</formula>
    </cfRule>
  </conditionalFormatting>
  <conditionalFormatting sqref="AR252 AC252">
    <cfRule type="cellIs" dxfId="395" priority="149" operator="between">
      <formula>0.5</formula>
      <formula>0.74</formula>
    </cfRule>
    <cfRule type="cellIs" dxfId="394" priority="150" operator="between">
      <formula>0.25</formula>
      <formula>0.49</formula>
    </cfRule>
    <cfRule type="cellIs" dxfId="393" priority="151" operator="between">
      <formula>0.01</formula>
      <formula>0.24</formula>
    </cfRule>
    <cfRule type="cellIs" dxfId="392" priority="152" operator="between">
      <formula>0.75</formula>
      <formula>1</formula>
    </cfRule>
  </conditionalFormatting>
  <conditionalFormatting sqref="AN252 Y252">
    <cfRule type="cellIs" dxfId="391" priority="145" operator="between">
      <formula>0.75</formula>
      <formula>1</formula>
    </cfRule>
    <cfRule type="cellIs" dxfId="390" priority="146" operator="between">
      <formula>0.5</formula>
      <formula>0.74</formula>
    </cfRule>
    <cfRule type="cellIs" dxfId="389" priority="147" operator="between">
      <formula>0.25</formula>
      <formula>0.49</formula>
    </cfRule>
    <cfRule type="cellIs" dxfId="388" priority="148" operator="between">
      <formula>0.01</formula>
      <formula>0.24</formula>
    </cfRule>
  </conditionalFormatting>
  <conditionalFormatting sqref="Y155:Y158">
    <cfRule type="cellIs" dxfId="387" priority="141" operator="between">
      <formula>0.75</formula>
      <formula>1</formula>
    </cfRule>
    <cfRule type="cellIs" dxfId="386" priority="142" operator="between">
      <formula>0.5</formula>
      <formula>0.74</formula>
    </cfRule>
    <cfRule type="cellIs" dxfId="385" priority="143" operator="between">
      <formula>0.25</formula>
      <formula>0.49</formula>
    </cfRule>
    <cfRule type="cellIs" dxfId="384" priority="144" operator="between">
      <formula>0.01</formula>
      <formula>0.24</formula>
    </cfRule>
  </conditionalFormatting>
  <conditionalFormatting sqref="AC90">
    <cfRule type="cellIs" dxfId="383" priority="137" operator="between">
      <formula>0.75</formula>
      <formula>1</formula>
    </cfRule>
    <cfRule type="cellIs" dxfId="382" priority="138" operator="between">
      <formula>0.5</formula>
      <formula>0.74</formula>
    </cfRule>
    <cfRule type="cellIs" dxfId="381" priority="139" operator="between">
      <formula>0.25</formula>
      <formula>0.49</formula>
    </cfRule>
    <cfRule type="cellIs" dxfId="380" priority="140" operator="between">
      <formula>0.01</formula>
      <formula>0.24</formula>
    </cfRule>
  </conditionalFormatting>
  <conditionalFormatting sqref="AR88">
    <cfRule type="cellIs" dxfId="379" priority="113" operator="between">
      <formula>0.5</formula>
      <formula>0.74</formula>
    </cfRule>
    <cfRule type="cellIs" dxfId="378" priority="114" operator="between">
      <formula>0.25</formula>
      <formula>0.49</formula>
    </cfRule>
    <cfRule type="cellIs" dxfId="377" priority="115" operator="between">
      <formula>0.01</formula>
      <formula>0.24</formula>
    </cfRule>
    <cfRule type="cellIs" dxfId="376" priority="116" operator="between">
      <formula>0.75</formula>
      <formula>1</formula>
    </cfRule>
  </conditionalFormatting>
  <conditionalFormatting sqref="AR107">
    <cfRule type="cellIs" dxfId="375" priority="109" operator="between">
      <formula>0.5</formula>
      <formula>0.74</formula>
    </cfRule>
    <cfRule type="cellIs" dxfId="374" priority="110" operator="between">
      <formula>0.25</formula>
      <formula>0.49</formula>
    </cfRule>
    <cfRule type="cellIs" dxfId="373" priority="111" operator="between">
      <formula>0.01</formula>
      <formula>0.24</formula>
    </cfRule>
    <cfRule type="cellIs" dxfId="372" priority="112" operator="between">
      <formula>0.75</formula>
      <formula>1</formula>
    </cfRule>
  </conditionalFormatting>
  <conditionalFormatting sqref="Y115:Y119">
    <cfRule type="cellIs" dxfId="371" priority="105" operator="between">
      <formula>0.75</formula>
      <formula>1</formula>
    </cfRule>
    <cfRule type="cellIs" dxfId="370" priority="106" operator="between">
      <formula>0.5</formula>
      <formula>0.74</formula>
    </cfRule>
    <cfRule type="cellIs" dxfId="369" priority="107" operator="between">
      <formula>0.25</formula>
      <formula>0.49</formula>
    </cfRule>
    <cfRule type="cellIs" dxfId="368" priority="108" operator="between">
      <formula>0.01</formula>
      <formula>0.24</formula>
    </cfRule>
  </conditionalFormatting>
  <conditionalFormatting sqref="AR41">
    <cfRule type="cellIs" dxfId="367" priority="101" operator="between">
      <formula>0.5</formula>
      <formula>0.74</formula>
    </cfRule>
    <cfRule type="cellIs" dxfId="366" priority="102" operator="between">
      <formula>0.25</formula>
      <formula>0.49</formula>
    </cfRule>
    <cfRule type="cellIs" dxfId="365" priority="103" operator="between">
      <formula>0.01</formula>
      <formula>0.24</formula>
    </cfRule>
    <cfRule type="cellIs" dxfId="364" priority="104" operator="between">
      <formula>0.75</formula>
      <formula>1</formula>
    </cfRule>
  </conditionalFormatting>
  <conditionalFormatting sqref="AR71:AR78">
    <cfRule type="cellIs" dxfId="363" priority="89" operator="between">
      <formula>0.5</formula>
      <formula>0.74</formula>
    </cfRule>
    <cfRule type="cellIs" dxfId="362" priority="90" operator="between">
      <formula>0.25</formula>
      <formula>0.49</formula>
    </cfRule>
    <cfRule type="cellIs" dxfId="361" priority="91" operator="between">
      <formula>0.01</formula>
      <formula>0.24</formula>
    </cfRule>
    <cfRule type="cellIs" dxfId="360" priority="92" operator="between">
      <formula>0.75</formula>
      <formula>1</formula>
    </cfRule>
  </conditionalFormatting>
  <conditionalFormatting sqref="AR51">
    <cfRule type="cellIs" dxfId="359" priority="97" operator="between">
      <formula>0.5</formula>
      <formula>0.74</formula>
    </cfRule>
    <cfRule type="cellIs" dxfId="358" priority="98" operator="between">
      <formula>0.25</formula>
      <formula>0.49</formula>
    </cfRule>
    <cfRule type="cellIs" dxfId="357" priority="99" operator="between">
      <formula>0.01</formula>
      <formula>0.24</formula>
    </cfRule>
    <cfRule type="cellIs" dxfId="356" priority="100" operator="between">
      <formula>0.75</formula>
      <formula>1</formula>
    </cfRule>
  </conditionalFormatting>
  <conditionalFormatting sqref="AR60">
    <cfRule type="cellIs" dxfId="355" priority="93" operator="between">
      <formula>0.5</formula>
      <formula>0.74</formula>
    </cfRule>
    <cfRule type="cellIs" dxfId="354" priority="94" operator="between">
      <formula>0.25</formula>
      <formula>0.49</formula>
    </cfRule>
    <cfRule type="cellIs" dxfId="353" priority="95" operator="between">
      <formula>0.01</formula>
      <formula>0.24</formula>
    </cfRule>
    <cfRule type="cellIs" dxfId="352" priority="96" operator="between">
      <formula>0.75</formula>
      <formula>1</formula>
    </cfRule>
  </conditionalFormatting>
  <conditionalFormatting sqref="AN93">
    <cfRule type="cellIs" dxfId="351" priority="85" operator="between">
      <formula>0.75</formula>
      <formula>1</formula>
    </cfRule>
    <cfRule type="cellIs" dxfId="350" priority="86" operator="between">
      <formula>0.5</formula>
      <formula>0.74</formula>
    </cfRule>
    <cfRule type="cellIs" dxfId="349" priority="87" operator="between">
      <formula>0.25</formula>
      <formula>0.49</formula>
    </cfRule>
    <cfRule type="cellIs" dxfId="348" priority="88" operator="between">
      <formula>0.01</formula>
      <formula>0.24</formula>
    </cfRule>
  </conditionalFormatting>
  <conditionalFormatting sqref="AR140:AR141">
    <cfRule type="cellIs" dxfId="347" priority="81" operator="between">
      <formula>0.5</formula>
      <formula>0.74</formula>
    </cfRule>
    <cfRule type="cellIs" dxfId="346" priority="82" operator="between">
      <formula>0.25</formula>
      <formula>0.49</formula>
    </cfRule>
    <cfRule type="cellIs" dxfId="345" priority="83" operator="between">
      <formula>0.01</formula>
      <formula>0.24</formula>
    </cfRule>
    <cfRule type="cellIs" dxfId="344" priority="84" operator="between">
      <formula>0.75</formula>
      <formula>1</formula>
    </cfRule>
  </conditionalFormatting>
  <conditionalFormatting sqref="AR162:AR164">
    <cfRule type="cellIs" dxfId="343" priority="77" operator="between">
      <formula>0.5</formula>
      <formula>0.74</formula>
    </cfRule>
    <cfRule type="cellIs" dxfId="342" priority="78" operator="between">
      <formula>0.25</formula>
      <formula>0.49</formula>
    </cfRule>
    <cfRule type="cellIs" dxfId="341" priority="79" operator="between">
      <formula>0.01</formula>
      <formula>0.24</formula>
    </cfRule>
    <cfRule type="cellIs" dxfId="340" priority="80" operator="between">
      <formula>0.75</formula>
      <formula>1</formula>
    </cfRule>
  </conditionalFormatting>
  <conditionalFormatting sqref="AR171:AR172">
    <cfRule type="cellIs" dxfId="339" priority="73" operator="between">
      <formula>0.5</formula>
      <formula>0.74</formula>
    </cfRule>
    <cfRule type="cellIs" dxfId="338" priority="74" operator="between">
      <formula>0.25</formula>
      <formula>0.49</formula>
    </cfRule>
    <cfRule type="cellIs" dxfId="337" priority="75" operator="between">
      <formula>0.01</formula>
      <formula>0.24</formula>
    </cfRule>
    <cfRule type="cellIs" dxfId="336" priority="76" operator="between">
      <formula>0.75</formula>
      <formula>1</formula>
    </cfRule>
  </conditionalFormatting>
  <conditionalFormatting sqref="AN171:AN172">
    <cfRule type="cellIs" dxfId="335" priority="69" operator="between">
      <formula>0.75</formula>
      <formula>1</formula>
    </cfRule>
    <cfRule type="cellIs" dxfId="334" priority="70" operator="between">
      <formula>0.5</formula>
      <formula>0.74</formula>
    </cfRule>
    <cfRule type="cellIs" dxfId="333" priority="71" operator="between">
      <formula>0.25</formula>
      <formula>0.49</formula>
    </cfRule>
    <cfRule type="cellIs" dxfId="332" priority="72" operator="between">
      <formula>0.01</formula>
      <formula>0.24</formula>
    </cfRule>
  </conditionalFormatting>
  <conditionalFormatting sqref="AR285 AC285">
    <cfRule type="cellIs" dxfId="331" priority="41" operator="between">
      <formula>0.5</formula>
      <formula>0.74</formula>
    </cfRule>
    <cfRule type="cellIs" dxfId="330" priority="42" operator="between">
      <formula>0.25</formula>
      <formula>0.49</formula>
    </cfRule>
    <cfRule type="cellIs" dxfId="329" priority="43" operator="between">
      <formula>0.01</formula>
      <formula>0.24</formula>
    </cfRule>
    <cfRule type="cellIs" dxfId="328" priority="44" operator="between">
      <formula>0.75</formula>
      <formula>1</formula>
    </cfRule>
  </conditionalFormatting>
  <conditionalFormatting sqref="Y285">
    <cfRule type="cellIs" dxfId="327" priority="37" operator="between">
      <formula>0.75</formula>
      <formula>1</formula>
    </cfRule>
    <cfRule type="cellIs" dxfId="326" priority="38" operator="between">
      <formula>0.5</formula>
      <formula>0.74</formula>
    </cfRule>
    <cfRule type="cellIs" dxfId="325" priority="39" operator="between">
      <formula>0.25</formula>
      <formula>0.49</formula>
    </cfRule>
    <cfRule type="cellIs" dxfId="324" priority="40" operator="between">
      <formula>0.01</formula>
      <formula>0.24</formula>
    </cfRule>
  </conditionalFormatting>
  <conditionalFormatting sqref="Y187:Y190">
    <cfRule type="cellIs" dxfId="323" priority="25" operator="between">
      <formula>0.75</formula>
      <formula>1</formula>
    </cfRule>
    <cfRule type="cellIs" dxfId="322" priority="26" operator="between">
      <formula>0.5</formula>
      <formula>0.74</formula>
    </cfRule>
    <cfRule type="cellIs" dxfId="321" priority="27" operator="between">
      <formula>0.25</formula>
      <formula>0.49</formula>
    </cfRule>
    <cfRule type="cellIs" dxfId="320" priority="28" operator="between">
      <formula>0.01</formula>
      <formula>0.24</formula>
    </cfRule>
  </conditionalFormatting>
  <conditionalFormatting sqref="Y267:Y271">
    <cfRule type="cellIs" dxfId="319" priority="21" operator="between">
      <formula>0.75</formula>
      <formula>1</formula>
    </cfRule>
    <cfRule type="cellIs" dxfId="318" priority="22" operator="between">
      <formula>0.5</formula>
      <formula>0.74</formula>
    </cfRule>
    <cfRule type="cellIs" dxfId="317" priority="23" operator="between">
      <formula>0.25</formula>
      <formula>0.49</formula>
    </cfRule>
    <cfRule type="cellIs" dxfId="316" priority="24" operator="between">
      <formula>0.01</formula>
      <formula>0.24</formula>
    </cfRule>
  </conditionalFormatting>
  <conditionalFormatting sqref="AN267:AN271">
    <cfRule type="cellIs" dxfId="315" priority="17" operator="between">
      <formula>0.75</formula>
      <formula>1</formula>
    </cfRule>
    <cfRule type="cellIs" dxfId="314" priority="18" operator="between">
      <formula>0.5</formula>
      <formula>0.74</formula>
    </cfRule>
    <cfRule type="cellIs" dxfId="313" priority="19" operator="between">
      <formula>0.25</formula>
      <formula>0.49</formula>
    </cfRule>
    <cfRule type="cellIs" dxfId="312" priority="20" operator="between">
      <formula>0.01</formula>
      <formula>0.24</formula>
    </cfRule>
  </conditionalFormatting>
  <conditionalFormatting sqref="AR127">
    <cfRule type="cellIs" dxfId="311" priority="13" operator="between">
      <formula>0.5</formula>
      <formula>0.74</formula>
    </cfRule>
    <cfRule type="cellIs" dxfId="310" priority="14" operator="between">
      <formula>0.25</formula>
      <formula>0.49</formula>
    </cfRule>
    <cfRule type="cellIs" dxfId="309" priority="15" operator="between">
      <formula>0.01</formula>
      <formula>0.24</formula>
    </cfRule>
    <cfRule type="cellIs" dxfId="308" priority="16" operator="between">
      <formula>0.75</formula>
      <formula>1</formula>
    </cfRule>
  </conditionalFormatting>
  <conditionalFormatting sqref="Y98:Y100">
    <cfRule type="cellIs" dxfId="307" priority="9" operator="between">
      <formula>0.75</formula>
      <formula>1</formula>
    </cfRule>
    <cfRule type="cellIs" dxfId="306" priority="10" operator="between">
      <formula>0.5</formula>
      <formula>0.74</formula>
    </cfRule>
    <cfRule type="cellIs" dxfId="305" priority="11" operator="between">
      <formula>0.25</formula>
      <formula>0.49</formula>
    </cfRule>
    <cfRule type="cellIs" dxfId="304" priority="12" operator="between">
      <formula>0.01</formula>
      <formula>0.24</formula>
    </cfRule>
  </conditionalFormatting>
  <conditionalFormatting sqref="Y144">
    <cfRule type="cellIs" dxfId="303" priority="5" operator="between">
      <formula>0.75</formula>
      <formula>1</formula>
    </cfRule>
    <cfRule type="cellIs" dxfId="302" priority="6" operator="between">
      <formula>0.5</formula>
      <formula>0.74</formula>
    </cfRule>
    <cfRule type="cellIs" dxfId="301" priority="7" operator="between">
      <formula>0.25</formula>
      <formula>0.49</formula>
    </cfRule>
    <cfRule type="cellIs" dxfId="300" priority="8" operator="between">
      <formula>0.01</formula>
      <formula>0.24</formula>
    </cfRule>
  </conditionalFormatting>
  <conditionalFormatting sqref="AC278:AC281">
    <cfRule type="cellIs" dxfId="299" priority="1" operator="between">
      <formula>0.75</formula>
      <formula>1</formula>
    </cfRule>
    <cfRule type="cellIs" dxfId="298" priority="2" operator="between">
      <formula>0.5</formula>
      <formula>0.74</formula>
    </cfRule>
    <cfRule type="cellIs" dxfId="297" priority="3" operator="between">
      <formula>0.25</formula>
      <formula>0.49</formula>
    </cfRule>
    <cfRule type="cellIs" dxfId="296" priority="4" operator="between">
      <formula>0.01</formula>
      <formula>0.24</formula>
    </cfRule>
  </conditionalFormatting>
  <pageMargins left="0.25" right="0.25" top="0.75" bottom="0.75" header="0.3" footer="0.3"/>
  <pageSetup paperSize="8" scale="13" fitToHeight="0" orientation="landscape" horizontalDpi="300" verticalDpi="300" r:id="rId1"/>
  <ignoredErrors>
    <ignoredError sqref="AC82:AD82" formulaRange="1"/>
    <ignoredError sqref="AE171"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344">
              <controlPr defaultSize="0" print="0" autoFill="0" autoPict="0" macro="[0]!ВыборкаУникальных">
                <anchor moveWithCells="1" sizeWithCells="1">
                  <from>
                    <xdr:col>34</xdr:col>
                    <xdr:colOff>1744980</xdr:colOff>
                    <xdr:row>0</xdr:row>
                    <xdr:rowOff>0</xdr:rowOff>
                  </from>
                  <to>
                    <xdr:col>34</xdr:col>
                    <xdr:colOff>4465320</xdr:colOff>
                    <xdr:row>6</xdr:row>
                    <xdr:rowOff>68580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iconSet" priority="505" id="{69472055-FAD2-4461-BB23-CB4BBC4C57E2}">
            <x14:iconSet iconSet="3Triangles">
              <x14:cfvo type="percent">
                <xm:f>0</xm:f>
              </x14:cfvo>
              <x14:cfvo type="percent">
                <xm:f>33</xm:f>
              </x14:cfvo>
              <x14:cfvo type="percent">
                <xm:f>67</xm:f>
              </x14:cfvo>
            </x14:iconSet>
          </x14:cfRule>
          <xm:sqref>X60:X65</xm:sqref>
        </x14:conditionalFormatting>
        <x14:conditionalFormatting xmlns:xm="http://schemas.microsoft.com/office/excel/2006/main">
          <x14:cfRule type="iconSet" priority="507" id="{F400657D-303B-465B-A055-9969D3CF1DE2}">
            <x14:iconSet iconSet="3Triangles">
              <x14:cfvo type="percent">
                <xm:f>0</xm:f>
              </x14:cfvo>
              <x14:cfvo type="percent">
                <xm:f>33</xm:f>
              </x14:cfvo>
              <x14:cfvo type="percent">
                <xm:f>67</xm:f>
              </x14:cfvo>
            </x14:iconSet>
          </x14:cfRule>
          <xm:sqref>X45:X46</xm:sqref>
        </x14:conditionalFormatting>
        <x14:conditionalFormatting xmlns:xm="http://schemas.microsoft.com/office/excel/2006/main">
          <x14:cfRule type="iconSet" priority="573" id="{4EC5D670-A31F-46A7-9673-DDC97B65F7C7}">
            <x14:iconSet iconSet="3Triangles">
              <x14:cfvo type="percent">
                <xm:f>0</xm:f>
              </x14:cfvo>
              <x14:cfvo type="percent">
                <xm:f>33</xm:f>
              </x14:cfvo>
              <x14:cfvo type="percent">
                <xm:f>67</xm:f>
              </x14:cfvo>
            </x14:iconSet>
          </x14:cfRule>
          <xm:sqref>X41:X44</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C000"/>
  </sheetPr>
  <dimension ref="A2:R26"/>
  <sheetViews>
    <sheetView workbookViewId="0">
      <selection activeCell="E9" sqref="E9"/>
    </sheetView>
  </sheetViews>
  <sheetFormatPr defaultRowHeight="14.4"/>
  <cols>
    <col min="2" max="13" width="13" customWidth="1"/>
    <col min="16" max="16" width="12.44140625" customWidth="1"/>
  </cols>
  <sheetData>
    <row r="2" spans="2:18" ht="22.8">
      <c r="B2" s="1565" t="s">
        <v>1497</v>
      </c>
      <c r="C2" s="1563">
        <v>2022</v>
      </c>
      <c r="D2" s="1564"/>
      <c r="E2" s="1563">
        <v>2023</v>
      </c>
      <c r="F2" s="1564"/>
      <c r="G2" s="1563">
        <v>2024</v>
      </c>
      <c r="H2" s="1564"/>
      <c r="I2" s="1563">
        <v>2025</v>
      </c>
      <c r="J2" s="1564"/>
      <c r="K2" s="1563">
        <v>2026</v>
      </c>
      <c r="L2" s="1564"/>
      <c r="M2" s="825">
        <v>2027</v>
      </c>
    </row>
    <row r="3" spans="2:18" ht="46.8">
      <c r="B3" s="1566"/>
      <c r="C3" s="826" t="s">
        <v>1498</v>
      </c>
      <c r="D3" s="827" t="s">
        <v>1499</v>
      </c>
      <c r="E3" s="826" t="s">
        <v>1498</v>
      </c>
      <c r="F3" s="827" t="s">
        <v>1500</v>
      </c>
      <c r="G3" s="826" t="s">
        <v>1498</v>
      </c>
      <c r="H3" s="827" t="s">
        <v>1500</v>
      </c>
      <c r="I3" s="826" t="s">
        <v>1498</v>
      </c>
      <c r="J3" s="827" t="s">
        <v>1500</v>
      </c>
      <c r="K3" s="826" t="s">
        <v>1498</v>
      </c>
      <c r="L3" s="827" t="s">
        <v>1500</v>
      </c>
      <c r="M3" s="826" t="s">
        <v>1500</v>
      </c>
    </row>
    <row r="4" spans="2:18" ht="46.8">
      <c r="B4" s="828" t="s">
        <v>1583</v>
      </c>
      <c r="C4" s="829">
        <v>238221</v>
      </c>
      <c r="D4" s="830">
        <v>241664</v>
      </c>
      <c r="E4" s="829">
        <v>258810</v>
      </c>
      <c r="F4" s="830">
        <v>262009</v>
      </c>
      <c r="G4" s="829">
        <v>270942</v>
      </c>
      <c r="H4" s="830">
        <v>269023</v>
      </c>
      <c r="I4" s="829">
        <v>282204</v>
      </c>
      <c r="J4" s="830">
        <v>279757</v>
      </c>
      <c r="K4" s="829">
        <v>284709</v>
      </c>
      <c r="L4" s="830">
        <v>284141</v>
      </c>
      <c r="M4" s="829">
        <v>285788</v>
      </c>
    </row>
    <row r="5" spans="2:18" ht="30">
      <c r="B5" s="831" t="s">
        <v>1504</v>
      </c>
      <c r="C5" s="832">
        <v>91067</v>
      </c>
      <c r="D5" s="833">
        <v>89618</v>
      </c>
      <c r="E5" s="832">
        <v>95154</v>
      </c>
      <c r="F5" s="833">
        <v>94633</v>
      </c>
      <c r="G5" s="832">
        <v>98969</v>
      </c>
      <c r="H5" s="833">
        <v>96157</v>
      </c>
      <c r="I5" s="832">
        <v>99891</v>
      </c>
      <c r="J5" s="833">
        <v>98109</v>
      </c>
      <c r="K5" s="832">
        <v>99250</v>
      </c>
      <c r="L5" s="833">
        <v>99700</v>
      </c>
      <c r="M5" s="832">
        <v>100169</v>
      </c>
    </row>
    <row r="6" spans="2:18" ht="15">
      <c r="B6" s="831" t="s">
        <v>1505</v>
      </c>
      <c r="C6" s="832">
        <v>85522</v>
      </c>
      <c r="D6" s="833">
        <v>88898</v>
      </c>
      <c r="E6" s="832">
        <v>98670</v>
      </c>
      <c r="F6" s="833">
        <v>101330</v>
      </c>
      <c r="G6" s="832">
        <v>104184</v>
      </c>
      <c r="H6" s="833">
        <v>104983</v>
      </c>
      <c r="I6" s="832">
        <v>111297</v>
      </c>
      <c r="J6" s="833">
        <v>109603</v>
      </c>
      <c r="K6" s="832">
        <v>111506</v>
      </c>
      <c r="L6" s="833">
        <v>110492</v>
      </c>
      <c r="M6" s="832">
        <v>110777</v>
      </c>
    </row>
    <row r="7" spans="2:18" ht="15">
      <c r="B7" s="831" t="s">
        <v>1506</v>
      </c>
      <c r="C7" s="832">
        <v>19567</v>
      </c>
      <c r="D7" s="833">
        <v>20025</v>
      </c>
      <c r="E7" s="832">
        <v>19133</v>
      </c>
      <c r="F7" s="833">
        <v>19065</v>
      </c>
      <c r="G7" s="832">
        <v>19123</v>
      </c>
      <c r="H7" s="833">
        <v>19051</v>
      </c>
      <c r="I7" s="832">
        <v>19179</v>
      </c>
      <c r="J7" s="833">
        <v>19109</v>
      </c>
      <c r="K7" s="832">
        <v>19224</v>
      </c>
      <c r="L7" s="833">
        <v>19152</v>
      </c>
      <c r="M7" s="832">
        <v>19169</v>
      </c>
    </row>
    <row r="8" spans="2:18" ht="15">
      <c r="B8" s="831" t="s">
        <v>1507</v>
      </c>
      <c r="C8" s="832">
        <v>42065</v>
      </c>
      <c r="D8" s="833">
        <v>43124</v>
      </c>
      <c r="E8" s="832">
        <v>45852</v>
      </c>
      <c r="F8" s="833">
        <v>46981</v>
      </c>
      <c r="G8" s="832">
        <v>48666</v>
      </c>
      <c r="H8" s="833">
        <v>48833</v>
      </c>
      <c r="I8" s="832">
        <v>51837</v>
      </c>
      <c r="J8" s="833">
        <v>52936</v>
      </c>
      <c r="K8" s="832">
        <v>54730</v>
      </c>
      <c r="L8" s="833">
        <v>54797</v>
      </c>
      <c r="M8" s="832">
        <v>55673</v>
      </c>
    </row>
    <row r="9" spans="2:18" ht="60">
      <c r="B9" s="831" t="s">
        <v>1584</v>
      </c>
      <c r="C9" s="832">
        <v>1200</v>
      </c>
      <c r="D9" s="833">
        <v>1145</v>
      </c>
      <c r="E9" s="832">
        <v>1250</v>
      </c>
      <c r="F9" s="833">
        <v>1250</v>
      </c>
      <c r="G9" s="832">
        <v>1355</v>
      </c>
      <c r="H9" s="833">
        <v>1348</v>
      </c>
      <c r="I9" s="832">
        <v>1483</v>
      </c>
      <c r="J9" s="833">
        <v>1464</v>
      </c>
      <c r="K9" s="832">
        <v>1589</v>
      </c>
      <c r="L9" s="833">
        <v>1556</v>
      </c>
      <c r="M9" s="832">
        <v>1590</v>
      </c>
    </row>
    <row r="10" spans="2:18" ht="62.4">
      <c r="B10" s="834" t="s">
        <v>1585</v>
      </c>
      <c r="C10" s="835">
        <v>11631</v>
      </c>
      <c r="D10" s="836">
        <v>12090</v>
      </c>
      <c r="E10" s="835">
        <v>12310</v>
      </c>
      <c r="F10" s="836">
        <v>12645</v>
      </c>
      <c r="G10" s="835">
        <v>12526</v>
      </c>
      <c r="H10" s="836">
        <v>12779</v>
      </c>
      <c r="I10" s="835">
        <v>12532</v>
      </c>
      <c r="J10" s="836">
        <v>12985</v>
      </c>
      <c r="K10" s="835">
        <v>12602</v>
      </c>
      <c r="L10" s="836">
        <v>12499</v>
      </c>
      <c r="M10" s="835">
        <v>11942</v>
      </c>
    </row>
    <row r="11" spans="2:18">
      <c r="B11" s="358" t="s">
        <v>1586</v>
      </c>
      <c r="C11" s="358"/>
      <c r="D11" s="837">
        <f t="shared" ref="D11:E13" si="0">P11/O11-1</f>
        <v>0.26881720430107525</v>
      </c>
      <c r="E11" s="837">
        <f t="shared" si="0"/>
        <v>0.12988700564971745</v>
      </c>
      <c r="F11" s="838">
        <f>F21/C21-1</f>
        <v>0.11283145226692315</v>
      </c>
      <c r="G11" s="358"/>
      <c r="H11" s="838">
        <f>H21/F21-1</f>
        <v>4.1537115496651733E-2</v>
      </c>
      <c r="I11" s="358"/>
      <c r="J11" s="838">
        <f>J21/H21-1</f>
        <v>8.6824288426569085E-2</v>
      </c>
      <c r="K11" s="358"/>
      <c r="L11" s="838">
        <f>L21/J21-1</f>
        <v>3.6561789793689625E-2</v>
      </c>
      <c r="M11" s="838">
        <f>M21/L21-1</f>
        <v>1.6488229557442668E-2</v>
      </c>
      <c r="N11" s="358"/>
      <c r="O11" s="839">
        <v>279000</v>
      </c>
      <c r="P11" s="358">
        <v>354000</v>
      </c>
      <c r="Q11" s="839">
        <v>399980</v>
      </c>
      <c r="R11" s="358"/>
    </row>
    <row r="12" spans="2:18">
      <c r="B12" s="358" t="s">
        <v>1587</v>
      </c>
      <c r="C12" s="358"/>
      <c r="D12" s="837">
        <f t="shared" si="0"/>
        <v>0.31927710843373491</v>
      </c>
      <c r="E12" s="837">
        <f t="shared" si="0"/>
        <v>0.21689497716894968</v>
      </c>
      <c r="F12" s="838">
        <f>F9/C9-1</f>
        <v>4.1666666666666741E-2</v>
      </c>
      <c r="G12" s="358"/>
      <c r="H12" s="838">
        <f>H9/F9-1</f>
        <v>7.8400000000000025E-2</v>
      </c>
      <c r="I12" s="358"/>
      <c r="J12" s="838">
        <f>J9/H9-1</f>
        <v>8.6053412462907986E-2</v>
      </c>
      <c r="K12" s="358"/>
      <c r="L12" s="838">
        <f>L9/J9-1</f>
        <v>6.2841530054644767E-2</v>
      </c>
      <c r="M12" s="838">
        <f>M9/L9-1</f>
        <v>2.185089974293053E-2</v>
      </c>
      <c r="N12" s="358"/>
      <c r="O12" s="358">
        <v>664</v>
      </c>
      <c r="P12" s="358">
        <v>876</v>
      </c>
      <c r="Q12" s="358">
        <v>1066</v>
      </c>
      <c r="R12" s="358"/>
    </row>
    <row r="13" spans="2:18">
      <c r="B13" s="358" t="s">
        <v>1588</v>
      </c>
      <c r="C13" s="358"/>
      <c r="D13" s="837">
        <f t="shared" si="0"/>
        <v>0.19369645042839667</v>
      </c>
      <c r="E13" s="837">
        <f t="shared" si="0"/>
        <v>-0.28479876954627015</v>
      </c>
      <c r="F13" s="838">
        <f>F8/C8-1</f>
        <v>0.11686675383335321</v>
      </c>
      <c r="G13" s="358"/>
      <c r="H13" s="838">
        <f>H8/F8-1</f>
        <v>3.9420191141099625E-2</v>
      </c>
      <c r="I13" s="358"/>
      <c r="J13" s="838">
        <f>J8/H8-1</f>
        <v>8.4021051338234454E-2</v>
      </c>
      <c r="K13" s="358"/>
      <c r="L13" s="838">
        <f>L8/J8-1</f>
        <v>3.5155659664500627E-2</v>
      </c>
      <c r="M13" s="838">
        <f>M8/L8-1</f>
        <v>1.5986276620982842E-2</v>
      </c>
      <c r="N13" s="358"/>
      <c r="O13" s="358">
        <v>32680</v>
      </c>
      <c r="P13" s="358">
        <v>39010</v>
      </c>
      <c r="Q13" s="358">
        <v>27900</v>
      </c>
      <c r="R13" s="358"/>
    </row>
    <row r="14" spans="2:18" ht="22.8">
      <c r="C14" s="1563">
        <v>2022</v>
      </c>
      <c r="D14" s="1564"/>
      <c r="E14" s="1563">
        <v>2023</v>
      </c>
      <c r="F14" s="1564"/>
      <c r="G14" s="1563">
        <v>2024</v>
      </c>
      <c r="H14" s="1564"/>
      <c r="I14" s="1563">
        <v>2025</v>
      </c>
      <c r="J14" s="1564"/>
      <c r="K14" s="1563">
        <v>2026</v>
      </c>
      <c r="L14" s="1564"/>
      <c r="M14" s="825">
        <v>2027</v>
      </c>
    </row>
    <row r="15" spans="2:18" ht="46.8">
      <c r="C15" s="826" t="s">
        <v>1498</v>
      </c>
      <c r="D15" s="827" t="s">
        <v>1499</v>
      </c>
      <c r="E15" s="826" t="s">
        <v>1498</v>
      </c>
      <c r="F15" s="827" t="s">
        <v>1500</v>
      </c>
      <c r="G15" s="826" t="s">
        <v>1498</v>
      </c>
      <c r="H15" s="827" t="s">
        <v>1500</v>
      </c>
      <c r="I15" s="826" t="s">
        <v>1498</v>
      </c>
      <c r="J15" s="827" t="s">
        <v>1500</v>
      </c>
      <c r="K15" s="826" t="s">
        <v>1498</v>
      </c>
      <c r="L15" s="827" t="s">
        <v>1500</v>
      </c>
      <c r="M15" s="826" t="s">
        <v>1500</v>
      </c>
    </row>
    <row r="16" spans="2:18" ht="26.4">
      <c r="B16" s="594" t="s">
        <v>1502</v>
      </c>
      <c r="C16" s="595">
        <v>1403661</v>
      </c>
      <c r="D16" s="596">
        <v>1419379</v>
      </c>
      <c r="E16" s="595">
        <v>1658270</v>
      </c>
      <c r="F16" s="596">
        <v>1734573</v>
      </c>
      <c r="G16" s="595">
        <v>1763058</v>
      </c>
      <c r="H16" s="596">
        <v>1843944</v>
      </c>
      <c r="I16" s="595">
        <v>1883515</v>
      </c>
      <c r="J16" s="596">
        <v>1977423</v>
      </c>
      <c r="K16" s="595">
        <v>1971443</v>
      </c>
      <c r="L16" s="596">
        <v>2089782</v>
      </c>
      <c r="M16" s="595">
        <v>2179978</v>
      </c>
    </row>
    <row r="17" spans="1:13" ht="39.6">
      <c r="B17" s="597" t="s">
        <v>1503</v>
      </c>
      <c r="C17" s="598">
        <v>1240726</v>
      </c>
      <c r="D17" s="599">
        <v>1251620</v>
      </c>
      <c r="E17" s="598">
        <v>1466195</v>
      </c>
      <c r="F17" s="599">
        <v>1537401</v>
      </c>
      <c r="G17" s="598">
        <v>1573005</v>
      </c>
      <c r="H17" s="599">
        <v>1636500</v>
      </c>
      <c r="I17" s="598">
        <v>1684313</v>
      </c>
      <c r="J17" s="599">
        <v>1758378</v>
      </c>
      <c r="K17" s="598">
        <v>1762561</v>
      </c>
      <c r="L17" s="599">
        <v>1858440</v>
      </c>
      <c r="M17" s="598">
        <v>1935157</v>
      </c>
    </row>
    <row r="18" spans="1:13" ht="26.4">
      <c r="B18" s="600" t="s">
        <v>1504</v>
      </c>
      <c r="C18" s="601">
        <v>288059</v>
      </c>
      <c r="D18" s="602">
        <v>270561</v>
      </c>
      <c r="E18" s="601">
        <v>324756</v>
      </c>
      <c r="F18" s="602">
        <v>354032</v>
      </c>
      <c r="G18" s="601">
        <v>357210</v>
      </c>
      <c r="H18" s="602">
        <v>391215</v>
      </c>
      <c r="I18" s="601">
        <v>382042</v>
      </c>
      <c r="J18" s="602">
        <v>423718</v>
      </c>
      <c r="K18" s="601">
        <v>402931</v>
      </c>
      <c r="L18" s="602">
        <v>462931</v>
      </c>
      <c r="M18" s="601">
        <v>502343</v>
      </c>
    </row>
    <row r="19" spans="1:13">
      <c r="B19" s="600" t="s">
        <v>1505</v>
      </c>
      <c r="C19" s="601">
        <v>187524</v>
      </c>
      <c r="D19" s="602">
        <v>191882</v>
      </c>
      <c r="E19" s="601">
        <v>225507</v>
      </c>
      <c r="F19" s="602">
        <v>267833</v>
      </c>
      <c r="G19" s="601">
        <v>252571</v>
      </c>
      <c r="H19" s="602">
        <v>299131</v>
      </c>
      <c r="I19" s="601">
        <v>286202</v>
      </c>
      <c r="J19" s="602">
        <v>329557</v>
      </c>
      <c r="K19" s="601">
        <v>300353</v>
      </c>
      <c r="L19" s="602">
        <v>354967</v>
      </c>
      <c r="M19" s="601">
        <v>380311</v>
      </c>
    </row>
    <row r="20" spans="1:13">
      <c r="B20" s="600" t="s">
        <v>1506</v>
      </c>
      <c r="C20" s="601">
        <v>123186</v>
      </c>
      <c r="D20" s="602">
        <v>129222</v>
      </c>
      <c r="E20" s="601">
        <v>135629</v>
      </c>
      <c r="F20" s="602">
        <v>150762</v>
      </c>
      <c r="G20" s="601">
        <v>145352</v>
      </c>
      <c r="H20" s="602">
        <v>162781</v>
      </c>
      <c r="I20" s="601">
        <v>156565</v>
      </c>
      <c r="J20" s="602">
        <v>176068</v>
      </c>
      <c r="K20" s="601">
        <v>163985</v>
      </c>
      <c r="L20" s="602">
        <v>188169</v>
      </c>
      <c r="M20" s="601">
        <v>200415</v>
      </c>
    </row>
    <row r="21" spans="1:13">
      <c r="A21">
        <v>399980</v>
      </c>
      <c r="B21" s="600" t="s">
        <v>1507</v>
      </c>
      <c r="C21" s="601">
        <v>430341</v>
      </c>
      <c r="D21" s="602">
        <v>448139</v>
      </c>
      <c r="E21" s="601">
        <v>504876</v>
      </c>
      <c r="F21" s="602">
        <v>478897</v>
      </c>
      <c r="G21" s="601">
        <v>537961</v>
      </c>
      <c r="H21" s="602">
        <v>498789</v>
      </c>
      <c r="I21" s="601">
        <v>575417</v>
      </c>
      <c r="J21" s="602">
        <v>542096</v>
      </c>
      <c r="K21" s="601">
        <v>609517</v>
      </c>
      <c r="L21" s="602">
        <v>561916</v>
      </c>
      <c r="M21" s="601">
        <v>571181</v>
      </c>
    </row>
    <row r="22" spans="1:13" ht="26.4">
      <c r="B22" s="600" t="s">
        <v>1508</v>
      </c>
      <c r="C22" s="601">
        <v>-57568</v>
      </c>
      <c r="D22" s="602">
        <v>-54442</v>
      </c>
      <c r="E22" s="603">
        <v>0</v>
      </c>
      <c r="F22" s="604">
        <v>0</v>
      </c>
      <c r="G22" s="603">
        <v>0</v>
      </c>
      <c r="H22" s="604">
        <v>0</v>
      </c>
      <c r="I22" s="603">
        <v>0</v>
      </c>
      <c r="J22" s="604">
        <v>0</v>
      </c>
      <c r="K22" s="603">
        <v>0</v>
      </c>
      <c r="L22" s="604">
        <v>0</v>
      </c>
      <c r="M22" s="603">
        <v>0</v>
      </c>
    </row>
    <row r="23" spans="1:13" ht="52.8">
      <c r="B23" s="600" t="s">
        <v>1509</v>
      </c>
      <c r="C23" s="601">
        <v>269184</v>
      </c>
      <c r="D23" s="602">
        <v>266258</v>
      </c>
      <c r="E23" s="601">
        <v>275426</v>
      </c>
      <c r="F23" s="602">
        <v>285877</v>
      </c>
      <c r="G23" s="601">
        <v>279911</v>
      </c>
      <c r="H23" s="602">
        <v>284584</v>
      </c>
      <c r="I23" s="601">
        <v>284087</v>
      </c>
      <c r="J23" s="602">
        <v>286938</v>
      </c>
      <c r="K23" s="601">
        <v>285776</v>
      </c>
      <c r="L23" s="602">
        <v>290457</v>
      </c>
      <c r="M23" s="601">
        <v>280906</v>
      </c>
    </row>
    <row r="24" spans="1:13" ht="39.6">
      <c r="B24" s="597" t="s">
        <v>1510</v>
      </c>
      <c r="C24" s="598">
        <v>83401</v>
      </c>
      <c r="D24" s="599">
        <v>83366</v>
      </c>
      <c r="E24" s="598">
        <v>93570</v>
      </c>
      <c r="F24" s="602">
        <v>107405</v>
      </c>
      <c r="G24" s="598">
        <v>100348</v>
      </c>
      <c r="H24" s="599">
        <v>113865</v>
      </c>
      <c r="I24" s="598">
        <v>105757</v>
      </c>
      <c r="J24" s="599">
        <v>121775</v>
      </c>
      <c r="K24" s="598">
        <v>111379</v>
      </c>
      <c r="L24" s="599">
        <v>124889</v>
      </c>
      <c r="M24" s="598">
        <v>127400</v>
      </c>
    </row>
    <row r="25" spans="1:13">
      <c r="B25" s="597" t="s">
        <v>1511</v>
      </c>
      <c r="C25" s="598">
        <v>37464</v>
      </c>
      <c r="D25" s="599">
        <v>33530</v>
      </c>
      <c r="E25" s="598">
        <v>48980</v>
      </c>
      <c r="F25" s="602">
        <v>39463</v>
      </c>
      <c r="G25" s="598">
        <v>50315</v>
      </c>
      <c r="H25" s="599">
        <v>40360</v>
      </c>
      <c r="I25" s="598">
        <v>51413</v>
      </c>
      <c r="J25" s="599">
        <v>40158</v>
      </c>
      <c r="K25" s="598">
        <v>52592</v>
      </c>
      <c r="L25" s="599">
        <v>46204</v>
      </c>
      <c r="M25" s="598">
        <v>51273</v>
      </c>
    </row>
    <row r="26" spans="1:13" ht="79.2">
      <c r="B26" s="597" t="s">
        <v>1512</v>
      </c>
      <c r="C26" s="598">
        <v>42070</v>
      </c>
      <c r="D26" s="599">
        <v>50862</v>
      </c>
      <c r="E26" s="598">
        <v>49525</v>
      </c>
      <c r="F26" s="602">
        <v>50303</v>
      </c>
      <c r="G26" s="598">
        <v>39390</v>
      </c>
      <c r="H26" s="599">
        <v>53220</v>
      </c>
      <c r="I26" s="598">
        <v>42031</v>
      </c>
      <c r="J26" s="599">
        <v>57112</v>
      </c>
      <c r="K26" s="598">
        <v>44911</v>
      </c>
      <c r="L26" s="599">
        <v>60248</v>
      </c>
      <c r="M26" s="598">
        <v>66148</v>
      </c>
    </row>
  </sheetData>
  <mergeCells count="11">
    <mergeCell ref="C14:D14"/>
    <mergeCell ref="E14:F14"/>
    <mergeCell ref="G14:H14"/>
    <mergeCell ref="I14:J14"/>
    <mergeCell ref="K14:L14"/>
    <mergeCell ref="K2:L2"/>
    <mergeCell ref="B2:B3"/>
    <mergeCell ref="C2:D2"/>
    <mergeCell ref="E2:F2"/>
    <mergeCell ref="G2:H2"/>
    <mergeCell ref="I2:J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tabColor rgb="FFFFC000"/>
    <pageSetUpPr fitToPage="1"/>
  </sheetPr>
  <dimension ref="A1:AM133"/>
  <sheetViews>
    <sheetView showGridLines="0" zoomScale="25" zoomScaleNormal="25" zoomScaleSheetLayoutView="25" zoomScalePageLayoutView="50" workbookViewId="0">
      <selection activeCell="AB1" sqref="AB1:AE1"/>
    </sheetView>
  </sheetViews>
  <sheetFormatPr defaultRowHeight="25.2" outlineLevelCol="1"/>
  <cols>
    <col min="1" max="1" width="3" style="2" customWidth="1"/>
    <col min="2" max="2" width="8.109375" style="2" customWidth="1"/>
    <col min="3" max="3" width="10.109375" style="2" customWidth="1"/>
    <col min="4" max="8" width="46.88671875" style="2" customWidth="1"/>
    <col min="9" max="9" width="4" style="2" customWidth="1"/>
    <col min="10" max="10" width="2" style="2" customWidth="1"/>
    <col min="11" max="11" width="4.44140625" style="19" hidden="1" customWidth="1"/>
    <col min="12" max="12" width="23.44140625" style="10" customWidth="1"/>
    <col min="13" max="13" width="253.6640625" style="4" customWidth="1" outlineLevel="1"/>
    <col min="14" max="14" width="26.5546875" style="2" hidden="1" customWidth="1"/>
    <col min="15" max="15" width="17.44140625" style="2" hidden="1" customWidth="1"/>
    <col min="16" max="16" width="17" style="2" hidden="1" customWidth="1"/>
    <col min="17" max="17" width="16.109375" style="2" hidden="1" customWidth="1"/>
    <col min="18" max="18" width="9.109375" style="2" customWidth="1"/>
    <col min="19" max="19" width="19.44140625" style="2" customWidth="1"/>
    <col min="20" max="20" width="255.109375" style="2" customWidth="1"/>
    <col min="21" max="21" width="29.88671875" style="2" hidden="1" customWidth="1"/>
    <col min="22" max="22" width="17.44140625" style="2" hidden="1" customWidth="1"/>
    <col min="23" max="24" width="15.44140625" style="2" hidden="1" customWidth="1"/>
    <col min="25" max="25" width="3" style="2" customWidth="1"/>
    <col min="26" max="26" width="4" style="2" customWidth="1"/>
    <col min="27" max="27" width="20.44140625" style="2" customWidth="1"/>
    <col min="28" max="28" width="255.109375" style="2" customWidth="1"/>
    <col min="29" max="29" width="16.5546875" hidden="1" customWidth="1"/>
    <col min="30" max="30" width="26" style="2" hidden="1" customWidth="1"/>
    <col min="31" max="31" width="26.109375" style="2" hidden="1" customWidth="1"/>
    <col min="32" max="32" width="17.44140625" style="2" hidden="1" customWidth="1"/>
    <col min="33" max="33" width="9.109375" style="2"/>
    <col min="34" max="34" width="23.44140625" style="2" hidden="1" customWidth="1"/>
    <col min="35" max="35" width="255" style="2" hidden="1" customWidth="1"/>
    <col min="36" max="36" width="9.109375" style="2" hidden="1" customWidth="1"/>
    <col min="37" max="37" width="13.44140625" style="2" hidden="1" customWidth="1"/>
    <col min="38" max="38" width="15.44140625" style="2" hidden="1" customWidth="1"/>
    <col min="39" max="39" width="14.44140625" style="2" hidden="1" customWidth="1"/>
    <col min="40" max="245" width="9.109375" style="2"/>
    <col min="246" max="246" width="8.44140625" style="2" customWidth="1"/>
    <col min="247" max="247" width="6.44140625" style="2" customWidth="1"/>
    <col min="248" max="252" width="17.44140625" style="2" customWidth="1"/>
    <col min="253" max="253" width="7" style="2" customWidth="1"/>
    <col min="254" max="254" width="7.44140625" style="2" customWidth="1"/>
    <col min="255" max="255" width="19" style="2" customWidth="1"/>
    <col min="256" max="259" width="17.44140625" style="2" customWidth="1"/>
    <col min="260" max="260" width="4.44140625" style="2" customWidth="1"/>
    <col min="261" max="262" width="9.109375" style="2"/>
    <col min="263" max="264" width="0" style="2" hidden="1" customWidth="1"/>
    <col min="265" max="501" width="9.109375" style="2"/>
    <col min="502" max="502" width="8.44140625" style="2" customWidth="1"/>
    <col min="503" max="503" width="6.44140625" style="2" customWidth="1"/>
    <col min="504" max="508" width="17.44140625" style="2" customWidth="1"/>
    <col min="509" max="509" width="7" style="2" customWidth="1"/>
    <col min="510" max="510" width="7.44140625" style="2" customWidth="1"/>
    <col min="511" max="511" width="19" style="2" customWidth="1"/>
    <col min="512" max="515" width="17.44140625" style="2" customWidth="1"/>
    <col min="516" max="516" width="4.44140625" style="2" customWidth="1"/>
    <col min="517" max="518" width="9.109375" style="2"/>
    <col min="519" max="520" width="0" style="2" hidden="1" customWidth="1"/>
    <col min="521" max="757" width="9.109375" style="2"/>
    <col min="758" max="758" width="8.44140625" style="2" customWidth="1"/>
    <col min="759" max="759" width="6.44140625" style="2" customWidth="1"/>
    <col min="760" max="764" width="17.44140625" style="2" customWidth="1"/>
    <col min="765" max="765" width="7" style="2" customWidth="1"/>
    <col min="766" max="766" width="7.44140625" style="2" customWidth="1"/>
    <col min="767" max="767" width="19" style="2" customWidth="1"/>
    <col min="768" max="771" width="17.44140625" style="2" customWidth="1"/>
    <col min="772" max="772" width="4.44140625" style="2" customWidth="1"/>
    <col min="773" max="774" width="9.109375" style="2"/>
    <col min="775" max="776" width="0" style="2" hidden="1" customWidth="1"/>
    <col min="777" max="1013" width="9.109375" style="2"/>
    <col min="1014" max="1014" width="8.44140625" style="2" customWidth="1"/>
    <col min="1015" max="1015" width="6.44140625" style="2" customWidth="1"/>
    <col min="1016" max="1020" width="17.44140625" style="2" customWidth="1"/>
    <col min="1021" max="1021" width="7" style="2" customWidth="1"/>
    <col min="1022" max="1022" width="7.44140625" style="2" customWidth="1"/>
    <col min="1023" max="1023" width="19" style="2" customWidth="1"/>
    <col min="1024" max="1027" width="17.44140625" style="2" customWidth="1"/>
    <col min="1028" max="1028" width="4.44140625" style="2" customWidth="1"/>
    <col min="1029" max="1030" width="9.109375" style="2"/>
    <col min="1031" max="1032" width="0" style="2" hidden="1" customWidth="1"/>
    <col min="1033" max="1269" width="9.109375" style="2"/>
    <col min="1270" max="1270" width="8.44140625" style="2" customWidth="1"/>
    <col min="1271" max="1271" width="6.44140625" style="2" customWidth="1"/>
    <col min="1272" max="1276" width="17.44140625" style="2" customWidth="1"/>
    <col min="1277" max="1277" width="7" style="2" customWidth="1"/>
    <col min="1278" max="1278" width="7.44140625" style="2" customWidth="1"/>
    <col min="1279" max="1279" width="19" style="2" customWidth="1"/>
    <col min="1280" max="1283" width="17.44140625" style="2" customWidth="1"/>
    <col min="1284" max="1284" width="4.44140625" style="2" customWidth="1"/>
    <col min="1285" max="1286" width="9.109375" style="2"/>
    <col min="1287" max="1288" width="0" style="2" hidden="1" customWidth="1"/>
    <col min="1289" max="1525" width="9.109375" style="2"/>
    <col min="1526" max="1526" width="8.44140625" style="2" customWidth="1"/>
    <col min="1527" max="1527" width="6.44140625" style="2" customWidth="1"/>
    <col min="1528" max="1532" width="17.44140625" style="2" customWidth="1"/>
    <col min="1533" max="1533" width="7" style="2" customWidth="1"/>
    <col min="1534" max="1534" width="7.44140625" style="2" customWidth="1"/>
    <col min="1535" max="1535" width="19" style="2" customWidth="1"/>
    <col min="1536" max="1539" width="17.44140625" style="2" customWidth="1"/>
    <col min="1540" max="1540" width="4.44140625" style="2" customWidth="1"/>
    <col min="1541" max="1542" width="9.109375" style="2"/>
    <col min="1543" max="1544" width="0" style="2" hidden="1" customWidth="1"/>
    <col min="1545" max="1781" width="9.109375" style="2"/>
    <col min="1782" max="1782" width="8.44140625" style="2" customWidth="1"/>
    <col min="1783" max="1783" width="6.44140625" style="2" customWidth="1"/>
    <col min="1784" max="1788" width="17.44140625" style="2" customWidth="1"/>
    <col min="1789" max="1789" width="7" style="2" customWidth="1"/>
    <col min="1790" max="1790" width="7.44140625" style="2" customWidth="1"/>
    <col min="1791" max="1791" width="19" style="2" customWidth="1"/>
    <col min="1792" max="1795" width="17.44140625" style="2" customWidth="1"/>
    <col min="1796" max="1796" width="4.44140625" style="2" customWidth="1"/>
    <col min="1797" max="1798" width="9.109375" style="2"/>
    <col min="1799" max="1800" width="0" style="2" hidden="1" customWidth="1"/>
    <col min="1801" max="2037" width="9.109375" style="2"/>
    <col min="2038" max="2038" width="8.44140625" style="2" customWidth="1"/>
    <col min="2039" max="2039" width="6.44140625" style="2" customWidth="1"/>
    <col min="2040" max="2044" width="17.44140625" style="2" customWidth="1"/>
    <col min="2045" max="2045" width="7" style="2" customWidth="1"/>
    <col min="2046" max="2046" width="7.44140625" style="2" customWidth="1"/>
    <col min="2047" max="2047" width="19" style="2" customWidth="1"/>
    <col min="2048" max="2051" width="17.44140625" style="2" customWidth="1"/>
    <col min="2052" max="2052" width="4.44140625" style="2" customWidth="1"/>
    <col min="2053" max="2054" width="9.109375" style="2"/>
    <col min="2055" max="2056" width="0" style="2" hidden="1" customWidth="1"/>
    <col min="2057" max="2293" width="9.109375" style="2"/>
    <col min="2294" max="2294" width="8.44140625" style="2" customWidth="1"/>
    <col min="2295" max="2295" width="6.44140625" style="2" customWidth="1"/>
    <col min="2296" max="2300" width="17.44140625" style="2" customWidth="1"/>
    <col min="2301" max="2301" width="7" style="2" customWidth="1"/>
    <col min="2302" max="2302" width="7.44140625" style="2" customWidth="1"/>
    <col min="2303" max="2303" width="19" style="2" customWidth="1"/>
    <col min="2304" max="2307" width="17.44140625" style="2" customWidth="1"/>
    <col min="2308" max="2308" width="4.44140625" style="2" customWidth="1"/>
    <col min="2309" max="2310" width="9.109375" style="2"/>
    <col min="2311" max="2312" width="0" style="2" hidden="1" customWidth="1"/>
    <col min="2313" max="2549" width="9.109375" style="2"/>
    <col min="2550" max="2550" width="8.44140625" style="2" customWidth="1"/>
    <col min="2551" max="2551" width="6.44140625" style="2" customWidth="1"/>
    <col min="2552" max="2556" width="17.44140625" style="2" customWidth="1"/>
    <col min="2557" max="2557" width="7" style="2" customWidth="1"/>
    <col min="2558" max="2558" width="7.44140625" style="2" customWidth="1"/>
    <col min="2559" max="2559" width="19" style="2" customWidth="1"/>
    <col min="2560" max="2563" width="17.44140625" style="2" customWidth="1"/>
    <col min="2564" max="2564" width="4.44140625" style="2" customWidth="1"/>
    <col min="2565" max="2566" width="9.109375" style="2"/>
    <col min="2567" max="2568" width="0" style="2" hidden="1" customWidth="1"/>
    <col min="2569" max="2805" width="9.109375" style="2"/>
    <col min="2806" max="2806" width="8.44140625" style="2" customWidth="1"/>
    <col min="2807" max="2807" width="6.44140625" style="2" customWidth="1"/>
    <col min="2808" max="2812" width="17.44140625" style="2" customWidth="1"/>
    <col min="2813" max="2813" width="7" style="2" customWidth="1"/>
    <col min="2814" max="2814" width="7.44140625" style="2" customWidth="1"/>
    <col min="2815" max="2815" width="19" style="2" customWidth="1"/>
    <col min="2816" max="2819" width="17.44140625" style="2" customWidth="1"/>
    <col min="2820" max="2820" width="4.44140625" style="2" customWidth="1"/>
    <col min="2821" max="2822" width="9.109375" style="2"/>
    <col min="2823" max="2824" width="0" style="2" hidden="1" customWidth="1"/>
    <col min="2825" max="3061" width="9.109375" style="2"/>
    <col min="3062" max="3062" width="8.44140625" style="2" customWidth="1"/>
    <col min="3063" max="3063" width="6.44140625" style="2" customWidth="1"/>
    <col min="3064" max="3068" width="17.44140625" style="2" customWidth="1"/>
    <col min="3069" max="3069" width="7" style="2" customWidth="1"/>
    <col min="3070" max="3070" width="7.44140625" style="2" customWidth="1"/>
    <col min="3071" max="3071" width="19" style="2" customWidth="1"/>
    <col min="3072" max="3075" width="17.44140625" style="2" customWidth="1"/>
    <col min="3076" max="3076" width="4.44140625" style="2" customWidth="1"/>
    <col min="3077" max="3078" width="9.109375" style="2"/>
    <col min="3079" max="3080" width="0" style="2" hidden="1" customWidth="1"/>
    <col min="3081" max="3317" width="9.109375" style="2"/>
    <col min="3318" max="3318" width="8.44140625" style="2" customWidth="1"/>
    <col min="3319" max="3319" width="6.44140625" style="2" customWidth="1"/>
    <col min="3320" max="3324" width="17.44140625" style="2" customWidth="1"/>
    <col min="3325" max="3325" width="7" style="2" customWidth="1"/>
    <col min="3326" max="3326" width="7.44140625" style="2" customWidth="1"/>
    <col min="3327" max="3327" width="19" style="2" customWidth="1"/>
    <col min="3328" max="3331" width="17.44140625" style="2" customWidth="1"/>
    <col min="3332" max="3332" width="4.44140625" style="2" customWidth="1"/>
    <col min="3333" max="3334" width="9.109375" style="2"/>
    <col min="3335" max="3336" width="0" style="2" hidden="1" customWidth="1"/>
    <col min="3337" max="3573" width="9.109375" style="2"/>
    <col min="3574" max="3574" width="8.44140625" style="2" customWidth="1"/>
    <col min="3575" max="3575" width="6.44140625" style="2" customWidth="1"/>
    <col min="3576" max="3580" width="17.44140625" style="2" customWidth="1"/>
    <col min="3581" max="3581" width="7" style="2" customWidth="1"/>
    <col min="3582" max="3582" width="7.44140625" style="2" customWidth="1"/>
    <col min="3583" max="3583" width="19" style="2" customWidth="1"/>
    <col min="3584" max="3587" width="17.44140625" style="2" customWidth="1"/>
    <col min="3588" max="3588" width="4.44140625" style="2" customWidth="1"/>
    <col min="3589" max="3590" width="9.109375" style="2"/>
    <col min="3591" max="3592" width="0" style="2" hidden="1" customWidth="1"/>
    <col min="3593" max="3829" width="9.109375" style="2"/>
    <col min="3830" max="3830" width="8.44140625" style="2" customWidth="1"/>
    <col min="3831" max="3831" width="6.44140625" style="2" customWidth="1"/>
    <col min="3832" max="3836" width="17.44140625" style="2" customWidth="1"/>
    <col min="3837" max="3837" width="7" style="2" customWidth="1"/>
    <col min="3838" max="3838" width="7.44140625" style="2" customWidth="1"/>
    <col min="3839" max="3839" width="19" style="2" customWidth="1"/>
    <col min="3840" max="3843" width="17.44140625" style="2" customWidth="1"/>
    <col min="3844" max="3844" width="4.44140625" style="2" customWidth="1"/>
    <col min="3845" max="3846" width="9.109375" style="2"/>
    <col min="3847" max="3848" width="0" style="2" hidden="1" customWidth="1"/>
    <col min="3849" max="4085" width="9.109375" style="2"/>
    <col min="4086" max="4086" width="8.44140625" style="2" customWidth="1"/>
    <col min="4087" max="4087" width="6.44140625" style="2" customWidth="1"/>
    <col min="4088" max="4092" width="17.44140625" style="2" customWidth="1"/>
    <col min="4093" max="4093" width="7" style="2" customWidth="1"/>
    <col min="4094" max="4094" width="7.44140625" style="2" customWidth="1"/>
    <col min="4095" max="4095" width="19" style="2" customWidth="1"/>
    <col min="4096" max="4099" width="17.44140625" style="2" customWidth="1"/>
    <col min="4100" max="4100" width="4.44140625" style="2" customWidth="1"/>
    <col min="4101" max="4102" width="9.109375" style="2"/>
    <col min="4103" max="4104" width="0" style="2" hidden="1" customWidth="1"/>
    <col min="4105" max="4341" width="9.109375" style="2"/>
    <col min="4342" max="4342" width="8.44140625" style="2" customWidth="1"/>
    <col min="4343" max="4343" width="6.44140625" style="2" customWidth="1"/>
    <col min="4344" max="4348" width="17.44140625" style="2" customWidth="1"/>
    <col min="4349" max="4349" width="7" style="2" customWidth="1"/>
    <col min="4350" max="4350" width="7.44140625" style="2" customWidth="1"/>
    <col min="4351" max="4351" width="19" style="2" customWidth="1"/>
    <col min="4352" max="4355" width="17.44140625" style="2" customWidth="1"/>
    <col min="4356" max="4356" width="4.44140625" style="2" customWidth="1"/>
    <col min="4357" max="4358" width="9.109375" style="2"/>
    <col min="4359" max="4360" width="0" style="2" hidden="1" customWidth="1"/>
    <col min="4361" max="4597" width="9.109375" style="2"/>
    <col min="4598" max="4598" width="8.44140625" style="2" customWidth="1"/>
    <col min="4599" max="4599" width="6.44140625" style="2" customWidth="1"/>
    <col min="4600" max="4604" width="17.44140625" style="2" customWidth="1"/>
    <col min="4605" max="4605" width="7" style="2" customWidth="1"/>
    <col min="4606" max="4606" width="7.44140625" style="2" customWidth="1"/>
    <col min="4607" max="4607" width="19" style="2" customWidth="1"/>
    <col min="4608" max="4611" width="17.44140625" style="2" customWidth="1"/>
    <col min="4612" max="4612" width="4.44140625" style="2" customWidth="1"/>
    <col min="4613" max="4614" width="9.109375" style="2"/>
    <col min="4615" max="4616" width="0" style="2" hidden="1" customWidth="1"/>
    <col min="4617" max="4853" width="9.109375" style="2"/>
    <col min="4854" max="4854" width="8.44140625" style="2" customWidth="1"/>
    <col min="4855" max="4855" width="6.44140625" style="2" customWidth="1"/>
    <col min="4856" max="4860" width="17.44140625" style="2" customWidth="1"/>
    <col min="4861" max="4861" width="7" style="2" customWidth="1"/>
    <col min="4862" max="4862" width="7.44140625" style="2" customWidth="1"/>
    <col min="4863" max="4863" width="19" style="2" customWidth="1"/>
    <col min="4864" max="4867" width="17.44140625" style="2" customWidth="1"/>
    <col min="4868" max="4868" width="4.44140625" style="2" customWidth="1"/>
    <col min="4869" max="4870" width="9.109375" style="2"/>
    <col min="4871" max="4872" width="0" style="2" hidden="1" customWidth="1"/>
    <col min="4873" max="5109" width="9.109375" style="2"/>
    <col min="5110" max="5110" width="8.44140625" style="2" customWidth="1"/>
    <col min="5111" max="5111" width="6.44140625" style="2" customWidth="1"/>
    <col min="5112" max="5116" width="17.44140625" style="2" customWidth="1"/>
    <col min="5117" max="5117" width="7" style="2" customWidth="1"/>
    <col min="5118" max="5118" width="7.44140625" style="2" customWidth="1"/>
    <col min="5119" max="5119" width="19" style="2" customWidth="1"/>
    <col min="5120" max="5123" width="17.44140625" style="2" customWidth="1"/>
    <col min="5124" max="5124" width="4.44140625" style="2" customWidth="1"/>
    <col min="5125" max="5126" width="9.109375" style="2"/>
    <col min="5127" max="5128" width="0" style="2" hidden="1" customWidth="1"/>
    <col min="5129" max="5365" width="9.109375" style="2"/>
    <col min="5366" max="5366" width="8.44140625" style="2" customWidth="1"/>
    <col min="5367" max="5367" width="6.44140625" style="2" customWidth="1"/>
    <col min="5368" max="5372" width="17.44140625" style="2" customWidth="1"/>
    <col min="5373" max="5373" width="7" style="2" customWidth="1"/>
    <col min="5374" max="5374" width="7.44140625" style="2" customWidth="1"/>
    <col min="5375" max="5375" width="19" style="2" customWidth="1"/>
    <col min="5376" max="5379" width="17.44140625" style="2" customWidth="1"/>
    <col min="5380" max="5380" width="4.44140625" style="2" customWidth="1"/>
    <col min="5381" max="5382" width="9.109375" style="2"/>
    <col min="5383" max="5384" width="0" style="2" hidden="1" customWidth="1"/>
    <col min="5385" max="5621" width="9.109375" style="2"/>
    <col min="5622" max="5622" width="8.44140625" style="2" customWidth="1"/>
    <col min="5623" max="5623" width="6.44140625" style="2" customWidth="1"/>
    <col min="5624" max="5628" width="17.44140625" style="2" customWidth="1"/>
    <col min="5629" max="5629" width="7" style="2" customWidth="1"/>
    <col min="5630" max="5630" width="7.44140625" style="2" customWidth="1"/>
    <col min="5631" max="5631" width="19" style="2" customWidth="1"/>
    <col min="5632" max="5635" width="17.44140625" style="2" customWidth="1"/>
    <col min="5636" max="5636" width="4.44140625" style="2" customWidth="1"/>
    <col min="5637" max="5638" width="9.109375" style="2"/>
    <col min="5639" max="5640" width="0" style="2" hidden="1" customWidth="1"/>
    <col min="5641" max="5877" width="9.109375" style="2"/>
    <col min="5878" max="5878" width="8.44140625" style="2" customWidth="1"/>
    <col min="5879" max="5879" width="6.44140625" style="2" customWidth="1"/>
    <col min="5880" max="5884" width="17.44140625" style="2" customWidth="1"/>
    <col min="5885" max="5885" width="7" style="2" customWidth="1"/>
    <col min="5886" max="5886" width="7.44140625" style="2" customWidth="1"/>
    <col min="5887" max="5887" width="19" style="2" customWidth="1"/>
    <col min="5888" max="5891" width="17.44140625" style="2" customWidth="1"/>
    <col min="5892" max="5892" width="4.44140625" style="2" customWidth="1"/>
    <col min="5893" max="5894" width="9.109375" style="2"/>
    <col min="5895" max="5896" width="0" style="2" hidden="1" customWidth="1"/>
    <col min="5897" max="6133" width="9.109375" style="2"/>
    <col min="6134" max="6134" width="8.44140625" style="2" customWidth="1"/>
    <col min="6135" max="6135" width="6.44140625" style="2" customWidth="1"/>
    <col min="6136" max="6140" width="17.44140625" style="2" customWidth="1"/>
    <col min="6141" max="6141" width="7" style="2" customWidth="1"/>
    <col min="6142" max="6142" width="7.44140625" style="2" customWidth="1"/>
    <col min="6143" max="6143" width="19" style="2" customWidth="1"/>
    <col min="6144" max="6147" width="17.44140625" style="2" customWidth="1"/>
    <col min="6148" max="6148" width="4.44140625" style="2" customWidth="1"/>
    <col min="6149" max="6150" width="9.109375" style="2"/>
    <col min="6151" max="6152" width="0" style="2" hidden="1" customWidth="1"/>
    <col min="6153" max="6389" width="9.109375" style="2"/>
    <col min="6390" max="6390" width="8.44140625" style="2" customWidth="1"/>
    <col min="6391" max="6391" width="6.44140625" style="2" customWidth="1"/>
    <col min="6392" max="6396" width="17.44140625" style="2" customWidth="1"/>
    <col min="6397" max="6397" width="7" style="2" customWidth="1"/>
    <col min="6398" max="6398" width="7.44140625" style="2" customWidth="1"/>
    <col min="6399" max="6399" width="19" style="2" customWidth="1"/>
    <col min="6400" max="6403" width="17.44140625" style="2" customWidth="1"/>
    <col min="6404" max="6404" width="4.44140625" style="2" customWidth="1"/>
    <col min="6405" max="6406" width="9.109375" style="2"/>
    <col min="6407" max="6408" width="0" style="2" hidden="1" customWidth="1"/>
    <col min="6409" max="6645" width="9.109375" style="2"/>
    <col min="6646" max="6646" width="8.44140625" style="2" customWidth="1"/>
    <col min="6647" max="6647" width="6.44140625" style="2" customWidth="1"/>
    <col min="6648" max="6652" width="17.44140625" style="2" customWidth="1"/>
    <col min="6653" max="6653" width="7" style="2" customWidth="1"/>
    <col min="6654" max="6654" width="7.44140625" style="2" customWidth="1"/>
    <col min="6655" max="6655" width="19" style="2" customWidth="1"/>
    <col min="6656" max="6659" width="17.44140625" style="2" customWidth="1"/>
    <col min="6660" max="6660" width="4.44140625" style="2" customWidth="1"/>
    <col min="6661" max="6662" width="9.109375" style="2"/>
    <col min="6663" max="6664" width="0" style="2" hidden="1" customWidth="1"/>
    <col min="6665" max="6901" width="9.109375" style="2"/>
    <col min="6902" max="6902" width="8.44140625" style="2" customWidth="1"/>
    <col min="6903" max="6903" width="6.44140625" style="2" customWidth="1"/>
    <col min="6904" max="6908" width="17.44140625" style="2" customWidth="1"/>
    <col min="6909" max="6909" width="7" style="2" customWidth="1"/>
    <col min="6910" max="6910" width="7.44140625" style="2" customWidth="1"/>
    <col min="6911" max="6911" width="19" style="2" customWidth="1"/>
    <col min="6912" max="6915" width="17.44140625" style="2" customWidth="1"/>
    <col min="6916" max="6916" width="4.44140625" style="2" customWidth="1"/>
    <col min="6917" max="6918" width="9.109375" style="2"/>
    <col min="6919" max="6920" width="0" style="2" hidden="1" customWidth="1"/>
    <col min="6921" max="7157" width="9.109375" style="2"/>
    <col min="7158" max="7158" width="8.44140625" style="2" customWidth="1"/>
    <col min="7159" max="7159" width="6.44140625" style="2" customWidth="1"/>
    <col min="7160" max="7164" width="17.44140625" style="2" customWidth="1"/>
    <col min="7165" max="7165" width="7" style="2" customWidth="1"/>
    <col min="7166" max="7166" width="7.44140625" style="2" customWidth="1"/>
    <col min="7167" max="7167" width="19" style="2" customWidth="1"/>
    <col min="7168" max="7171" width="17.44140625" style="2" customWidth="1"/>
    <col min="7172" max="7172" width="4.44140625" style="2" customWidth="1"/>
    <col min="7173" max="7174" width="9.109375" style="2"/>
    <col min="7175" max="7176" width="0" style="2" hidden="1" customWidth="1"/>
    <col min="7177" max="7413" width="9.109375" style="2"/>
    <col min="7414" max="7414" width="8.44140625" style="2" customWidth="1"/>
    <col min="7415" max="7415" width="6.44140625" style="2" customWidth="1"/>
    <col min="7416" max="7420" width="17.44140625" style="2" customWidth="1"/>
    <col min="7421" max="7421" width="7" style="2" customWidth="1"/>
    <col min="7422" max="7422" width="7.44140625" style="2" customWidth="1"/>
    <col min="7423" max="7423" width="19" style="2" customWidth="1"/>
    <col min="7424" max="7427" width="17.44140625" style="2" customWidth="1"/>
    <col min="7428" max="7428" width="4.44140625" style="2" customWidth="1"/>
    <col min="7429" max="7430" width="9.109375" style="2"/>
    <col min="7431" max="7432" width="0" style="2" hidden="1" customWidth="1"/>
    <col min="7433" max="7669" width="9.109375" style="2"/>
    <col min="7670" max="7670" width="8.44140625" style="2" customWidth="1"/>
    <col min="7671" max="7671" width="6.44140625" style="2" customWidth="1"/>
    <col min="7672" max="7676" width="17.44140625" style="2" customWidth="1"/>
    <col min="7677" max="7677" width="7" style="2" customWidth="1"/>
    <col min="7678" max="7678" width="7.44140625" style="2" customWidth="1"/>
    <col min="7679" max="7679" width="19" style="2" customWidth="1"/>
    <col min="7680" max="7683" width="17.44140625" style="2" customWidth="1"/>
    <col min="7684" max="7684" width="4.44140625" style="2" customWidth="1"/>
    <col min="7685" max="7686" width="9.109375" style="2"/>
    <col min="7687" max="7688" width="0" style="2" hidden="1" customWidth="1"/>
    <col min="7689" max="7925" width="9.109375" style="2"/>
    <col min="7926" max="7926" width="8.44140625" style="2" customWidth="1"/>
    <col min="7927" max="7927" width="6.44140625" style="2" customWidth="1"/>
    <col min="7928" max="7932" width="17.44140625" style="2" customWidth="1"/>
    <col min="7933" max="7933" width="7" style="2" customWidth="1"/>
    <col min="7934" max="7934" width="7.44140625" style="2" customWidth="1"/>
    <col min="7935" max="7935" width="19" style="2" customWidth="1"/>
    <col min="7936" max="7939" width="17.44140625" style="2" customWidth="1"/>
    <col min="7940" max="7940" width="4.44140625" style="2" customWidth="1"/>
    <col min="7941" max="7942" width="9.109375" style="2"/>
    <col min="7943" max="7944" width="0" style="2" hidden="1" customWidth="1"/>
    <col min="7945" max="8181" width="9.109375" style="2"/>
    <col min="8182" max="8182" width="8.44140625" style="2" customWidth="1"/>
    <col min="8183" max="8183" width="6.44140625" style="2" customWidth="1"/>
    <col min="8184" max="8188" width="17.44140625" style="2" customWidth="1"/>
    <col min="8189" max="8189" width="7" style="2" customWidth="1"/>
    <col min="8190" max="8190" width="7.44140625" style="2" customWidth="1"/>
    <col min="8191" max="8191" width="19" style="2" customWidth="1"/>
    <col min="8192" max="8195" width="17.44140625" style="2" customWidth="1"/>
    <col min="8196" max="8196" width="4.44140625" style="2" customWidth="1"/>
    <col min="8197" max="8198" width="9.109375" style="2"/>
    <col min="8199" max="8200" width="0" style="2" hidden="1" customWidth="1"/>
    <col min="8201" max="8437" width="9.109375" style="2"/>
    <col min="8438" max="8438" width="8.44140625" style="2" customWidth="1"/>
    <col min="8439" max="8439" width="6.44140625" style="2" customWidth="1"/>
    <col min="8440" max="8444" width="17.44140625" style="2" customWidth="1"/>
    <col min="8445" max="8445" width="7" style="2" customWidth="1"/>
    <col min="8446" max="8446" width="7.44140625" style="2" customWidth="1"/>
    <col min="8447" max="8447" width="19" style="2" customWidth="1"/>
    <col min="8448" max="8451" width="17.44140625" style="2" customWidth="1"/>
    <col min="8452" max="8452" width="4.44140625" style="2" customWidth="1"/>
    <col min="8453" max="8454" width="9.109375" style="2"/>
    <col min="8455" max="8456" width="0" style="2" hidden="1" customWidth="1"/>
    <col min="8457" max="8693" width="9.109375" style="2"/>
    <col min="8694" max="8694" width="8.44140625" style="2" customWidth="1"/>
    <col min="8695" max="8695" width="6.44140625" style="2" customWidth="1"/>
    <col min="8696" max="8700" width="17.44140625" style="2" customWidth="1"/>
    <col min="8701" max="8701" width="7" style="2" customWidth="1"/>
    <col min="8702" max="8702" width="7.44140625" style="2" customWidth="1"/>
    <col min="8703" max="8703" width="19" style="2" customWidth="1"/>
    <col min="8704" max="8707" width="17.44140625" style="2" customWidth="1"/>
    <col min="8708" max="8708" width="4.44140625" style="2" customWidth="1"/>
    <col min="8709" max="8710" width="9.109375" style="2"/>
    <col min="8711" max="8712" width="0" style="2" hidden="1" customWidth="1"/>
    <col min="8713" max="8949" width="9.109375" style="2"/>
    <col min="8950" max="8950" width="8.44140625" style="2" customWidth="1"/>
    <col min="8951" max="8951" width="6.44140625" style="2" customWidth="1"/>
    <col min="8952" max="8956" width="17.44140625" style="2" customWidth="1"/>
    <col min="8957" max="8957" width="7" style="2" customWidth="1"/>
    <col min="8958" max="8958" width="7.44140625" style="2" customWidth="1"/>
    <col min="8959" max="8959" width="19" style="2" customWidth="1"/>
    <col min="8960" max="8963" width="17.44140625" style="2" customWidth="1"/>
    <col min="8964" max="8964" width="4.44140625" style="2" customWidth="1"/>
    <col min="8965" max="8966" width="9.109375" style="2"/>
    <col min="8967" max="8968" width="0" style="2" hidden="1" customWidth="1"/>
    <col min="8969" max="9205" width="9.109375" style="2"/>
    <col min="9206" max="9206" width="8.44140625" style="2" customWidth="1"/>
    <col min="9207" max="9207" width="6.44140625" style="2" customWidth="1"/>
    <col min="9208" max="9212" width="17.44140625" style="2" customWidth="1"/>
    <col min="9213" max="9213" width="7" style="2" customWidth="1"/>
    <col min="9214" max="9214" width="7.44140625" style="2" customWidth="1"/>
    <col min="9215" max="9215" width="19" style="2" customWidth="1"/>
    <col min="9216" max="9219" width="17.44140625" style="2" customWidth="1"/>
    <col min="9220" max="9220" width="4.44140625" style="2" customWidth="1"/>
    <col min="9221" max="9222" width="9.109375" style="2"/>
    <col min="9223" max="9224" width="0" style="2" hidden="1" customWidth="1"/>
    <col min="9225" max="9461" width="9.109375" style="2"/>
    <col min="9462" max="9462" width="8.44140625" style="2" customWidth="1"/>
    <col min="9463" max="9463" width="6.44140625" style="2" customWidth="1"/>
    <col min="9464" max="9468" width="17.44140625" style="2" customWidth="1"/>
    <col min="9469" max="9469" width="7" style="2" customWidth="1"/>
    <col min="9470" max="9470" width="7.44140625" style="2" customWidth="1"/>
    <col min="9471" max="9471" width="19" style="2" customWidth="1"/>
    <col min="9472" max="9475" width="17.44140625" style="2" customWidth="1"/>
    <col min="9476" max="9476" width="4.44140625" style="2" customWidth="1"/>
    <col min="9477" max="9478" width="9.109375" style="2"/>
    <col min="9479" max="9480" width="0" style="2" hidden="1" customWidth="1"/>
    <col min="9481" max="9717" width="9.109375" style="2"/>
    <col min="9718" max="9718" width="8.44140625" style="2" customWidth="1"/>
    <col min="9719" max="9719" width="6.44140625" style="2" customWidth="1"/>
    <col min="9720" max="9724" width="17.44140625" style="2" customWidth="1"/>
    <col min="9725" max="9725" width="7" style="2" customWidth="1"/>
    <col min="9726" max="9726" width="7.44140625" style="2" customWidth="1"/>
    <col min="9727" max="9727" width="19" style="2" customWidth="1"/>
    <col min="9728" max="9731" width="17.44140625" style="2" customWidth="1"/>
    <col min="9732" max="9732" width="4.44140625" style="2" customWidth="1"/>
    <col min="9733" max="9734" width="9.109375" style="2"/>
    <col min="9735" max="9736" width="0" style="2" hidden="1" customWidth="1"/>
    <col min="9737" max="9973" width="9.109375" style="2"/>
    <col min="9974" max="9974" width="8.44140625" style="2" customWidth="1"/>
    <col min="9975" max="9975" width="6.44140625" style="2" customWidth="1"/>
    <col min="9976" max="9980" width="17.44140625" style="2" customWidth="1"/>
    <col min="9981" max="9981" width="7" style="2" customWidth="1"/>
    <col min="9982" max="9982" width="7.44140625" style="2" customWidth="1"/>
    <col min="9983" max="9983" width="19" style="2" customWidth="1"/>
    <col min="9984" max="9987" width="17.44140625" style="2" customWidth="1"/>
    <col min="9988" max="9988" width="4.44140625" style="2" customWidth="1"/>
    <col min="9989" max="9990" width="9.109375" style="2"/>
    <col min="9991" max="9992" width="0" style="2" hidden="1" customWidth="1"/>
    <col min="9993" max="10229" width="9.109375" style="2"/>
    <col min="10230" max="10230" width="8.44140625" style="2" customWidth="1"/>
    <col min="10231" max="10231" width="6.44140625" style="2" customWidth="1"/>
    <col min="10232" max="10236" width="17.44140625" style="2" customWidth="1"/>
    <col min="10237" max="10237" width="7" style="2" customWidth="1"/>
    <col min="10238" max="10238" width="7.44140625" style="2" customWidth="1"/>
    <col min="10239" max="10239" width="19" style="2" customWidth="1"/>
    <col min="10240" max="10243" width="17.44140625" style="2" customWidth="1"/>
    <col min="10244" max="10244" width="4.44140625" style="2" customWidth="1"/>
    <col min="10245" max="10246" width="9.109375" style="2"/>
    <col min="10247" max="10248" width="0" style="2" hidden="1" customWidth="1"/>
    <col min="10249" max="10485" width="9.109375" style="2"/>
    <col min="10486" max="10486" width="8.44140625" style="2" customWidth="1"/>
    <col min="10487" max="10487" width="6.44140625" style="2" customWidth="1"/>
    <col min="10488" max="10492" width="17.44140625" style="2" customWidth="1"/>
    <col min="10493" max="10493" width="7" style="2" customWidth="1"/>
    <col min="10494" max="10494" width="7.44140625" style="2" customWidth="1"/>
    <col min="10495" max="10495" width="19" style="2" customWidth="1"/>
    <col min="10496" max="10499" width="17.44140625" style="2" customWidth="1"/>
    <col min="10500" max="10500" width="4.44140625" style="2" customWidth="1"/>
    <col min="10501" max="10502" width="9.109375" style="2"/>
    <col min="10503" max="10504" width="0" style="2" hidden="1" customWidth="1"/>
    <col min="10505" max="10741" width="9.109375" style="2"/>
    <col min="10742" max="10742" width="8.44140625" style="2" customWidth="1"/>
    <col min="10743" max="10743" width="6.44140625" style="2" customWidth="1"/>
    <col min="10744" max="10748" width="17.44140625" style="2" customWidth="1"/>
    <col min="10749" max="10749" width="7" style="2" customWidth="1"/>
    <col min="10750" max="10750" width="7.44140625" style="2" customWidth="1"/>
    <col min="10751" max="10751" width="19" style="2" customWidth="1"/>
    <col min="10752" max="10755" width="17.44140625" style="2" customWidth="1"/>
    <col min="10756" max="10756" width="4.44140625" style="2" customWidth="1"/>
    <col min="10757" max="10758" width="9.109375" style="2"/>
    <col min="10759" max="10760" width="0" style="2" hidden="1" customWidth="1"/>
    <col min="10761" max="10997" width="9.109375" style="2"/>
    <col min="10998" max="10998" width="8.44140625" style="2" customWidth="1"/>
    <col min="10999" max="10999" width="6.44140625" style="2" customWidth="1"/>
    <col min="11000" max="11004" width="17.44140625" style="2" customWidth="1"/>
    <col min="11005" max="11005" width="7" style="2" customWidth="1"/>
    <col min="11006" max="11006" width="7.44140625" style="2" customWidth="1"/>
    <col min="11007" max="11007" width="19" style="2" customWidth="1"/>
    <col min="11008" max="11011" width="17.44140625" style="2" customWidth="1"/>
    <col min="11012" max="11012" width="4.44140625" style="2" customWidth="1"/>
    <col min="11013" max="11014" width="9.109375" style="2"/>
    <col min="11015" max="11016" width="0" style="2" hidden="1" customWidth="1"/>
    <col min="11017" max="11253" width="9.109375" style="2"/>
    <col min="11254" max="11254" width="8.44140625" style="2" customWidth="1"/>
    <col min="11255" max="11255" width="6.44140625" style="2" customWidth="1"/>
    <col min="11256" max="11260" width="17.44140625" style="2" customWidth="1"/>
    <col min="11261" max="11261" width="7" style="2" customWidth="1"/>
    <col min="11262" max="11262" width="7.44140625" style="2" customWidth="1"/>
    <col min="11263" max="11263" width="19" style="2" customWidth="1"/>
    <col min="11264" max="11267" width="17.44140625" style="2" customWidth="1"/>
    <col min="11268" max="11268" width="4.44140625" style="2" customWidth="1"/>
    <col min="11269" max="11270" width="9.109375" style="2"/>
    <col min="11271" max="11272" width="0" style="2" hidden="1" customWidth="1"/>
    <col min="11273" max="11509" width="9.109375" style="2"/>
    <col min="11510" max="11510" width="8.44140625" style="2" customWidth="1"/>
    <col min="11511" max="11511" width="6.44140625" style="2" customWidth="1"/>
    <col min="11512" max="11516" width="17.44140625" style="2" customWidth="1"/>
    <col min="11517" max="11517" width="7" style="2" customWidth="1"/>
    <col min="11518" max="11518" width="7.44140625" style="2" customWidth="1"/>
    <col min="11519" max="11519" width="19" style="2" customWidth="1"/>
    <col min="11520" max="11523" width="17.44140625" style="2" customWidth="1"/>
    <col min="11524" max="11524" width="4.44140625" style="2" customWidth="1"/>
    <col min="11525" max="11526" width="9.109375" style="2"/>
    <col min="11527" max="11528" width="0" style="2" hidden="1" customWidth="1"/>
    <col min="11529" max="11765" width="9.109375" style="2"/>
    <col min="11766" max="11766" width="8.44140625" style="2" customWidth="1"/>
    <col min="11767" max="11767" width="6.44140625" style="2" customWidth="1"/>
    <col min="11768" max="11772" width="17.44140625" style="2" customWidth="1"/>
    <col min="11773" max="11773" width="7" style="2" customWidth="1"/>
    <col min="11774" max="11774" width="7.44140625" style="2" customWidth="1"/>
    <col min="11775" max="11775" width="19" style="2" customWidth="1"/>
    <col min="11776" max="11779" width="17.44140625" style="2" customWidth="1"/>
    <col min="11780" max="11780" width="4.44140625" style="2" customWidth="1"/>
    <col min="11781" max="11782" width="9.109375" style="2"/>
    <col min="11783" max="11784" width="0" style="2" hidden="1" customWidth="1"/>
    <col min="11785" max="12021" width="9.109375" style="2"/>
    <col min="12022" max="12022" width="8.44140625" style="2" customWidth="1"/>
    <col min="12023" max="12023" width="6.44140625" style="2" customWidth="1"/>
    <col min="12024" max="12028" width="17.44140625" style="2" customWidth="1"/>
    <col min="12029" max="12029" width="7" style="2" customWidth="1"/>
    <col min="12030" max="12030" width="7.44140625" style="2" customWidth="1"/>
    <col min="12031" max="12031" width="19" style="2" customWidth="1"/>
    <col min="12032" max="12035" width="17.44140625" style="2" customWidth="1"/>
    <col min="12036" max="12036" width="4.44140625" style="2" customWidth="1"/>
    <col min="12037" max="12038" width="9.109375" style="2"/>
    <col min="12039" max="12040" width="0" style="2" hidden="1" customWidth="1"/>
    <col min="12041" max="12277" width="9.109375" style="2"/>
    <col min="12278" max="12278" width="8.44140625" style="2" customWidth="1"/>
    <col min="12279" max="12279" width="6.44140625" style="2" customWidth="1"/>
    <col min="12280" max="12284" width="17.44140625" style="2" customWidth="1"/>
    <col min="12285" max="12285" width="7" style="2" customWidth="1"/>
    <col min="12286" max="12286" width="7.44140625" style="2" customWidth="1"/>
    <col min="12287" max="12287" width="19" style="2" customWidth="1"/>
    <col min="12288" max="12291" width="17.44140625" style="2" customWidth="1"/>
    <col min="12292" max="12292" width="4.44140625" style="2" customWidth="1"/>
    <col min="12293" max="12294" width="9.109375" style="2"/>
    <col min="12295" max="12296" width="0" style="2" hidden="1" customWidth="1"/>
    <col min="12297" max="12533" width="9.109375" style="2"/>
    <col min="12534" max="12534" width="8.44140625" style="2" customWidth="1"/>
    <col min="12535" max="12535" width="6.44140625" style="2" customWidth="1"/>
    <col min="12536" max="12540" width="17.44140625" style="2" customWidth="1"/>
    <col min="12541" max="12541" width="7" style="2" customWidth="1"/>
    <col min="12542" max="12542" width="7.44140625" style="2" customWidth="1"/>
    <col min="12543" max="12543" width="19" style="2" customWidth="1"/>
    <col min="12544" max="12547" width="17.44140625" style="2" customWidth="1"/>
    <col min="12548" max="12548" width="4.44140625" style="2" customWidth="1"/>
    <col min="12549" max="12550" width="9.109375" style="2"/>
    <col min="12551" max="12552" width="0" style="2" hidden="1" customWidth="1"/>
    <col min="12553" max="12789" width="9.109375" style="2"/>
    <col min="12790" max="12790" width="8.44140625" style="2" customWidth="1"/>
    <col min="12791" max="12791" width="6.44140625" style="2" customWidth="1"/>
    <col min="12792" max="12796" width="17.44140625" style="2" customWidth="1"/>
    <col min="12797" max="12797" width="7" style="2" customWidth="1"/>
    <col min="12798" max="12798" width="7.44140625" style="2" customWidth="1"/>
    <col min="12799" max="12799" width="19" style="2" customWidth="1"/>
    <col min="12800" max="12803" width="17.44140625" style="2" customWidth="1"/>
    <col min="12804" max="12804" width="4.44140625" style="2" customWidth="1"/>
    <col min="12805" max="12806" width="9.109375" style="2"/>
    <col min="12807" max="12808" width="0" style="2" hidden="1" customWidth="1"/>
    <col min="12809" max="13045" width="9.109375" style="2"/>
    <col min="13046" max="13046" width="8.44140625" style="2" customWidth="1"/>
    <col min="13047" max="13047" width="6.44140625" style="2" customWidth="1"/>
    <col min="13048" max="13052" width="17.44140625" style="2" customWidth="1"/>
    <col min="13053" max="13053" width="7" style="2" customWidth="1"/>
    <col min="13054" max="13054" width="7.44140625" style="2" customWidth="1"/>
    <col min="13055" max="13055" width="19" style="2" customWidth="1"/>
    <col min="13056" max="13059" width="17.44140625" style="2" customWidth="1"/>
    <col min="13060" max="13060" width="4.44140625" style="2" customWidth="1"/>
    <col min="13061" max="13062" width="9.109375" style="2"/>
    <col min="13063" max="13064" width="0" style="2" hidden="1" customWidth="1"/>
    <col min="13065" max="13301" width="9.109375" style="2"/>
    <col min="13302" max="13302" width="8.44140625" style="2" customWidth="1"/>
    <col min="13303" max="13303" width="6.44140625" style="2" customWidth="1"/>
    <col min="13304" max="13308" width="17.44140625" style="2" customWidth="1"/>
    <col min="13309" max="13309" width="7" style="2" customWidth="1"/>
    <col min="13310" max="13310" width="7.44140625" style="2" customWidth="1"/>
    <col min="13311" max="13311" width="19" style="2" customWidth="1"/>
    <col min="13312" max="13315" width="17.44140625" style="2" customWidth="1"/>
    <col min="13316" max="13316" width="4.44140625" style="2" customWidth="1"/>
    <col min="13317" max="13318" width="9.109375" style="2"/>
    <col min="13319" max="13320" width="0" style="2" hidden="1" customWidth="1"/>
    <col min="13321" max="13557" width="9.109375" style="2"/>
    <col min="13558" max="13558" width="8.44140625" style="2" customWidth="1"/>
    <col min="13559" max="13559" width="6.44140625" style="2" customWidth="1"/>
    <col min="13560" max="13564" width="17.44140625" style="2" customWidth="1"/>
    <col min="13565" max="13565" width="7" style="2" customWidth="1"/>
    <col min="13566" max="13566" width="7.44140625" style="2" customWidth="1"/>
    <col min="13567" max="13567" width="19" style="2" customWidth="1"/>
    <col min="13568" max="13571" width="17.44140625" style="2" customWidth="1"/>
    <col min="13572" max="13572" width="4.44140625" style="2" customWidth="1"/>
    <col min="13573" max="13574" width="9.109375" style="2"/>
    <col min="13575" max="13576" width="0" style="2" hidden="1" customWidth="1"/>
    <col min="13577" max="13813" width="9.109375" style="2"/>
    <col min="13814" max="13814" width="8.44140625" style="2" customWidth="1"/>
    <col min="13815" max="13815" width="6.44140625" style="2" customWidth="1"/>
    <col min="13816" max="13820" width="17.44140625" style="2" customWidth="1"/>
    <col min="13821" max="13821" width="7" style="2" customWidth="1"/>
    <col min="13822" max="13822" width="7.44140625" style="2" customWidth="1"/>
    <col min="13823" max="13823" width="19" style="2" customWidth="1"/>
    <col min="13824" max="13827" width="17.44140625" style="2" customWidth="1"/>
    <col min="13828" max="13828" width="4.44140625" style="2" customWidth="1"/>
    <col min="13829" max="13830" width="9.109375" style="2"/>
    <col min="13831" max="13832" width="0" style="2" hidden="1" customWidth="1"/>
    <col min="13833" max="14069" width="9.109375" style="2"/>
    <col min="14070" max="14070" width="8.44140625" style="2" customWidth="1"/>
    <col min="14071" max="14071" width="6.44140625" style="2" customWidth="1"/>
    <col min="14072" max="14076" width="17.44140625" style="2" customWidth="1"/>
    <col min="14077" max="14077" width="7" style="2" customWidth="1"/>
    <col min="14078" max="14078" width="7.44140625" style="2" customWidth="1"/>
    <col min="14079" max="14079" width="19" style="2" customWidth="1"/>
    <col min="14080" max="14083" width="17.44140625" style="2" customWidth="1"/>
    <col min="14084" max="14084" width="4.44140625" style="2" customWidth="1"/>
    <col min="14085" max="14086" width="9.109375" style="2"/>
    <col min="14087" max="14088" width="0" style="2" hidden="1" customWidth="1"/>
    <col min="14089" max="14325" width="9.109375" style="2"/>
    <col min="14326" max="14326" width="8.44140625" style="2" customWidth="1"/>
    <col min="14327" max="14327" width="6.44140625" style="2" customWidth="1"/>
    <col min="14328" max="14332" width="17.44140625" style="2" customWidth="1"/>
    <col min="14333" max="14333" width="7" style="2" customWidth="1"/>
    <col min="14334" max="14334" width="7.44140625" style="2" customWidth="1"/>
    <col min="14335" max="14335" width="19" style="2" customWidth="1"/>
    <col min="14336" max="14339" width="17.44140625" style="2" customWidth="1"/>
    <col min="14340" max="14340" width="4.44140625" style="2" customWidth="1"/>
    <col min="14341" max="14342" width="9.109375" style="2"/>
    <col min="14343" max="14344" width="0" style="2" hidden="1" customWidth="1"/>
    <col min="14345" max="14581" width="9.109375" style="2"/>
    <col min="14582" max="14582" width="8.44140625" style="2" customWidth="1"/>
    <col min="14583" max="14583" width="6.44140625" style="2" customWidth="1"/>
    <col min="14584" max="14588" width="17.44140625" style="2" customWidth="1"/>
    <col min="14589" max="14589" width="7" style="2" customWidth="1"/>
    <col min="14590" max="14590" width="7.44140625" style="2" customWidth="1"/>
    <col min="14591" max="14591" width="19" style="2" customWidth="1"/>
    <col min="14592" max="14595" width="17.44140625" style="2" customWidth="1"/>
    <col min="14596" max="14596" width="4.44140625" style="2" customWidth="1"/>
    <col min="14597" max="14598" width="9.109375" style="2"/>
    <col min="14599" max="14600" width="0" style="2" hidden="1" customWidth="1"/>
    <col min="14601" max="14837" width="9.109375" style="2"/>
    <col min="14838" max="14838" width="8.44140625" style="2" customWidth="1"/>
    <col min="14839" max="14839" width="6.44140625" style="2" customWidth="1"/>
    <col min="14840" max="14844" width="17.44140625" style="2" customWidth="1"/>
    <col min="14845" max="14845" width="7" style="2" customWidth="1"/>
    <col min="14846" max="14846" width="7.44140625" style="2" customWidth="1"/>
    <col min="14847" max="14847" width="19" style="2" customWidth="1"/>
    <col min="14848" max="14851" width="17.44140625" style="2" customWidth="1"/>
    <col min="14852" max="14852" width="4.44140625" style="2" customWidth="1"/>
    <col min="14853" max="14854" width="9.109375" style="2"/>
    <col min="14855" max="14856" width="0" style="2" hidden="1" customWidth="1"/>
    <col min="14857" max="15093" width="9.109375" style="2"/>
    <col min="15094" max="15094" width="8.44140625" style="2" customWidth="1"/>
    <col min="15095" max="15095" width="6.44140625" style="2" customWidth="1"/>
    <col min="15096" max="15100" width="17.44140625" style="2" customWidth="1"/>
    <col min="15101" max="15101" width="7" style="2" customWidth="1"/>
    <col min="15102" max="15102" width="7.44140625" style="2" customWidth="1"/>
    <col min="15103" max="15103" width="19" style="2" customWidth="1"/>
    <col min="15104" max="15107" width="17.44140625" style="2" customWidth="1"/>
    <col min="15108" max="15108" width="4.44140625" style="2" customWidth="1"/>
    <col min="15109" max="15110" width="9.109375" style="2"/>
    <col min="15111" max="15112" width="0" style="2" hidden="1" customWidth="1"/>
    <col min="15113" max="15349" width="9.109375" style="2"/>
    <col min="15350" max="15350" width="8.44140625" style="2" customWidth="1"/>
    <col min="15351" max="15351" width="6.44140625" style="2" customWidth="1"/>
    <col min="15352" max="15356" width="17.44140625" style="2" customWidth="1"/>
    <col min="15357" max="15357" width="7" style="2" customWidth="1"/>
    <col min="15358" max="15358" width="7.44140625" style="2" customWidth="1"/>
    <col min="15359" max="15359" width="19" style="2" customWidth="1"/>
    <col min="15360" max="15363" width="17.44140625" style="2" customWidth="1"/>
    <col min="15364" max="15364" width="4.44140625" style="2" customWidth="1"/>
    <col min="15365" max="15366" width="9.109375" style="2"/>
    <col min="15367" max="15368" width="0" style="2" hidden="1" customWidth="1"/>
    <col min="15369" max="15605" width="9.109375" style="2"/>
    <col min="15606" max="15606" width="8.44140625" style="2" customWidth="1"/>
    <col min="15607" max="15607" width="6.44140625" style="2" customWidth="1"/>
    <col min="15608" max="15612" width="17.44140625" style="2" customWidth="1"/>
    <col min="15613" max="15613" width="7" style="2" customWidth="1"/>
    <col min="15614" max="15614" width="7.44140625" style="2" customWidth="1"/>
    <col min="15615" max="15615" width="19" style="2" customWidth="1"/>
    <col min="15616" max="15619" width="17.44140625" style="2" customWidth="1"/>
    <col min="15620" max="15620" width="4.44140625" style="2" customWidth="1"/>
    <col min="15621" max="15622" width="9.109375" style="2"/>
    <col min="15623" max="15624" width="0" style="2" hidden="1" customWidth="1"/>
    <col min="15625" max="15861" width="9.109375" style="2"/>
    <col min="15862" max="15862" width="8.44140625" style="2" customWidth="1"/>
    <col min="15863" max="15863" width="6.44140625" style="2" customWidth="1"/>
    <col min="15864" max="15868" width="17.44140625" style="2" customWidth="1"/>
    <col min="15869" max="15869" width="7" style="2" customWidth="1"/>
    <col min="15870" max="15870" width="7.44140625" style="2" customWidth="1"/>
    <col min="15871" max="15871" width="19" style="2" customWidth="1"/>
    <col min="15872" max="15875" width="17.44140625" style="2" customWidth="1"/>
    <col min="15876" max="15876" width="4.44140625" style="2" customWidth="1"/>
    <col min="15877" max="15878" width="9.109375" style="2"/>
    <col min="15879" max="15880" width="0" style="2" hidden="1" customWidth="1"/>
    <col min="15881" max="16117" width="9.109375" style="2"/>
    <col min="16118" max="16118" width="8.44140625" style="2" customWidth="1"/>
    <col min="16119" max="16119" width="6.44140625" style="2" customWidth="1"/>
    <col min="16120" max="16124" width="17.44140625" style="2" customWidth="1"/>
    <col min="16125" max="16125" width="7" style="2" customWidth="1"/>
    <col min="16126" max="16126" width="7.44140625" style="2" customWidth="1"/>
    <col min="16127" max="16127" width="19" style="2" customWidth="1"/>
    <col min="16128" max="16131" width="17.44140625" style="2" customWidth="1"/>
    <col min="16132" max="16132" width="4.44140625" style="2" customWidth="1"/>
    <col min="16133" max="16134" width="9.109375" style="2"/>
    <col min="16135" max="16136" width="0" style="2" hidden="1" customWidth="1"/>
    <col min="16137" max="16384" width="9.109375" style="2"/>
  </cols>
  <sheetData>
    <row r="1" spans="1:39" ht="234.75" customHeight="1">
      <c r="B1" s="1632" t="s">
        <v>525</v>
      </c>
      <c r="C1" s="1632"/>
      <c r="D1" s="1632"/>
      <c r="E1" s="1632"/>
      <c r="F1" s="1632"/>
      <c r="G1" s="1632"/>
      <c r="H1" s="1632"/>
      <c r="I1" s="1632"/>
      <c r="J1" s="1632"/>
      <c r="K1" s="1632"/>
      <c r="L1" s="1632"/>
      <c r="M1" s="1632"/>
      <c r="N1" s="1632"/>
      <c r="O1" s="1632"/>
      <c r="P1" s="1632"/>
      <c r="Q1" s="1632"/>
      <c r="R1" s="1632"/>
      <c r="S1" s="1632"/>
      <c r="T1" s="1632"/>
      <c r="AB1" s="1633" t="s">
        <v>1697</v>
      </c>
      <c r="AC1" s="1633"/>
      <c r="AD1" s="1633"/>
      <c r="AE1" s="1633"/>
    </row>
    <row r="2" spans="1:39" ht="57" customHeight="1">
      <c r="A2" s="219"/>
      <c r="B2" s="134"/>
      <c r="C2" s="134"/>
      <c r="D2" s="134"/>
      <c r="E2" s="134"/>
      <c r="F2" s="134"/>
      <c r="G2" s="134"/>
      <c r="H2" s="134"/>
      <c r="I2" s="134"/>
      <c r="J2" s="134"/>
      <c r="K2" s="135"/>
      <c r="L2" s="136"/>
      <c r="M2" s="137"/>
      <c r="N2" s="134"/>
      <c r="O2" s="134"/>
      <c r="P2" s="134"/>
      <c r="Q2" s="134"/>
      <c r="R2" s="134"/>
      <c r="S2" s="134"/>
      <c r="T2" s="137" t="s">
        <v>146</v>
      </c>
      <c r="U2" s="137" t="s">
        <v>146</v>
      </c>
      <c r="V2" s="137" t="s">
        <v>146</v>
      </c>
      <c r="W2" s="137" t="s">
        <v>146</v>
      </c>
      <c r="X2" s="137" t="s">
        <v>146</v>
      </c>
      <c r="Y2" s="137" t="s">
        <v>146</v>
      </c>
      <c r="Z2" s="137" t="s">
        <v>146</v>
      </c>
      <c r="AA2" s="137" t="s">
        <v>146</v>
      </c>
      <c r="AB2" s="137" t="s">
        <v>146</v>
      </c>
    </row>
    <row r="3" spans="1:39" ht="40.5" customHeight="1">
      <c r="A3" s="219"/>
      <c r="B3" s="134"/>
      <c r="C3" s="1640" t="s">
        <v>371</v>
      </c>
      <c r="D3" s="1640"/>
      <c r="E3" s="1640"/>
      <c r="F3" s="1640"/>
      <c r="G3" s="1640"/>
      <c r="H3" s="1640"/>
      <c r="I3" s="1640"/>
      <c r="J3" s="1640"/>
      <c r="K3" s="1640"/>
      <c r="L3" s="1640"/>
      <c r="M3" s="260" t="s">
        <v>354</v>
      </c>
      <c r="N3" s="134"/>
      <c r="O3" s="134"/>
      <c r="P3" s="134"/>
      <c r="Q3" s="134"/>
      <c r="R3" s="134"/>
      <c r="S3" s="134"/>
      <c r="T3" s="134"/>
      <c r="U3" s="134"/>
      <c r="V3" s="134"/>
      <c r="W3" s="134"/>
      <c r="X3" s="134"/>
      <c r="Y3" s="134"/>
      <c r="Z3" s="134"/>
      <c r="AA3" s="134"/>
      <c r="AB3" s="134"/>
    </row>
    <row r="4" spans="1:39" s="20" customFormat="1" ht="50.25" customHeight="1">
      <c r="A4" s="219"/>
      <c r="B4" s="1643" t="str">
        <f>"АО НК ҚАЗАҚСТАН ТЕМІР ЖОЛЫ на 2023год (консолидированная)"</f>
        <v>АО НК ҚАЗАҚСТАН ТЕМІР ЖОЛЫ на 2023год (консолидированная)</v>
      </c>
      <c r="C4" s="1643"/>
      <c r="D4" s="1643"/>
      <c r="E4" s="1643"/>
      <c r="F4" s="1643"/>
      <c r="G4" s="1643"/>
      <c r="H4" s="1643"/>
      <c r="I4" s="1643"/>
      <c r="J4" s="1643"/>
      <c r="K4" s="1643"/>
      <c r="L4" s="1643"/>
      <c r="M4" s="191" cm="1">
        <f t="array" ref="M4:S5">'РЕЕСТР РИСКОВ_2023'!AB10:AH11</f>
        <v>-360256.1718454131</v>
      </c>
      <c r="N4" s="140">
        <v>0</v>
      </c>
      <c r="O4" s="140">
        <v>0</v>
      </c>
      <c r="P4" s="140">
        <v>0</v>
      </c>
      <c r="Q4" s="140">
        <v>0</v>
      </c>
      <c r="R4" s="140">
        <v>0</v>
      </c>
      <c r="S4" s="134">
        <v>0</v>
      </c>
      <c r="T4" s="140"/>
      <c r="U4" s="140"/>
      <c r="V4" s="140"/>
      <c r="W4" s="140"/>
      <c r="X4" s="140"/>
      <c r="Y4" s="140"/>
      <c r="Z4" s="140"/>
      <c r="AA4" s="140"/>
      <c r="AB4" s="140"/>
      <c r="AC4"/>
    </row>
    <row r="5" spans="1:39" s="20" customFormat="1" ht="65.25" hidden="1" customHeight="1">
      <c r="A5" s="219"/>
      <c r="B5" s="315">
        <v>2021</v>
      </c>
      <c r="C5" s="192"/>
      <c r="D5" s="316">
        <v>2021</v>
      </c>
      <c r="E5" s="316">
        <v>2022</v>
      </c>
      <c r="F5" s="316">
        <v>2023</v>
      </c>
      <c r="G5" s="316">
        <v>2024</v>
      </c>
      <c r="H5" s="316">
        <v>2025</v>
      </c>
      <c r="I5" s="192"/>
      <c r="J5" s="192"/>
      <c r="K5" s="193"/>
      <c r="L5" s="194"/>
      <c r="M5" s="196">
        <v>0</v>
      </c>
      <c r="N5" s="192">
        <v>0</v>
      </c>
      <c r="O5" s="192">
        <v>0</v>
      </c>
      <c r="P5" s="192">
        <v>0</v>
      </c>
      <c r="Q5" s="192">
        <v>0</v>
      </c>
      <c r="R5" s="192">
        <v>0</v>
      </c>
      <c r="S5" s="195">
        <v>0</v>
      </c>
      <c r="T5" s="192"/>
      <c r="U5" s="192"/>
      <c r="V5" s="192"/>
      <c r="W5" s="192"/>
      <c r="X5" s="192"/>
      <c r="Y5" s="192"/>
      <c r="Z5" s="192"/>
      <c r="AA5" s="192"/>
      <c r="AB5" s="192"/>
      <c r="AC5"/>
    </row>
    <row r="6" spans="1:39" s="20" customFormat="1" ht="47.25" customHeight="1">
      <c r="A6" s="219"/>
      <c r="B6" s="144"/>
      <c r="C6" s="142"/>
      <c r="D6" s="141" t="s">
        <v>278</v>
      </c>
      <c r="E6" s="141" t="s">
        <v>279</v>
      </c>
      <c r="F6" s="141" t="s">
        <v>280</v>
      </c>
      <c r="G6" s="1636" t="s">
        <v>281</v>
      </c>
      <c r="H6" s="1636"/>
      <c r="I6" s="145"/>
      <c r="J6" s="142"/>
      <c r="K6" s="143"/>
      <c r="L6" s="143"/>
      <c r="M6" s="142"/>
      <c r="N6" s="142"/>
      <c r="O6" s="142"/>
      <c r="P6" s="142"/>
      <c r="Q6" s="142"/>
      <c r="R6" s="142"/>
      <c r="S6" s="147"/>
      <c r="T6" s="142"/>
      <c r="U6" s="142"/>
      <c r="V6" s="142"/>
      <c r="W6" s="142"/>
      <c r="X6" s="142"/>
      <c r="Y6" s="142"/>
      <c r="Z6" s="142"/>
      <c r="AA6" s="142"/>
      <c r="AB6" s="142"/>
      <c r="AC6"/>
    </row>
    <row r="7" spans="1:39" s="20" customFormat="1" ht="16.5" customHeight="1">
      <c r="A7" s="219"/>
      <c r="B7" s="21"/>
      <c r="I7"/>
      <c r="K7" s="22"/>
      <c r="L7" s="22"/>
      <c r="S7" s="2"/>
      <c r="AC7"/>
    </row>
    <row r="8" spans="1:39" ht="66" customHeight="1">
      <c r="A8" s="219"/>
      <c r="B8" s="1637" t="s">
        <v>283</v>
      </c>
      <c r="C8" s="1613" t="s">
        <v>326</v>
      </c>
      <c r="D8" s="1616"/>
      <c r="E8" s="1619"/>
      <c r="F8" s="1620"/>
      <c r="G8" s="1608"/>
      <c r="H8" s="1608"/>
      <c r="I8"/>
      <c r="K8" s="23" t="s">
        <v>10</v>
      </c>
      <c r="L8" s="139" t="s">
        <v>291</v>
      </c>
      <c r="M8" s="139" t="s">
        <v>292</v>
      </c>
      <c r="N8" s="462"/>
      <c r="O8" s="462"/>
      <c r="P8" s="462"/>
      <c r="Q8" s="462"/>
      <c r="R8" s="463"/>
      <c r="S8" s="139" t="s">
        <v>291</v>
      </c>
      <c r="T8" s="139" t="s">
        <v>292</v>
      </c>
      <c r="U8" s="462"/>
      <c r="V8" s="462"/>
      <c r="W8" s="462"/>
      <c r="X8" s="462"/>
      <c r="Y8" s="462"/>
      <c r="Z8" s="462"/>
      <c r="AA8" s="139" t="s">
        <v>291</v>
      </c>
      <c r="AB8" s="139" t="s">
        <v>292</v>
      </c>
      <c r="AD8"/>
      <c r="AE8"/>
      <c r="AF8"/>
      <c r="AH8" s="138" t="s">
        <v>291</v>
      </c>
      <c r="AI8" s="139" t="s">
        <v>292</v>
      </c>
    </row>
    <row r="9" spans="1:39" ht="66" customHeight="1">
      <c r="A9" s="219"/>
      <c r="B9" s="1638"/>
      <c r="C9" s="1614"/>
      <c r="D9" s="1617"/>
      <c r="E9" s="1619"/>
      <c r="F9" s="1621"/>
      <c r="G9" s="1609"/>
      <c r="H9" s="1609"/>
      <c r="I9"/>
      <c r="K9" s="24"/>
      <c r="L9" s="1602" t="s">
        <v>293</v>
      </c>
      <c r="M9" s="1612"/>
      <c r="N9" s="464" t="s">
        <v>382</v>
      </c>
      <c r="O9" s="132" t="s">
        <v>100</v>
      </c>
      <c r="P9" s="132" t="s">
        <v>167</v>
      </c>
      <c r="Q9" s="133" t="s">
        <v>311</v>
      </c>
      <c r="S9" s="1589" t="s">
        <v>78</v>
      </c>
      <c r="T9" s="1590"/>
      <c r="U9" s="498"/>
      <c r="V9" s="507"/>
      <c r="W9" s="508"/>
      <c r="X9" s="509"/>
      <c r="Y9" s="462"/>
      <c r="Z9" s="462"/>
      <c r="AA9" s="1587" t="s">
        <v>161</v>
      </c>
      <c r="AB9" s="1588"/>
      <c r="AC9" s="312"/>
      <c r="AD9" s="309"/>
      <c r="AE9" s="310"/>
      <c r="AF9" s="311"/>
      <c r="AH9" s="1591" t="s">
        <v>68</v>
      </c>
      <c r="AI9" s="1592"/>
      <c r="AJ9" s="312"/>
      <c r="AK9" s="309"/>
      <c r="AL9" s="310"/>
      <c r="AM9" s="311"/>
    </row>
    <row r="10" spans="1:39" ht="62.25" customHeight="1">
      <c r="A10" s="219"/>
      <c r="B10" s="1638"/>
      <c r="C10" s="1614"/>
      <c r="D10" s="1617"/>
      <c r="E10" s="1619"/>
      <c r="F10" s="1621"/>
      <c r="G10" s="1609"/>
      <c r="H10" s="1609"/>
      <c r="I10"/>
      <c r="K10" s="1600">
        <v>1</v>
      </c>
      <c r="L10" s="465" t="s">
        <v>178</v>
      </c>
      <c r="M10" s="499" t="s">
        <v>384</v>
      </c>
      <c r="N10" s="312" t="str">
        <f t="shared" ref="N10:N17" ca="1" si="0">"ВЕРОЯТНОСТЬ  "&amp;IF(O10&lt;0.05,1,IF((O10&gt;=0.05)*(O10&lt;0.25),2,IF((O10&gt;=0.25)*(O10&lt;0.5),3,IF((O10&gt;=0.5)*(O10&lt;0.75),4,5))))&amp;"  ВЛИЯНИЕ  "&amp;IF(P10&gt;-200,1,IF((P10&lt;=-200)*(P10&gt;-500),2,IF((P10&lt;=-500)*(P10&gt;-1000),3,IF((P10&lt;=-1000)*(P10&gt;-3000),4,5))))</f>
        <v>ВЕРОЯТНОСТЬ  5  ВЛИЯНИЕ  5</v>
      </c>
      <c r="O10" s="507">
        <f ca="1">IF($B$5=2021,SUMIF('РЕЕСТР РИСКОВ_2023'!$K$40:$AC$248,M10,'РЕЕСТР РИСКОВ_2023'!$AC$40:$AC$248),IF($B$5=2022,SUMIF(#REF!,M10,#REF!),IF($B$5=2023,SUMIF(#REF!,M10,#REF!),IF($B$5=2024,SUMIF(#REF!,M10,#REF!),SUMIF(#REF!,M10,#REF!)))))</f>
        <v>0.99084175724693513</v>
      </c>
      <c r="P10" s="508">
        <f ca="1">IF($B$5=2021,SUMIF('РЕЕСТР РИСКОВ_2023'!$K$40:$AD$248,M10,'РЕЕСТР РИСКОВ_2023'!$AD$40:$AD$248),IF($B$5=2022,SUMIF(#REF!,M10,#REF!),IF($B$5=2023,SUMIF(#REF!,M10,#REF!),IF($B$5=2024,SUMIF(#REF!,M10,#REF!),IF($B$5=2025,SUMIF(#REF!,M10,#REF!))))))</f>
        <v>-14586.878000000001</v>
      </c>
      <c r="Q10" s="509">
        <f t="shared" ref="Q10:Q17" ca="1" si="1">O10*P10</f>
        <v>-14453.28783026666</v>
      </c>
      <c r="S10" s="466" t="s">
        <v>207</v>
      </c>
      <c r="T10" s="502" t="s">
        <v>1130</v>
      </c>
      <c r="U10" s="498" t="str">
        <f ca="1">"ВЕРОЯТНОСТЬ  "&amp;IF(V10&lt;0.05,1,IF((V10&gt;=0.05)*(V10&lt;0.25),2,IF((V10&gt;=0.25)*(V10&lt;0.5),3,IF((V10&gt;=0.5)*(V10&lt;0.75),4,5))))&amp;"  ВЛИЯНИЕ  "&amp;IF(W10&gt;-200,1,IF((W10&lt;=-200)*(W10&gt;-500),2,IF((W10&lt;=-500)*(W10&gt;-1000),3,IF((W10&lt;=-1000)*(W10&gt;-3000),4,5))))</f>
        <v>ВЕРОЯТНОСТЬ  3  ВЛИЯНИЕ  1</v>
      </c>
      <c r="V10" s="507">
        <f ca="1">IF($B$5=2021,SUMIF('РЕЕСТР РИСКОВ_2023'!$K$40:$AC$248,T10,'РЕЕСТР РИСКОВ_2023'!$Y$40:$Y$248),IF($B$5=2022,SUMIF(#REF!,T10,#REF!),IF($B$5=2023,SUMIF(#REF!,T10,#REF!),IF($B$5=2024,SUMIF(#REF!,T10,#REF!),SUMIF(#REF!,T10,#REF!)))))</f>
        <v>0.25</v>
      </c>
      <c r="W10" s="508">
        <f ca="1">IF($B$5=2021,SUMIF('РЕЕСТР РИСКОВ_2023'!$K$40:$AD$248,T10,'РЕЕСТР РИСКОВ_2023'!$Z$40:$Z$248),IF($B$5=2022,SUMIF(#REF!,T10,#REF!),IF($B$5=2023,SUMIF(#REF!,T10,#REF!),IF($B$5=2024,SUMIF(#REF!,T10,#REF!),IF($B$5=2025,SUMIF(#REF!,T10,#REF!))))))</f>
        <v>0</v>
      </c>
      <c r="X10" s="509">
        <f ca="1">V10*W10</f>
        <v>0</v>
      </c>
      <c r="Y10" s="462"/>
      <c r="Z10" s="462"/>
      <c r="AA10" s="467" t="s">
        <v>363</v>
      </c>
      <c r="AB10" s="504" t="s">
        <v>48</v>
      </c>
      <c r="AC10" s="312" t="str">
        <f t="shared" ref="AC10:AC16" ca="1" si="2">"ВЕРОЯТНОСТЬ  "&amp;IF(AD10&lt;0.05,1,IF((AD10&gt;=0.05)*(AD10&lt;0.25),2,IF((AD10&gt;=0.25)*(AD10&lt;0.5),3,IF((AD10&gt;=0.5)*(AD10&lt;0.75),4,5))))&amp;"  ВЛИЯНИЕ  "&amp;IF(AE10&gt;-200,1,IF((AE10&lt;=-200)*(AE10&gt;-500),2,IF((AE10&lt;=-500)*(AE10&gt;-1000),3,IF((AE10&lt;=-1000)*(AE10&gt;-3000),4,5))))</f>
        <v>ВЕРОЯТНОСТЬ  3  ВЛИЯНИЕ  2</v>
      </c>
      <c r="AD10" s="309">
        <f ca="1">IF($B$5=2021,SUMIF('РЕЕСТР РИСКОВ_2023'!$K$40:$AC$248,AB10,'РЕЕСТР РИСКОВ_2023'!$AC$40:$AC$248),IF($B$5=2022,SUMIF(#REF!,AB10,#REF!),IF($B$5=2023,SUMIF(#REF!,AB10,#REF!),IF($B$5=2024,SUMIF(#REF!,AB10,#REF!),SUMIF(#REF!,AB10,#REF!)))))</f>
        <v>0.4</v>
      </c>
      <c r="AE10" s="310">
        <f ca="1">IF($B$5=2021,SUMIF('РЕЕСТР РИСКОВ_2023'!$K$40:$AD$248,AB10,'РЕЕСТР РИСКОВ_2023'!$AD$40:$AD$248),IF($B$5=2022,SUMIF(#REF!,AB10,#REF!),IF($B$5=2023,SUMIF(#REF!,AB10,#REF!),IF($B$5=2024,SUMIF(#REF!,AB10,#REF!),IF($B$5=2025,SUMIF(#REF!,AB10,#REF!))))))</f>
        <v>-401.4</v>
      </c>
      <c r="AF10" s="311">
        <f t="shared" ref="AF10:AF16" ca="1" si="3">AD10*AE10</f>
        <v>-160.56</v>
      </c>
      <c r="AH10" s="479" t="s">
        <v>204</v>
      </c>
      <c r="AI10" s="513" t="s">
        <v>169</v>
      </c>
      <c r="AJ10" s="312" t="str">
        <f t="shared" ref="AJ10:AJ20" ca="1" si="4">"ВЕРОЯТНОСТЬ  "&amp;IF(AK10&lt;0.05,1,IF((AK10&gt;=0.05)*(AK10&lt;0.25),2,IF((AK10&gt;=0.25)*(AK10&lt;0.5),3,IF((AK10&gt;=0.5)*(AK10&lt;0.75),4,5))))&amp;"  ВЛИЯНИЕ  "&amp;IF(AL10&gt;-200,1,IF((AL10&lt;=-200)*(AL10&gt;-500),2,IF((AL10&lt;=-500)*(AL10&gt;-1000),3,IF((AL10&lt;=-1000)*(AL10&gt;-3000),4,5))))</f>
        <v>ВЕРОЯТНОСТЬ  5  ВЛИЯНИЕ  1</v>
      </c>
      <c r="AK10" s="309">
        <f ca="1">IF($B$5=2021,SUMIF('РЕЕСТР РИСКОВ_2023'!$K$40:$AC$248,AI10,'РЕЕСТР РИСКОВ_2023'!$AC$40:$AC$248),IF($B$5=2022,SUMIF(#REF!,AI10,#REF!),IF($B$5=2023,SUMIF(#REF!,AI10,#REF!),IF($B$5=2024,SUMIF(#REF!,AI10,#REF!),SUMIF(#REF!,AI10,#REF!)))))</f>
        <v>1</v>
      </c>
      <c r="AL10" s="310">
        <f ca="1">IF($B$5=2021,SUMIF('РЕЕСТР РИСКОВ_2023'!$K$40:$AD$248,AI10,'РЕЕСТР РИСКОВ_2023'!$AD$40:$AD$248),IF($B$5=2022,SUMIF(#REF!,AI10,#REF!),IF($B$5=2023,SUMIF(#REF!,AI10,#REF!),IF($B$5=2024,SUMIF(#REF!,AI10,#REF!),IF($B$5=2025,SUMIF(#REF!,AI10,#REF!))))))</f>
        <v>0</v>
      </c>
      <c r="AM10" s="311">
        <f t="shared" ref="AM10:AM20" ca="1" si="5">AK10*AL10</f>
        <v>0</v>
      </c>
    </row>
    <row r="11" spans="1:39" ht="66" customHeight="1">
      <c r="A11" s="219"/>
      <c r="B11" s="1638"/>
      <c r="C11" s="1615"/>
      <c r="D11" s="1618"/>
      <c r="E11" s="1619"/>
      <c r="F11" s="1622"/>
      <c r="G11" s="1610"/>
      <c r="H11" s="1610"/>
      <c r="I11"/>
      <c r="K11" s="1601"/>
      <c r="L11" s="468" t="s">
        <v>179</v>
      </c>
      <c r="M11" s="499" t="s">
        <v>320</v>
      </c>
      <c r="N11" s="312" t="str">
        <f t="shared" ca="1" si="0"/>
        <v>ВЕРОЯТНОСТЬ  2  ВЛИЯНИЕ  1</v>
      </c>
      <c r="O11" s="507">
        <f ca="1">IF($B$5=2021,SUMIF('РЕЕСТР РИСКОВ_2023'!$K$40:$AC$248,M11,'РЕЕСТР РИСКОВ_2023'!$AC$40:$AC$248),IF($B$5=2022,SUMIF(#REF!,M11,#REF!),IF($B$5=2023,SUMIF(#REF!,M11,#REF!),IF($B$5=2024,SUMIF(#REF!,M11,#REF!),SUMIF(#REF!,M11,#REF!)))))</f>
        <v>0.05</v>
      </c>
      <c r="P11" s="508">
        <f ca="1">IF($B$5=2021,SUMIF('РЕЕСТР РИСКОВ_2023'!$K$40:$AD$248,M11,'РЕЕСТР РИСКОВ_2023'!$AD$40:$AD$248),IF($B$5=2022,SUMIF(#REF!,M11,#REF!),IF($B$5=2023,SUMIF(#REF!,M11,#REF!),IF($B$5=2024,SUMIF(#REF!,M11,#REF!),IF($B$5=2025,SUMIF(#REF!,M11,#REF!))))))</f>
        <v>1715.1306880989828</v>
      </c>
      <c r="Q11" s="509">
        <f t="shared" ca="1" si="1"/>
        <v>85.75653440494915</v>
      </c>
      <c r="R11" s="463"/>
      <c r="S11" s="466" t="s">
        <v>208</v>
      </c>
      <c r="T11" s="502" t="s">
        <v>1017</v>
      </c>
      <c r="U11" s="498" t="str">
        <f ca="1">"ВЕРОЯТНОСТЬ  "&amp;IF(V11&lt;0.05,1,IF((V11&gt;=0.05)*(V11&lt;0.25),2,IF((V11&gt;=0.25)*(V11&lt;0.5),3,IF((V11&gt;=0.5)*(V11&lt;0.75),4,5))))&amp;"  ВЛИЯНИЕ  "&amp;IF(W11&gt;-200,1,IF((W11&lt;=-200)*(W11&gt;-500),2,IF((W11&lt;=-500)*(W11&gt;-1000),3,IF((W11&lt;=-1000)*(W11&gt;-3000),4,5))))</f>
        <v>ВЕРОЯТНОСТЬ  3  ВЛИЯНИЕ  1</v>
      </c>
      <c r="V11" s="507">
        <f ca="1">IF($B$5=2021,SUMIF('РЕЕСТР РИСКОВ_2023'!$K$40:$AC$248,T11,'РЕЕСТР РИСКОВ_2023'!$Y$40:$Y$248),IF($B$5=2022,SUMIF(#REF!,T11,#REF!),IF($B$5=2023,SUMIF(#REF!,T11,#REF!),IF($B$5=2024,SUMIF(#REF!,T11,#REF!),SUMIF(#REF!,T11,#REF!)))))</f>
        <v>0.25</v>
      </c>
      <c r="W11" s="508">
        <f ca="1">IF($B$5=2021,SUMIF('РЕЕСТР РИСКОВ_2023'!$K$40:$AD$248,T11,'РЕЕСТР РИСКОВ_2023'!$Z$40:$Z$248),IF($B$5=2022,SUMIF(#REF!,T11,#REF!),IF($B$5=2023,SUMIF(#REF!,T11,#REF!),IF($B$5=2024,SUMIF(#REF!,T11,#REF!),IF($B$5=2025,SUMIF(#REF!,T11,#REF!))))))</f>
        <v>0</v>
      </c>
      <c r="X11" s="509">
        <f ca="1">V11*W11</f>
        <v>0</v>
      </c>
      <c r="Y11" s="462"/>
      <c r="Z11" s="462"/>
      <c r="AA11" s="467" t="s">
        <v>364</v>
      </c>
      <c r="AB11" s="512" t="s">
        <v>934</v>
      </c>
      <c r="AC11" s="312" t="str">
        <f t="shared" ca="1" si="2"/>
        <v>ВЕРОЯТНОСТЬ  3  ВЛИЯНИЕ  1</v>
      </c>
      <c r="AD11" s="309">
        <f ca="1">IF($B$5=2021,SUMIF('РЕЕСТР РИСКОВ_2023'!$K$40:$AC$248,AB11,'РЕЕСТР РИСКОВ_2023'!$AC$40:$AC$248),IF($B$5=2022,SUMIF(#REF!,AB11,#REF!),IF($B$5=2023,SUMIF(#REF!,AB11,#REF!),IF($B$5=2024,SUMIF(#REF!,AB11,#REF!),SUMIF(#REF!,AB11,#REF!)))))</f>
        <v>0.45</v>
      </c>
      <c r="AE11" s="310">
        <f ca="1">IF($B$5=2021,SUMIF('РЕЕСТР РИСКОВ_2023'!$K$40:$AD$248,AB11,'РЕЕСТР РИСКОВ_2023'!$AD$40:$AD$248),IF($B$5=2022,SUMIF(#REF!,AB11,#REF!),IF($B$5=2023,SUMIF(#REF!,AB11,#REF!),IF($B$5=2024,SUMIF(#REF!,AB11,#REF!),IF($B$5=2025,SUMIF(#REF!,AB11,#REF!))))))</f>
        <v>-15</v>
      </c>
      <c r="AF11" s="311">
        <f t="shared" ca="1" si="3"/>
        <v>-6.75</v>
      </c>
      <c r="AH11" s="479" t="s">
        <v>807</v>
      </c>
      <c r="AI11" s="513" t="s">
        <v>826</v>
      </c>
      <c r="AJ11" s="312" t="str">
        <f t="shared" ca="1" si="4"/>
        <v>ВЕРОЯТНОСТЬ  5  ВЛИЯНИЕ  1</v>
      </c>
      <c r="AK11" s="309">
        <f ca="1">IF($B$5=2021,SUMIF('РЕЕСТР РИСКОВ_2023'!$K$40:$AC$248,AI11,'РЕЕСТР РИСКОВ_2023'!$AC$40:$AC$248),IF($B$5=2022,SUMIF(#REF!,AI11,#REF!),IF($B$5=2023,SUMIF(#REF!,AI11,#REF!),IF($B$5=2024,SUMIF(#REF!,AI11,#REF!),SUMIF(#REF!,AI11,#REF!)))))</f>
        <v>1</v>
      </c>
      <c r="AL11" s="310">
        <f ca="1">IF($B$5=2021,SUMIF('РЕЕСТР РИСКОВ_2023'!$K$40:$AD$248,AI11,'РЕЕСТР РИСКОВ_2023'!$AD$40:$AD$248),IF($B$5=2022,SUMIF(#REF!,AI11,#REF!),IF($B$5=2023,SUMIF(#REF!,AI11,#REF!),IF($B$5=2024,SUMIF(#REF!,AI11,#REF!),IF($B$5=2025,SUMIF(#REF!,AI11,#REF!))))))</f>
        <v>0</v>
      </c>
      <c r="AM11" s="311">
        <f t="shared" ca="1" si="5"/>
        <v>0</v>
      </c>
    </row>
    <row r="12" spans="1:39" ht="69" customHeight="1">
      <c r="A12" s="219"/>
      <c r="B12" s="1638"/>
      <c r="C12" s="1623" t="s">
        <v>327</v>
      </c>
      <c r="D12" s="1626"/>
      <c r="E12" s="1629"/>
      <c r="F12" s="1620"/>
      <c r="G12" s="1608"/>
      <c r="H12" s="1608"/>
      <c r="I12"/>
      <c r="K12" s="25">
        <v>2</v>
      </c>
      <c r="L12" s="840" t="s">
        <v>180</v>
      </c>
      <c r="M12" s="499" t="s">
        <v>304</v>
      </c>
      <c r="N12" s="312" t="str">
        <f t="shared" ca="1" si="0"/>
        <v>ВЕРОЯТНОСТЬ  2  ВЛИЯНИЕ  5</v>
      </c>
      <c r="O12" s="507">
        <f ca="1">IF($B$5=2021,SUMIF('РЕЕСТР РИСКОВ_2023'!$K$40:$AC$248,M12,'РЕЕСТР РИСКОВ_2023'!$AC$40:$AC$248),IF($B$5=2022,SUMIF(#REF!,M12,#REF!),IF($B$5=2023,SUMIF(#REF!,M12,#REF!),IF($B$5=2024,SUMIF(#REF!,M12,#REF!),SUMIF(#REF!,M12,#REF!)))))</f>
        <v>0.2</v>
      </c>
      <c r="P12" s="508">
        <f ca="1">IF($B$5=2021,SUMIF('РЕЕСТР РИСКОВ_2023'!$K$40:$AD$248,M12,'РЕЕСТР РИСКОВ_2023'!$AD$40:$AD$248),IF($B$5=2022,SUMIF(#REF!,M12,#REF!),IF($B$5=2023,SUMIF(#REF!,M12,#REF!),IF($B$5=2024,SUMIF(#REF!,M12,#REF!),IF($B$5=2025,SUMIF(#REF!,M12,#REF!))))))</f>
        <v>-7962.3487495075733</v>
      </c>
      <c r="Q12" s="509">
        <f t="shared" ca="1" si="1"/>
        <v>-1592.4697499015147</v>
      </c>
      <c r="R12" s="463"/>
      <c r="S12" s="466" t="s">
        <v>209</v>
      </c>
      <c r="T12" s="502" t="s">
        <v>1018</v>
      </c>
      <c r="U12" s="498" t="str">
        <f ca="1">"ВЕРОЯТНОСТЬ  "&amp;IF(V12&lt;0.05,1,IF((V12&gt;=0.05)*(V12&lt;0.25),2,IF((V12&gt;=0.25)*(V12&lt;0.5),3,IF((V12&gt;=0.5)*(V12&lt;0.75),4,5))))&amp;"  ВЛИЯНИЕ  "&amp;IF(W12&gt;-200,1,IF((W12&lt;=-200)*(W12&gt;-500),2,IF((W12&lt;=-500)*(W12&gt;-1000),3,IF((W12&lt;=-1000)*(W12&gt;-3000),4,5))))</f>
        <v>ВЕРОЯТНОСТЬ  1  ВЛИЯНИЕ  1</v>
      </c>
      <c r="V12" s="507">
        <f ca="1">IF($B$5=2021,SUMIF('РЕЕСТР РИСКОВ_2023'!$K$40:$AC$248,T12,'РЕЕСТР РИСКОВ_2023'!$Y$40:$Y$248),IF($B$5=2022,SUMIF(#REF!,T12,#REF!),IF($B$5=2023,SUMIF(#REF!,T12,#REF!),IF($B$5=2024,SUMIF(#REF!,T12,#REF!),SUMIF(#REF!,T12,#REF!)))))</f>
        <v>0</v>
      </c>
      <c r="W12" s="508">
        <f ca="1">IF($B$5=2021,SUMIF('РЕЕСТР РИСКОВ_2023'!$K$40:$AD$248,T12,'РЕЕСТР РИСКОВ_2023'!$Z$40:$Z$248),IF($B$5=2022,SUMIF(#REF!,T12,#REF!),IF($B$5=2023,SUMIF(#REF!,T12,#REF!),IF($B$5=2024,SUMIF(#REF!,T12,#REF!),IF($B$5=2025,SUMIF(#REF!,T12,#REF!))))))</f>
        <v>0</v>
      </c>
      <c r="X12" s="509">
        <f ca="1">V12*W12</f>
        <v>0</v>
      </c>
      <c r="Y12" s="462"/>
      <c r="Z12" s="462"/>
      <c r="AA12" s="469" t="s">
        <v>365</v>
      </c>
      <c r="AB12" s="504" t="s">
        <v>476</v>
      </c>
      <c r="AC12" s="312" t="str">
        <f t="shared" ca="1" si="2"/>
        <v>ВЕРОЯТНОСТЬ  5  ВЛИЯНИЕ  2</v>
      </c>
      <c r="AD12" s="309">
        <f ca="1">IF($B$5=2021,SUMIF('РЕЕСТР РИСКОВ_2023'!$K$40:$AC$248,AB12,'РЕЕСТР РИСКОВ_2023'!$AC$40:$AC$248),IF($B$5=2022,SUMIF(#REF!,AB12,#REF!),IF($B$5=2023,SUMIF(#REF!,AB12,#REF!),IF($B$5=2024,SUMIF(#REF!,AB12,#REF!),SUMIF(#REF!,AB12,#REF!)))))</f>
        <v>0.75</v>
      </c>
      <c r="AE12" s="310">
        <f ca="1">IF($B$5=2021,SUMIF('РЕЕСТР РИСКОВ_2023'!$K$40:$AD$248,AB12,'РЕЕСТР РИСКОВ_2023'!$AD$40:$AD$248),IF($B$5=2022,SUMIF(#REF!,AB12,#REF!),IF($B$5=2023,SUMIF(#REF!,AB12,#REF!),IF($B$5=2024,SUMIF(#REF!,AB12,#REF!),IF($B$5=2025,SUMIF(#REF!,AB12,#REF!))))))</f>
        <v>-399</v>
      </c>
      <c r="AF12" s="311">
        <f t="shared" ca="1" si="3"/>
        <v>-299.25</v>
      </c>
      <c r="AH12" s="479" t="s">
        <v>808</v>
      </c>
      <c r="AI12" s="513" t="s">
        <v>827</v>
      </c>
      <c r="AJ12" s="312" t="str">
        <f t="shared" ca="1" si="4"/>
        <v>ВЕРОЯТНОСТЬ  1  ВЛИЯНИЕ  1</v>
      </c>
      <c r="AK12" s="309">
        <f ca="1">IF($B$5=2021,SUMIF('РЕЕСТР РИСКОВ_2023'!$K$40:$AC$248,AI12,'РЕЕСТР РИСКОВ_2023'!$AC$40:$AC$248),IF($B$5=2022,SUMIF(#REF!,AI12,#REF!),IF($B$5=2023,SUMIF(#REF!,AI12,#REF!),IF($B$5=2024,SUMIF(#REF!,AI12,#REF!),SUMIF(#REF!,AI12,#REF!)))))</f>
        <v>0</v>
      </c>
      <c r="AL12" s="310">
        <f ca="1">IF($B$5=2021,SUMIF('РЕЕСТР РИСКОВ_2023'!$K$40:$AD$248,AI12,'РЕЕСТР РИСКОВ_2023'!$AD$40:$AD$248),IF($B$5=2022,SUMIF(#REF!,AI12,#REF!),IF($B$5=2023,SUMIF(#REF!,AI12,#REF!),IF($B$5=2024,SUMIF(#REF!,AI12,#REF!),IF($B$5=2025,SUMIF(#REF!,AI12,#REF!))))))</f>
        <v>0</v>
      </c>
      <c r="AM12" s="311">
        <f t="shared" ca="1" si="5"/>
        <v>0</v>
      </c>
    </row>
    <row r="13" spans="1:39" ht="63.75" customHeight="1">
      <c r="A13" s="219"/>
      <c r="B13" s="1638"/>
      <c r="C13" s="1624"/>
      <c r="D13" s="1627"/>
      <c r="E13" s="1630"/>
      <c r="F13" s="1621"/>
      <c r="G13" s="1609"/>
      <c r="H13" s="1609"/>
      <c r="I13"/>
      <c r="K13" s="26"/>
      <c r="L13" s="478" t="s">
        <v>181</v>
      </c>
      <c r="M13" s="499" t="s">
        <v>303</v>
      </c>
      <c r="N13" s="312" t="str">
        <f t="shared" ca="1" si="0"/>
        <v>ВЕРОЯТНОСТЬ  2  ВЛИЯНИЕ  5</v>
      </c>
      <c r="O13" s="507">
        <f ca="1">IF($B$5=2021,SUMIF('РЕЕСТР РИСКОВ_2023'!$K$40:$AC$248,M13,'РЕЕСТР РИСКОВ_2023'!$AC$40:$AC$248),IF($B$5=2022,SUMIF(#REF!,M13,#REF!),IF($B$5=2023,SUMIF(#REF!,M13,#REF!),IF($B$5=2024,SUMIF(#REF!,M13,#REF!),SUMIF(#REF!,M13,#REF!)))))</f>
        <v>9.6875000000000003E-2</v>
      </c>
      <c r="P13" s="508">
        <f ca="1">IF($B$5=2021,SUMIF('РЕЕСТР РИСКОВ_2023'!$K$40:$AD$248,M13,'РЕЕСТР РИСКОВ_2023'!$AD$40:$AD$248),IF($B$5=2022,SUMIF(#REF!,M13,#REF!),IF($B$5=2023,SUMIF(#REF!,M13,#REF!),IF($B$5=2024,SUMIF(#REF!,M13,#REF!),IF($B$5=2025,SUMIF(#REF!,M13,#REF!))))))</f>
        <v>-11278.400747719992</v>
      </c>
      <c r="Q13" s="509">
        <f t="shared" ca="1" si="1"/>
        <v>-1092.5950724353743</v>
      </c>
      <c r="R13" s="463"/>
      <c r="S13" s="1589" t="s">
        <v>69</v>
      </c>
      <c r="T13" s="1590"/>
      <c r="U13" s="498"/>
      <c r="V13" s="505" t="s">
        <v>100</v>
      </c>
      <c r="W13" s="505" t="s">
        <v>167</v>
      </c>
      <c r="X13" s="506" t="s">
        <v>311</v>
      </c>
      <c r="Y13" s="462"/>
      <c r="Z13" s="462"/>
      <c r="AA13" s="1589" t="s">
        <v>125</v>
      </c>
      <c r="AB13" s="1590"/>
      <c r="AC13" s="312"/>
      <c r="AD13" s="309"/>
      <c r="AE13" s="310"/>
      <c r="AF13" s="311"/>
      <c r="AH13" s="479" t="s">
        <v>809</v>
      </c>
      <c r="AI13" s="513" t="s">
        <v>828</v>
      </c>
      <c r="AJ13" s="312" t="str">
        <f t="shared" ca="1" si="4"/>
        <v>ВЕРОЯТНОСТЬ  1  ВЛИЯНИЕ  1</v>
      </c>
      <c r="AK13" s="309">
        <f ca="1">IF($B$5=2021,SUMIF('РЕЕСТР РИСКОВ_2023'!$K$40:$AC$248,AI13,'РЕЕСТР РИСКОВ_2023'!$AC$40:$AC$248),IF($B$5=2022,SUMIF(#REF!,AI13,#REF!),IF($B$5=2023,SUMIF(#REF!,AI13,#REF!),IF($B$5=2024,SUMIF(#REF!,AI13,#REF!),SUMIF(#REF!,AI13,#REF!)))))</f>
        <v>0</v>
      </c>
      <c r="AL13" s="310">
        <f ca="1">IF($B$5=2021,SUMIF('РЕЕСТР РИСКОВ_2023'!$K$40:$AD$248,AI13,'РЕЕСТР РИСКОВ_2023'!$AD$40:$AD$248),IF($B$5=2022,SUMIF(#REF!,AI13,#REF!),IF($B$5=2023,SUMIF(#REF!,AI13,#REF!),IF($B$5=2024,SUMIF(#REF!,AI13,#REF!),IF($B$5=2025,SUMIF(#REF!,AI13,#REF!))))))</f>
        <v>0</v>
      </c>
      <c r="AM13" s="311">
        <f t="shared" ca="1" si="5"/>
        <v>0</v>
      </c>
    </row>
    <row r="14" spans="1:39" ht="61.5" customHeight="1">
      <c r="A14" s="219"/>
      <c r="B14" s="1638"/>
      <c r="C14" s="1624"/>
      <c r="D14" s="1627"/>
      <c r="E14" s="1630"/>
      <c r="F14" s="1621"/>
      <c r="G14" s="1609"/>
      <c r="H14" s="1609"/>
      <c r="I14"/>
      <c r="K14" s="26">
        <v>3</v>
      </c>
      <c r="L14" s="470" t="s">
        <v>182</v>
      </c>
      <c r="M14" s="500" t="s">
        <v>482</v>
      </c>
      <c r="N14" s="312" t="str">
        <f t="shared" ca="1" si="0"/>
        <v>ВЕРОЯТНОСТЬ  5  ВЛИЯНИЕ  5</v>
      </c>
      <c r="O14" s="507">
        <f ca="1">IF($B$5=2021,SUMIF('РЕЕСТР РИСКОВ_2023'!$K$40:$AC$248,M14,'РЕЕСТР РИСКОВ_2023'!$AC$40:$AC$248),IF($B$5=2022,SUMIF(#REF!,M14,#REF!),IF($B$5=2023,SUMIF(#REF!,M14,#REF!),IF($B$5=2024,SUMIF(#REF!,M14,#REF!),SUMIF(#REF!,M14,#REF!)))))</f>
        <v>0.76364643470029581</v>
      </c>
      <c r="P14" s="508">
        <f ca="1">IF($B$5=2021,SUMIF('РЕЕСТР РИСКОВ_2023'!$K$40:$AD$248,M14,'РЕЕСТР РИСКОВ_2023'!$AD$40:$AD$248),IF($B$5=2022,SUMIF(#REF!,M14,#REF!),IF($B$5=2023,SUMIF(#REF!,M14,#REF!),IF($B$5=2024,SUMIF(#REF!,M14,#REF!),IF($B$5=2025,SUMIF(#REF!,M14,#REF!))))))</f>
        <v>-3613.0450100000003</v>
      </c>
      <c r="Q14" s="509">
        <f t="shared" ca="1" si="1"/>
        <v>-2759.0889402981948</v>
      </c>
      <c r="R14" s="463"/>
      <c r="S14" s="471" t="s">
        <v>383</v>
      </c>
      <c r="T14" s="502" t="s">
        <v>467</v>
      </c>
      <c r="U14" s="498" t="str">
        <f t="shared" ref="U14:U19" ca="1" si="6">"ВЕРОЯТНОСТЬ  "&amp;IF(V14&lt;0.05,1,IF((V14&gt;=0.05)*(V14&lt;0.25),2,IF((V14&gt;=0.25)*(V14&lt;0.5),3,IF((V14&gt;=0.5)*(V14&lt;0.75),4,5))))&amp;"  ВЛИЯНИЕ  "&amp;IF(W14&gt;-200,1,IF((W14&lt;=-200)*(W14&gt;-500),2,IF((W14&lt;=-500)*(W14&gt;-1000),3,IF((W14&lt;=-1000)*(W14&gt;-3000),4,5))))</f>
        <v>ВЕРОЯТНОСТЬ  4  ВЛИЯНИЕ  5</v>
      </c>
      <c r="V14" s="507">
        <f ca="1">IF($B$5=2021,SUMIF('РЕЕСТР РИСКОВ_2023'!$K$40:$AC$248,T14,'РЕЕСТР РИСКОВ_2023'!$Y$40:$Y$248),IF($B$5=2022,SUMIF(#REF!,T14,#REF!),IF($B$5=2023,SUMIF(#REF!,T14,#REF!),IF($B$5=2024,SUMIF(#REF!,T14,#REF!),SUMIF(#REF!,T14,#REF!)))))</f>
        <v>0.54800000000000004</v>
      </c>
      <c r="W14" s="508">
        <f ca="1">IF($B$5=2021,SUMIF('РЕЕСТР РИСКОВ_2023'!$K$40:$AD$248,T14,'РЕЕСТР РИСКОВ_2023'!$Z$40:$Z$248),IF($B$5=2022,SUMIF(#REF!,T14,#REF!),IF($B$5=2023,SUMIF(#REF!,T14,#REF!),IF($B$5=2024,SUMIF(#REF!,T14,#REF!),IF($B$5=2025,SUMIF(#REF!,T14,#REF!))))))</f>
        <v>-11907.465410000001</v>
      </c>
      <c r="X14" s="509">
        <f t="shared" ref="X14:X19" ca="1" si="7">V14*W14</f>
        <v>-6525.2910446800006</v>
      </c>
      <c r="Y14" s="462"/>
      <c r="Z14" s="462"/>
      <c r="AA14" s="472" t="s">
        <v>201</v>
      </c>
      <c r="AB14" s="504" t="s">
        <v>869</v>
      </c>
      <c r="AC14" s="312" t="str">
        <f t="shared" ca="1" si="2"/>
        <v>ВЕРОЯТНОСТЬ  5  ВЛИЯНИЕ  1</v>
      </c>
      <c r="AD14" s="309">
        <f ca="1">IF($B$5=2021,SUMIF('РЕЕСТР РИСКОВ_2023'!$K$40:$AC$248,AB14,'РЕЕСТР РИСКОВ_2023'!$AC$40:$AC$248),IF($B$5=2022,SUMIF(#REF!,AB14,#REF!),IF($B$5=2023,SUMIF(#REF!,AB14,#REF!),IF($B$5=2024,SUMIF(#REF!,AB14,#REF!),SUMIF(#REF!,AB14,#REF!)))))</f>
        <v>0.8</v>
      </c>
      <c r="AE14" s="310">
        <f ca="1">IF($B$5=2021,SUMIF('РЕЕСТР РИСКОВ_2023'!$K$40:$AD$248,AB14,'РЕЕСТР РИСКОВ_2023'!$AD$40:$AD$248),IF($B$5=2022,SUMIF(#REF!,AB14,#REF!),IF($B$5=2023,SUMIF(#REF!,AB14,#REF!),IF($B$5=2024,SUMIF(#REF!,AB14,#REF!),IF($B$5=2025,SUMIF(#REF!,AB14,#REF!))))))</f>
        <v>-75</v>
      </c>
      <c r="AF14" s="311">
        <f t="shared" ca="1" si="3"/>
        <v>-60</v>
      </c>
      <c r="AH14" s="479" t="s">
        <v>810</v>
      </c>
      <c r="AI14" s="513" t="s">
        <v>829</v>
      </c>
      <c r="AJ14" s="312" t="str">
        <f t="shared" ca="1" si="4"/>
        <v>ВЕРОЯТНОСТЬ  1  ВЛИЯНИЕ  1</v>
      </c>
      <c r="AK14" s="309">
        <f ca="1">IF($B$5=2021,SUMIF('РЕЕСТР РИСКОВ_2023'!$K$40:$AC$248,AI14,'РЕЕСТР РИСКОВ_2023'!$AC$40:$AC$248),IF($B$5=2022,SUMIF(#REF!,AI14,#REF!),IF($B$5=2023,SUMIF(#REF!,AI14,#REF!),IF($B$5=2024,SUMIF(#REF!,AI14,#REF!),SUMIF(#REF!,AI14,#REF!)))))</f>
        <v>0</v>
      </c>
      <c r="AL14" s="310">
        <f ca="1">IF($B$5=2021,SUMIF('РЕЕСТР РИСКОВ_2023'!$K$40:$AD$248,AI14,'РЕЕСТР РИСКОВ_2023'!$AD$40:$AD$248),IF($B$5=2022,SUMIF(#REF!,AI14,#REF!),IF($B$5=2023,SUMIF(#REF!,AI14,#REF!),IF($B$5=2024,SUMIF(#REF!,AI14,#REF!),IF($B$5=2025,SUMIF(#REF!,AI14,#REF!))))))</f>
        <v>0</v>
      </c>
      <c r="AM14" s="311">
        <f t="shared" ca="1" si="5"/>
        <v>0</v>
      </c>
    </row>
    <row r="15" spans="1:39" ht="63" customHeight="1">
      <c r="A15" s="219"/>
      <c r="B15" s="1638"/>
      <c r="C15" s="1624"/>
      <c r="D15" s="1627"/>
      <c r="E15" s="1630"/>
      <c r="F15" s="1621"/>
      <c r="G15" s="1609"/>
      <c r="H15" s="1609"/>
      <c r="I15"/>
      <c r="K15" s="27">
        <v>4</v>
      </c>
      <c r="L15" s="473" t="s">
        <v>503</v>
      </c>
      <c r="M15" s="500" t="s">
        <v>571</v>
      </c>
      <c r="N15" s="312" t="str">
        <f t="shared" ca="1" si="0"/>
        <v>ВЕРОЯТНОСТЬ  4  ВЛИЯНИЕ  3</v>
      </c>
      <c r="O15" s="507">
        <f ca="1">IF($B$5=2021,SUMIF('РЕЕСТР РИСКОВ_2023'!$K$40:$AC$248,M15,'РЕЕСТР РИСКОВ_2023'!$AC$40:$AC$248),IF($B$5=2022,SUMIF(#REF!,M15,#REF!),IF($B$5=2023,SUMIF(#REF!,M15,#REF!),IF($B$5=2024,SUMIF(#REF!,M15,#REF!),SUMIF(#REF!,M15,#REF!)))))</f>
        <v>0.72499999999999998</v>
      </c>
      <c r="P15" s="508">
        <f ca="1">IF($B$5=2021,SUMIF('РЕЕСТР РИСКОВ_2023'!$K$40:$AD$248,M15,'РЕЕСТР РИСКОВ_2023'!$AD$40:$AD$248),IF($B$5=2022,SUMIF(#REF!,M15,#REF!),IF($B$5=2023,SUMIF(#REF!,M15,#REF!),IF($B$5=2024,SUMIF(#REF!,M15,#REF!),IF($B$5=2025,SUMIF(#REF!,M15,#REF!))))))</f>
        <v>-502</v>
      </c>
      <c r="Q15" s="509">
        <f t="shared" ca="1" si="1"/>
        <v>-363.95</v>
      </c>
      <c r="R15" s="463"/>
      <c r="S15" s="474" t="s">
        <v>469</v>
      </c>
      <c r="T15" s="502" t="s">
        <v>468</v>
      </c>
      <c r="U15" s="498" t="str">
        <f t="shared" ca="1" si="6"/>
        <v>ВЕРОЯТНОСТЬ  4  ВЛИЯНИЕ  3</v>
      </c>
      <c r="V15" s="507">
        <f ca="1">IF($B$5=2021,SUMIF('РЕЕСТР РИСКОВ_2023'!$K$40:$AC$248,T15,'РЕЕСТР РИСКОВ_2023'!$Y$40:$Y$248),IF($B$5=2022,SUMIF(#REF!,T15,#REF!),IF($B$5=2023,SUMIF(#REF!,T15,#REF!),IF($B$5=2024,SUMIF(#REF!,T15,#REF!),SUMIF(#REF!,T15,#REF!)))))</f>
        <v>0.60299999999999998</v>
      </c>
      <c r="W15" s="508">
        <f ca="1">IF($B$5=2021,SUMIF('РЕЕСТР РИСКОВ_2023'!$K$40:$AD$248,T15,'РЕЕСТР РИСКОВ_2023'!$Z$40:$Z$248),IF($B$5=2022,SUMIF(#REF!,T15,#REF!),IF($B$5=2023,SUMIF(#REF!,T15,#REF!),IF($B$5=2024,SUMIF(#REF!,T15,#REF!),IF($B$5=2025,SUMIF(#REF!,T15,#REF!))))))</f>
        <v>-750</v>
      </c>
      <c r="X15" s="509">
        <f t="shared" ca="1" si="7"/>
        <v>-452.25</v>
      </c>
      <c r="Y15" s="462"/>
      <c r="Z15" s="462"/>
      <c r="AA15" s="475" t="s">
        <v>202</v>
      </c>
      <c r="AB15" s="512" t="s">
        <v>53</v>
      </c>
      <c r="AC15" s="312" t="str">
        <f t="shared" ca="1" si="2"/>
        <v>ВЕРОЯТНОСТЬ  5  ВЛИЯНИЕ  1</v>
      </c>
      <c r="AD15" s="309">
        <f ca="1">IF($B$5=2021,SUMIF('РЕЕСТР РИСКОВ_2023'!$K$40:$AC$248,AB15,'РЕЕСТР РИСКОВ_2023'!$AC$40:$AC$248),IF($B$5=2022,SUMIF(#REF!,AB15,#REF!),IF($B$5=2023,SUMIF(#REF!,AB15,#REF!),IF($B$5=2024,SUMIF(#REF!,AB15,#REF!),SUMIF(#REF!,AB15,#REF!)))))</f>
        <v>0.8</v>
      </c>
      <c r="AE15" s="310">
        <f ca="1">IF($B$5=2021,SUMIF('РЕЕСТР РИСКОВ_2023'!$K$40:$AD$248,AB15,'РЕЕСТР РИСКОВ_2023'!$AD$40:$AD$248),IF($B$5=2022,SUMIF(#REF!,AB15,#REF!),IF($B$5=2023,SUMIF(#REF!,AB15,#REF!),IF($B$5=2024,SUMIF(#REF!,AB15,#REF!),IF($B$5=2025,SUMIF(#REF!,AB15,#REF!))))))</f>
        <v>0</v>
      </c>
      <c r="AF15" s="311">
        <f t="shared" ca="1" si="3"/>
        <v>0</v>
      </c>
      <c r="AH15" s="479" t="s">
        <v>811</v>
      </c>
      <c r="AI15" s="513" t="s">
        <v>830</v>
      </c>
      <c r="AJ15" s="312" t="str">
        <f t="shared" ca="1" si="4"/>
        <v>ВЕРОЯТНОСТЬ  1  ВЛИЯНИЕ  1</v>
      </c>
      <c r="AK15" s="309">
        <f ca="1">IF($B$5=2021,SUMIF('РЕЕСТР РИСКОВ_2023'!$K$40:$AC$248,AI15,'РЕЕСТР РИСКОВ_2023'!$AC$40:$AC$248),IF($B$5=2022,SUMIF(#REF!,AI15,#REF!),IF($B$5=2023,SUMIF(#REF!,AI15,#REF!),IF($B$5=2024,SUMIF(#REF!,AI15,#REF!),SUMIF(#REF!,AI15,#REF!)))))</f>
        <v>0</v>
      </c>
      <c r="AL15" s="310">
        <f ca="1">IF($B$5=2021,SUMIF('РЕЕСТР РИСКОВ_2023'!$K$40:$AD$248,AI15,'РЕЕСТР РИСКОВ_2023'!$AD$40:$AD$248),IF($B$5=2022,SUMIF(#REF!,AI15,#REF!),IF($B$5=2023,SUMIF(#REF!,AI15,#REF!),IF($B$5=2024,SUMIF(#REF!,AI15,#REF!),IF($B$5=2025,SUMIF(#REF!,AI15,#REF!))))))</f>
        <v>0</v>
      </c>
      <c r="AM15" s="311">
        <f t="shared" ca="1" si="5"/>
        <v>0</v>
      </c>
    </row>
    <row r="16" spans="1:39" ht="70.5" customHeight="1">
      <c r="A16" s="219"/>
      <c r="B16" s="1638"/>
      <c r="C16" s="1625"/>
      <c r="D16" s="1628"/>
      <c r="E16" s="1631"/>
      <c r="F16" s="1622"/>
      <c r="G16" s="1610"/>
      <c r="H16" s="1610"/>
      <c r="I16"/>
      <c r="K16" s="28"/>
      <c r="L16" s="470" t="s">
        <v>516</v>
      </c>
      <c r="M16" s="500" t="s">
        <v>151</v>
      </c>
      <c r="N16" s="312" t="str">
        <f t="shared" ca="1" si="0"/>
        <v>ВЕРОЯТНОСТЬ  5  ВЛИЯНИЕ  5</v>
      </c>
      <c r="O16" s="507">
        <f ca="1">IF($B$5=2021,SUMIF('РЕЕСТР РИСКОВ_2023'!$K$40:$AC$248,M16,'РЕЕСТР РИСКОВ_2023'!$AC$40:$AC$248),IF($B$5=2022,SUMIF(#REF!,M16,#REF!),IF($B$5=2023,SUMIF(#REF!,M16,#REF!),IF($B$5=2024,SUMIF(#REF!,M16,#REF!),SUMIF(#REF!,M16,#REF!)))))</f>
        <v>0.95</v>
      </c>
      <c r="P16" s="508">
        <f ca="1">IF($B$5=2021,SUMIF('РЕЕСТР РИСКОВ_2023'!$K$40:$AD$248,M16,'РЕЕСТР РИСКОВ_2023'!$AD$40:$AD$248),IF($B$5=2022,SUMIF(#REF!,M16,#REF!),IF($B$5=2023,SUMIF(#REF!,M16,#REF!),IF($B$5=2024,SUMIF(#REF!,M16,#REF!),IF($B$5=2025,SUMIF(#REF!,M16,#REF!))))))</f>
        <v>-26809</v>
      </c>
      <c r="Q16" s="509">
        <f t="shared" ca="1" si="1"/>
        <v>-25468.55</v>
      </c>
      <c r="R16" s="463"/>
      <c r="S16" s="466" t="s">
        <v>470</v>
      </c>
      <c r="T16" s="502" t="s">
        <v>1079</v>
      </c>
      <c r="U16" s="498" t="str">
        <f t="shared" ca="1" si="6"/>
        <v>ВЕРОЯТНОСТЬ  4  ВЛИЯНИЕ  2</v>
      </c>
      <c r="V16" s="507">
        <f ca="1">IF($B$5=2021,SUMIF('РЕЕСТР РИСКОВ_2023'!$K$40:$AC$248,T16,'РЕЕСТР РИСКОВ_2023'!$Y$40:$Y$248),IF($B$5=2022,SUMIF(#REF!,T16,#REF!),IF($B$5=2023,SUMIF(#REF!,T16,#REF!),IF($B$5=2024,SUMIF(#REF!,T16,#REF!),SUMIF(#REF!,T16,#REF!)))))</f>
        <v>0.54847566100344269</v>
      </c>
      <c r="W16" s="508">
        <f ca="1">IF($B$5=2021,SUMIF('РЕЕСТР РИСКОВ_2023'!$K$40:$AD$248,T16,'РЕЕСТР РИСКОВ_2023'!$Z$40:$Z$248),IF($B$5=2022,SUMIF(#REF!,T16,#REF!),IF($B$5=2023,SUMIF(#REF!,T16,#REF!),IF($B$5=2024,SUMIF(#REF!,T16,#REF!),IF($B$5=2025,SUMIF(#REF!,T16,#REF!))))))</f>
        <v>-376.24222300000002</v>
      </c>
      <c r="X16" s="509">
        <f t="shared" ca="1" si="7"/>
        <v>-206.35970195732969</v>
      </c>
      <c r="Y16" s="462"/>
      <c r="Z16" s="462"/>
      <c r="AA16" s="476" t="s">
        <v>203</v>
      </c>
      <c r="AB16" s="504" t="s">
        <v>41</v>
      </c>
      <c r="AC16" s="312" t="str">
        <f t="shared" ca="1" si="2"/>
        <v>ВЕРОЯТНОСТЬ  3  ВЛИЯНИЕ  5</v>
      </c>
      <c r="AD16" s="309">
        <f ca="1">IF($B$5=2021,SUMIF('РЕЕСТР РИСКОВ_2023'!$K$40:$AC$248,AB16,'РЕЕСТР РИСКОВ_2023'!$AC$40:$AC$248),IF($B$5=2022,SUMIF(#REF!,AB16,#REF!),IF($B$5=2023,SUMIF(#REF!,AB16,#REF!),IF($B$5=2024,SUMIF(#REF!,AB16,#REF!),SUMIF(#REF!,AB16,#REF!)))))</f>
        <v>0.4</v>
      </c>
      <c r="AE16" s="310">
        <f ca="1">IF($B$5=2021,SUMIF('РЕЕСТР РИСКОВ_2023'!$K$40:$AD$248,AB16,'РЕЕСТР РИСКОВ_2023'!$AD$40:$AD$248),IF($B$5=2022,SUMIF(#REF!,AB16,#REF!),IF($B$5=2023,SUMIF(#REF!,AB16,#REF!),IF($B$5=2024,SUMIF(#REF!,AB16,#REF!),IF($B$5=2025,SUMIF(#REF!,AB16,#REF!))))))</f>
        <v>-69886.5</v>
      </c>
      <c r="AF16" s="311">
        <f t="shared" ca="1" si="3"/>
        <v>-27954.600000000002</v>
      </c>
      <c r="AH16" s="479" t="s">
        <v>812</v>
      </c>
      <c r="AI16" s="513" t="s">
        <v>831</v>
      </c>
      <c r="AJ16" s="312" t="str">
        <f t="shared" ca="1" si="4"/>
        <v>ВЕРОЯТНОСТЬ  1  ВЛИЯНИЕ  1</v>
      </c>
      <c r="AK16" s="309">
        <f ca="1">IF($B$5=2021,SUMIF('РЕЕСТР РИСКОВ_2023'!$K$40:$AC$248,AI16,'РЕЕСТР РИСКОВ_2023'!$AC$40:$AC$248),IF($B$5=2022,SUMIF(#REF!,AI16,#REF!),IF($B$5=2023,SUMIF(#REF!,AI16,#REF!),IF($B$5=2024,SUMIF(#REF!,AI16,#REF!),SUMIF(#REF!,AI16,#REF!)))))</f>
        <v>0</v>
      </c>
      <c r="AL16" s="310">
        <f ca="1">IF($B$5=2021,SUMIF('РЕЕСТР РИСКОВ_2023'!$K$40:$AD$248,AI16,'РЕЕСТР РИСКОВ_2023'!$AD$40:$AD$248),IF($B$5=2022,SUMIF(#REF!,AI16,#REF!),IF($B$5=2023,SUMIF(#REF!,AI16,#REF!),IF($B$5=2024,SUMIF(#REF!,AI16,#REF!),IF($B$5=2025,SUMIF(#REF!,AI16,#REF!))))))</f>
        <v>0</v>
      </c>
      <c r="AM16" s="311">
        <f t="shared" ca="1" si="5"/>
        <v>0</v>
      </c>
    </row>
    <row r="17" spans="1:39" ht="72" customHeight="1">
      <c r="A17" s="219"/>
      <c r="B17" s="1638"/>
      <c r="C17" s="1578" t="s">
        <v>328</v>
      </c>
      <c r="D17" s="1577"/>
      <c r="E17" s="1577"/>
      <c r="F17" s="1580"/>
      <c r="G17" s="1580"/>
      <c r="H17" s="1580"/>
      <c r="I17"/>
      <c r="K17" s="1634">
        <v>6</v>
      </c>
      <c r="L17" s="477" t="s">
        <v>504</v>
      </c>
      <c r="M17" s="500" t="s">
        <v>998</v>
      </c>
      <c r="N17" s="312" t="str">
        <f t="shared" ca="1" si="0"/>
        <v>ВЕРОЯТНОСТЬ  3  ВЛИЯНИЕ  1</v>
      </c>
      <c r="O17" s="507">
        <f ca="1">IF($B$5=2021,SUMIF('РЕЕСТР РИСКОВ_2023'!$K$40:$AC$248,M17,'РЕЕСТР РИСКОВ_2023'!$AC$40:$AC$248),IF($B$5=2022,SUMIF(#REF!,M17,#REF!),IF($B$5=2023,SUMIF(#REF!,M17,#REF!),IF($B$5=2024,SUMIF(#REF!,M17,#REF!),SUMIF(#REF!,M17,#REF!)))))</f>
        <v>0.4</v>
      </c>
      <c r="P17" s="508">
        <f ca="1">IF($B$5=2021,SUMIF('РЕЕСТР РИСКОВ_2023'!$K$40:$AD$248,M17,'РЕЕСТР РИСКОВ_2023'!$AD$40:$AD$248),IF($B$5=2022,SUMIF(#REF!,M17,#REF!),IF($B$5=2023,SUMIF(#REF!,M17,#REF!),IF($B$5=2024,SUMIF(#REF!,M17,#REF!),IF($B$5=2025,SUMIF(#REF!,M17,#REF!))))))</f>
        <v>-103</v>
      </c>
      <c r="Q17" s="509">
        <f t="shared" ca="1" si="1"/>
        <v>-41.2</v>
      </c>
      <c r="R17" s="463"/>
      <c r="S17" s="474" t="s">
        <v>471</v>
      </c>
      <c r="T17" s="502" t="s">
        <v>505</v>
      </c>
      <c r="U17" s="498" t="str">
        <f t="shared" ca="1" si="6"/>
        <v>ВЕРОЯТНОСТЬ  5  ВЛИЯНИЕ  3</v>
      </c>
      <c r="V17" s="507">
        <f ca="1">IF($B$5=2021,SUMIF('РЕЕСТР РИСКОВ_2023'!$K$40:$AC$248,T17,'РЕЕСТР РИСКОВ_2023'!$Y$40:$Y$248),IF($B$5=2022,SUMIF(#REF!,T17,#REF!),IF($B$5=2023,SUMIF(#REF!,T17,#REF!),IF($B$5=2024,SUMIF(#REF!,T17,#REF!),SUMIF(#REF!,T17,#REF!)))))</f>
        <v>0.76</v>
      </c>
      <c r="W17" s="508">
        <f ca="1">IF($B$5=2021,SUMIF('РЕЕСТР РИСКОВ_2023'!$K$40:$AD$248,T17,'РЕЕСТР РИСКОВ_2023'!$Z$40:$Z$248),IF($B$5=2022,SUMIF(#REF!,T17,#REF!),IF($B$5=2023,SUMIF(#REF!,T17,#REF!),IF($B$5=2024,SUMIF(#REF!,T17,#REF!),IF($B$5=2025,SUMIF(#REF!,T17,#REF!))))))</f>
        <v>-563.62962962962956</v>
      </c>
      <c r="X17" s="509">
        <f t="shared" ca="1" si="7"/>
        <v>-428.35851851851845</v>
      </c>
      <c r="Y17" s="462"/>
      <c r="Z17" s="462"/>
      <c r="AA17" s="1591" t="s">
        <v>68</v>
      </c>
      <c r="AB17" s="1592"/>
      <c r="AC17" s="312"/>
      <c r="AD17" s="309"/>
      <c r="AE17" s="310"/>
      <c r="AF17" s="311"/>
      <c r="AH17" s="479" t="s">
        <v>813</v>
      </c>
      <c r="AI17" s="513" t="s">
        <v>832</v>
      </c>
      <c r="AJ17" s="312" t="str">
        <f t="shared" ca="1" si="4"/>
        <v>ВЕРОЯТНОСТЬ  1  ВЛИЯНИЕ  1</v>
      </c>
      <c r="AK17" s="309">
        <f ca="1">IF($B$5=2021,SUMIF('РЕЕСТР РИСКОВ_2023'!$K$40:$AC$248,AI17,'РЕЕСТР РИСКОВ_2023'!$AC$40:$AC$248),IF($B$5=2022,SUMIF(#REF!,AI17,#REF!),IF($B$5=2023,SUMIF(#REF!,AI17,#REF!),IF($B$5=2024,SUMIF(#REF!,AI17,#REF!),SUMIF(#REF!,AI17,#REF!)))))</f>
        <v>0</v>
      </c>
      <c r="AL17" s="310">
        <f ca="1">IF($B$5=2021,SUMIF('РЕЕСТР РИСКОВ_2023'!$K$40:$AD$248,AI17,'РЕЕСТР РИСКОВ_2023'!$AD$40:$AD$248),IF($B$5=2022,SUMIF(#REF!,AI17,#REF!),IF($B$5=2023,SUMIF(#REF!,AI17,#REF!),IF($B$5=2024,SUMIF(#REF!,AI17,#REF!),IF($B$5=2025,SUMIF(#REF!,AI17,#REF!))))))</f>
        <v>0</v>
      </c>
      <c r="AM17" s="311">
        <f t="shared" ca="1" si="5"/>
        <v>0</v>
      </c>
    </row>
    <row r="18" spans="1:39" ht="72" customHeight="1">
      <c r="A18" s="219"/>
      <c r="B18" s="1638"/>
      <c r="C18" s="1578"/>
      <c r="D18" s="1577"/>
      <c r="E18" s="1577"/>
      <c r="F18" s="1580"/>
      <c r="G18" s="1580"/>
      <c r="H18" s="1580"/>
      <c r="I18"/>
      <c r="K18" s="1635"/>
      <c r="L18" s="468" t="s">
        <v>569</v>
      </c>
      <c r="M18" s="500" t="s">
        <v>1117</v>
      </c>
      <c r="N18" s="312" t="str">
        <f ca="1">"ВЕРОЯТНОСТЬ  "&amp;IF(O18&lt;0.05,1,IF((O18&gt;=0.05)*(O18&lt;0.25),2,IF((O18&gt;=0.25)*(O18&lt;0.5),3,IF((O18&gt;=0.5)*(O18&lt;0.75),4,5))))&amp;"  ВЛИЯНИЕ  "&amp;IF(P18&gt;-200,1,IF((P18&lt;=-200)*(P18&gt;-500),2,IF((P18&lt;=-500)*(P18&gt;-1000),3,IF((P18&lt;=-1000)*(P18&gt;-3000),4,5))))</f>
        <v>ВЕРОЯТНОСТЬ  4  ВЛИЯНИЕ  4</v>
      </c>
      <c r="O18" s="507">
        <f ca="1">IF($B$5=2021,SUMIF('РЕЕСТР РИСКОВ_2023'!$K$40:$AC$248,M18,'РЕЕСТР РИСКОВ_2023'!$AC$40:$AC$248),IF($B$5=2022,SUMIF(#REF!,M18,#REF!),IF($B$5=2023,SUMIF(#REF!,M18,#REF!),IF($B$5=2024,SUMIF(#REF!,M18,#REF!),SUMIF(#REF!,M18,#REF!)))))</f>
        <v>0.6</v>
      </c>
      <c r="P18" s="508">
        <f ca="1">IF($B$5=2021,SUMIF('РЕЕСТР РИСКОВ_2023'!$K$40:$AD$248,M18,'РЕЕСТР РИСКОВ_2023'!$AD$40:$AD$248),IF($B$5=2022,SUMIF(#REF!,M18,#REF!),IF($B$5=2023,SUMIF(#REF!,M18,#REF!),IF($B$5=2024,SUMIF(#REF!,M18,#REF!),IF($B$5=2025,SUMIF(#REF!,M18,#REF!))))))</f>
        <v>-1757.53</v>
      </c>
      <c r="Q18" s="509">
        <f ca="1">O18*P18</f>
        <v>-1054.518</v>
      </c>
      <c r="R18" s="463"/>
      <c r="S18" s="466" t="s">
        <v>472</v>
      </c>
      <c r="T18" s="502" t="s">
        <v>508</v>
      </c>
      <c r="U18" s="498" t="str">
        <f t="shared" ca="1" si="6"/>
        <v>ВЕРОЯТНОСТЬ  4  ВЛИЯНИЕ  1</v>
      </c>
      <c r="V18" s="507">
        <f ca="1">IF($B$5=2021,SUMIF('РЕЕСТР РИСКОВ_2023'!$K$40:$AC$248,T18,'РЕЕСТР РИСКОВ_2023'!$Y$40:$Y$248),IF($B$5=2022,SUMIF(#REF!,T18,#REF!),IF($B$5=2023,SUMIF(#REF!,T18,#REF!),IF($B$5=2024,SUMIF(#REF!,T18,#REF!),SUMIF(#REF!,T18,#REF!)))))</f>
        <v>0.72015262164601623</v>
      </c>
      <c r="W18" s="508">
        <f ca="1">IF($B$5=2021,SUMIF('РЕЕСТР РИСКОВ_2023'!$K$40:$AD$248,T18,'РЕЕСТР РИСКОВ_2023'!$Z$40:$Z$248),IF($B$5=2022,SUMIF(#REF!,T18,#REF!),IF($B$5=2023,SUMIF(#REF!,T18,#REF!),IF($B$5=2024,SUMIF(#REF!,T18,#REF!),IF($B$5=2025,SUMIF(#REF!,T18,#REF!))))))</f>
        <v>-69</v>
      </c>
      <c r="X18" s="509">
        <f t="shared" ca="1" si="7"/>
        <v>-49.690530893575122</v>
      </c>
      <c r="Y18" s="462"/>
      <c r="Z18" s="462"/>
      <c r="AA18" s="479" t="s">
        <v>204</v>
      </c>
      <c r="AB18" s="513" t="s">
        <v>169</v>
      </c>
      <c r="AC18" s="312" t="str">
        <f t="shared" ref="AC18:AC28" ca="1" si="8">"ВЕРОЯТНОСТЬ  "&amp;IF(AD18&lt;0.05,1,IF((AD18&gt;=0.05)*(AD18&lt;0.25),2,IF((AD18&gt;=0.25)*(AD18&lt;0.5),3,IF((AD18&gt;=0.5)*(AD18&lt;0.75),4,5))))&amp;"  ВЛИЯНИЕ  "&amp;IF(AE18&gt;-200,1,IF((AE18&lt;=-200)*(AE18&gt;-500),2,IF((AE18&lt;=-500)*(AE18&gt;-1000),3,IF((AE18&lt;=-1000)*(AE18&gt;-3000),4,5))))</f>
        <v>ВЕРОЯТНОСТЬ  5  ВЛИЯНИЕ  1</v>
      </c>
      <c r="AD18" s="309">
        <f ca="1">IF($B$5=2021,SUMIF('РЕЕСТР РИСКОВ_2023'!$K$40:$AC$248,AB18,'РЕЕСТР РИСКОВ_2023'!$AC$40:$AC$248),IF($B$5=2022,SUMIF(#REF!,AB18,#REF!),IF($B$5=2023,SUMIF(#REF!,AB18,#REF!),IF($B$5=2024,SUMIF(#REF!,AB18,#REF!),SUMIF(#REF!,AB18,#REF!)))))</f>
        <v>1</v>
      </c>
      <c r="AE18" s="310">
        <f ca="1">IF($B$5=2021,SUMIF('РЕЕСТР РИСКОВ_2023'!$K$40:$AD$248,AB18,'РЕЕСТР РИСКОВ_2023'!$AD$40:$AD$248),IF($B$5=2022,SUMIF(#REF!,AB18,#REF!),IF($B$5=2023,SUMIF(#REF!,AB18,#REF!),IF($B$5=2024,SUMIF(#REF!,AB18,#REF!),IF($B$5=2025,SUMIF(#REF!,AB18,#REF!))))))</f>
        <v>0</v>
      </c>
      <c r="AF18" s="311">
        <f t="shared" ref="AF18:AF28" ca="1" si="9">AD18*AE18</f>
        <v>0</v>
      </c>
      <c r="AH18" s="479" t="s">
        <v>814</v>
      </c>
      <c r="AI18" s="513" t="s">
        <v>833</v>
      </c>
      <c r="AJ18" s="312" t="str">
        <f t="shared" ca="1" si="4"/>
        <v>ВЕРОЯТНОСТЬ  1  ВЛИЯНИЕ  1</v>
      </c>
      <c r="AK18" s="309">
        <f ca="1">IF($B$5=2021,SUMIF('РЕЕСТР РИСКОВ_2023'!$K$40:$AC$248,AI18,'РЕЕСТР РИСКОВ_2023'!$AC$40:$AC$248),IF($B$5=2022,SUMIF(#REF!,AI18,#REF!),IF($B$5=2023,SUMIF(#REF!,AI18,#REF!),IF($B$5=2024,SUMIF(#REF!,AI18,#REF!),SUMIF(#REF!,AI18,#REF!)))))</f>
        <v>0</v>
      </c>
      <c r="AL18" s="310">
        <f ca="1">IF($B$5=2021,SUMIF('РЕЕСТР РИСКОВ_2023'!$K$40:$AD$248,AI18,'РЕЕСТР РИСКОВ_2023'!$AD$40:$AD$248),IF($B$5=2022,SUMIF(#REF!,AI18,#REF!),IF($B$5=2023,SUMIF(#REF!,AI18,#REF!),IF($B$5=2024,SUMIF(#REF!,AI18,#REF!),IF($B$5=2025,SUMIF(#REF!,AI18,#REF!))))))</f>
        <v>0</v>
      </c>
      <c r="AM18" s="311">
        <f t="shared" ca="1" si="5"/>
        <v>0</v>
      </c>
    </row>
    <row r="19" spans="1:39" ht="94.5" customHeight="1">
      <c r="A19" s="219"/>
      <c r="B19" s="1638"/>
      <c r="C19" s="1579"/>
      <c r="D19" s="1577"/>
      <c r="E19" s="1577"/>
      <c r="F19" s="1581"/>
      <c r="G19" s="1581"/>
      <c r="H19" s="1581"/>
      <c r="I19"/>
      <c r="K19" s="1600">
        <v>7</v>
      </c>
      <c r="L19" s="1602" t="s">
        <v>1412</v>
      </c>
      <c r="M19" s="1603"/>
      <c r="N19" s="312"/>
      <c r="O19" s="507"/>
      <c r="P19" s="508"/>
      <c r="Q19" s="509"/>
      <c r="R19" s="463"/>
      <c r="S19" s="466" t="s">
        <v>473</v>
      </c>
      <c r="T19" s="502" t="s">
        <v>506</v>
      </c>
      <c r="U19" s="498" t="str">
        <f t="shared" ca="1" si="6"/>
        <v>ВЕРОЯТНОСТЬ  3  ВЛИЯНИЕ  1</v>
      </c>
      <c r="V19" s="507">
        <f ca="1">IF($B$5=2021,SUMIF('РЕЕСТР РИСКОВ_2023'!$K$40:$AC$248,T19,'РЕЕСТР РИСКОВ_2023'!$Y$40:$Y$248),IF($B$5=2022,SUMIF(#REF!,T19,#REF!),IF($B$5=2023,SUMIF(#REF!,T19,#REF!),IF($B$5=2024,SUMIF(#REF!,T19,#REF!),SUMIF(#REF!,T19,#REF!)))))</f>
        <v>0.4</v>
      </c>
      <c r="W19" s="508">
        <f ca="1">IF($B$5=2021,SUMIF('РЕЕСТР РИСКОВ_2023'!$K$40:$AD$248,T19,'РЕЕСТР РИСКОВ_2023'!$Z$40:$Z$248),IF($B$5=2022,SUMIF(#REF!,T19,#REF!),IF($B$5=2023,SUMIF(#REF!,T19,#REF!),IF($B$5=2024,SUMIF(#REF!,T19,#REF!),IF($B$5=2025,SUMIF(#REF!,T19,#REF!))))))</f>
        <v>-4</v>
      </c>
      <c r="X19" s="509">
        <f t="shared" ca="1" si="7"/>
        <v>-1.6</v>
      </c>
      <c r="Y19" s="462"/>
      <c r="Z19" s="462"/>
      <c r="AA19" s="479" t="s">
        <v>807</v>
      </c>
      <c r="AB19" s="513" t="s">
        <v>826</v>
      </c>
      <c r="AC19" s="312" t="str">
        <f t="shared" ca="1" si="8"/>
        <v>ВЕРОЯТНОСТЬ  5  ВЛИЯНИЕ  1</v>
      </c>
      <c r="AD19" s="309">
        <f ca="1">IF($B$5=2021,SUMIF('РЕЕСТР РИСКОВ_2023'!$K$40:$AC$248,AB19,'РЕЕСТР РИСКОВ_2023'!$AC$40:$AC$248),IF($B$5=2022,SUMIF(#REF!,AB19,#REF!),IF($B$5=2023,SUMIF(#REF!,AB19,#REF!),IF($B$5=2024,SUMIF(#REF!,AB19,#REF!),SUMIF(#REF!,AB19,#REF!)))))</f>
        <v>1</v>
      </c>
      <c r="AE19" s="310">
        <f ca="1">IF($B$5=2021,SUMIF('РЕЕСТР РИСКОВ_2023'!$K$40:$AD$248,AB19,'РЕЕСТР РИСКОВ_2023'!$AD$40:$AD$248),IF($B$5=2022,SUMIF(#REF!,AB19,#REF!),IF($B$5=2023,SUMIF(#REF!,AB19,#REF!),IF($B$5=2024,SUMIF(#REF!,AB19,#REF!),IF($B$5=2025,SUMIF(#REF!,AB19,#REF!))))))</f>
        <v>0</v>
      </c>
      <c r="AF19" s="311">
        <f t="shared" ca="1" si="9"/>
        <v>0</v>
      </c>
      <c r="AH19" s="479" t="s">
        <v>815</v>
      </c>
      <c r="AI19" s="513" t="s">
        <v>834</v>
      </c>
      <c r="AJ19" s="312" t="str">
        <f t="shared" ca="1" si="4"/>
        <v>ВЕРОЯТНОСТЬ  1  ВЛИЯНИЕ  1</v>
      </c>
      <c r="AK19" s="309">
        <f ca="1">IF($B$5=2021,SUMIF('РЕЕСТР РИСКОВ_2023'!$K$40:$AC$248,AI19,'РЕЕСТР РИСКОВ_2023'!$AC$40:$AC$248),IF($B$5=2022,SUMIF(#REF!,AI19,#REF!),IF($B$5=2023,SUMIF(#REF!,AI19,#REF!),IF($B$5=2024,SUMIF(#REF!,AI19,#REF!),SUMIF(#REF!,AI19,#REF!)))))</f>
        <v>0</v>
      </c>
      <c r="AL19" s="310">
        <f ca="1">IF($B$5=2021,SUMIF('РЕЕСТР РИСКОВ_2023'!$K$40:$AD$248,AI19,'РЕЕСТР РИСКОВ_2023'!$AD$40:$AD$248),IF($B$5=2022,SUMIF(#REF!,AI19,#REF!),IF($B$5=2023,SUMIF(#REF!,AI19,#REF!),IF($B$5=2024,SUMIF(#REF!,AI19,#REF!),IF($B$5=2025,SUMIF(#REF!,AI19,#REF!))))))</f>
        <v>0</v>
      </c>
      <c r="AM19" s="311">
        <f t="shared" ca="1" si="5"/>
        <v>0</v>
      </c>
    </row>
    <row r="20" spans="1:39" ht="95.25" customHeight="1">
      <c r="A20" s="219"/>
      <c r="B20" s="1638"/>
      <c r="C20" s="1641" t="s">
        <v>329</v>
      </c>
      <c r="D20" s="1577"/>
      <c r="E20" s="1577"/>
      <c r="F20" s="1580"/>
      <c r="G20" s="1580"/>
      <c r="H20" s="1580"/>
      <c r="I20"/>
      <c r="K20" s="1611"/>
      <c r="L20" s="522" t="s">
        <v>361</v>
      </c>
      <c r="M20" s="499" t="s">
        <v>935</v>
      </c>
      <c r="N20" s="312" t="str">
        <f ca="1">"ВЕРОЯТНОСТЬ  "&amp;IF(O20&lt;0.05,1,IF((O20&gt;=0.05)*(O20&lt;0.25),2,IF((O20&gt;=0.25)*(O20&lt;0.5),3,IF((O20&gt;=0.5)*(O20&lt;0.75),4,5))))&amp;"  ВЛИЯНИЕ  "&amp;IF(P20&gt;-200,1,IF((P20&lt;=-200)*(P20&gt;-500),2,IF((P20&lt;=-500)*(P20&gt;-1000),3,IF((P20&lt;=-1000)*(P20&gt;-3000),4,5))))</f>
        <v>ВЕРОЯТНОСТЬ  4  ВЛИЯНИЕ  5</v>
      </c>
      <c r="O20" s="507">
        <f ca="1">IF($B$5=2021,SUMIF('РЕЕСТР РИСКОВ_2023'!$K$40:$AC$248,M20,'РЕЕСТР РИСКОВ_2023'!$Y$40:$Y$248),IF($B$5=2022,SUMIF(#REF!,M20,#REF!),IF($B$5=2023,SUMIF(#REF!,M20,#REF!),IF($B$5=2024,SUMIF(#REF!,M20,#REF!),SUMIF(#REF!,M20,#REF!)))))</f>
        <v>0.7</v>
      </c>
      <c r="P20" s="508">
        <v>-6574</v>
      </c>
      <c r="Q20" s="509">
        <f ca="1">O20*P20</f>
        <v>-4601.7999999999993</v>
      </c>
      <c r="R20" s="463"/>
      <c r="S20" s="1602" t="s">
        <v>79</v>
      </c>
      <c r="T20" s="1612"/>
      <c r="U20" s="510"/>
      <c r="V20" s="510"/>
      <c r="W20" s="510"/>
      <c r="X20" s="510"/>
      <c r="Y20" s="462"/>
      <c r="Z20" s="462"/>
      <c r="AA20" s="479" t="s">
        <v>808</v>
      </c>
      <c r="AB20" s="513" t="s">
        <v>827</v>
      </c>
      <c r="AC20" s="312" t="str">
        <f t="shared" ca="1" si="8"/>
        <v>ВЕРОЯТНОСТЬ  1  ВЛИЯНИЕ  1</v>
      </c>
      <c r="AD20" s="309">
        <f ca="1">IF($B$5=2021,SUMIF('РЕЕСТР РИСКОВ_2023'!$K$40:$AC$248,AB20,'РЕЕСТР РИСКОВ_2023'!$AC$40:$AC$248),IF($B$5=2022,SUMIF(#REF!,AB20,#REF!),IF($B$5=2023,SUMIF(#REF!,AB20,#REF!),IF($B$5=2024,SUMIF(#REF!,AB20,#REF!),SUMIF(#REF!,AB20,#REF!)))))</f>
        <v>0</v>
      </c>
      <c r="AE20" s="310">
        <f ca="1">IF($B$5=2021,SUMIF('РЕЕСТР РИСКОВ_2023'!$K$40:$AD$248,AB20,'РЕЕСТР РИСКОВ_2023'!$AD$40:$AD$248),IF($B$5=2022,SUMIF(#REF!,AB20,#REF!),IF($B$5=2023,SUMIF(#REF!,AB20,#REF!),IF($B$5=2024,SUMIF(#REF!,AB20,#REF!),IF($B$5=2025,SUMIF(#REF!,AB20,#REF!))))))</f>
        <v>0</v>
      </c>
      <c r="AF20" s="311">
        <f t="shared" ca="1" si="9"/>
        <v>0</v>
      </c>
      <c r="AH20" s="479" t="s">
        <v>816</v>
      </c>
      <c r="AI20" s="513" t="s">
        <v>835</v>
      </c>
      <c r="AJ20" s="312" t="str">
        <f t="shared" ca="1" si="4"/>
        <v>ВЕРОЯТНОСТЬ  1  ВЛИЯНИЕ  1</v>
      </c>
      <c r="AK20" s="309">
        <f ca="1">IF($B$5=2021,SUMIF('РЕЕСТР РИСКОВ_2023'!$K$40:$AC$248,AI20,'РЕЕСТР РИСКОВ_2023'!$AC$40:$AC$248),IF($B$5=2022,SUMIF(#REF!,AI20,#REF!),IF($B$5=2023,SUMIF(#REF!,AI20,#REF!),IF($B$5=2024,SUMIF(#REF!,AI20,#REF!),SUMIF(#REF!,AI20,#REF!)))))</f>
        <v>0</v>
      </c>
      <c r="AL20" s="310">
        <f ca="1">IF($B$5=2021,SUMIF('РЕЕСТР РИСКОВ_2023'!$K$40:$AD$248,AI20,'РЕЕСТР РИСКОВ_2023'!$AD$40:$AD$248),IF($B$5=2022,SUMIF(#REF!,AI20,#REF!),IF($B$5=2023,SUMIF(#REF!,AI20,#REF!),IF($B$5=2024,SUMIF(#REF!,AI20,#REF!),IF($B$5=2025,SUMIF(#REF!,AI20,#REF!))))))</f>
        <v>0</v>
      </c>
      <c r="AM20" s="311">
        <f t="shared" ca="1" si="5"/>
        <v>0</v>
      </c>
    </row>
    <row r="21" spans="1:39" ht="60" customHeight="1">
      <c r="A21" s="219"/>
      <c r="B21" s="1638"/>
      <c r="C21" s="1642"/>
      <c r="D21" s="1577"/>
      <c r="E21" s="1577"/>
      <c r="F21" s="1580"/>
      <c r="G21" s="1580"/>
      <c r="H21" s="1580"/>
      <c r="I21"/>
      <c r="K21" s="1611"/>
      <c r="L21" s="522" t="s">
        <v>362</v>
      </c>
      <c r="M21" s="499" t="s">
        <v>405</v>
      </c>
      <c r="N21" s="312" t="str">
        <f ca="1">"ВЕРОЯТНОСТЬ  "&amp;IF(O21&lt;0.05,1,IF((O21&gt;=0.05)*(O21&lt;0.25),2,IF((O21&gt;=0.25)*(O21&lt;0.5),3,IF((O21&gt;=0.5)*(O21&lt;0.75),4,5))))&amp;"  ВЛИЯНИЕ  "&amp;IF(P21&gt;-200,1,IF((P21&lt;=-200)*(P21&gt;-500),2,IF((P21&lt;=-500)*(P21&gt;-1000),3,IF((P21&lt;=-1000)*(P21&gt;-3000),4,5))))</f>
        <v>ВЕРОЯТНОСТЬ  4  ВЛИЯНИЕ  5</v>
      </c>
      <c r="O21" s="507">
        <f ca="1">IF($B$5=2021,SUMIF('РЕЕСТР РИСКОВ_2023'!$K$40:$AC$248,M21,'РЕЕСТР РИСКОВ_2023'!$Y$40:$Y$248),IF($B$5=2022,SUMIF(#REF!,M21,#REF!),IF($B$5=2023,SUMIF(#REF!,M21,#REF!),IF($B$5=2024,SUMIF(#REF!,M21,#REF!),SUMIF(#REF!,M21,#REF!)))))</f>
        <v>0.6</v>
      </c>
      <c r="P21" s="508">
        <f ca="1">IF($B$5=2021,SUMIF('РЕЕСТР РИСКОВ_2023'!$K$40:$AD$248,M21,'РЕЕСТР РИСКОВ_2023'!$Z$40:$Z$248),IF($B$5=2022,SUMIF(#REF!,M21,#REF!),IF($B$5=2023,SUMIF(#REF!,M21,#REF!),IF($B$5=2024,SUMIF(#REF!,M21,#REF!),IF($B$5=2025,SUMIF(#REF!,M21,#REF!))))))</f>
        <v>-7659</v>
      </c>
      <c r="Q21" s="509">
        <f ca="1">O21*P21</f>
        <v>-4595.3999999999996</v>
      </c>
      <c r="R21" s="463"/>
      <c r="S21" s="465" t="s">
        <v>305</v>
      </c>
      <c r="T21" s="499" t="s">
        <v>306</v>
      </c>
      <c r="U21" s="498" t="str">
        <f ca="1">"ВЕРОЯТНОСТЬ  "&amp;IF(V21&lt;0.05,1,IF((V21&gt;=0.05)*(V21&lt;0.25),2,IF((V21&gt;=0.25)*(V21&lt;0.5),3,IF((V21&gt;=0.5)*(V21&lt;0.75),4,5))))&amp;"  ВЛИЯНИЕ  "&amp;IF(W21&gt;-200,1,IF((W21&lt;=-200)*(W21&gt;-500),2,IF((W21&lt;=-500)*(W21&gt;-1000),3,IF((W21&lt;=-1000)*(W21&gt;-3000),4,5))))</f>
        <v>ВЕРОЯТНОСТЬ  4  ВЛИЯНИЕ  5</v>
      </c>
      <c r="V21" s="507">
        <f ca="1">IF($B$5=2021,SUMIF('РЕЕСТР РИСКОВ_2023'!$K$40:$AC$248,T21,'РЕЕСТР РИСКОВ_2023'!$AC$40:$AC$248),IF($B$5=2022,SUMIF(#REF!,T21,#REF!),IF($B$5=2023,SUMIF(#REF!,T21,#REF!),IF($B$5=2024,SUMIF(#REF!,T21,#REF!),SUMIF(#REF!,T21,#REF!)))))</f>
        <v>0.59222100961904522</v>
      </c>
      <c r="W21" s="508">
        <f ca="1">IF($B$5=2021,SUMIF('РЕЕСТР РИСКОВ_2023'!$K$40:$AD$248,T21,'РЕЕСТР РИСКОВ_2023'!$AD$40:$AD$248),IF($B$5=2022,SUMIF(#REF!,T21,#REF!),IF($B$5=2023,SUMIF(#REF!,T21,#REF!),IF($B$5=2024,SUMIF(#REF!,T21,#REF!),IF($B$5=2025,SUMIF(#REF!,T21,#REF!))))))</f>
        <v>-6669</v>
      </c>
      <c r="X21" s="509">
        <f ca="1">V21*W21</f>
        <v>-3949.5219131494127</v>
      </c>
      <c r="Y21" s="462"/>
      <c r="Z21" s="462"/>
      <c r="AA21" s="479" t="s">
        <v>809</v>
      </c>
      <c r="AB21" s="513" t="s">
        <v>828</v>
      </c>
      <c r="AC21" s="312" t="str">
        <f t="shared" ca="1" si="8"/>
        <v>ВЕРОЯТНОСТЬ  1  ВЛИЯНИЕ  1</v>
      </c>
      <c r="AD21" s="309">
        <f ca="1">IF($B$5=2021,SUMIF('РЕЕСТР РИСКОВ_2023'!$K$40:$AC$248,AB21,'РЕЕСТР РИСКОВ_2023'!$AC$40:$AC$248),IF($B$5=2022,SUMIF(#REF!,AB21,#REF!),IF($B$5=2023,SUMIF(#REF!,AB21,#REF!),IF($B$5=2024,SUMIF(#REF!,AB21,#REF!),SUMIF(#REF!,AB21,#REF!)))))</f>
        <v>0</v>
      </c>
      <c r="AE21" s="310">
        <f ca="1">IF($B$5=2021,SUMIF('РЕЕСТР РИСКОВ_2023'!$K$40:$AD$248,AB21,'РЕЕСТР РИСКОВ_2023'!$AD$40:$AD$248),IF($B$5=2022,SUMIF(#REF!,AB21,#REF!),IF($B$5=2023,SUMIF(#REF!,AB21,#REF!),IF($B$5=2024,SUMIF(#REF!,AB21,#REF!),IF($B$5=2025,SUMIF(#REF!,AB21,#REF!))))))</f>
        <v>0</v>
      </c>
      <c r="AF21" s="311">
        <f t="shared" ca="1" si="9"/>
        <v>0</v>
      </c>
      <c r="AH21" s="1567" t="s">
        <v>66</v>
      </c>
      <c r="AI21" s="1568"/>
      <c r="AJ21" s="312"/>
      <c r="AK21" s="309"/>
      <c r="AL21" s="310"/>
      <c r="AM21" s="311"/>
    </row>
    <row r="22" spans="1:39" ht="75" customHeight="1">
      <c r="A22" s="219"/>
      <c r="B22" s="1638"/>
      <c r="C22" s="1642"/>
      <c r="D22" s="1577"/>
      <c r="E22" s="1577"/>
      <c r="F22" s="1580"/>
      <c r="G22" s="1580"/>
      <c r="H22" s="1580"/>
      <c r="I22"/>
      <c r="K22" s="1611"/>
      <c r="L22" s="1604" t="s">
        <v>315</v>
      </c>
      <c r="M22" s="1604"/>
      <c r="N22" s="312"/>
      <c r="O22" s="507"/>
      <c r="P22" s="508"/>
      <c r="Q22" s="509"/>
      <c r="R22" s="463"/>
      <c r="S22" s="480" t="s">
        <v>324</v>
      </c>
      <c r="T22" s="499" t="s">
        <v>858</v>
      </c>
      <c r="U22" s="498" t="str">
        <f ca="1">"ВЕРОЯТНОСТЬ  "&amp;IF(V22&lt;0.05,1,IF((V22&gt;=0.05)*(V22&lt;0.25),2,IF((V22&gt;=0.25)*(V22&lt;0.5),3,IF((V22&gt;=0.5)*(V22&lt;0.75),4,5))))&amp;"  ВЛИЯНИЕ  "&amp;IF(W22&gt;-200,1,IF((W22&lt;=-200)*(W22&gt;-500),2,IF((W22&lt;=-500)*(W22&gt;-1000),3,IF((W22&lt;=-1000)*(W22&gt;-3000),4,5))))</f>
        <v>ВЕРОЯТНОСТЬ  1  ВЛИЯНИЕ  1</v>
      </c>
      <c r="V22" s="507">
        <f ca="1">IF($B$5=2021,SUMIF('РЕЕСТР РИСКОВ_2023'!$K$40:$AC$248,T22,'РЕЕСТР РИСКОВ_2023'!$AC$40:$AC$248),IF($B$5=2022,SUMIF(#REF!,T22,#REF!),IF($B$5=2023,SUMIF(#REF!,T22,#REF!),IF($B$5=2024,SUMIF(#REF!,T22,#REF!),SUMIF(#REF!,T22,#REF!)))))</f>
        <v>0</v>
      </c>
      <c r="W22" s="508">
        <f ca="1">IF($B$5=2021,SUMIF('РЕЕСТР РИСКОВ_2023'!$K$40:$AD$248,T22,'РЕЕСТР РИСКОВ_2023'!$AD$40:$AD$248),IF($B$5=2022,SUMIF(#REF!,T22,#REF!),IF($B$5=2023,SUMIF(#REF!,T22,#REF!),IF($B$5=2024,SUMIF(#REF!,T22,#REF!),IF($B$5=2025,SUMIF(#REF!,T22,#REF!))))))</f>
        <v>0</v>
      </c>
      <c r="X22" s="509">
        <f ca="1">V22*W22</f>
        <v>0</v>
      </c>
      <c r="Y22" s="462"/>
      <c r="Z22" s="462"/>
      <c r="AA22" s="479" t="s">
        <v>810</v>
      </c>
      <c r="AB22" s="513" t="s">
        <v>829</v>
      </c>
      <c r="AC22" s="312" t="str">
        <f t="shared" ca="1" si="8"/>
        <v>ВЕРОЯТНОСТЬ  1  ВЛИЯНИЕ  1</v>
      </c>
      <c r="AD22" s="309">
        <f ca="1">IF($B$5=2021,SUMIF('РЕЕСТР РИСКОВ_2023'!$K$40:$AC$248,AB22,'РЕЕСТР РИСКОВ_2023'!$AC$40:$AC$248),IF($B$5=2022,SUMIF(#REF!,AB22,#REF!),IF($B$5=2023,SUMIF(#REF!,AB22,#REF!),IF($B$5=2024,SUMIF(#REF!,AB22,#REF!),SUMIF(#REF!,AB22,#REF!)))))</f>
        <v>0</v>
      </c>
      <c r="AE22" s="310">
        <f ca="1">IF($B$5=2021,SUMIF('РЕЕСТР РИСКОВ_2023'!$K$40:$AD$248,AB22,'РЕЕСТР РИСКОВ_2023'!$AD$40:$AD$248),IF($B$5=2022,SUMIF(#REF!,AB22,#REF!),IF($B$5=2023,SUMIF(#REF!,AB22,#REF!),IF($B$5=2024,SUMIF(#REF!,AB22,#REF!),IF($B$5=2025,SUMIF(#REF!,AB22,#REF!))))))</f>
        <v>0</v>
      </c>
      <c r="AF22" s="311">
        <f t="shared" ca="1" si="9"/>
        <v>0</v>
      </c>
      <c r="AH22" s="484" t="s">
        <v>205</v>
      </c>
      <c r="AI22" s="504" t="s">
        <v>40</v>
      </c>
      <c r="AJ22" s="312" t="str">
        <f ca="1">"ВЕРОЯТНОСТЬ  "&amp;IF(AK22&lt;0.05,1,IF((AK22&gt;=0.05)*(AK22&lt;0.25),2,IF((AK22&gt;=0.25)*(AK22&lt;0.5),3,IF((AK22&gt;=0.5)*(AK22&lt;0.75),4,5))))&amp;"  ВЛИЯНИЕ  "&amp;IF(AL22&gt;-200,1,IF((AL22&lt;=-200)*(AL22&gt;-500),2,IF((AL22&lt;=-500)*(AL22&gt;-1000),3,IF((AL22&lt;=-1000)*(AL22&gt;-3000),4,5))))</f>
        <v>ВЕРОЯТНОСТЬ  3  ВЛИЯНИЕ  1</v>
      </c>
      <c r="AK22" s="309">
        <f ca="1">IF($B$5=2021,SUMIF('РЕЕСТР РИСКОВ_2023'!$K$40:$AC$248,AI22,'РЕЕСТР РИСКОВ_2023'!$AC$40:$AC$248),IF($B$5=2022,SUMIF(#REF!,AI22,#REF!),IF($B$5=2023,SUMIF(#REF!,AI22,#REF!),IF($B$5=2024,SUMIF(#REF!,AI22,#REF!),SUMIF(#REF!,AI22,#REF!)))))</f>
        <v>0.4</v>
      </c>
      <c r="AL22" s="310">
        <f ca="1">IF($B$5=2021,SUMIF('РЕЕСТР РИСКОВ_2023'!$K$40:$AD$248,AI22,'РЕЕСТР РИСКОВ_2023'!$AD$40:$AD$248),IF($B$5=2022,SUMIF(#REF!,AI22,#REF!),IF($B$5=2023,SUMIF(#REF!,AI22,#REF!),IF($B$5=2024,SUMIF(#REF!,AI22,#REF!),IF($B$5=2025,SUMIF(#REF!,AI22,#REF!))))))</f>
        <v>0</v>
      </c>
      <c r="AM22" s="311">
        <f ca="1">AK22*AL22</f>
        <v>0</v>
      </c>
    </row>
    <row r="23" spans="1:39" ht="105" customHeight="1">
      <c r="A23" s="219"/>
      <c r="B23" s="1638"/>
      <c r="C23" s="1642"/>
      <c r="D23" s="1577"/>
      <c r="E23" s="1577"/>
      <c r="F23" s="1581"/>
      <c r="G23" s="1581"/>
      <c r="H23" s="1581"/>
      <c r="I23"/>
      <c r="K23" s="1601"/>
      <c r="L23" s="824" t="s">
        <v>183</v>
      </c>
      <c r="M23" s="499" t="s">
        <v>163</v>
      </c>
      <c r="N23" s="312" t="str">
        <f ca="1">"ВЕРОЯТНОСТЬ  "&amp;IF(O23&lt;0.05,1,IF((O23&gt;=0.05)*(O23&lt;0.25),2,IF((O23&gt;=0.25)*(O23&lt;0.5),3,IF((O23&gt;=0.5)*(O23&lt;0.75),4,5))))&amp;"  ВЛИЯНИЕ  "&amp;IF(P23&gt;-200,1,IF((P23&lt;=-200)*(P23&gt;-500),2,IF((P23&lt;=-500)*(P23&gt;-1000),3,IF((P23&lt;=-1000)*(P23&gt;-3000),4,5))))</f>
        <v>ВЕРОЯТНОСТЬ  3  ВЛИЯНИЕ  5</v>
      </c>
      <c r="O23" s="507">
        <f ca="1">IF($B$5=2021,SUMIF('РЕЕСТР РИСКОВ_2023'!$K$40:$AC$248,M23,'РЕЕСТР РИСКОВ_2023'!$Y$40:$Y$248),IF($B$5=2022,SUMIF(#REF!,M23,#REF!),IF($B$5=2023,SUMIF(#REF!,M23,#REF!),IF($B$5=2024,SUMIF(#REF!,M23,#REF!),SUMIF(#REF!,M23,#REF!)))))</f>
        <v>0.3</v>
      </c>
      <c r="P23" s="508">
        <f ca="1">IF($B$5=2021,SUMIF('РЕЕСТР РИСКОВ_2023'!$K$40:$AD$248,M23,'РЕЕСТР РИСКОВ_2023'!$Z$40:$Z$248),IF($B$5=2022,SUMIF(#REF!,M23,#REF!),IF($B$5=2023,SUMIF(#REF!,M23,#REF!),IF($B$5=2024,SUMIF(#REF!,M23,#REF!),IF($B$5=2025,SUMIF(#REF!,M23,#REF!))))))</f>
        <v>-5705</v>
      </c>
      <c r="Q23" s="509">
        <f ca="1">O23*P23</f>
        <v>-1711.5</v>
      </c>
      <c r="R23" s="463"/>
      <c r="S23" s="480" t="s">
        <v>325</v>
      </c>
      <c r="T23" s="499" t="s">
        <v>1129</v>
      </c>
      <c r="U23" s="498" t="str">
        <f ca="1">"ВЕРОЯТНОСТЬ  "&amp;IF(V23&lt;0.05,1,IF((V23&gt;=0.05)*(V23&lt;0.25),2,IF((V23&gt;=0.25)*(V23&lt;0.5),3,IF((V23&gt;=0.5)*(V23&lt;0.75),4,5))))&amp;"  ВЛИЯНИЕ  "&amp;IF(W23&gt;-200,1,IF((W23&lt;=-200)*(W23&gt;-500),2,IF((W23&lt;=-500)*(W23&gt;-1000),3,IF((W23&lt;=-1000)*(W23&gt;-3000),4,5))))</f>
        <v>ВЕРОЯТНОСТЬ  1  ВЛИЯНИЕ  1</v>
      </c>
      <c r="V23" s="507">
        <f ca="1">IF($B$5=2021,SUMIF('РЕЕСТР РИСКОВ_2023'!$K$40:$AC$248,T23,'РЕЕСТР РИСКОВ_2023'!$AC$40:$AC$248),IF($B$5=2022,SUMIF(#REF!,T23,#REF!),IF($B$5=2023,SUMIF(#REF!,T23,#REF!),IF($B$5=2024,SUMIF(#REF!,T23,#REF!),SUMIF(#REF!,T23,#REF!)))))</f>
        <v>0</v>
      </c>
      <c r="W23" s="508">
        <f ca="1">IF($B$5=2021,SUMIF('РЕЕСТР РИСКОВ_2023'!$K$40:$AD$248,T23,'РЕЕСТР РИСКОВ_2023'!$AD$40:$AD$248),IF($B$5=2022,SUMIF(#REF!,T23,#REF!),IF($B$5=2023,SUMIF(#REF!,T23,#REF!),IF($B$5=2024,SUMIF(#REF!,T23,#REF!),IF($B$5=2025,SUMIF(#REF!,T23,#REF!))))))</f>
        <v>0</v>
      </c>
      <c r="X23" s="509">
        <f ca="1">V23*W23</f>
        <v>0</v>
      </c>
      <c r="Y23" s="462"/>
      <c r="Z23" s="462"/>
      <c r="AA23" s="479" t="s">
        <v>811</v>
      </c>
      <c r="AB23" s="513" t="s">
        <v>830</v>
      </c>
      <c r="AC23" s="312" t="str">
        <f t="shared" ca="1" si="8"/>
        <v>ВЕРОЯТНОСТЬ  1  ВЛИЯНИЕ  1</v>
      </c>
      <c r="AD23" s="309">
        <f ca="1">IF($B$5=2021,SUMIF('РЕЕСТР РИСКОВ_2023'!$K$40:$AC$248,AB23,'РЕЕСТР РИСКОВ_2023'!$AC$40:$AC$248),IF($B$5=2022,SUMIF(#REF!,AB23,#REF!),IF($B$5=2023,SUMIF(#REF!,AB23,#REF!),IF($B$5=2024,SUMIF(#REF!,AB23,#REF!),SUMIF(#REF!,AB23,#REF!)))))</f>
        <v>0</v>
      </c>
      <c r="AE23" s="310">
        <f ca="1">IF($B$5=2021,SUMIF('РЕЕСТР РИСКОВ_2023'!$K$40:$AD$248,AB23,'РЕЕСТР РИСКОВ_2023'!$AD$40:$AD$248),IF($B$5=2022,SUMIF(#REF!,AB23,#REF!),IF($B$5=2023,SUMIF(#REF!,AB23,#REF!),IF($B$5=2024,SUMIF(#REF!,AB23,#REF!),IF($B$5=2025,SUMIF(#REF!,AB23,#REF!))))))</f>
        <v>0</v>
      </c>
      <c r="AF23" s="311">
        <f t="shared" ca="1" si="9"/>
        <v>0</v>
      </c>
      <c r="AH23" s="485" t="s">
        <v>206</v>
      </c>
      <c r="AI23" s="504" t="s">
        <v>55</v>
      </c>
      <c r="AJ23" s="312" t="str">
        <f ca="1">"ВЕРОЯТНОСТЬ  "&amp;IF(AK23&lt;0.05,1,IF((AK23&gt;=0.05)*(AK23&lt;0.25),2,IF((AK23&gt;=0.25)*(AK23&lt;0.5),3,IF((AK23&gt;=0.5)*(AK23&lt;0.75),4,5))))&amp;"  ВЛИЯНИЕ  "&amp;IF(AL23&gt;-200,1,IF((AL23&lt;=-200)*(AL23&gt;-500),2,IF((AL23&lt;=-500)*(AL23&gt;-1000),3,IF((AL23&lt;=-1000)*(AL23&gt;-3000),4,5))))</f>
        <v>ВЕРОЯТНОСТЬ  3  ВЛИЯНИЕ  1</v>
      </c>
      <c r="AK23" s="309">
        <f ca="1">IF($B$5=2021,SUMIF('РЕЕСТР РИСКОВ_2023'!$K$40:$AC$248,AI23,'РЕЕСТР РИСКОВ_2023'!$AC$40:$AC$248),IF($B$5=2022,SUMIF(#REF!,AI23,#REF!),IF($B$5=2023,SUMIF(#REF!,AI23,#REF!),IF($B$5=2024,SUMIF(#REF!,AI23,#REF!),SUMIF(#REF!,AI23,#REF!)))))</f>
        <v>0.25</v>
      </c>
      <c r="AL23" s="310">
        <f ca="1">IF($B$5=2021,SUMIF('РЕЕСТР РИСКОВ_2023'!$K$40:$AD$248,AI23,'РЕЕСТР РИСКОВ_2023'!$AD$40:$AD$248),IF($B$5=2022,SUMIF(#REF!,AI23,#REF!),IF($B$5=2023,SUMIF(#REF!,AI23,#REF!),IF($B$5=2024,SUMIF(#REF!,AI23,#REF!),IF($B$5=2025,SUMIF(#REF!,AI23,#REF!))))))</f>
        <v>0</v>
      </c>
      <c r="AM23" s="311">
        <f ca="1">AK23*AL23</f>
        <v>0</v>
      </c>
    </row>
    <row r="24" spans="1:39" ht="73.5" customHeight="1">
      <c r="A24" s="219"/>
      <c r="B24" s="1638"/>
      <c r="C24" s="1596" t="s">
        <v>330</v>
      </c>
      <c r="D24" s="1577"/>
      <c r="E24" s="1577"/>
      <c r="F24" s="1580"/>
      <c r="G24" s="1580"/>
      <c r="H24" s="1580"/>
      <c r="I24"/>
      <c r="K24" s="59"/>
      <c r="L24" s="824" t="s">
        <v>184</v>
      </c>
      <c r="M24" s="499" t="s">
        <v>576</v>
      </c>
      <c r="N24" s="312" t="str">
        <f ca="1">"ВЕРОЯТНОСТЬ  "&amp;IF(O24&lt;0.05,1,IF((O24&gt;=0.05)*(O24&lt;0.25),2,IF((O24&gt;=0.25)*(O24&lt;0.5),3,IF((O24&gt;=0.5)*(O24&lt;0.75),4,5))))&amp;"  ВЛИЯНИЕ  "&amp;IF(P24&gt;-200,1,IF((P24&lt;=-200)*(P24&gt;-500),2,IF((P24&lt;=-500)*(P24&gt;-1000),3,IF((P24&lt;=-1000)*(P24&gt;-3000),4,5))))</f>
        <v>ВЕРОЯТНОСТЬ  2  ВЛИЯНИЕ  5</v>
      </c>
      <c r="O24" s="507">
        <f ca="1">IF($B$5=2021,SUMIF('РЕЕСТР РИСКОВ_2023'!$K$40:$AC$248,M24,'РЕЕСТР РИСКОВ_2023'!$Y$40:$Y$248),IF($B$5=2022,SUMIF(#REF!,M24,#REF!),IF($B$5=2023,SUMIF(#REF!,M24,#REF!),IF($B$5=2024,SUMIF(#REF!,M24,#REF!),SUMIF(#REF!,M24,#REF!)))))</f>
        <v>0.05</v>
      </c>
      <c r="P24" s="508">
        <f ca="1">IF($B$5=2021,SUMIF('РЕЕСТР РИСКОВ_2023'!$K$40:$AD$248,M24,'РЕЕСТР РИСКОВ_2023'!$Z$40:$Z$248),IF($B$5=2022,SUMIF(#REF!,M24,#REF!),IF($B$5=2023,SUMIF(#REF!,M24,#REF!),IF($B$5=2024,SUMIF(#REF!,M24,#REF!),IF($B$5=2025,SUMIF(#REF!,M24,#REF!))))))</f>
        <v>-12650</v>
      </c>
      <c r="Q24" s="509">
        <f ca="1">O24*P24</f>
        <v>-632.5</v>
      </c>
      <c r="R24" s="463"/>
      <c r="S24" s="480" t="s">
        <v>1400</v>
      </c>
      <c r="T24" s="499" t="s">
        <v>1401</v>
      </c>
      <c r="U24" s="498" t="str">
        <f ca="1">"ВЕРОЯТНОСТЬ  "&amp;IF(V24&lt;0.05,1,IF((V24&gt;=0.05)*(V24&lt;0.25),2,IF((V24&gt;=0.25)*(V24&lt;0.5),3,IF((V24&gt;=0.5)*(V24&lt;0.75),4,5))))&amp;"  ВЛИЯНИЕ  "&amp;IF(W24&gt;-200,1,IF((W24&lt;=-200)*(W24&gt;-500),2,IF((W24&lt;=-500)*(W24&gt;-1000),3,IF((W24&lt;=-1000)*(W24&gt;-3000),4,5))))</f>
        <v>ВЕРОЯТНОСТЬ  1  ВЛИЯНИЕ  1</v>
      </c>
      <c r="V24" s="507">
        <f ca="1">IF($B$5=2021,SUMIF('РЕЕСТР РИСКОВ_2023'!$K$40:$AC$248,T24,'РЕЕСТР РИСКОВ_2023'!$AC$40:$AC$248),IF($B$5=2022,SUMIF(#REF!,T24,#REF!),IF($B$5=2023,SUMIF(#REF!,T24,#REF!),IF($B$5=2024,SUMIF(#REF!,T24,#REF!),SUMIF(#REF!,T24,#REF!)))))</f>
        <v>0</v>
      </c>
      <c r="W24" s="508">
        <f ca="1">IF($B$5=2021,SUMIF('РЕЕСТР РИСКОВ_2023'!$K$40:$AD$248,T24,'РЕЕСТР РИСКОВ_2023'!$AD$40:$AD$248),IF($B$5=2022,SUMIF(#REF!,T24,#REF!),IF($B$5=2023,SUMIF(#REF!,T24,#REF!),IF($B$5=2024,SUMIF(#REF!,T24,#REF!),IF($B$5=2025,SUMIF(#REF!,T24,#REF!))))))</f>
        <v>0</v>
      </c>
      <c r="X24" s="509">
        <f ca="1">V24*W24</f>
        <v>0</v>
      </c>
      <c r="Y24" s="462"/>
      <c r="Z24" s="462"/>
      <c r="AA24" s="479" t="s">
        <v>812</v>
      </c>
      <c r="AB24" s="513" t="s">
        <v>831</v>
      </c>
      <c r="AC24" s="312" t="str">
        <f t="shared" ca="1" si="8"/>
        <v>ВЕРОЯТНОСТЬ  1  ВЛИЯНИЕ  1</v>
      </c>
      <c r="AD24" s="309">
        <f ca="1">IF($B$5=2021,SUMIF('РЕЕСТР РИСКОВ_2023'!$K$40:$AC$248,AB24,'РЕЕСТР РИСКОВ_2023'!$AC$40:$AC$248),IF($B$5=2022,SUMIF(#REF!,AB24,#REF!),IF($B$5=2023,SUMIF(#REF!,AB24,#REF!),IF($B$5=2024,SUMIF(#REF!,AB24,#REF!),SUMIF(#REF!,AB24,#REF!)))))</f>
        <v>0</v>
      </c>
      <c r="AE24" s="310">
        <f ca="1">IF($B$5=2021,SUMIF('РЕЕСТР РИСКОВ_2023'!$K$40:$AD$248,AB24,'РЕЕСТР РИСКОВ_2023'!$AD$40:$AD$248),IF($B$5=2022,SUMIF(#REF!,AB24,#REF!),IF($B$5=2023,SUMIF(#REF!,AB24,#REF!),IF($B$5=2024,SUMIF(#REF!,AB24,#REF!),IF($B$5=2025,SUMIF(#REF!,AB24,#REF!))))))</f>
        <v>0</v>
      </c>
      <c r="AF24" s="311">
        <f t="shared" ca="1" si="9"/>
        <v>0</v>
      </c>
      <c r="AH24" s="485" t="s">
        <v>1006</v>
      </c>
      <c r="AI24" s="504" t="s">
        <v>1007</v>
      </c>
      <c r="AJ24" s="312" t="str">
        <f ca="1">"ВЕРОЯТНОСТЬ  "&amp;IF(AK24&lt;0.05,1,IF((AK24&gt;=0.05)*(AK24&lt;0.25),2,IF((AK24&gt;=0.25)*(AK24&lt;0.5),3,IF((AK24&gt;=0.5)*(AK24&lt;0.75),4,5))))&amp;"  ВЛИЯНИЕ  "&amp;IF(AL24&gt;-200,1,IF((AL24&lt;=-200)*(AL24&gt;-500),2,IF((AL24&lt;=-500)*(AL24&gt;-1000),3,IF((AL24&lt;=-1000)*(AL24&gt;-3000),4,5))))</f>
        <v>ВЕРОЯТНОСТЬ  3  ВЛИЯНИЕ  1</v>
      </c>
      <c r="AK24" s="309">
        <f ca="1">IF($B$5=2021,SUMIF('РЕЕСТР РИСКОВ_2023'!$K$40:$AC$279,AI24,'РЕЕСТР РИСКОВ_2023'!$AC$40:$AC$279),IF($B$5=2022,SUMIF(#REF!,AI24,#REF!),IF($B$5=2023,SUMIF(#REF!,AI24,#REF!),IF($B$5=2024,SUMIF(#REF!,AI24,#REF!),SUMIF(#REF!,AI24,#REF!)))))</f>
        <v>0.25</v>
      </c>
      <c r="AL24" s="310">
        <f ca="1">IF($B$5=2021,SUMIF('РЕЕСТР РИСКОВ_2023'!$K$40:$AD$279,AI24,'РЕЕСТР РИСКОВ_2023'!$AD$40:$AD$279),IF($B$5=2022,SUMIF(#REF!,AI24,#REF!),IF($B$5=2023,SUMIF(#REF!,AI24,#REF!),IF($B$5=2024,SUMIF(#REF!,AI24,#REF!),IF($B$5=2025,SUMIF(#REF!,AI24,#REF!))))))</f>
        <v>0</v>
      </c>
      <c r="AM24" s="311">
        <f ca="1">AK24*AL24</f>
        <v>0</v>
      </c>
    </row>
    <row r="25" spans="1:39" ht="70.5" customHeight="1">
      <c r="A25" s="219"/>
      <c r="B25" s="1638"/>
      <c r="C25" s="1597"/>
      <c r="D25" s="1577"/>
      <c r="E25" s="1577"/>
      <c r="F25" s="1580"/>
      <c r="G25" s="1580"/>
      <c r="H25" s="1580"/>
      <c r="I25"/>
      <c r="K25" s="59"/>
      <c r="L25" s="824" t="s">
        <v>185</v>
      </c>
      <c r="M25" s="499" t="s">
        <v>1003</v>
      </c>
      <c r="N25" s="312" t="str">
        <f ca="1">"ВЕРОЯТНОСТЬ  "&amp;IF(O25&lt;0.05,1,IF((O25&gt;=0.05)*(O25&lt;0.25),2,IF((O25&gt;=0.25)*(O25&lt;0.5),3,IF((O25&gt;=0.5)*(O25&lt;0.75),4,5))))&amp;"  ВЛИЯНИЕ  "&amp;IF(P25&gt;-200,1,IF((P25&lt;=-200)*(P25&gt;-500),2,IF((P25&lt;=-500)*(P25&gt;-1000),3,IF((P25&lt;=-1000)*(P25&gt;-3000),4,5))))</f>
        <v>ВЕРОЯТНОСТЬ  3  ВЛИЯНИЕ  5</v>
      </c>
      <c r="O25" s="507">
        <f ca="1">IF($B$5=2021,SUMIF('РЕЕСТР РИСКОВ_2023'!$K$40:$AC$248,M25,'РЕЕСТР РИСКОВ_2023'!$Y$40:$Y$248),IF($B$5=2022,SUMIF(#REF!,M25,#REF!),IF($B$5=2023,SUMIF(#REF!,M25,#REF!),IF($B$5=2024,SUMIF(#REF!,M25,#REF!),SUMIF(#REF!,M25,#REF!)))))</f>
        <v>0.3</v>
      </c>
      <c r="P25" s="508">
        <f ca="1">IF($B$5=2021,SUMIF('РЕЕСТР РИСКОВ_2023'!$K$40:$AD$248,M25,'РЕЕСТР РИСКОВ_2023'!$Z$40:$Z$248),IF($B$5=2022,SUMIF(#REF!,M25,#REF!),IF($B$5=2023,SUMIF(#REF!,M25,#REF!),IF($B$5=2024,SUMIF(#REF!,M25,#REF!),IF($B$5=2025,SUMIF(#REF!,M25,#REF!))))))</f>
        <v>-4848</v>
      </c>
      <c r="Q25" s="509">
        <f ca="1">O25*P25</f>
        <v>-1454.3999999999999</v>
      </c>
      <c r="R25" s="463"/>
      <c r="S25" s="1589" t="s">
        <v>128</v>
      </c>
      <c r="T25" s="1590"/>
      <c r="U25" s="511" t="s">
        <v>382</v>
      </c>
      <c r="V25" s="505" t="s">
        <v>100</v>
      </c>
      <c r="W25" s="505" t="s">
        <v>167</v>
      </c>
      <c r="X25" s="506" t="s">
        <v>311</v>
      </c>
      <c r="Y25" s="462"/>
      <c r="Z25" s="462"/>
      <c r="AA25" s="479" t="s">
        <v>813</v>
      </c>
      <c r="AB25" s="513" t="s">
        <v>832</v>
      </c>
      <c r="AC25" s="312" t="str">
        <f t="shared" ca="1" si="8"/>
        <v>ВЕРОЯТНОСТЬ  1  ВЛИЯНИЕ  1</v>
      </c>
      <c r="AD25" s="309">
        <f ca="1">IF($B$5=2021,SUMIF('РЕЕСТР РИСКОВ_2023'!$K$40:$AC$248,AB25,'РЕЕСТР РИСКОВ_2023'!$AC$40:$AC$248),IF($B$5=2022,SUMIF(#REF!,AB25,#REF!),IF($B$5=2023,SUMIF(#REF!,AB25,#REF!),IF($B$5=2024,SUMIF(#REF!,AB25,#REF!),SUMIF(#REF!,AB25,#REF!)))))</f>
        <v>0</v>
      </c>
      <c r="AE25" s="310">
        <f ca="1">IF($B$5=2021,SUMIF('РЕЕСТР РИСКОВ_2023'!$K$40:$AD$248,AB25,'РЕЕСТР РИСКОВ_2023'!$AD$40:$AD$248),IF($B$5=2022,SUMIF(#REF!,AB25,#REF!),IF($B$5=2023,SUMIF(#REF!,AB25,#REF!),IF($B$5=2024,SUMIF(#REF!,AB25,#REF!),IF($B$5=2025,SUMIF(#REF!,AB25,#REF!))))))</f>
        <v>0</v>
      </c>
      <c r="AF25" s="311">
        <f t="shared" ca="1" si="9"/>
        <v>0</v>
      </c>
      <c r="AH25" s="485" t="s">
        <v>1010</v>
      </c>
      <c r="AI25" s="504" t="s">
        <v>1175</v>
      </c>
      <c r="AJ25" s="312"/>
      <c r="AK25" s="309"/>
      <c r="AL25" s="310"/>
      <c r="AM25" s="311"/>
    </row>
    <row r="26" spans="1:39" ht="71.25" customHeight="1">
      <c r="A26" s="219"/>
      <c r="B26" s="1638"/>
      <c r="C26" s="1598"/>
      <c r="D26" s="1599"/>
      <c r="E26" s="1599"/>
      <c r="F26" s="1580"/>
      <c r="G26" s="1580"/>
      <c r="H26" s="1580"/>
      <c r="I26"/>
      <c r="K26" s="59"/>
      <c r="L26" s="1604" t="s">
        <v>312</v>
      </c>
      <c r="M26" s="1604"/>
      <c r="N26" s="312"/>
      <c r="O26" s="507"/>
      <c r="P26" s="508"/>
      <c r="Q26" s="509"/>
      <c r="R26" s="463"/>
      <c r="S26" s="471" t="s">
        <v>227</v>
      </c>
      <c r="T26" s="502" t="s">
        <v>162</v>
      </c>
      <c r="U26" s="498" t="str">
        <f t="shared" ref="U26:U33" ca="1" si="10">"ВЕРОЯТНОСТЬ  "&amp;IF(V26&lt;0.05,1,IF((V26&gt;=0.05)*(V26&lt;0.25),2,IF((V26&gt;=0.25)*(V26&lt;0.5),3,IF((V26&gt;=0.5)*(V26&lt;0.75),4,5))))&amp;"  ВЛИЯНИЕ  "&amp;IF(W26&gt;-200,1,IF((W26&lt;=-200)*(W26&gt;-500),2,IF((W26&lt;=-500)*(W26&gt;-1000),3,IF((W26&lt;=-1000)*(W26&gt;-3000),4,5))))</f>
        <v>ВЕРОЯТНОСТЬ  4  ВЛИЯНИЕ  5</v>
      </c>
      <c r="V26" s="507">
        <f ca="1">IF($B$5=2021,SUMIF('РЕЕСТР РИСКОВ_2023'!$K$40:$AC$248,T26,'РЕЕСТР РИСКОВ_2023'!$AC$40:$AC$248),IF($B$5=2022,SUMIF(#REF!,T26,#REF!),IF($B$5=2023,SUMIF(#REF!,T26,#REF!),IF($B$5=2024,SUMIF(#REF!,T26,#REF!),SUMIF(#REF!,T26,#REF!)))))</f>
        <v>0.53775113536229191</v>
      </c>
      <c r="W26" s="508">
        <v>-21548</v>
      </c>
      <c r="X26" s="509">
        <f t="shared" ref="X26:X33" ca="1" si="11">V26*W26</f>
        <v>-11587.461464786666</v>
      </c>
      <c r="Y26" s="462"/>
      <c r="Z26" s="462"/>
      <c r="AA26" s="479" t="s">
        <v>814</v>
      </c>
      <c r="AB26" s="513" t="s">
        <v>833</v>
      </c>
      <c r="AC26" s="312" t="str">
        <f t="shared" ca="1" si="8"/>
        <v>ВЕРОЯТНОСТЬ  1  ВЛИЯНИЕ  1</v>
      </c>
      <c r="AD26" s="309">
        <f ca="1">IF($B$5=2021,SUMIF('РЕЕСТР РИСКОВ_2023'!$K$40:$AC$248,AB26,'РЕЕСТР РИСКОВ_2023'!$AC$40:$AC$248),IF($B$5=2022,SUMIF(#REF!,AB26,#REF!),IF($B$5=2023,SUMIF(#REF!,AB26,#REF!),IF($B$5=2024,SUMIF(#REF!,AB26,#REF!),SUMIF(#REF!,AB26,#REF!)))))</f>
        <v>0</v>
      </c>
      <c r="AE26" s="310">
        <f ca="1">IF($B$5=2021,SUMIF('РЕЕСТР РИСКОВ_2023'!$K$40:$AD$248,AB26,'РЕЕСТР РИСКОВ_2023'!$AD$40:$AD$248),IF($B$5=2022,SUMIF(#REF!,AB26,#REF!),IF($B$5=2023,SUMIF(#REF!,AB26,#REF!),IF($B$5=2024,SUMIF(#REF!,AB26,#REF!),IF($B$5=2025,SUMIF(#REF!,AB26,#REF!))))))</f>
        <v>0</v>
      </c>
      <c r="AF26" s="311">
        <f t="shared" ca="1" si="9"/>
        <v>0</v>
      </c>
      <c r="AH26" s="485" t="s">
        <v>1173</v>
      </c>
      <c r="AI26" s="504" t="s">
        <v>1011</v>
      </c>
      <c r="AJ26" s="312" t="str">
        <f ca="1">"ВЕРОЯТНОСТЬ  "&amp;IF(AK26&lt;0.05,1,IF((AK26&gt;=0.05)*(AK26&lt;0.25),2,IF((AK26&gt;=0.25)*(AK26&lt;0.5),3,IF((AK26&gt;=0.5)*(AK26&lt;0.75),4,5))))&amp;"  ВЛИЯНИЕ  "&amp;IF(AL26&gt;-200,1,IF((AL26&lt;=-200)*(AL26&gt;-500),2,IF((AL26&lt;=-500)*(AL26&gt;-1000),3,IF((AL26&lt;=-1000)*(AL26&gt;-3000),4,5))))</f>
        <v>ВЕРОЯТНОСТЬ  1  ВЛИЯНИЕ  1</v>
      </c>
      <c r="AK26" s="309">
        <f ca="1">IF($B$5=2021,SUMIF('РЕЕСТР РИСКОВ_2023'!$K$40:$AC$279,AI26,'РЕЕСТР РИСКОВ_2023'!$AC$40:$AC$279),IF($B$5=2022,SUMIF(#REF!,AI26,#REF!),IF($B$5=2023,SUMIF(#REF!,AI26,#REF!),IF($B$5=2024,SUMIF(#REF!,AI26,#REF!),SUMIF(#REF!,AI26,#REF!)))))</f>
        <v>0.01</v>
      </c>
      <c r="AL26" s="310">
        <f ca="1">IF($B$5=2021,SUMIF('РЕЕСТР РИСКОВ_2023'!$K$40:$AD$279,AI26,'РЕЕСТР РИСКОВ_2023'!$AD$40:$AD$279),IF($B$5=2022,SUMIF(#REF!,AI26,#REF!),IF($B$5=2023,SUMIF(#REF!,AI26,#REF!),IF($B$5=2024,SUMIF(#REF!,AI26,#REF!),IF($B$5=2025,SUMIF(#REF!,AI26,#REF!))))))</f>
        <v>1.3</v>
      </c>
      <c r="AM26" s="311">
        <f t="shared" ref="AM26:AM38" ca="1" si="12">AK26*AL26</f>
        <v>1.3000000000000001E-2</v>
      </c>
    </row>
    <row r="27" spans="1:39" ht="78.599999999999994" customHeight="1">
      <c r="A27" s="219"/>
      <c r="B27" s="1638"/>
      <c r="C27" s="58"/>
      <c r="D27" s="110" t="s">
        <v>331</v>
      </c>
      <c r="E27" s="111" t="s">
        <v>332</v>
      </c>
      <c r="F27" s="112" t="s">
        <v>333</v>
      </c>
      <c r="G27" s="113" t="s">
        <v>334</v>
      </c>
      <c r="H27" s="114" t="s">
        <v>335</v>
      </c>
      <c r="I27"/>
      <c r="K27" s="59"/>
      <c r="L27" s="824" t="s">
        <v>318</v>
      </c>
      <c r="M27" s="499" t="s">
        <v>314</v>
      </c>
      <c r="N27" s="312" t="str">
        <f ca="1">"ВЕРОЯТНОСТЬ  "&amp;IF(O27&lt;0.05,1,IF((O27&gt;=0.05)*(O27&lt;0.25),2,IF((O27&gt;=0.25)*(O27&lt;0.5),3,IF((O27&gt;=0.5)*(O27&lt;0.75),4,5))))&amp;"  ВЛИЯНИЕ  "&amp;IF(P27&gt;-200,1,IF((P27&lt;=-200)*(P27&gt;-500),2,IF((P27&lt;=-500)*(P27&gt;-1000),3,IF((P27&lt;=-1000)*(P27&gt;-3000),4,5))))</f>
        <v>ВЕРОЯТНОСТЬ  2  ВЛИЯНИЕ  5</v>
      </c>
      <c r="O27" s="507">
        <f ca="1">IF($B$5=2021,SUMIF('РЕЕСТР РИСКОВ_2023'!$K$40:$AC$248,M27,'РЕЕСТР РИСКОВ_2023'!$Y$40:$Y$248),IF($B$5=2022,SUMIF(#REF!,M27,#REF!),IF($B$5=2023,SUMIF(#REF!,M27,#REF!),IF($B$5=2024,SUMIF(#REF!,M27,#REF!),SUMIF(#REF!,M27,#REF!)))))</f>
        <v>0.2</v>
      </c>
      <c r="P27" s="508">
        <f ca="1">IF($B$5=2021,SUMIF('РЕЕСТР РИСКОВ_2023'!$K$40:$AD$248,M27,'РЕЕСТР РИСКОВ_2023'!$Z$40:$Z$248),IF($B$5=2022,SUMIF(#REF!,M27,#REF!),IF($B$5=2023,SUMIF(#REF!,M27,#REF!),IF($B$5=2024,SUMIF(#REF!,M27,#REF!),IF($B$5=2025,SUMIF(#REF!,M27,#REF!))))))</f>
        <v>-7200</v>
      </c>
      <c r="Q27" s="509">
        <f ca="1">O27*P27</f>
        <v>-1440</v>
      </c>
      <c r="R27" s="462"/>
      <c r="S27" s="474" t="s">
        <v>228</v>
      </c>
      <c r="T27" s="502" t="s">
        <v>1208</v>
      </c>
      <c r="U27" s="498" t="str">
        <f t="shared" ca="1" si="10"/>
        <v>ВЕРОЯТНОСТЬ  1  ВЛИЯНИЕ  1</v>
      </c>
      <c r="V27" s="507">
        <f ca="1">IF($B$5=2021,SUMIF('РЕЕСТР РИСКОВ_2023'!$K$40:$AC$248,T27,'РЕЕСТР РИСКОВ_2023'!$AC$40:$AC$248),IF($B$5=2022,SUMIF(#REF!,T27,#REF!),IF($B$5=2023,SUMIF(#REF!,T27,#REF!),IF($B$5=2024,SUMIF(#REF!,T27,#REF!),SUMIF(#REF!,T27,#REF!)))))</f>
        <v>0</v>
      </c>
      <c r="W27" s="508">
        <f ca="1">IF($B$5=2021,SUMIF('РЕЕСТР РИСКОВ_2023'!$K$40:$AD$248,T27,'РЕЕСТР РИСКОВ_2023'!$AD$40:$AD$248),IF($B$5=2022,SUMIF(#REF!,T27,#REF!),IF($B$5=2023,SUMIF(#REF!,T27,#REF!),IF($B$5=2024,SUMIF(#REF!,T27,#REF!),IF($B$5=2025,SUMIF(#REF!,T27,#REF!))))))</f>
        <v>0</v>
      </c>
      <c r="X27" s="509">
        <f t="shared" ca="1" si="11"/>
        <v>0</v>
      </c>
      <c r="Y27" s="462"/>
      <c r="Z27" s="462"/>
      <c r="AA27" s="479" t="s">
        <v>815</v>
      </c>
      <c r="AB27" s="513" t="s">
        <v>834</v>
      </c>
      <c r="AC27" s="312" t="str">
        <f t="shared" ca="1" si="8"/>
        <v>ВЕРОЯТНОСТЬ  1  ВЛИЯНИЕ  1</v>
      </c>
      <c r="AD27" s="309">
        <f ca="1">IF($B$5=2021,SUMIF('РЕЕСТР РИСКОВ_2023'!$K$40:$AC$248,AB27,'РЕЕСТР РИСКОВ_2023'!$AC$40:$AC$248),IF($B$5=2022,SUMIF(#REF!,AB27,#REF!),IF($B$5=2023,SUMIF(#REF!,AB27,#REF!),IF($B$5=2024,SUMIF(#REF!,AB27,#REF!),SUMIF(#REF!,AB27,#REF!)))))</f>
        <v>0</v>
      </c>
      <c r="AE27" s="310">
        <f ca="1">IF($B$5=2021,SUMIF('РЕЕСТР РИСКОВ_2023'!$K$40:$AD$248,AB27,'РЕЕСТР РИСКОВ_2023'!$AD$40:$AD$248),IF($B$5=2022,SUMIF(#REF!,AB27,#REF!),IF($B$5=2023,SUMIF(#REF!,AB27,#REF!),IF($B$5=2024,SUMIF(#REF!,AB27,#REF!),IF($B$5=2025,SUMIF(#REF!,AB27,#REF!))))))</f>
        <v>0</v>
      </c>
      <c r="AF27" s="311">
        <f t="shared" ca="1" si="9"/>
        <v>0</v>
      </c>
      <c r="AH27" s="1567" t="s">
        <v>838</v>
      </c>
      <c r="AI27" s="1568"/>
      <c r="AK27" s="309"/>
      <c r="AL27" s="310"/>
      <c r="AM27" s="311"/>
    </row>
    <row r="28" spans="1:39" ht="75.75" customHeight="1">
      <c r="A28" s="219"/>
      <c r="B28" s="1639"/>
      <c r="C28" s="1593" t="s">
        <v>282</v>
      </c>
      <c r="D28" s="1594"/>
      <c r="E28" s="1594"/>
      <c r="F28" s="1594"/>
      <c r="G28" s="1594"/>
      <c r="H28" s="1595"/>
      <c r="I28"/>
      <c r="K28" s="59"/>
      <c r="L28" s="481" t="s">
        <v>938</v>
      </c>
      <c r="M28" s="499" t="s">
        <v>937</v>
      </c>
      <c r="N28" s="312" t="str">
        <f ca="1">"ВЕРОЯТНОСТЬ  "&amp;IF(O28&lt;0.05,1,IF((O28&gt;=0.05)*(O28&lt;0.25),2,IF((O28&gt;=0.25)*(O28&lt;0.5),3,IF((O28&gt;=0.5)*(O28&lt;0.75),4,5))))&amp;"  ВЛИЯНИЕ  "&amp;IF(P28&gt;-200,1,IF((P28&lt;=-200)*(P28&gt;-500),2,IF((P28&lt;=-500)*(P28&gt;-1000),3,IF((P28&lt;=-1000)*(P28&gt;-3000),4,5))))</f>
        <v>ВЕРОЯТНОСТЬ  5  ВЛИЯНИЕ  1</v>
      </c>
      <c r="O28" s="507">
        <f ca="1">IF($B$5=2021,SUMIF('РЕЕСТР РИСКОВ_2023'!$K$40:$AC$248,M28,'РЕЕСТР РИСКОВ_2023'!$Y$40:$Y$248),IF($B$5=2022,SUMIF(#REF!,M28,#REF!),IF($B$5=2023,SUMIF(#REF!,M28,#REF!),IF($B$5=2024,SUMIF(#REF!,M28,#REF!),SUMIF(#REF!,M28,#REF!)))))</f>
        <v>1</v>
      </c>
      <c r="P28" s="508">
        <f ca="1">IF($B$5=2021,SUMIF('РЕЕСТР РИСКОВ_2023'!$K$40:$AD$248,M28,'РЕЕСТР РИСКОВ_2023'!$Z$40:$Z$248),IF($B$5=2022,SUMIF(#REF!,M28,#REF!),IF($B$5=2023,SUMIF(#REF!,M28,#REF!),IF($B$5=2024,SUMIF(#REF!,M28,#REF!),IF($B$5=2025,SUMIF(#REF!,M28,#REF!))))))</f>
        <v>0</v>
      </c>
      <c r="Q28" s="509">
        <f ca="1">O28*P28</f>
        <v>0</v>
      </c>
      <c r="R28" s="462"/>
      <c r="S28" s="474" t="s">
        <v>229</v>
      </c>
      <c r="T28" s="502" t="s">
        <v>34</v>
      </c>
      <c r="U28" s="498" t="str">
        <f t="shared" ca="1" si="10"/>
        <v>ВЕРОЯТНОСТЬ  3  ВЛИЯНИЕ  5</v>
      </c>
      <c r="V28" s="507">
        <f ca="1">IF($B$5=2021,SUMIF('РЕЕСТР РИСКОВ_2023'!$K$40:$AC$248,T28,'РЕЕСТР РИСКОВ_2023'!$AC$40:$AC$248),IF($B$5=2022,SUMIF(#REF!,T28,#REF!),IF($B$5=2023,SUMIF(#REF!,T28,#REF!),IF($B$5=2024,SUMIF(#REF!,T28,#REF!),SUMIF(#REF!,T28,#REF!)))))</f>
        <v>0.25</v>
      </c>
      <c r="W28" s="508">
        <f ca="1">IF($B$5=2021,SUMIF('РЕЕСТР РИСКОВ_2023'!$K$40:$AD$248,T28,'РЕЕСТР РИСКОВ_2023'!$AD$40:$AD$248),IF($B$5=2022,SUMIF(#REF!,T28,#REF!),IF($B$5=2023,SUMIF(#REF!,T28,#REF!),IF($B$5=2024,SUMIF(#REF!,T28,#REF!),IF($B$5=2025,SUMIF(#REF!,T28,#REF!))))))</f>
        <v>-8907.4</v>
      </c>
      <c r="X28" s="509">
        <f t="shared" ca="1" si="11"/>
        <v>-2226.85</v>
      </c>
      <c r="Y28" s="462"/>
      <c r="Z28" s="462"/>
      <c r="AA28" s="479" t="s">
        <v>816</v>
      </c>
      <c r="AB28" s="513" t="s">
        <v>835</v>
      </c>
      <c r="AC28" s="312" t="str">
        <f t="shared" ca="1" si="8"/>
        <v>ВЕРОЯТНОСТЬ  1  ВЛИЯНИЕ  1</v>
      </c>
      <c r="AD28" s="309">
        <f ca="1">IF($B$5=2021,SUMIF('РЕЕСТР РИСКОВ_2023'!$K$40:$AC$248,AB28,'РЕЕСТР РИСКОВ_2023'!$AC$40:$AC$248),IF($B$5=2022,SUMIF(#REF!,AB28,#REF!),IF($B$5=2023,SUMIF(#REF!,AB28,#REF!),IF($B$5=2024,SUMIF(#REF!,AB28,#REF!),SUMIF(#REF!,AB28,#REF!)))))</f>
        <v>0</v>
      </c>
      <c r="AE28" s="310">
        <f ca="1">IF($B$5=2021,SUMIF('РЕЕСТР РИСКОВ_2023'!$K$40:$AD$248,AB28,'РЕЕСТР РИСКОВ_2023'!$AD$40:$AD$248),IF($B$5=2022,SUMIF(#REF!,AB28,#REF!),IF($B$5=2023,SUMIF(#REF!,AB28,#REF!),IF($B$5=2024,SUMIF(#REF!,AB28,#REF!),IF($B$5=2025,SUMIF(#REF!,AB28,#REF!))))))</f>
        <v>0</v>
      </c>
      <c r="AF28" s="311">
        <f t="shared" ca="1" si="9"/>
        <v>0</v>
      </c>
      <c r="AH28" s="485" t="s">
        <v>1137</v>
      </c>
      <c r="AI28" s="503" t="s">
        <v>1026</v>
      </c>
      <c r="AJ28" s="312" t="str">
        <f ca="1">"ВЕРОЯТНОСТЬ  "&amp;IF(AK28&lt;0.05,1,IF((AK28&gt;=0.05)*(AK28&lt;0.25),2,IF((AK28&gt;=0.25)*(AK28&lt;0.5),3,IF((AK28&gt;=0.5)*(AK28&lt;0.75),4,5))))&amp;"  ВЛИЯНИЕ  "&amp;IF(AL28&gt;-200,1,IF((AL28&lt;=-200)*(AL28&gt;-500),2,IF((AL28&lt;=-500)*(AL28&gt;-1000),3,IF((AL28&lt;=-1000)*(AL28&gt;-3000),4,5))))</f>
        <v>ВЕРОЯТНОСТЬ  3  ВЛИЯНИЕ  1</v>
      </c>
      <c r="AK28" s="309">
        <f ca="1">IF($B$5=2021,SUMIF('РЕЕСТР РИСКОВ_2023'!$K$40:$AC$279,AI28,'РЕЕСТР РИСКОВ_2023'!$AC$40:$AC$279),IF($B$5=2022,SUMIF(#REF!,AI28,#REF!),IF($B$5=2023,SUMIF(#REF!,AI28,#REF!),IF($B$5=2024,SUMIF(#REF!,AI28,#REF!),SUMIF(#REF!,AI28,#REF!)))))</f>
        <v>0.4</v>
      </c>
      <c r="AL28" s="310">
        <f ca="1">IF($B$5=2021,SUMIF('РЕЕСТР РИСКОВ_2023'!$K$40:$AD$279,AI28,'РЕЕСТР РИСКОВ_2023'!$AD$40:$AD$279),IF($B$5=2022,SUMIF(#REF!,AI28,#REF!),IF($B$5=2023,SUMIF(#REF!,AI28,#REF!),IF($B$5=2024,SUMIF(#REF!,AI28,#REF!),IF($B$5=2025,SUMIF(#REF!,AI28,#REF!))))))</f>
        <v>0</v>
      </c>
      <c r="AM28" s="311">
        <f t="shared" ca="1" si="12"/>
        <v>0</v>
      </c>
    </row>
    <row r="29" spans="1:39" ht="73.5" customHeight="1">
      <c r="A29" s="219"/>
      <c r="B29" s="212"/>
      <c r="C29" s="61"/>
      <c r="D29" s="63"/>
      <c r="E29" s="64"/>
      <c r="F29" s="62"/>
      <c r="G29" s="65"/>
      <c r="H29" s="66"/>
      <c r="I29"/>
      <c r="K29" s="59"/>
      <c r="L29" s="1604" t="s">
        <v>295</v>
      </c>
      <c r="M29" s="1604"/>
      <c r="N29" s="312"/>
      <c r="O29" s="507"/>
      <c r="P29" s="508"/>
      <c r="Q29" s="509"/>
      <c r="R29" s="462"/>
      <c r="S29" s="482" t="s">
        <v>230</v>
      </c>
      <c r="T29" s="502" t="s">
        <v>388</v>
      </c>
      <c r="U29" s="498" t="str">
        <f t="shared" ca="1" si="10"/>
        <v>ВЕРОЯТНОСТЬ  3  ВЛИЯНИЕ  5</v>
      </c>
      <c r="V29" s="507">
        <f ca="1">IF($B$5=2021,SUMIF('РЕЕСТР РИСКОВ_2023'!$K$40:$AC$248,T29,'РЕЕСТР РИСКОВ_2023'!$AC$40:$AC$248),IF($B$5=2022,SUMIF(#REF!,T29,#REF!),IF($B$5=2023,SUMIF(#REF!,T29,#REF!),IF($B$5=2024,SUMIF(#REF!,T29,#REF!),SUMIF(#REF!,T29,#REF!)))))</f>
        <v>0.4</v>
      </c>
      <c r="W29" s="508">
        <f ca="1">IF($B$5=2021,SUMIF('РЕЕСТР РИСКОВ_2023'!$K$40:$AD$248,T29,'РЕЕСТР РИСКОВ_2023'!$AD$40:$AD$248),IF($B$5=2022,SUMIF(#REF!,T29,#REF!),IF($B$5=2023,SUMIF(#REF!,T29,#REF!),IF($B$5=2024,SUMIF(#REF!,T29,#REF!),IF($B$5=2025,SUMIF(#REF!,T29,#REF!))))))</f>
        <v>-34211.478000000003</v>
      </c>
      <c r="X29" s="509">
        <f t="shared" ca="1" si="11"/>
        <v>-13684.591200000003</v>
      </c>
      <c r="Y29" s="462"/>
      <c r="Z29" s="462"/>
      <c r="AA29" s="1567" t="s">
        <v>66</v>
      </c>
      <c r="AB29" s="1568"/>
      <c r="AC29" s="312"/>
      <c r="AD29" s="309"/>
      <c r="AE29" s="310"/>
      <c r="AF29" s="311"/>
      <c r="AH29" s="1567" t="s">
        <v>844</v>
      </c>
      <c r="AI29" s="1568"/>
      <c r="AK29" s="309"/>
      <c r="AL29" s="310"/>
      <c r="AM29" s="311"/>
    </row>
    <row r="30" spans="1:39" ht="99" customHeight="1">
      <c r="A30" s="219"/>
      <c r="B30" s="212"/>
      <c r="C30" s="61"/>
      <c r="D30" s="1582" t="s">
        <v>282</v>
      </c>
      <c r="E30" s="1583"/>
      <c r="F30" s="1584" t="s">
        <v>283</v>
      </c>
      <c r="G30" s="1584"/>
      <c r="H30" s="1583"/>
      <c r="I30"/>
      <c r="K30" s="59"/>
      <c r="L30" s="465" t="s">
        <v>224</v>
      </c>
      <c r="M30" s="499" t="s">
        <v>454</v>
      </c>
      <c r="N30" s="312" t="str">
        <f ca="1">"ВЕРОЯТНОСТЬ  "&amp;IF(O30&lt;0.05,1,IF((O30&gt;=0.05)*(O30&lt;0.25),2,IF((O30&gt;=0.25)*(O30&lt;0.5),3,IF((O30&gt;=0.5)*(O30&lt;0.75),4,5))))&amp;"  ВЛИЯНИЕ  "&amp;IF(P30&gt;-200,1,IF((P30&lt;=-200)*(P30&gt;-500),2,IF((P30&lt;=-500)*(P30&gt;-1000),3,IF((P30&lt;=-1000)*(P30&gt;-3000),4,5))))</f>
        <v>ВЕРОЯТНОСТЬ  5  ВЛИЯНИЕ  5</v>
      </c>
      <c r="O30" s="507">
        <f ca="1">IF($B$5=2021,SUMIF('РЕЕСТР РИСКОВ_2023'!$K$40:$AC$248,M30,'РЕЕСТР РИСКОВ_2023'!$AC$40:$AC$248),IF($B$5=2022,SUMIF(#REF!,M30,#REF!),IF($B$5=2023,SUMIF(#REF!,M30,#REF!),IF($B$5=2024,SUMIF(#REF!,M30,#REF!),SUMIF(#REF!,M30,#REF!)))))</f>
        <v>0.79098794711789855</v>
      </c>
      <c r="P30" s="508">
        <f ca="1">IF($B$5=2021,SUMIF('РЕЕСТР РИСКОВ_2023'!$K$40:$AD$248,M30,'РЕЕСТР РИСКОВ_2023'!$AD$40:$AD$248),IF($B$5=2022,SUMIF(#REF!,M30,#REF!),IF($B$5=2023,SUMIF(#REF!,M30,#REF!),IF($B$5=2024,SUMIF(#REF!,M30,#REF!),IF($B$5=2025,SUMIF(#REF!,M30,#REF!))))))</f>
        <v>-58443.916999999994</v>
      </c>
      <c r="Q30" s="509">
        <f ca="1">O30*P30</f>
        <v>-46228.433929358849</v>
      </c>
      <c r="R30" s="462"/>
      <c r="S30" s="482" t="s">
        <v>231</v>
      </c>
      <c r="T30" s="502" t="s">
        <v>319</v>
      </c>
      <c r="U30" s="498" t="str">
        <f t="shared" ca="1" si="10"/>
        <v>ВЕРОЯТНОСТЬ  2  ВЛИЯНИЕ  5</v>
      </c>
      <c r="V30" s="507">
        <f ca="1">IF($B$5=2021,SUMIF('РЕЕСТР РИСКОВ_2023'!$K$40:$AC$248,T30,'РЕЕСТР РИСКОВ_2023'!$AC$40:$AC$248),IF($B$5=2022,SUMIF(#REF!,T30,#REF!),IF($B$5=2023,SUMIF(#REF!,T30,#REF!),IF($B$5=2024,SUMIF(#REF!,T30,#REF!),SUMIF(#REF!,T30,#REF!)))))</f>
        <v>0.2</v>
      </c>
      <c r="W30" s="508">
        <f ca="1">IF($B$5=2021,SUMIF('РЕЕСТР РИСКОВ_2023'!$K$40:$AD$248,T30,'РЕЕСТР РИСКОВ_2023'!$AD$40:$AD$248),IF($B$5=2022,SUMIF(#REF!,T30,#REF!),IF($B$5=2023,SUMIF(#REF!,T30,#REF!),IF($B$5=2024,SUMIF(#REF!,T30,#REF!),IF($B$5=2025,SUMIF(#REF!,T30,#REF!))))))</f>
        <v>-231750</v>
      </c>
      <c r="X30" s="509">
        <f t="shared" ca="1" si="11"/>
        <v>-46350</v>
      </c>
      <c r="Y30" s="462"/>
      <c r="Z30" s="462"/>
      <c r="AA30" s="484" t="s">
        <v>205</v>
      </c>
      <c r="AB30" s="504" t="s">
        <v>40</v>
      </c>
      <c r="AC30" s="312" t="str">
        <f ca="1">"ВЕРОЯТНОСТЬ  "&amp;IF(AD30&lt;0.05,1,IF((AD30&gt;=0.05)*(AD30&lt;0.25),2,IF((AD30&gt;=0.25)*(AD30&lt;0.5),3,IF((AD30&gt;=0.5)*(AD30&lt;0.75),4,5))))&amp;"  ВЛИЯНИЕ  "&amp;IF(AE30&gt;-200,1,IF((AE30&lt;=-200)*(AE30&gt;-500),2,IF((AE30&lt;=-500)*(AE30&gt;-1000),3,IF((AE30&lt;=-1000)*(AE30&gt;-3000),4,5))))</f>
        <v>ВЕРОЯТНОСТЬ  3  ВЛИЯНИЕ  1</v>
      </c>
      <c r="AD30" s="309">
        <f ca="1">IF($B$5=2021,SUMIF('РЕЕСТР РИСКОВ_2023'!$K$40:$AC$248,AB30,'РЕЕСТР РИСКОВ_2023'!$AC$40:$AC$248),IF($B$5=2022,SUMIF(#REF!,AB30,#REF!),IF($B$5=2023,SUMIF(#REF!,AB30,#REF!),IF($B$5=2024,SUMIF(#REF!,AB30,#REF!),SUMIF(#REF!,AB30,#REF!)))))</f>
        <v>0.4</v>
      </c>
      <c r="AE30" s="310">
        <f ca="1">IF($B$5=2021,SUMIF('РЕЕСТР РИСКОВ_2023'!$K$40:$AD$248,AB30,'РЕЕСТР РИСКОВ_2023'!$AD$40:$AD$248),IF($B$5=2022,SUMIF(#REF!,AB30,#REF!),IF($B$5=2023,SUMIF(#REF!,AB30,#REF!),IF($B$5=2024,SUMIF(#REF!,AB30,#REF!),IF($B$5=2025,SUMIF(#REF!,AB30,#REF!))))))</f>
        <v>0</v>
      </c>
      <c r="AF30" s="311">
        <f ca="1">AD30*AE30</f>
        <v>0</v>
      </c>
      <c r="AH30" s="485" t="s">
        <v>1131</v>
      </c>
      <c r="AI30" s="504" t="s">
        <v>606</v>
      </c>
      <c r="AJ30" s="312" t="str">
        <f ca="1">"ВЕРОЯТНОСТЬ  "&amp;IF(AK30&lt;0.05,1,IF((AK30&gt;=0.05)*(AK30&lt;0.25),2,IF((AK30&gt;=0.25)*(AK30&lt;0.5),3,IF((AK30&gt;=0.5)*(AK30&lt;0.75),4,5))))&amp;"  ВЛИЯНИЕ  "&amp;IF(AL30&gt;-200,1,IF((AL30&lt;=-200)*(AL30&gt;-500),2,IF((AL30&lt;=-500)*(AL30&gt;-1000),3,IF((AL30&lt;=-1000)*(AL30&gt;-3000),4,5))))</f>
        <v>ВЕРОЯТНОСТЬ  1  ВЛИЯНИЕ  1</v>
      </c>
      <c r="AK30" s="309">
        <f ca="1">IF($B$5=2021,SUMIF('РЕЕСТР РИСКОВ_2023'!$K$40:$AC$279,AI30,'РЕЕСТР РИСКОВ_2023'!$AC$40:$AC$279),IF($B$5=2022,SUMIF(#REF!,AI30,#REF!),IF($B$5=2023,SUMIF(#REF!,AI30,#REF!),IF($B$5=2024,SUMIF(#REF!,AI30,#REF!),SUMIF(#REF!,AI30,#REF!)))))</f>
        <v>0</v>
      </c>
      <c r="AL30" s="310">
        <f ca="1">IF($B$5=2021,SUMIF('РЕЕСТР РИСКОВ_2023'!$K$40:$AD$279,AI30,'РЕЕСТР РИСКОВ_2023'!$AD$40:$AD$279),IF($B$5=2022,SUMIF(#REF!,AI30,#REF!),IF($B$5=2023,SUMIF(#REF!,AI30,#REF!),IF($B$5=2024,SUMIF(#REF!,AI30,#REF!),IF($B$5=2025,SUMIF(#REF!,AI30,#REF!))))))</f>
        <v>0</v>
      </c>
      <c r="AM30" s="311">
        <f t="shared" ca="1" si="12"/>
        <v>0</v>
      </c>
    </row>
    <row r="31" spans="1:39" ht="66" customHeight="1">
      <c r="A31" s="219"/>
      <c r="B31" s="212"/>
      <c r="C31" s="61"/>
      <c r="D31" s="95" t="s">
        <v>274</v>
      </c>
      <c r="E31" s="96">
        <v>0</v>
      </c>
      <c r="F31" s="97" t="s">
        <v>273</v>
      </c>
      <c r="G31" s="1569" t="s">
        <v>286</v>
      </c>
      <c r="H31" s="1570"/>
      <c r="I31"/>
      <c r="K31" s="59"/>
      <c r="L31" s="471" t="s">
        <v>225</v>
      </c>
      <c r="M31" s="501" t="s">
        <v>1032</v>
      </c>
      <c r="N31" s="312" t="str">
        <f ca="1">"ВЕРОЯТНОСТЬ  "&amp;IF(O31&lt;0.05,1,IF((O31&gt;=0.05)*(O31&lt;0.25),2,IF((O31&gt;=0.25)*(O31&lt;0.5),3,IF((O31&gt;=0.5)*(O31&lt;0.75),4,5))))&amp;"  ВЛИЯНИЕ  "&amp;IF(P31&gt;-200,1,IF((P31&lt;=-200)*(P31&gt;-500),2,IF((P31&lt;=-500)*(P31&gt;-1000),3,IF((P31&lt;=-1000)*(P31&gt;-3000),4,5))))</f>
        <v>ВЕРОЯТНОСТЬ  5  ВЛИЯНИЕ  5</v>
      </c>
      <c r="O31" s="507">
        <f ca="1">IF($B$5=2021,SUMIF('РЕЕСТР РИСКОВ_2023'!$K$40:$AC$248,M31,'РЕЕСТР РИСКОВ_2023'!$AC$40:$AC$248),IF($B$5=2022,SUMIF(#REF!,M31,#REF!),IF($B$5=2023,SUMIF(#REF!,M31,#REF!),IF($B$5=2024,SUMIF(#REF!,M31,#REF!),SUMIF(#REF!,M31,#REF!)))))</f>
        <v>0.8</v>
      </c>
      <c r="P31" s="508">
        <f ca="1">IF($B$5=2021,SUMIF('РЕЕСТР РИСКОВ_2023'!$K$40:$AD$248,M31,'РЕЕСТР РИСКОВ_2023'!$AD$40:$AD$248),IF($B$5=2022,SUMIF(#REF!,M31,#REF!),IF($B$5=2023,SUMIF(#REF!,M31,#REF!),IF($B$5=2024,SUMIF(#REF!,M31,#REF!),IF($B$5=2025,SUMIF(#REF!,M31,#REF!))))))</f>
        <v>-50644.1</v>
      </c>
      <c r="Q31" s="509">
        <f ca="1">O31*P31</f>
        <v>-40515.279999999999</v>
      </c>
      <c r="R31" s="462"/>
      <c r="S31" s="483" t="s">
        <v>232</v>
      </c>
      <c r="T31" s="502" t="s">
        <v>64</v>
      </c>
      <c r="U31" s="498" t="str">
        <f t="shared" ca="1" si="10"/>
        <v>ВЕРОЯТНОСТЬ  2  ВЛИЯНИЕ  1</v>
      </c>
      <c r="V31" s="507">
        <f ca="1">IF($B$5=2021,SUMIF('РЕЕСТР РИСКОВ_2023'!$K$40:$AC$248,T31,'РЕЕСТР РИСКОВ_2023'!$AC$40:$AC$248),IF($B$5=2022,SUMIF(#REF!,T31,#REF!),IF($B$5=2023,SUMIF(#REF!,T31,#REF!),IF($B$5=2024,SUMIF(#REF!,T31,#REF!),SUMIF(#REF!,T31,#REF!)))))</f>
        <v>0.05</v>
      </c>
      <c r="W31" s="508">
        <f ca="1">IF($B$5=2021,SUMIF('РЕЕСТР РИСКОВ_2023'!$K$40:$AD$248,T31,'РЕЕСТР РИСКОВ_2023'!$AD$40:$AD$248),IF($B$5=2022,SUMIF(#REF!,T31,#REF!),IF($B$5=2023,SUMIF(#REF!,T31,#REF!),IF($B$5=2024,SUMIF(#REF!,T31,#REF!),IF($B$5=2025,SUMIF(#REF!,T31,#REF!))))))</f>
        <v>0</v>
      </c>
      <c r="X31" s="509">
        <f t="shared" ca="1" si="11"/>
        <v>0</v>
      </c>
      <c r="Y31" s="462"/>
      <c r="Z31" s="462"/>
      <c r="AA31" s="485" t="s">
        <v>206</v>
      </c>
      <c r="AB31" s="504" t="s">
        <v>55</v>
      </c>
      <c r="AC31" s="312" t="str">
        <f ca="1">"ВЕРОЯТНОСТЬ  "&amp;IF(AD31&lt;0.05,1,IF((AD31&gt;=0.05)*(AD31&lt;0.25),2,IF((AD31&gt;=0.25)*(AD31&lt;0.5),3,IF((AD31&gt;=0.5)*(AD31&lt;0.75),4,5))))&amp;"  ВЛИЯНИЕ  "&amp;IF(AE31&gt;-200,1,IF((AE31&lt;=-200)*(AE31&gt;-500),2,IF((AE31&lt;=-500)*(AE31&gt;-1000),3,IF((AE31&lt;=-1000)*(AE31&gt;-3000),4,5))))</f>
        <v>ВЕРОЯТНОСТЬ  3  ВЛИЯНИЕ  1</v>
      </c>
      <c r="AD31" s="309">
        <f ca="1">IF($B$5=2021,SUMIF('РЕЕСТР РИСКОВ_2023'!$K$40:$AC$248,AB31,'РЕЕСТР РИСКОВ_2023'!$AC$40:$AC$248),IF($B$5=2022,SUMIF(#REF!,AB31,#REF!),IF($B$5=2023,SUMIF(#REF!,AB31,#REF!),IF($B$5=2024,SUMIF(#REF!,AB31,#REF!),SUMIF(#REF!,AB31,#REF!)))))</f>
        <v>0.25</v>
      </c>
      <c r="AE31" s="310">
        <f ca="1">IF($B$5=2021,SUMIF('РЕЕСТР РИСКОВ_2023'!$K$40:$AD$248,AB31,'РЕЕСТР РИСКОВ_2023'!$AD$40:$AD$248),IF($B$5=2022,SUMIF(#REF!,AB31,#REF!),IF($B$5=2023,SUMIF(#REF!,AB31,#REF!),IF($B$5=2024,SUMIF(#REF!,AB31,#REF!),IF($B$5=2025,SUMIF(#REF!,AB31,#REF!))))))</f>
        <v>0</v>
      </c>
      <c r="AF31" s="311">
        <f ca="1">AD31*AE31</f>
        <v>0</v>
      </c>
      <c r="AH31" s="485" t="s">
        <v>1132</v>
      </c>
      <c r="AI31" s="504" t="s">
        <v>856</v>
      </c>
      <c r="AJ31" s="312" t="str">
        <f ca="1">"ВЕРОЯТНОСТЬ  "&amp;IF(AK31&lt;0.05,1,IF((AK31&gt;=0.05)*(AK31&lt;0.25),2,IF((AK31&gt;=0.25)*(AK31&lt;0.5),3,IF((AK31&gt;=0.5)*(AK31&lt;0.75),4,5))))&amp;"  ВЛИЯНИЕ  "&amp;IF(AL31&gt;-200,1,IF((AL31&lt;=-200)*(AL31&gt;-500),2,IF((AL31&lt;=-500)*(AL31&gt;-1000),3,IF((AL31&lt;=-1000)*(AL31&gt;-3000),4,5))))</f>
        <v>ВЕРОЯТНОСТЬ  3  ВЛИЯНИЕ  1</v>
      </c>
      <c r="AK31" s="309">
        <f ca="1">IF($B$5=2021,SUMIF('РЕЕСТР РИСКОВ_2023'!$K$40:$AC$279,AI31,'РЕЕСТР РИСКОВ_2023'!$AC$40:$AC$279),IF($B$5=2022,SUMIF(#REF!,AI31,#REF!),IF($B$5=2023,SUMIF(#REF!,AI31,#REF!),IF($B$5=2024,SUMIF(#REF!,AI31,#REF!),SUMIF(#REF!,AI31,#REF!)))))</f>
        <v>0.25</v>
      </c>
      <c r="AL31" s="310">
        <f ca="1">IF($B$5=2021,SUMIF('РЕЕСТР РИСКОВ_2023'!$K$40:$AD$279,AI31,'РЕЕСТР РИСКОВ_2023'!$AD$40:$AD$279),IF($B$5=2022,SUMIF(#REF!,AI31,#REF!),IF($B$5=2023,SUMIF(#REF!,AI31,#REF!),IF($B$5=2024,SUMIF(#REF!,AI31,#REF!),IF($B$5=2025,SUMIF(#REF!,AI31,#REF!))))))</f>
        <v>0</v>
      </c>
      <c r="AM31" s="311">
        <f t="shared" ca="1" si="12"/>
        <v>0</v>
      </c>
    </row>
    <row r="32" spans="1:39" ht="64.5" customHeight="1">
      <c r="A32" s="219"/>
      <c r="B32" s="212"/>
      <c r="C32" s="61"/>
      <c r="D32" s="98" t="s">
        <v>275</v>
      </c>
      <c r="E32" s="99">
        <v>0.25</v>
      </c>
      <c r="F32" s="100" t="s">
        <v>272</v>
      </c>
      <c r="G32" s="1575" t="s">
        <v>285</v>
      </c>
      <c r="H32" s="1576"/>
      <c r="I32"/>
      <c r="K32" s="59"/>
      <c r="L32" s="466" t="s">
        <v>226</v>
      </c>
      <c r="M32" s="502" t="s">
        <v>456</v>
      </c>
      <c r="N32" s="312" t="str">
        <f ca="1">"ВЕРОЯТНОСТЬ  "&amp;IF(O32&lt;0.05,1,IF((O32&gt;=0.05)*(O32&lt;0.25),2,IF((O32&gt;=0.25)*(O32&lt;0.5),3,IF((O32&gt;=0.5)*(O32&lt;0.75),4,5))))&amp;"  ВЛИЯНИЕ  "&amp;IF(P32&gt;-200,1,IF((P32&lt;=-200)*(P32&gt;-500),2,IF((P32&lt;=-500)*(P32&gt;-1000),3,IF((P32&lt;=-1000)*(P32&gt;-3000),4,5))))</f>
        <v>ВЕРОЯТНОСТЬ  5  ВЛИЯНИЕ  1</v>
      </c>
      <c r="O32" s="507">
        <f ca="1">IF($B$5=2021,SUMIF('РЕЕСТР РИСКОВ_2023'!$K$40:$AC$248,M32,'РЕЕСТР РИСКОВ_2023'!$AC$40:$AC$248),IF($B$5=2022,SUMIF(#REF!,M32,#REF!),IF($B$5=2023,SUMIF(#REF!,M32,#REF!),IF($B$5=2024,SUMIF(#REF!,M32,#REF!),SUMIF(#REF!,M32,#REF!)))))</f>
        <v>0.8</v>
      </c>
      <c r="P32" s="508">
        <f ca="1">IF($B$5=2021,SUMIF('РЕЕСТР РИСКОВ_2023'!$K$40:$AD$248,M32,'РЕЕСТР РИСКОВ_2023'!$AD$40:$AD$248),IF($B$5=2022,SUMIF(#REF!,M32,#REF!),IF($B$5=2023,SUMIF(#REF!,M32,#REF!),IF($B$5=2024,SUMIF(#REF!,M32,#REF!),IF($B$5=2025,SUMIF(#REF!,M32,#REF!))))))</f>
        <v>4079.9831719453787</v>
      </c>
      <c r="Q32" s="509">
        <f ca="1">O32*P32</f>
        <v>3263.9865375563031</v>
      </c>
      <c r="R32" s="462"/>
      <c r="S32" s="474" t="s">
        <v>233</v>
      </c>
      <c r="T32" s="502" t="s">
        <v>38</v>
      </c>
      <c r="U32" s="498" t="str">
        <f t="shared" ca="1" si="10"/>
        <v>ВЕРОЯТНОСТЬ  3  ВЛИЯНИЕ  5</v>
      </c>
      <c r="V32" s="507">
        <f ca="1">IF($B$5=2021,SUMIF('РЕЕСТР РИСКОВ_2023'!$K$40:$AC$248,T32,'РЕЕСТР РИСКОВ_2023'!$AC$40:$AC$248),IF($B$5=2022,SUMIF(#REF!,T32,#REF!),IF($B$5=2023,SUMIF(#REF!,T32,#REF!),IF($B$5=2024,SUMIF(#REF!,T32,#REF!),SUMIF(#REF!,T32,#REF!)))))</f>
        <v>0.25</v>
      </c>
      <c r="W32" s="508">
        <f ca="1">IF($B$5=2021,SUMIF('РЕЕСТР РИСКОВ_2023'!$K$40:$AD$248,T32,'РЕЕСТР РИСКОВ_2023'!$AD$40:$AD$248),IF($B$5=2022,SUMIF(#REF!,T32,#REF!),IF($B$5=2023,SUMIF(#REF!,T32,#REF!),IF($B$5=2024,SUMIF(#REF!,T32,#REF!),IF($B$5=2025,SUMIF(#REF!,T32,#REF!))))))</f>
        <v>-3100</v>
      </c>
      <c r="X32" s="509">
        <f t="shared" ca="1" si="11"/>
        <v>-775</v>
      </c>
      <c r="Y32" s="462"/>
      <c r="Z32" s="462"/>
      <c r="AA32" s="485" t="s">
        <v>1006</v>
      </c>
      <c r="AB32" s="504" t="s">
        <v>1007</v>
      </c>
      <c r="AC32" s="312" t="str">
        <f ca="1">"ВЕРОЯТНОСТЬ  "&amp;IF(AD32&lt;0.05,1,IF((AD32&gt;=0.05)*(AD32&lt;0.25),2,IF((AD32&gt;=0.25)*(AD32&lt;0.5),3,IF((AD32&gt;=0.5)*(AD32&lt;0.75),4,5))))&amp;"  ВЛИЯНИЕ  "&amp;IF(AE32&gt;-200,1,IF((AE32&lt;=-200)*(AE32&gt;-500),2,IF((AE32&lt;=-500)*(AE32&gt;-1000),3,IF((AE32&lt;=-1000)*(AE32&gt;-3000),4,5))))</f>
        <v>ВЕРОЯТНОСТЬ  3  ВЛИЯНИЕ  1</v>
      </c>
      <c r="AD32" s="309">
        <f ca="1">IF($B$5=2021,SUMIF('РЕЕСТР РИСКОВ_2023'!$K$40:$AC$279,AB32,'РЕЕСТР РИСКОВ_2023'!$AC$40:$AC$279),IF($B$5=2022,SUMIF(#REF!,AB32,#REF!),IF($B$5=2023,SUMIF(#REF!,AB32,#REF!),IF($B$5=2024,SUMIF(#REF!,AB32,#REF!),SUMIF(#REF!,AB32,#REF!)))))</f>
        <v>0.25</v>
      </c>
      <c r="AE32" s="310">
        <f ca="1">IF($B$5=2021,SUMIF('РЕЕСТР РИСКОВ_2023'!$K$40:$AD$279,AB32,'РЕЕСТР РИСКОВ_2023'!$AD$40:$AD$279),IF($B$5=2022,SUMIF(#REF!,AB32,#REF!),IF($B$5=2023,SUMIF(#REF!,AB32,#REF!),IF($B$5=2024,SUMIF(#REF!,AB32,#REF!),IF($B$5=2025,SUMIF(#REF!,AB32,#REF!))))))</f>
        <v>0</v>
      </c>
      <c r="AF32" s="311">
        <f ca="1">AD32*AE32</f>
        <v>0</v>
      </c>
      <c r="AH32" s="485" t="s">
        <v>1133</v>
      </c>
      <c r="AI32" s="504" t="s">
        <v>1036</v>
      </c>
      <c r="AJ32" s="312" t="str">
        <f ca="1">"ВЕРОЯТНОСТЬ  "&amp;IF(AK32&lt;0.05,1,IF((AK32&gt;=0.05)*(AK32&lt;0.25),2,IF((AK32&gt;=0.25)*(AK32&lt;0.5),3,IF((AK32&gt;=0.5)*(AK32&lt;0.75),4,5))))&amp;"  ВЛИЯНИЕ  "&amp;IF(AL32&gt;-200,1,IF((AL32&lt;=-200)*(AL32&gt;-500),2,IF((AL32&lt;=-500)*(AL32&gt;-1000),3,IF((AL32&lt;=-1000)*(AL32&gt;-3000),4,5))))</f>
        <v>ВЕРОЯТНОСТЬ  2  ВЛИЯНИЕ  5</v>
      </c>
      <c r="AK32" s="309">
        <f ca="1">IF($B$5=2021,SUMIF('РЕЕСТР РИСКОВ_2023'!$K$40:$AC$279,AI32,'РЕЕСТР РИСКОВ_2023'!$AC$40:$AC$279),IF($B$5=2022,SUMIF(#REF!,AI32,#REF!),IF($B$5=2023,SUMIF(#REF!,AI32,#REF!),IF($B$5=2024,SUMIF(#REF!,AI32,#REF!),SUMIF(#REF!,AI32,#REF!)))))</f>
        <v>0.05</v>
      </c>
      <c r="AL32" s="310">
        <f ca="1">IF($B$5=2021,SUMIF('РЕЕСТР РИСКОВ_2023'!$K$40:$AD$279,AI32,'РЕЕСТР РИСКОВ_2023'!$AD$40:$AD$279),IF($B$5=2022,SUMIF(#REF!,AI32,#REF!),IF($B$5=2023,SUMIF(#REF!,AI32,#REF!),IF($B$5=2024,SUMIF(#REF!,AI32,#REF!),IF($B$5=2025,SUMIF(#REF!,AI32,#REF!))))))</f>
        <v>-50000</v>
      </c>
      <c r="AM32" s="311">
        <f t="shared" ca="1" si="12"/>
        <v>-2500</v>
      </c>
    </row>
    <row r="33" spans="1:39" ht="58.5" customHeight="1">
      <c r="A33" s="219"/>
      <c r="B33" s="212"/>
      <c r="C33" s="61"/>
      <c r="D33" s="101" t="s">
        <v>284</v>
      </c>
      <c r="E33" s="102">
        <v>0.5</v>
      </c>
      <c r="F33" s="103" t="s">
        <v>271</v>
      </c>
      <c r="G33" s="1573" t="s">
        <v>287</v>
      </c>
      <c r="H33" s="1574"/>
      <c r="I33"/>
      <c r="K33" s="59"/>
      <c r="L33" s="1589" t="s">
        <v>76</v>
      </c>
      <c r="M33" s="1590"/>
      <c r="N33" s="312"/>
      <c r="O33" s="507"/>
      <c r="P33" s="508"/>
      <c r="Q33" s="509"/>
      <c r="R33" s="462"/>
      <c r="S33" s="471" t="s">
        <v>234</v>
      </c>
      <c r="T33" s="502" t="s">
        <v>918</v>
      </c>
      <c r="U33" s="498" t="str">
        <f t="shared" ca="1" si="10"/>
        <v>ВЕРОЯТНОСТЬ  3  ВЛИЯНИЕ  5</v>
      </c>
      <c r="V33" s="507">
        <f ca="1">IF($B$5=2021,SUMIF('РЕЕСТР РИСКОВ_2023'!$K$40:$AC$248,T33,'РЕЕСТР РИСКОВ_2023'!$AC$40:$AC$248),IF($B$5=2022,SUMIF(#REF!,T33,#REF!),IF($B$5=2023,SUMIF(#REF!,T33,#REF!),IF($B$5=2024,SUMIF(#REF!,T33,#REF!),SUMIF(#REF!,T33,#REF!)))))</f>
        <v>0.4</v>
      </c>
      <c r="W33" s="508">
        <f ca="1">IF($B$5=2021,SUMIF('РЕЕСТР РИСКОВ_2023'!$K$40:$AD$248,T33,'РЕЕСТР РИСКОВ_2023'!$AD$40:$AD$248),IF($B$5=2022,SUMIF(#REF!,T33,#REF!),IF($B$5=2023,SUMIF(#REF!,T33,#REF!),IF($B$5=2024,SUMIF(#REF!,T33,#REF!),IF($B$5=2025,SUMIF(#REF!,T33,#REF!))))))</f>
        <v>-5003</v>
      </c>
      <c r="X33" s="509">
        <f t="shared" ca="1" si="11"/>
        <v>-2001.2</v>
      </c>
      <c r="Y33" s="462"/>
      <c r="Z33" s="462"/>
      <c r="AA33" s="485" t="s">
        <v>1010</v>
      </c>
      <c r="AB33" s="504" t="s">
        <v>1175</v>
      </c>
      <c r="AC33" s="312"/>
      <c r="AD33" s="309"/>
      <c r="AE33" s="310"/>
      <c r="AF33" s="311"/>
      <c r="AH33" s="485" t="s">
        <v>1179</v>
      </c>
      <c r="AI33" s="504" t="s">
        <v>1180</v>
      </c>
      <c r="AJ33" s="312" t="str">
        <f ca="1">"ВЕРОЯТНОСТЬ  "&amp;IF(AK33&lt;0.05,1,IF((AK33&gt;=0.05)*(AK33&lt;0.25),2,IF((AK33&gt;=0.25)*(AK33&lt;0.5),3,IF((AK33&gt;=0.5)*(AK33&lt;0.75),4,5))))&amp;"  ВЛИЯНИЕ  "&amp;IF(AL33&gt;-200,1,IF((AL33&lt;=-200)*(AL33&gt;-500),2,IF((AL33&lt;=-500)*(AL33&gt;-1000),3,IF((AL33&lt;=-1000)*(AL33&gt;-3000),4,5))))</f>
        <v>ВЕРОЯТНОСТЬ  1  ВЛИЯНИЕ  1</v>
      </c>
      <c r="AK33" s="309">
        <f ca="1">IF($B$5=2021,SUMIF('РЕЕСТР РИСКОВ_2023'!$K$40:$AC$279,AI33,'РЕЕСТР РИСКОВ_2023'!$AC$40:$AC$279),IF($B$5=2022,SUMIF(#REF!,AI33,#REF!),IF($B$5=2023,SUMIF(#REF!,AI33,#REF!),IF($B$5=2024,SUMIF(#REF!,AI33,#REF!),SUMIF(#REF!,AI33,#REF!)))))</f>
        <v>0</v>
      </c>
      <c r="AL33" s="310">
        <f ca="1">IF($B$5=2021,SUMIF('РЕЕСТР РИСКОВ_2023'!$K$40:$AD$279,AI33,'РЕЕСТР РИСКОВ_2023'!$AD$40:$AD$279),IF($B$5=2022,SUMIF(#REF!,AI33,#REF!),IF($B$5=2023,SUMIF(#REF!,AI33,#REF!),IF($B$5=2024,SUMIF(#REF!,AI33,#REF!),IF($B$5=2025,SUMIF(#REF!,AI33,#REF!))))))</f>
        <v>0</v>
      </c>
      <c r="AM33" s="311">
        <f ca="1">AK33*AL33</f>
        <v>0</v>
      </c>
    </row>
    <row r="34" spans="1:39" ht="90" customHeight="1">
      <c r="A34" s="219"/>
      <c r="B34" s="212"/>
      <c r="C34" s="61"/>
      <c r="D34" s="104" t="s">
        <v>276</v>
      </c>
      <c r="E34" s="105">
        <v>0.75</v>
      </c>
      <c r="F34" s="106" t="s">
        <v>270</v>
      </c>
      <c r="G34" s="1585" t="s">
        <v>288</v>
      </c>
      <c r="H34" s="1586"/>
      <c r="I34"/>
      <c r="K34" s="59"/>
      <c r="L34" s="465" t="s">
        <v>186</v>
      </c>
      <c r="M34" s="502" t="s">
        <v>123</v>
      </c>
      <c r="N34" s="312" t="str">
        <f ca="1">"ВЕРОЯТНОСТЬ  "&amp;IF(O34&lt;0.05,1,IF((O34&gt;=0.05)*(O34&lt;0.25),2,IF((O34&gt;=0.25)*(O34&lt;0.5),3,IF((O34&gt;=0.5)*(O34&lt;0.75),4,5))))&amp;"  ВЛИЯНИЕ  "&amp;IF(P34&gt;-200,1,IF((P34&lt;=-200)*(P34&gt;-500),2,IF((P34&lt;=-500)*(P34&gt;-1000),3,IF((P34&lt;=-1000)*(P34&gt;-3000),4,5))))</f>
        <v>ВЕРОЯТНОСТЬ  4  ВЛИЯНИЕ  5</v>
      </c>
      <c r="O34" s="507">
        <f ca="1">IF($B$5=2021,SUMIF('РЕЕСТР РИСКОВ_2023'!$K$40:$AC$248,M34,'РЕЕСТР РИСКОВ_2023'!$Y$40:$Y$248),IF($B$5=2022,SUMIF(#REF!,M34,#REF!),IF($B$5=2023,SUMIF(#REF!,M34,#REF!),IF($B$5=2024,SUMIF(#REF!,M34,#REF!),SUMIF(#REF!,M34,#REF!)))))</f>
        <v>0.6</v>
      </c>
      <c r="P34" s="508">
        <f ca="1">IF($B$5=2021,SUMIF('РЕЕСТР РИСКОВ_2023'!$K$40:$AD$248,M34,'РЕЕСТР РИСКОВ_2023'!$Z$40:$Z$248),IF($B$5=2022,SUMIF(#REF!,M34,#REF!),IF($B$5=2023,SUMIF(#REF!,M34,#REF!),IF($B$5=2024,SUMIF(#REF!,M34,#REF!),IF($B$5=2025,SUMIF(#REF!,M34,#REF!))))))</f>
        <v>-62269.400000000023</v>
      </c>
      <c r="Q34" s="509">
        <f ca="1">O34*P34</f>
        <v>-37361.640000000014</v>
      </c>
      <c r="R34" s="462"/>
      <c r="S34" s="483" t="s">
        <v>235</v>
      </c>
      <c r="T34" s="502" t="s">
        <v>1646</v>
      </c>
      <c r="U34" s="498" t="str">
        <f t="shared" ref="U34" ca="1" si="13">"ВЕРОЯТНОСТЬ  "&amp;IF(V34&lt;0.05,1,IF((V34&gt;=0.05)*(V34&lt;0.25),2,IF((V34&gt;=0.25)*(V34&lt;0.5),3,IF((V34&gt;=0.5)*(V34&lt;0.75),4,5))))&amp;"  ВЛИЯНИЕ  "&amp;IF(W34&gt;-200,1,IF((W34&lt;=-200)*(W34&gt;-500),2,IF((W34&lt;=-500)*(W34&gt;-1000),3,IF((W34&lt;=-1000)*(W34&gt;-3000),4,5))))</f>
        <v>ВЕРОЯТНОСТЬ  4  ВЛИЯНИЕ  5</v>
      </c>
      <c r="V34" s="507">
        <f ca="1">IF($B$5=2021,SUMIF('РЕЕСТР РИСКОВ_2023'!$K$40:$AC$248,T34,'РЕЕСТР РИСКОВ_2023'!$AC$40:$AC$248),IF($B$5=2022,SUMIF(#REF!,T34,#REF!),IF($B$5=2023,SUMIF(#REF!,T34,#REF!),IF($B$5=2024,SUMIF(#REF!,T34,#REF!),SUMIF(#REF!,T34,#REF!)))))</f>
        <v>0.5</v>
      </c>
      <c r="W34" s="508">
        <f ca="1">IF($B$5=2021,SUMIF('РЕЕСТР РИСКОВ_2023'!$K$40:$AD$248,T34,'РЕЕСТР РИСКОВ_2023'!$AD$40:$AD$248),IF($B$5=2022,SUMIF(#REF!,T34,#REF!),IF($B$5=2023,SUMIF(#REF!,T34,#REF!),IF($B$5=2024,SUMIF(#REF!,T34,#REF!),IF($B$5=2025,SUMIF(#REF!,T34,#REF!))))))</f>
        <v>-40000</v>
      </c>
      <c r="X34" s="509">
        <f t="shared" ref="X34" ca="1" si="14">V34*W34</f>
        <v>-20000</v>
      </c>
      <c r="Y34" s="462"/>
      <c r="Z34" s="462"/>
      <c r="AA34" s="485" t="s">
        <v>1173</v>
      </c>
      <c r="AB34" s="504" t="s">
        <v>1011</v>
      </c>
      <c r="AC34" s="312" t="str">
        <f ca="1">"ВЕРОЯТНОСТЬ  "&amp;IF(AD34&lt;0.05,1,IF((AD34&gt;=0.05)*(AD34&lt;0.25),2,IF((AD34&gt;=0.25)*(AD34&lt;0.5),3,IF((AD34&gt;=0.5)*(AD34&lt;0.75),4,5))))&amp;"  ВЛИЯНИЕ  "&amp;IF(AE34&gt;-200,1,IF((AE34&lt;=-200)*(AE34&gt;-500),2,IF((AE34&lt;=-500)*(AE34&gt;-1000),3,IF((AE34&lt;=-1000)*(AE34&gt;-3000),4,5))))</f>
        <v>ВЕРОЯТНОСТЬ  1  ВЛИЯНИЕ  1</v>
      </c>
      <c r="AD34" s="309">
        <f ca="1">IF($B$5=2021,SUMIF('РЕЕСТР РИСКОВ_2023'!$K$40:$AC$279,AB34,'РЕЕСТР РИСКОВ_2023'!$AC$40:$AC$279),IF($B$5=2022,SUMIF(#REF!,AB34,#REF!),IF($B$5=2023,SUMIF(#REF!,AB34,#REF!),IF($B$5=2024,SUMIF(#REF!,AB34,#REF!),SUMIF(#REF!,AB34,#REF!)))))</f>
        <v>0.01</v>
      </c>
      <c r="AE34" s="310">
        <f ca="1">IF($B$5=2021,SUMIF('РЕЕСТР РИСКОВ_2023'!$K$40:$AD$279,AB34,'РЕЕСТР РИСКОВ_2023'!$AD$40:$AD$279),IF($B$5=2022,SUMIF(#REF!,AB34,#REF!),IF($B$5=2023,SUMIF(#REF!,AB34,#REF!),IF($B$5=2024,SUMIF(#REF!,AB34,#REF!),IF($B$5=2025,SUMIF(#REF!,AB34,#REF!))))))</f>
        <v>1.3</v>
      </c>
      <c r="AF34" s="311">
        <f ca="1">AD34*AE34</f>
        <v>1.3000000000000001E-2</v>
      </c>
      <c r="AH34" s="1567" t="s">
        <v>859</v>
      </c>
      <c r="AI34" s="1568"/>
      <c r="AJ34" s="312"/>
      <c r="AK34" s="309"/>
      <c r="AL34" s="310"/>
      <c r="AM34" s="311"/>
    </row>
    <row r="35" spans="1:39" ht="71.25" customHeight="1">
      <c r="A35" s="219"/>
      <c r="B35" s="212"/>
      <c r="C35" s="61"/>
      <c r="D35" s="107" t="s">
        <v>277</v>
      </c>
      <c r="E35" s="108">
        <v>1</v>
      </c>
      <c r="F35" s="109" t="s">
        <v>269</v>
      </c>
      <c r="G35" s="1571" t="s">
        <v>289</v>
      </c>
      <c r="H35" s="1572"/>
      <c r="I35"/>
      <c r="K35" s="59"/>
      <c r="L35" s="465" t="s">
        <v>628</v>
      </c>
      <c r="M35" s="502" t="s">
        <v>629</v>
      </c>
      <c r="N35" s="312" t="str">
        <f ca="1">"ВЕРОЯТНОСТЬ  "&amp;IF(O35&lt;0.05,1,IF((O35&gt;=0.05)*(O35&lt;0.25),2,IF((O35&gt;=0.25)*(O35&lt;0.5),3,IF((O35&gt;=0.5)*(O35&lt;0.75),4,5))))&amp;"  ВЛИЯНИЕ  "&amp;IF(P35&gt;-200,1,IF((P35&lt;=-200)*(P35&gt;-500),2,IF((P35&lt;=-500)*(P35&gt;-1000),3,IF((P35&lt;=-1000)*(P35&gt;-3000),4,5))))</f>
        <v>ВЕРОЯТНОСТЬ  1  ВЛИЯНИЕ  5</v>
      </c>
      <c r="O35" s="507">
        <f ca="1">IF($B$5=2021,SUMIF('РЕЕСТР РИСКОВ_2023'!$K$40:$AC$248,M35,'РЕЕСТР РИСКОВ_2023'!$Y$40:$Y$248),IF($B$5=2022,SUMIF(#REF!,M35,#REF!),IF($B$5=2023,SUMIF(#REF!,M35,#REF!),IF($B$5=2024,SUMIF(#REF!,M35,#REF!),SUMIF(#REF!,M35,#REF!)))))</f>
        <v>0</v>
      </c>
      <c r="P35" s="508">
        <v>-37848</v>
      </c>
      <c r="Q35" s="509">
        <f ca="1">O35*P35</f>
        <v>0</v>
      </c>
      <c r="R35" s="462"/>
      <c r="S35" s="1589" t="s">
        <v>302</v>
      </c>
      <c r="T35" s="1590"/>
      <c r="U35" s="498"/>
      <c r="V35" s="507"/>
      <c r="W35" s="508"/>
      <c r="X35" s="509"/>
      <c r="Y35" s="462"/>
      <c r="Z35" s="462"/>
      <c r="AA35" s="1567" t="s">
        <v>838</v>
      </c>
      <c r="AB35" s="1568"/>
      <c r="AC35" s="2"/>
      <c r="AD35" s="309"/>
      <c r="AE35" s="310"/>
      <c r="AF35" s="311"/>
      <c r="AH35" s="484" t="s">
        <v>1135</v>
      </c>
      <c r="AI35" s="504" t="s">
        <v>1065</v>
      </c>
      <c r="AJ35" s="312" t="str">
        <f ca="1">"ВЕРОЯТНОСТЬ  "&amp;IF(AK35&lt;0.05,1,IF((AK35&gt;=0.05)*(AK35&lt;0.25),2,IF((AK35&gt;=0.25)*(AK35&lt;0.5),3,IF((AK35&gt;=0.5)*(AK35&lt;0.75),4,5))))&amp;"  ВЛИЯНИЕ  "&amp;IF(AL35&gt;-200,1,IF((AL35&lt;=-200)*(AL35&gt;-500),2,IF((AL35&lt;=-500)*(AL35&gt;-1000),3,IF((AL35&lt;=-1000)*(AL35&gt;-3000),4,5))))</f>
        <v>ВЕРОЯТНОСТЬ  3  ВЛИЯНИЕ  5</v>
      </c>
      <c r="AK35" s="309">
        <f ca="1">IF($B$5=2021,SUMIF('РЕЕСТР РИСКОВ_2023'!$K$40:$AC$279,AI35,'РЕЕСТР РИСКОВ_2023'!$AC$40:$AC$279),IF($B$5=2022,SUMIF(#REF!,AI35,#REF!),IF($B$5=2023,SUMIF(#REF!,AI35,#REF!),IF($B$5=2024,SUMIF(#REF!,AI35,#REF!),SUMIF(#REF!,AI35,#REF!)))))</f>
        <v>0.4</v>
      </c>
      <c r="AL35" s="310">
        <f ca="1">IF($B$5=2021,SUMIF('РЕЕСТР РИСКОВ_2023'!$K$40:$AD$279,AI35,'РЕЕСТР РИСКОВ_2023'!$AD$40:$AD$279),IF($B$5=2022,SUMIF(#REF!,AI35,#REF!),IF($B$5=2023,SUMIF(#REF!,AI35,#REF!),IF($B$5=2024,SUMIF(#REF!,AI35,#REF!),IF($B$5=2025,SUMIF(#REF!,AI35,#REF!))))))</f>
        <v>-13600</v>
      </c>
      <c r="AM35" s="311">
        <f t="shared" ca="1" si="12"/>
        <v>-5440</v>
      </c>
    </row>
    <row r="36" spans="1:39" ht="87.75" customHeight="1">
      <c r="A36" s="219"/>
      <c r="B36" s="212"/>
      <c r="C36" s="61"/>
      <c r="G36" s="65"/>
      <c r="H36" s="66"/>
      <c r="I36"/>
      <c r="K36" s="59"/>
      <c r="L36" s="1589" t="s">
        <v>71</v>
      </c>
      <c r="M36" s="1590"/>
      <c r="N36" s="312"/>
      <c r="O36" s="507"/>
      <c r="P36" s="508"/>
      <c r="Q36" s="509"/>
      <c r="R36" s="462"/>
      <c r="S36" s="480" t="s">
        <v>193</v>
      </c>
      <c r="T36" s="502" t="s">
        <v>1414</v>
      </c>
      <c r="U36" s="498" t="str">
        <f t="shared" ref="U36:U45" ca="1" si="15">"ВЕРОЯТНОСТЬ  "&amp;IF(V36&lt;0.05,1,IF((V36&gt;=0.05)*(V36&lt;0.25),2,IF((V36&gt;=0.25)*(V36&lt;0.5),3,IF((V36&gt;=0.5)*(V36&lt;0.75),4,5))))&amp;"  ВЛИЯНИЕ  "&amp;IF(W36&gt;-200,1,IF((W36&lt;=-200)*(W36&gt;-500),2,IF((W36&lt;=-500)*(W36&gt;-1000),3,IF((W36&lt;=-1000)*(W36&gt;-3000),4,5))))</f>
        <v>ВЕРОЯТНОСТЬ  1  ВЛИЯНИЕ  1</v>
      </c>
      <c r="V36" s="507">
        <f ca="1">IF($B$5=2021,SUMIF('РЕЕСТР РИСКОВ_2023'!$K$40:$AC$248,T36,'РЕЕСТР РИСКОВ_2023'!$AC$40:$AC$248),IF($B$5=2022,SUMIF(#REF!,T36,#REF!),IF($B$5=2023,SUMIF(#REF!,T36,#REF!),IF($B$5=2024,SUMIF(#REF!,T36,#REF!),SUMIF(#REF!,T36,#REF!)))))</f>
        <v>0.02</v>
      </c>
      <c r="W36" s="508">
        <f ca="1">IF($B$5=2021,SUMIF('РЕЕСТР РИСКОВ_2023'!$K$40:$AD$248,T36,'РЕЕСТР РИСКОВ_2023'!$AD$40:$AD$248),IF($B$5=2022,SUMIF(#REF!,T36,#REF!),IF($B$5=2023,SUMIF(#REF!,T36,#REF!),IF($B$5=2024,SUMIF(#REF!,T36,#REF!),IF($B$5=2025,SUMIF(#REF!,T36,#REF!))))))</f>
        <v>0</v>
      </c>
      <c r="X36" s="509">
        <f t="shared" ref="X36:X45" ca="1" si="16">V36*W36</f>
        <v>0</v>
      </c>
      <c r="Y36" s="462"/>
      <c r="Z36" s="462"/>
      <c r="AA36" s="485" t="s">
        <v>1137</v>
      </c>
      <c r="AB36" s="504" t="s">
        <v>1026</v>
      </c>
      <c r="AC36" s="312" t="str">
        <f ca="1">"ВЕРОЯТНОСТЬ  "&amp;IF(AD36&lt;0.05,1,IF((AD36&gt;=0.05)*(AD36&lt;0.25),2,IF((AD36&gt;=0.25)*(AD36&lt;0.5),3,IF((AD36&gt;=0.5)*(AD36&lt;0.75),4,5))))&amp;"  ВЛИЯНИЕ  "&amp;IF(AE36&gt;-200,1,IF((AE36&lt;=-200)*(AE36&gt;-500),2,IF((AE36&lt;=-500)*(AE36&gt;-1000),3,IF((AE36&lt;=-1000)*(AE36&gt;-3000),4,5))))</f>
        <v>ВЕРОЯТНОСТЬ  3  ВЛИЯНИЕ  1</v>
      </c>
      <c r="AD36" s="309">
        <f ca="1">IF($B$5=2021,SUMIF('РЕЕСТР РИСКОВ_2023'!$K$40:$AC$279,AB36,'РЕЕСТР РИСКОВ_2023'!$AC$40:$AC$279),IF($B$5=2022,SUMIF(#REF!,AB36,#REF!),IF($B$5=2023,SUMIF(#REF!,AB36,#REF!),IF($B$5=2024,SUMIF(#REF!,AB36,#REF!),SUMIF(#REF!,AB36,#REF!)))))</f>
        <v>0.4</v>
      </c>
      <c r="AE36" s="310">
        <f ca="1">IF($B$5=2021,SUMIF('РЕЕСТР РИСКОВ_2023'!$K$40:$AD$279,AB36,'РЕЕСТР РИСКОВ_2023'!$AD$40:$AD$279),IF($B$5=2022,SUMIF(#REF!,AB36,#REF!),IF($B$5=2023,SUMIF(#REF!,AB36,#REF!),IF($B$5=2024,SUMIF(#REF!,AB36,#REF!),IF($B$5=2025,SUMIF(#REF!,AB36,#REF!))))))</f>
        <v>0</v>
      </c>
      <c r="AF36" s="311">
        <f ca="1">AD36*AE36</f>
        <v>0</v>
      </c>
      <c r="AH36" s="485" t="s">
        <v>1136</v>
      </c>
      <c r="AI36" s="504" t="s">
        <v>857</v>
      </c>
      <c r="AJ36" s="312" t="str">
        <f ca="1">"ВЕРОЯТНОСТЬ  "&amp;IF(AK36&lt;0.05,1,IF((AK36&gt;=0.05)*(AK36&lt;0.25),2,IF((AK36&gt;=0.25)*(AK36&lt;0.5),3,IF((AK36&gt;=0.5)*(AK36&lt;0.75),4,5))))&amp;"  ВЛИЯНИЕ  "&amp;IF(AL36&gt;-200,1,IF((AL36&lt;=-200)*(AL36&gt;-500),2,IF((AL36&lt;=-500)*(AL36&gt;-1000),3,IF((AL36&lt;=-1000)*(AL36&gt;-3000),4,5))))</f>
        <v>ВЕРОЯТНОСТЬ  3  ВЛИЯНИЕ  1</v>
      </c>
      <c r="AK36" s="309">
        <f ca="1">IF($B$5=2021,SUMIF('РЕЕСТР РИСКОВ_2023'!$K$40:$AC$279,AI36,'РЕЕСТР РИСКОВ_2023'!$AC$40:$AC$279),IF($B$5=2022,SUMIF(#REF!,AI36,#REF!),IF($B$5=2023,SUMIF(#REF!,AI36,#REF!),IF($B$5=2024,SUMIF(#REF!,AI36,#REF!),SUMIF(#REF!,AI36,#REF!)))))</f>
        <v>0.25</v>
      </c>
      <c r="AL36" s="310">
        <f ca="1">IF($B$5=2021,SUMIF('РЕЕСТР РИСКОВ_2023'!$K$40:$AD$279,AI36,'РЕЕСТР РИСКОВ_2023'!$AD$40:$AD$279),IF($B$5=2022,SUMIF(#REF!,AI36,#REF!),IF($B$5=2023,SUMIF(#REF!,AI36,#REF!),IF($B$5=2024,SUMIF(#REF!,AI36,#REF!),IF($B$5=2025,SUMIF(#REF!,AI36,#REF!))))))</f>
        <v>0</v>
      </c>
      <c r="AM36" s="311">
        <f t="shared" ca="1" si="12"/>
        <v>0</v>
      </c>
    </row>
    <row r="37" spans="1:39" ht="75.75" customHeight="1">
      <c r="A37" s="219"/>
      <c r="B37" s="212"/>
      <c r="C37" s="61"/>
      <c r="G37" s="65"/>
      <c r="H37" s="66"/>
      <c r="I37"/>
      <c r="K37" s="59"/>
      <c r="L37" s="487" t="s">
        <v>187</v>
      </c>
      <c r="M37" s="502" t="s">
        <v>124</v>
      </c>
      <c r="N37" s="312" t="str">
        <f t="shared" ref="N37:N45" ca="1" si="17">"ВЕРОЯТНОСТЬ  "&amp;IF(O37&lt;0.05,1,IF((O37&gt;=0.05)*(O37&lt;0.25),2,IF((O37&gt;=0.25)*(O37&lt;0.5),3,IF((O37&gt;=0.5)*(O37&lt;0.75),4,5))))&amp;"  ВЛИЯНИЕ  "&amp;IF(P37&gt;-200,1,IF((P37&lt;=-200)*(P37&gt;-500),2,IF((P37&lt;=-500)*(P37&gt;-1000),3,IF((P37&lt;=-1000)*(P37&gt;-3000),4,5))))</f>
        <v>ВЕРОЯТНОСТЬ  5  ВЛИЯНИЕ  1</v>
      </c>
      <c r="O37" s="507">
        <f ca="1">IF($B$5=2021,SUMIF('РЕЕСТР РИСКОВ_2023'!$K$40:$AC$248,M37,'РЕЕСТР РИСКОВ_2023'!$Y$40:$Y$248),IF($B$5=2022,SUMIF(#REF!,M37,#REF!),IF($B$5=2023,SUMIF(#REF!,M37,#REF!),IF($B$5=2024,SUMIF(#REF!,M37,#REF!),SUMIF(#REF!,M37,#REF!)))))</f>
        <v>0.8</v>
      </c>
      <c r="P37" s="508">
        <f ca="1">IF($B$5=2021,SUMIF('РЕЕСТР РИСКОВ_2023'!$K$40:$AD$248,M37,'РЕЕСТР РИСКОВ_2023'!$Z$40:$Z$248),IF($B$5=2022,SUMIF(#REF!,M37,#REF!),IF($B$5=2023,SUMIF(#REF!,M37,#REF!),IF($B$5=2024,SUMIF(#REF!,M37,#REF!),IF($B$5=2025,SUMIF(#REF!,M37,#REF!))))))</f>
        <v>0</v>
      </c>
      <c r="Q37" s="509">
        <f t="shared" ref="Q37:Q42" ca="1" si="18">O37*P37</f>
        <v>0</v>
      </c>
      <c r="R37" s="462"/>
      <c r="S37" s="486" t="s">
        <v>194</v>
      </c>
      <c r="T37" s="499" t="s">
        <v>1417</v>
      </c>
      <c r="U37" s="498" t="str">
        <f t="shared" ca="1" si="15"/>
        <v>ВЕРОЯТНОСТЬ  1  ВЛИЯНИЕ  1</v>
      </c>
      <c r="V37" s="507">
        <f ca="1">IF($B$5=2021,SUMIF('РЕЕСТР РИСКОВ_2023'!$K$40:$AC$248,T37,'РЕЕСТР РИСКОВ_2023'!$AC$40:$AC$248),IF($B$5=2022,SUMIF(#REF!,T37,#REF!),IF($B$5=2023,SUMIF(#REF!,T37,#REF!),IF($B$5=2024,SUMIF(#REF!,T37,#REF!),SUMIF(#REF!,T37,#REF!)))))</f>
        <v>0</v>
      </c>
      <c r="W37" s="508">
        <f ca="1">IF($B$5=2021,SUMIF('РЕЕСТР РИСКОВ_2023'!$K$40:$AD$248,T37,'РЕЕСТР РИСКОВ_2023'!$AD$40:$AD$248),IF($B$5=2022,SUMIF(#REF!,T37,#REF!),IF($B$5=2023,SUMIF(#REF!,T37,#REF!),IF($B$5=2024,SUMIF(#REF!,T37,#REF!),IF($B$5=2025,SUMIF(#REF!,T37,#REF!))))))</f>
        <v>0</v>
      </c>
      <c r="X37" s="509">
        <f t="shared" ca="1" si="16"/>
        <v>0</v>
      </c>
      <c r="Y37" s="462"/>
      <c r="Z37" s="462"/>
      <c r="AA37" s="1567" t="s">
        <v>844</v>
      </c>
      <c r="AB37" s="1568"/>
      <c r="AC37" s="2"/>
      <c r="AD37" s="309"/>
      <c r="AE37" s="310"/>
      <c r="AF37" s="311"/>
      <c r="AH37" s="1567" t="s">
        <v>848</v>
      </c>
      <c r="AI37" s="1568"/>
      <c r="AJ37" s="312"/>
      <c r="AK37" s="309"/>
      <c r="AL37" s="310"/>
      <c r="AM37" s="311"/>
    </row>
    <row r="38" spans="1:39" ht="114.75" customHeight="1">
      <c r="A38" s="219"/>
      <c r="B38" s="212"/>
      <c r="C38" s="61"/>
      <c r="G38" s="65"/>
      <c r="H38" s="66"/>
      <c r="I38"/>
      <c r="K38" s="59"/>
      <c r="L38" s="483" t="s">
        <v>188</v>
      </c>
      <c r="M38" s="502" t="s">
        <v>605</v>
      </c>
      <c r="N38" s="312" t="str">
        <f t="shared" ca="1" si="17"/>
        <v>ВЕРОЯТНОСТЬ  2  ВЛИЯНИЕ  1</v>
      </c>
      <c r="O38" s="507">
        <f ca="1">IF($B$5=2021,SUMIF('РЕЕСТР РИСКОВ_2023'!$K$40:$AC$248,M38,'РЕЕСТР РИСКОВ_2023'!$Y$40:$Y$248),IF($B$5=2022,SUMIF(#REF!,M38,#REF!),IF($B$5=2023,SUMIF(#REF!,M38,#REF!),IF($B$5=2024,SUMIF(#REF!,M38,#REF!),SUMIF(#REF!,M38,#REF!)))))</f>
        <v>0.05</v>
      </c>
      <c r="P38" s="508">
        <f ca="1">IF($B$5=2021,SUMIF('РЕЕСТР РИСКОВ_2023'!$K$40:$AD$248,M38,'РЕЕСТР РИСКОВ_2023'!$Z$40:$Z$248),IF($B$5=2022,SUMIF(#REF!,M38,#REF!),IF($B$5=2023,SUMIF(#REF!,M38,#REF!),IF($B$5=2024,SUMIF(#REF!,M38,#REF!),IF($B$5=2025,SUMIF(#REF!,M38,#REF!))))))</f>
        <v>0</v>
      </c>
      <c r="Q38" s="509">
        <f t="shared" ca="1" si="18"/>
        <v>0</v>
      </c>
      <c r="R38" s="462"/>
      <c r="S38" s="488" t="s">
        <v>195</v>
      </c>
      <c r="T38" s="499" t="s">
        <v>1420</v>
      </c>
      <c r="U38" s="498" t="str">
        <f t="shared" ca="1" si="15"/>
        <v>ВЕРОЯТНОСТЬ  1  ВЛИЯНИЕ  1</v>
      </c>
      <c r="V38" s="507">
        <f ca="1">IF($B$5=2021,SUMIF('РЕЕСТР РИСКОВ_2023'!$K$40:$AC$248,T38,'РЕЕСТР РИСКОВ_2023'!$AC$40:$AC$248),IF($B$5=2022,SUMIF(#REF!,T38,#REF!),IF($B$5=2023,SUMIF(#REF!,T38,#REF!),IF($B$5=2024,SUMIF(#REF!,T38,#REF!),SUMIF(#REF!,T38,#REF!)))))</f>
        <v>0</v>
      </c>
      <c r="W38" s="508">
        <f ca="1">IF($B$5=2021,SUMIF('РЕЕСТР РИСКОВ_2023'!$K$40:$AD$248,T38,'РЕЕСТР РИСКОВ_2023'!$AD$40:$AD$248),IF($B$5=2022,SUMIF(#REF!,T38,#REF!),IF($B$5=2023,SUMIF(#REF!,T38,#REF!),IF($B$5=2024,SUMIF(#REF!,T38,#REF!),IF($B$5=2025,SUMIF(#REF!,T38,#REF!))))))</f>
        <v>0</v>
      </c>
      <c r="X38" s="509">
        <f t="shared" ca="1" si="16"/>
        <v>0</v>
      </c>
      <c r="Y38" s="462"/>
      <c r="Z38" s="462"/>
      <c r="AA38" s="485" t="s">
        <v>1131</v>
      </c>
      <c r="AB38" s="504" t="s">
        <v>606</v>
      </c>
      <c r="AC38" s="312" t="str">
        <f ca="1">"ВЕРОЯТНОСТЬ  "&amp;IF(AD38&lt;0.05,1,IF((AD38&gt;=0.05)*(AD38&lt;0.25),2,IF((AD38&gt;=0.25)*(AD38&lt;0.5),3,IF((AD38&gt;=0.5)*(AD38&lt;0.75),4,5))))&amp;"  ВЛИЯНИЕ  "&amp;IF(AE38&gt;-200,1,IF((AE38&lt;=-200)*(AE38&gt;-500),2,IF((AE38&lt;=-500)*(AE38&gt;-1000),3,IF((AE38&lt;=-1000)*(AE38&gt;-3000),4,5))))</f>
        <v>ВЕРОЯТНОСТЬ  1  ВЛИЯНИЕ  1</v>
      </c>
      <c r="AD38" s="309">
        <f ca="1">IF($B$5=2021,SUMIF('РЕЕСТР РИСКОВ_2023'!$K$40:$AC$279,AB38,'РЕЕСТР РИСКОВ_2023'!$AC$40:$AC$279),IF($B$5=2022,SUMIF(#REF!,AB38,#REF!),IF($B$5=2023,SUMIF(#REF!,AB38,#REF!),IF($B$5=2024,SUMIF(#REF!,AB38,#REF!),SUMIF(#REF!,AB38,#REF!)))))</f>
        <v>0</v>
      </c>
      <c r="AE38" s="310">
        <f ca="1">IF($B$5=2021,SUMIF('РЕЕСТР РИСКОВ_2023'!$K$40:$AD$279,AB38,'РЕЕСТР РИСКОВ_2023'!$AD$40:$AD$279),IF($B$5=2022,SUMIF(#REF!,AB38,#REF!),IF($B$5=2023,SUMIF(#REF!,AB38,#REF!),IF($B$5=2024,SUMIF(#REF!,AB38,#REF!),IF($B$5=2025,SUMIF(#REF!,AB38,#REF!))))))</f>
        <v>0</v>
      </c>
      <c r="AF38" s="311">
        <f ca="1">AD38*AE38</f>
        <v>0</v>
      </c>
      <c r="AH38" s="485" t="s">
        <v>1134</v>
      </c>
      <c r="AI38" s="504" t="s">
        <v>1054</v>
      </c>
      <c r="AJ38" s="312" t="str">
        <f ca="1">"ВЕРОЯТНОСТЬ  "&amp;IF(AK38&lt;0.05,1,IF((AK38&gt;=0.05)*(AK38&lt;0.25),2,IF((AK38&gt;=0.25)*(AK38&lt;0.5),3,IF((AK38&gt;=0.5)*(AK38&lt;0.75),4,5))))&amp;"  ВЛИЯНИЕ  "&amp;IF(AL38&gt;-200,1,IF((AL38&lt;=-200)*(AL38&gt;-500),2,IF((AL38&lt;=-500)*(AL38&gt;-1000),3,IF((AL38&lt;=-1000)*(AL38&gt;-3000),4,5))))</f>
        <v>ВЕРОЯТНОСТЬ  2  ВЛИЯНИЕ  1</v>
      </c>
      <c r="AK38" s="309">
        <f ca="1">IF($B$5=2021,SUMIF('РЕЕСТР РИСКОВ_2023'!$K$40:$AC$279,AI38,'РЕЕСТР РИСКОВ_2023'!$AC$40:$AC$279),IF($B$5=2022,SUMIF(#REF!,AI38,#REF!),IF($B$5=2023,SUMIF(#REF!,AI38,#REF!),IF($B$5=2024,SUMIF(#REF!,AI38,#REF!),SUMIF(#REF!,AI38,#REF!)))))</f>
        <v>0.05</v>
      </c>
      <c r="AL38" s="310">
        <f ca="1">IF($B$5=2021,SUMIF('РЕЕСТР РИСКОВ_2023'!$K$40:$AD$279,AI38,'РЕЕСТР РИСКОВ_2023'!$AD$40:$AD$279),IF($B$5=2022,SUMIF(#REF!,AI38,#REF!),IF($B$5=2023,SUMIF(#REF!,AI38,#REF!),IF($B$5=2024,SUMIF(#REF!,AI38,#REF!),IF($B$5=2025,SUMIF(#REF!,AI38,#REF!))))))</f>
        <v>0</v>
      </c>
      <c r="AM38" s="311">
        <f t="shared" ca="1" si="12"/>
        <v>0</v>
      </c>
    </row>
    <row r="39" spans="1:39" ht="71.25" customHeight="1">
      <c r="A39" s="219"/>
      <c r="B39" s="212"/>
      <c r="C39" s="61"/>
      <c r="F39" s="87"/>
      <c r="G39" s="65"/>
      <c r="H39" s="66"/>
      <c r="I39"/>
      <c r="K39" s="59"/>
      <c r="L39" s="471" t="s">
        <v>189</v>
      </c>
      <c r="M39" s="502" t="s">
        <v>630</v>
      </c>
      <c r="N39" s="312" t="str">
        <f t="shared" ca="1" si="17"/>
        <v>ВЕРОЯТНОСТЬ  5  ВЛИЯНИЕ  1</v>
      </c>
      <c r="O39" s="507">
        <f ca="1">IF($B$5=2021,SUMIF('РЕЕСТР РИСКОВ_2023'!$K$40:$AC$248,M39,'РЕЕСТР РИСКОВ_2023'!$Y$40:$Y$248),IF($B$5=2022,SUMIF(#REF!,M39,#REF!),IF($B$5=2023,SUMIF(#REF!,M39,#REF!),IF($B$5=2024,SUMIF(#REF!,M39,#REF!),SUMIF(#REF!,M39,#REF!)))))</f>
        <v>0.95</v>
      </c>
      <c r="P39" s="508">
        <f ca="1">IF($B$5=2021,SUMIF('РЕЕСТР РИСКОВ_2023'!$K$40:$AD$248,M39,'РЕЕСТР РИСКОВ_2023'!$Z$40:$Z$248),IF($B$5=2022,SUMIF(#REF!,M39,#REF!),IF($B$5=2023,SUMIF(#REF!,M39,#REF!),IF($B$5=2024,SUMIF(#REF!,M39,#REF!),IF($B$5=2025,SUMIF(#REF!,M39,#REF!))))))</f>
        <v>0</v>
      </c>
      <c r="Q39" s="509">
        <f t="shared" ca="1" si="18"/>
        <v>0</v>
      </c>
      <c r="R39" s="462"/>
      <c r="S39" s="488" t="s">
        <v>196</v>
      </c>
      <c r="T39" s="499" t="s">
        <v>1423</v>
      </c>
      <c r="U39" s="498" t="str">
        <f t="shared" ca="1" si="15"/>
        <v>ВЕРОЯТНОСТЬ  1  ВЛИЯНИЕ  1</v>
      </c>
      <c r="V39" s="507">
        <f ca="1">IF($B$5=2021,SUMIF('РЕЕСТР РИСКОВ_2023'!$K$40:$AC$248,T39,'РЕЕСТР РИСКОВ_2023'!$AC$40:$AC$248),IF($B$5=2022,SUMIF(#REF!,T39,#REF!),IF($B$5=2023,SUMIF(#REF!,T39,#REF!),IF($B$5=2024,SUMIF(#REF!,T39,#REF!),SUMIF(#REF!,T39,#REF!)))))</f>
        <v>0</v>
      </c>
      <c r="W39" s="508">
        <f ca="1">IF($B$5=2021,SUMIF('РЕЕСТР РИСКОВ_2023'!$K$40:$AD$248,T39,'РЕЕСТР РИСКОВ_2023'!$AD$40:$AD$248),IF($B$5=2022,SUMIF(#REF!,T39,#REF!),IF($B$5=2023,SUMIF(#REF!,T39,#REF!),IF($B$5=2024,SUMIF(#REF!,T39,#REF!),IF($B$5=2025,SUMIF(#REF!,T39,#REF!))))))</f>
        <v>0</v>
      </c>
      <c r="X39" s="509">
        <f t="shared" ca="1" si="16"/>
        <v>0</v>
      </c>
      <c r="Y39" s="462"/>
      <c r="Z39" s="462"/>
      <c r="AA39" s="485" t="s">
        <v>1132</v>
      </c>
      <c r="AB39" s="504" t="s">
        <v>856</v>
      </c>
      <c r="AC39" s="312" t="str">
        <f ca="1">"ВЕРОЯТНОСТЬ  "&amp;IF(AD39&lt;0.05,1,IF((AD39&gt;=0.05)*(AD39&lt;0.25),2,IF((AD39&gt;=0.25)*(AD39&lt;0.5),3,IF((AD39&gt;=0.5)*(AD39&lt;0.75),4,5))))&amp;"  ВЛИЯНИЕ  "&amp;IF(AE39&gt;-200,1,IF((AE39&lt;=-200)*(AE39&gt;-500),2,IF((AE39&lt;=-500)*(AE39&gt;-1000),3,IF((AE39&lt;=-1000)*(AE39&gt;-3000),4,5))))</f>
        <v>ВЕРОЯТНОСТЬ  3  ВЛИЯНИЕ  1</v>
      </c>
      <c r="AD39" s="309">
        <f ca="1">IF($B$5=2021,SUMIF('РЕЕСТР РИСКОВ_2023'!$K$40:$AC$279,AB39,'РЕЕСТР РИСКОВ_2023'!$AC$40:$AC$279),IF($B$5=2022,SUMIF(#REF!,AB39,#REF!),IF($B$5=2023,SUMIF(#REF!,AB39,#REF!),IF($B$5=2024,SUMIF(#REF!,AB39,#REF!),SUMIF(#REF!,AB39,#REF!)))))</f>
        <v>0.25</v>
      </c>
      <c r="AE39" s="310">
        <f ca="1">IF($B$5=2021,SUMIF('РЕЕСТР РИСКОВ_2023'!$K$40:$AD$279,AB39,'РЕЕСТР РИСКОВ_2023'!$AD$40:$AD$279),IF($B$5=2022,SUMIF(#REF!,AB39,#REF!),IF($B$5=2023,SUMIF(#REF!,AB39,#REF!),IF($B$5=2024,SUMIF(#REF!,AB39,#REF!),IF($B$5=2025,SUMIF(#REF!,AB39,#REF!))))))</f>
        <v>0</v>
      </c>
      <c r="AF39" s="311">
        <f ca="1">AD39*AE39</f>
        <v>0</v>
      </c>
    </row>
    <row r="40" spans="1:39" ht="94.5" customHeight="1">
      <c r="A40" s="219"/>
      <c r="B40" s="212"/>
      <c r="C40" s="61"/>
      <c r="F40" s="87"/>
      <c r="G40" s="65"/>
      <c r="H40" s="66"/>
      <c r="I40"/>
      <c r="K40" s="59"/>
      <c r="L40" s="487" t="s">
        <v>198</v>
      </c>
      <c r="M40" s="502" t="s">
        <v>631</v>
      </c>
      <c r="N40" s="312" t="str">
        <f t="shared" ca="1" si="17"/>
        <v>ВЕРОЯТНОСТЬ  5  ВЛИЯНИЕ  1</v>
      </c>
      <c r="O40" s="507">
        <f ca="1">IF($B$5=2021,SUMIF('РЕЕСТР РИСКОВ_2023'!$K$40:$AC$248,M40,'РЕЕСТР РИСКОВ_2023'!$Y$40:$Y$248),IF($B$5=2022,SUMIF(#REF!,M40,#REF!),IF($B$5=2023,SUMIF(#REF!,M40,#REF!),IF($B$5=2024,SUMIF(#REF!,M40,#REF!),SUMIF(#REF!,M40,#REF!)))))</f>
        <v>0.8</v>
      </c>
      <c r="P40" s="508">
        <f ca="1">IF($B$5=2021,SUMIF('РЕЕСТР РИСКОВ_2023'!$K$40:$AD$248,M40,'РЕЕСТР РИСКОВ_2023'!$Z$40:$Z$248),IF($B$5=2022,SUMIF(#REF!,M40,#REF!),IF($B$5=2023,SUMIF(#REF!,M40,#REF!),IF($B$5=2024,SUMIF(#REF!,M40,#REF!),IF($B$5=2025,SUMIF(#REF!,M40,#REF!))))))</f>
        <v>0</v>
      </c>
      <c r="Q40" s="509">
        <f t="shared" ca="1" si="18"/>
        <v>0</v>
      </c>
      <c r="R40" s="462"/>
      <c r="S40" s="488" t="s">
        <v>197</v>
      </c>
      <c r="T40" s="499" t="s">
        <v>156</v>
      </c>
      <c r="U40" s="498" t="str">
        <f t="shared" ca="1" si="15"/>
        <v>ВЕРОЯТНОСТЬ  3  ВЛИЯНИЕ  1</v>
      </c>
      <c r="V40" s="507">
        <f ca="1">IF($B$5=2021,SUMIF('РЕЕСТР РИСКОВ_2023'!$K$40:$AC$248,T40,'РЕЕСТР РИСКОВ_2023'!$AC$40:$AC$248),IF($B$5=2022,SUMIF(#REF!,T40,#REF!),IF($B$5=2023,SUMIF(#REF!,T40,#REF!),IF($B$5=2024,SUMIF(#REF!,T40,#REF!),SUMIF(#REF!,T40,#REF!)))))</f>
        <v>0.4</v>
      </c>
      <c r="W40" s="508">
        <f ca="1">IF($B$5=2021,SUMIF('РЕЕСТР РИСКОВ_2023'!$K$40:$AD$248,T40,'РЕЕСТР РИСКОВ_2023'!$AD$40:$AD$248),IF($B$5=2022,SUMIF(#REF!,T40,#REF!),IF($B$5=2023,SUMIF(#REF!,T40,#REF!),IF($B$5=2024,SUMIF(#REF!,T40,#REF!),IF($B$5=2025,SUMIF(#REF!,T40,#REF!))))))</f>
        <v>0</v>
      </c>
      <c r="X40" s="509">
        <f t="shared" ca="1" si="16"/>
        <v>0</v>
      </c>
      <c r="Y40" s="462"/>
      <c r="Z40" s="462"/>
      <c r="AA40" s="485" t="s">
        <v>1133</v>
      </c>
      <c r="AB40" s="504" t="s">
        <v>1036</v>
      </c>
      <c r="AC40" s="312" t="str">
        <f ca="1">"ВЕРОЯТНОСТЬ  "&amp;IF(AD40&lt;0.05,1,IF((AD40&gt;=0.05)*(AD40&lt;0.25),2,IF((AD40&gt;=0.25)*(AD40&lt;0.5),3,IF((AD40&gt;=0.5)*(AD40&lt;0.75),4,5))))&amp;"  ВЛИЯНИЕ  "&amp;IF(AE40&gt;-200,1,IF((AE40&lt;=-200)*(AE40&gt;-500),2,IF((AE40&lt;=-500)*(AE40&gt;-1000),3,IF((AE40&lt;=-1000)*(AE40&gt;-3000),4,5))))</f>
        <v>ВЕРОЯТНОСТЬ  2  ВЛИЯНИЕ  5</v>
      </c>
      <c r="AD40" s="309">
        <f ca="1">IF($B$5=2021,SUMIF('РЕЕСТР РИСКОВ_2023'!$K$40:$AC$279,AB40,'РЕЕСТР РИСКОВ_2023'!$AC$40:$AC$279),IF($B$5=2022,SUMIF(#REF!,AB40,#REF!),IF($B$5=2023,SUMIF(#REF!,AB40,#REF!),IF($B$5=2024,SUMIF(#REF!,AB40,#REF!),SUMIF(#REF!,AB40,#REF!)))))</f>
        <v>0.05</v>
      </c>
      <c r="AE40" s="310">
        <f ca="1">IF($B$5=2021,SUMIF('РЕЕСТР РИСКОВ_2023'!$K$40:$AD$279,AB40,'РЕЕСТР РИСКОВ_2023'!$AD$40:$AD$279),IF($B$5=2022,SUMIF(#REF!,AB40,#REF!),IF($B$5=2023,SUMIF(#REF!,AB40,#REF!),IF($B$5=2024,SUMIF(#REF!,AB40,#REF!),IF($B$5=2025,SUMIF(#REF!,AB40,#REF!))))))</f>
        <v>-50000</v>
      </c>
      <c r="AF40" s="311">
        <f ca="1">AD40*AE40</f>
        <v>-2500</v>
      </c>
    </row>
    <row r="41" spans="1:39" ht="85.5" customHeight="1">
      <c r="A41" s="219"/>
      <c r="B41" s="212"/>
      <c r="C41" s="61"/>
      <c r="F41" s="87"/>
      <c r="G41" s="65"/>
      <c r="H41" s="66"/>
      <c r="I41" s="66"/>
      <c r="K41" s="59"/>
      <c r="L41" s="466" t="s">
        <v>199</v>
      </c>
      <c r="M41" s="502" t="s">
        <v>44</v>
      </c>
      <c r="N41" s="312" t="str">
        <f t="shared" ca="1" si="17"/>
        <v>ВЕРОЯТНОСТЬ  5  ВЛИЯНИЕ  1</v>
      </c>
      <c r="O41" s="507">
        <f ca="1">IF($B$5=2021,SUMIF('РЕЕСТР РИСКОВ_2023'!$K$40:$AC$248,M41,'РЕЕСТР РИСКОВ_2023'!$Y$40:$Y$248),IF($B$5=2022,SUMIF(#REF!,M41,#REF!),IF($B$5=2023,SUMIF(#REF!,M41,#REF!),IF($B$5=2024,SUMIF(#REF!,M41,#REF!),SUMIF(#REF!,M41,#REF!)))))</f>
        <v>0.8</v>
      </c>
      <c r="P41" s="508">
        <f ca="1">IF($B$5=2021,SUMIF('РЕЕСТР РИСКОВ_2023'!$K$40:$AD$248,M41,'РЕЕСТР РИСКОВ_2023'!$Z$40:$Z$248),IF($B$5=2022,SUMIF(#REF!,M41,#REF!),IF($B$5=2023,SUMIF(#REF!,M41,#REF!),IF($B$5=2024,SUMIF(#REF!,M41,#REF!),IF($B$5=2025,SUMIF(#REF!,M41,#REF!))))))</f>
        <v>-65</v>
      </c>
      <c r="Q41" s="509">
        <f t="shared" ca="1" si="18"/>
        <v>-52</v>
      </c>
      <c r="R41" s="462"/>
      <c r="S41" s="488" t="s">
        <v>1467</v>
      </c>
      <c r="T41" s="499" t="s">
        <v>1426</v>
      </c>
      <c r="U41" s="498" t="str">
        <f t="shared" ca="1" si="15"/>
        <v>ВЕРОЯТНОСТЬ  3  ВЛИЯНИЕ  1</v>
      </c>
      <c r="V41" s="507">
        <f ca="1">IF($B$5=2021,SUMIF('РЕЕСТР РИСКОВ_2023'!$K$40:$AC$248,T41,'РЕЕСТР РИСКОВ_2023'!$AC$40:$AC$248),IF($B$5=2022,SUMIF(#REF!,T41,#REF!),IF($B$5=2023,SUMIF(#REF!,T41,#REF!),IF($B$5=2024,SUMIF(#REF!,T41,#REF!),SUMIF(#REF!,T41,#REF!)))))</f>
        <v>0.25</v>
      </c>
      <c r="W41" s="508">
        <f ca="1">IF($B$5=2021,SUMIF('РЕЕСТР РИСКОВ_2023'!$K$40:$AD$248,T41,'РЕЕСТР РИСКОВ_2023'!$AD$40:$AD$248),IF($B$5=2022,SUMIF(#REF!,T41,#REF!),IF($B$5=2023,SUMIF(#REF!,T41,#REF!),IF($B$5=2024,SUMIF(#REF!,T41,#REF!),IF($B$5=2025,SUMIF(#REF!,T41,#REF!))))))</f>
        <v>0</v>
      </c>
      <c r="X41" s="509">
        <f t="shared" ca="1" si="16"/>
        <v>0</v>
      </c>
      <c r="Y41" s="462"/>
      <c r="Z41" s="462"/>
      <c r="AA41" s="1567" t="s">
        <v>859</v>
      </c>
      <c r="AB41" s="1568"/>
      <c r="AC41" s="312"/>
      <c r="AD41" s="309"/>
      <c r="AE41" s="310"/>
      <c r="AF41" s="311"/>
    </row>
    <row r="42" spans="1:39" ht="71.099999999999994" customHeight="1">
      <c r="A42" s="219"/>
      <c r="B42" s="212"/>
      <c r="C42" s="61"/>
      <c r="F42" s="87"/>
      <c r="G42" s="65"/>
      <c r="H42" s="66"/>
      <c r="I42" s="66"/>
      <c r="K42" s="59"/>
      <c r="L42" s="466" t="s">
        <v>200</v>
      </c>
      <c r="M42" s="502" t="s">
        <v>54</v>
      </c>
      <c r="N42" s="312" t="str">
        <f t="shared" ca="1" si="17"/>
        <v>ВЕРОЯТНОСТЬ  5  ВЛИЯНИЕ  1</v>
      </c>
      <c r="O42" s="507">
        <f ca="1">IF($B$5=2021,SUMIF('РЕЕСТР РИСКОВ_2023'!$K$40:$AC$248,M42,'РЕЕСТР РИСКОВ_2023'!$Y$40:$Y$248),IF($B$5=2022,SUMIF(#REF!,M42,#REF!),IF($B$5=2023,SUMIF(#REF!,M42,#REF!),IF($B$5=2024,SUMIF(#REF!,M42,#REF!),SUMIF(#REF!,M42,#REF!)))))</f>
        <v>0.8</v>
      </c>
      <c r="P42" s="508">
        <f ca="1">IF($B$5=2021,SUMIF('РЕЕСТР РИСКОВ_2023'!$K$40:$AD$248,M42,'РЕЕСТР РИСКОВ_2023'!$Z$40:$Z$248),IF($B$5=2022,SUMIF(#REF!,M42,#REF!),IF($B$5=2023,SUMIF(#REF!,M42,#REF!),IF($B$5=2024,SUMIF(#REF!,M42,#REF!),IF($B$5=2025,SUMIF(#REF!,M42,#REF!))))))</f>
        <v>0</v>
      </c>
      <c r="Q42" s="509">
        <f t="shared" ca="1" si="18"/>
        <v>0</v>
      </c>
      <c r="R42" s="462"/>
      <c r="S42" s="488" t="s">
        <v>1468</v>
      </c>
      <c r="T42" s="499" t="s">
        <v>1437</v>
      </c>
      <c r="U42" s="498" t="str">
        <f t="shared" ca="1" si="15"/>
        <v>ВЕРОЯТНОСТЬ  5  ВЛИЯНИЕ  1</v>
      </c>
      <c r="V42" s="507">
        <f ca="1">IF($B$5=2021,SUMIF('РЕЕСТР РИСКОВ_2023'!$K$40:$AC$248,T42,'РЕЕСТР РИСКОВ_2023'!$AC$40:$AC$248),IF($B$5=2022,SUMIF(#REF!,T42,#REF!),IF($B$5=2023,SUMIF(#REF!,T42,#REF!),IF($B$5=2024,SUMIF(#REF!,T42,#REF!),SUMIF(#REF!,T42,#REF!)))))</f>
        <v>0.75</v>
      </c>
      <c r="W42" s="508">
        <f ca="1">IF($B$5=2021,SUMIF('РЕЕСТР РИСКОВ_2023'!$K$40:$AD$248,T42,'РЕЕСТР РИСКОВ_2023'!$AD$40:$AD$248),IF($B$5=2022,SUMIF(#REF!,T42,#REF!),IF($B$5=2023,SUMIF(#REF!,T42,#REF!),IF($B$5=2024,SUMIF(#REF!,T42,#REF!),IF($B$5=2025,SUMIF(#REF!,T42,#REF!))))))</f>
        <v>0</v>
      </c>
      <c r="X42" s="509">
        <f t="shared" ca="1" si="16"/>
        <v>0</v>
      </c>
      <c r="Y42" s="462"/>
      <c r="Z42" s="462"/>
      <c r="AA42" s="484" t="s">
        <v>1575</v>
      </c>
      <c r="AB42" s="504" t="s">
        <v>1065</v>
      </c>
      <c r="AC42" s="312" t="str">
        <f ca="1">"ВЕРОЯТНОСТЬ  "&amp;IF(AD42&lt;0.05,1,IF((AD42&gt;=0.05)*(AD42&lt;0.25),2,IF((AD42&gt;=0.25)*(AD42&lt;0.5),3,IF((AD42&gt;=0.5)*(AD42&lt;0.75),4,5))))&amp;"  ВЛИЯНИЕ  "&amp;IF(AE42&gt;-200,1,IF((AE42&lt;=-200)*(AE42&gt;-500),2,IF((AE42&lt;=-500)*(AE42&gt;-1000),3,IF((AE42&lt;=-1000)*(AE42&gt;-3000),4,5))))</f>
        <v>ВЕРОЯТНОСТЬ  3  ВЛИЯНИЕ  5</v>
      </c>
      <c r="AD42" s="309">
        <f ca="1">IF($B$5=2021,SUMIF('РЕЕСТР РИСКОВ_2023'!$K$40:$AC$279,AB42,'РЕЕСТР РИСКОВ_2023'!$AC$40:$AC$279),IF($B$5=2022,SUMIF(#REF!,AB42,#REF!),IF($B$5=2023,SUMIF(#REF!,AB42,#REF!),IF($B$5=2024,SUMIF(#REF!,AB42,#REF!),SUMIF(#REF!,AB42,#REF!)))))</f>
        <v>0.4</v>
      </c>
      <c r="AE42" s="310">
        <f ca="1">IF($B$5=2021,SUMIF('РЕЕСТР РИСКОВ_2023'!$K$40:$AD$279,AB42,'РЕЕСТР РИСКОВ_2023'!$AD$40:$AD$279),IF($B$5=2022,SUMIF(#REF!,AB42,#REF!),IF($B$5=2023,SUMIF(#REF!,AB42,#REF!),IF($B$5=2024,SUMIF(#REF!,AB42,#REF!),IF($B$5=2025,SUMIF(#REF!,AB42,#REF!))))))</f>
        <v>-13600</v>
      </c>
      <c r="AF42" s="311">
        <f ca="1">AD42*AE42</f>
        <v>-5440</v>
      </c>
    </row>
    <row r="43" spans="1:39" ht="65.25" customHeight="1">
      <c r="A43" s="219"/>
      <c r="B43" s="212"/>
      <c r="C43" s="61"/>
      <c r="D43" s="63"/>
      <c r="E43" s="64"/>
      <c r="F43" s="62"/>
      <c r="G43" s="65"/>
      <c r="H43" s="66"/>
      <c r="I43" s="66"/>
      <c r="K43" s="59"/>
      <c r="L43" s="474" t="s">
        <v>309</v>
      </c>
      <c r="M43" s="502" t="s">
        <v>56</v>
      </c>
      <c r="N43" s="312" t="str">
        <f t="shared" ca="1" si="17"/>
        <v>ВЕРОЯТНОСТЬ  5  ВЛИЯНИЕ  1</v>
      </c>
      <c r="O43" s="507">
        <f ca="1">IF($B$5=2021,SUMIF('РЕЕСТР РИСКОВ_2023'!$K$40:$AC$248,M43,'РЕЕСТР РИСКОВ_2023'!$Y$40:$Y$248),IF($B$5=2022,SUMIF(#REF!,M43,#REF!),IF($B$5=2023,SUMIF(#REF!,M43,#REF!),IF($B$5=2024,SUMIF(#REF!,M43,#REF!),SUMIF(#REF!,M43,#REF!)))))</f>
        <v>0.95</v>
      </c>
      <c r="P43" s="508">
        <f ca="1">IF($B$5=2021,SUMIF('РЕЕСТР РИСКОВ_2023'!$K$40:$AD$248,M43,'РЕЕСТР РИСКОВ_2023'!$Z$40:$Z$248),IF($B$5=2022,SUMIF(#REF!,M43,#REF!),IF($B$5=2023,SUMIF(#REF!,M43,#REF!),IF($B$5=2024,SUMIF(#REF!,M43,#REF!),IF($B$5=2025,SUMIF(#REF!,M43,#REF!))))))</f>
        <v>-23.292999999999999</v>
      </c>
      <c r="Q43" s="509">
        <f t="shared" ref="Q43:Q45" ca="1" si="19">O43*P43</f>
        <v>-22.128349999999998</v>
      </c>
      <c r="R43" s="462"/>
      <c r="S43" s="488" t="s">
        <v>1445</v>
      </c>
      <c r="T43" s="499" t="s">
        <v>489</v>
      </c>
      <c r="U43" s="498" t="str">
        <f t="shared" ca="1" si="15"/>
        <v>ВЕРОЯТНОСТЬ  4  ВЛИЯНИЕ  1</v>
      </c>
      <c r="V43" s="507">
        <f ca="1">IF($B$5=2021,SUMIF('РЕЕСТР РИСКОВ_2023'!$K$40:$AC$248,T43,'РЕЕСТР РИСКОВ_2023'!$AC$40:$AC$248),IF($B$5=2022,SUMIF(#REF!,T43,#REF!),IF($B$5=2023,SUMIF(#REF!,T43,#REF!),IF($B$5=2024,SUMIF(#REF!,T43,#REF!),SUMIF(#REF!,T43,#REF!)))))</f>
        <v>0.5</v>
      </c>
      <c r="W43" s="508">
        <f ca="1">IF($B$5=2021,SUMIF('РЕЕСТР РИСКОВ_2023'!$K$40:$AD$248,T43,'РЕЕСТР РИСКОВ_2023'!$AD$40:$AD$248),IF($B$5=2022,SUMIF(#REF!,T43,#REF!),IF($B$5=2023,SUMIF(#REF!,T43,#REF!),IF($B$5=2024,SUMIF(#REF!,T43,#REF!),IF($B$5=2025,SUMIF(#REF!,T43,#REF!))))))</f>
        <v>0</v>
      </c>
      <c r="X43" s="509">
        <f t="shared" ca="1" si="16"/>
        <v>0</v>
      </c>
      <c r="Y43" s="462"/>
      <c r="Z43" s="462"/>
      <c r="AA43" s="485" t="s">
        <v>1576</v>
      </c>
      <c r="AB43" s="504" t="s">
        <v>857</v>
      </c>
      <c r="AC43" s="312" t="str">
        <f ca="1">"ВЕРОЯТНОСТЬ  "&amp;IF(AD43&lt;0.05,1,IF((AD43&gt;=0.05)*(AD43&lt;0.25),2,IF((AD43&gt;=0.25)*(AD43&lt;0.5),3,IF((AD43&gt;=0.5)*(AD43&lt;0.75),4,5))))&amp;"  ВЛИЯНИЕ  "&amp;IF(AE43&gt;-200,1,IF((AE43&lt;=-200)*(AE43&gt;-500),2,IF((AE43&lt;=-500)*(AE43&gt;-1000),3,IF((AE43&lt;=-1000)*(AE43&gt;-3000),4,5))))</f>
        <v>ВЕРОЯТНОСТЬ  3  ВЛИЯНИЕ  1</v>
      </c>
      <c r="AD43" s="309">
        <f ca="1">IF($B$5=2021,SUMIF('РЕЕСТР РИСКОВ_2023'!$K$40:$AC$279,AB43,'РЕЕСТР РИСКОВ_2023'!$AC$40:$AC$279),IF($B$5=2022,SUMIF(#REF!,AB43,#REF!),IF($B$5=2023,SUMIF(#REF!,AB43,#REF!),IF($B$5=2024,SUMIF(#REF!,AB43,#REF!),SUMIF(#REF!,AB43,#REF!)))))</f>
        <v>0.25</v>
      </c>
      <c r="AE43" s="310">
        <f ca="1">IF($B$5=2021,SUMIF('РЕЕСТР РИСКОВ_2023'!$K$40:$AD$279,AB43,'РЕЕСТР РИСКОВ_2023'!$AD$40:$AD$279),IF($B$5=2022,SUMIF(#REF!,AB43,#REF!),IF($B$5=2023,SUMIF(#REF!,AB43,#REF!),IF($B$5=2024,SUMIF(#REF!,AB43,#REF!),IF($B$5=2025,SUMIF(#REF!,AB43,#REF!))))))</f>
        <v>0</v>
      </c>
      <c r="AF43" s="311">
        <f ca="1">AD43*AE43</f>
        <v>0</v>
      </c>
    </row>
    <row r="44" spans="1:39" ht="98.25" customHeight="1">
      <c r="A44" s="219"/>
      <c r="B44" s="212"/>
      <c r="C44" s="61"/>
      <c r="D44" s="63"/>
      <c r="E44" s="64"/>
      <c r="F44" s="62"/>
      <c r="G44" s="65"/>
      <c r="H44" s="66"/>
      <c r="I44" s="66"/>
      <c r="K44" s="59"/>
      <c r="L44" s="487" t="s">
        <v>599</v>
      </c>
      <c r="M44" s="502" t="s">
        <v>39</v>
      </c>
      <c r="N44" s="312" t="str">
        <f t="shared" ca="1" si="17"/>
        <v>ВЕРОЯТНОСТЬ  5  ВЛИЯНИЕ  1</v>
      </c>
      <c r="O44" s="507">
        <f ca="1">IF($B$5=2021,SUMIF('РЕЕСТР РИСКОВ_2023'!$K$40:$AC$248,M44,'РЕЕСТР РИСКОВ_2023'!$Y$40:$Y$248),IF($B$5=2022,SUMIF(#REF!,M44,#REF!),IF($B$5=2023,SUMIF(#REF!,M44,#REF!),IF($B$5=2024,SUMIF(#REF!,M44,#REF!),SUMIF(#REF!,M44,#REF!)))))</f>
        <v>0.8</v>
      </c>
      <c r="P44" s="508">
        <f ca="1">IF($B$5=2021,SUMIF('РЕЕСТР РИСКОВ_2023'!$K$40:$AD$248,M44,'РЕЕСТР РИСКОВ_2023'!$Z$40:$Z$248),IF($B$5=2022,SUMIF(#REF!,M44,#REF!),IF($B$5=2023,SUMIF(#REF!,M44,#REF!),IF($B$5=2024,SUMIF(#REF!,M44,#REF!),IF($B$5=2025,SUMIF(#REF!,M44,#REF!))))))</f>
        <v>0</v>
      </c>
      <c r="Q44" s="509">
        <f t="shared" ca="1" si="19"/>
        <v>0</v>
      </c>
      <c r="R44" s="462"/>
      <c r="S44" s="488" t="s">
        <v>1469</v>
      </c>
      <c r="T44" s="499" t="s">
        <v>1446</v>
      </c>
      <c r="U44" s="498" t="str">
        <f t="shared" ca="1" si="15"/>
        <v>ВЕРОЯТНОСТЬ  4  ВЛИЯНИЕ  1</v>
      </c>
      <c r="V44" s="507">
        <f ca="1">IF($B$5=2021,SUMIF('РЕЕСТР РИСКОВ_2023'!$K$40:$AC$248,T44,'РЕЕСТР РИСКОВ_2023'!$AC$40:$AC$248),IF($B$5=2022,SUMIF(#REF!,T44,#REF!),IF($B$5=2023,SUMIF(#REF!,T44,#REF!),IF($B$5=2024,SUMIF(#REF!,T44,#REF!),SUMIF(#REF!,T44,#REF!)))))</f>
        <v>0.5</v>
      </c>
      <c r="W44" s="508">
        <f ca="1">IF($B$5=2021,SUMIF('РЕЕСТР РИСКОВ_2023'!$K$40:$AD$248,T44,'РЕЕСТР РИСКОВ_2023'!$AD$40:$AD$248),IF($B$5=2022,SUMIF(#REF!,T44,#REF!),IF($B$5=2023,SUMIF(#REF!,T44,#REF!),IF($B$5=2024,SUMIF(#REF!,T44,#REF!),IF($B$5=2025,SUMIF(#REF!,T44,#REF!))))))</f>
        <v>0</v>
      </c>
      <c r="X44" s="509">
        <f t="shared" ca="1" si="16"/>
        <v>0</v>
      </c>
      <c r="Y44" s="462"/>
      <c r="Z44" s="462"/>
      <c r="AA44" s="485" t="s">
        <v>1577</v>
      </c>
      <c r="AB44" s="504" t="s">
        <v>45</v>
      </c>
    </row>
    <row r="45" spans="1:39" ht="98.25" customHeight="1">
      <c r="A45" s="219"/>
      <c r="B45" s="212"/>
      <c r="C45" s="61"/>
      <c r="D45" s="63"/>
      <c r="E45" s="64"/>
      <c r="F45" s="62"/>
      <c r="G45" s="65"/>
      <c r="H45" s="66"/>
      <c r="I45" s="66"/>
      <c r="K45" s="59"/>
      <c r="L45" s="474" t="s">
        <v>632</v>
      </c>
      <c r="M45" s="502" t="s">
        <v>1407</v>
      </c>
      <c r="N45" s="312" t="str">
        <f t="shared" ca="1" si="17"/>
        <v>ВЕРОЯТНОСТЬ  3  ВЛИЯНИЕ  3</v>
      </c>
      <c r="O45" s="507">
        <f ca="1">IF($B$5=2021,SUMIF('РЕЕСТР РИСКОВ_2023'!$K$40:$AC$248,M45,'РЕЕСТР РИСКОВ_2023'!$Y$40:$Y$300),IF($B$5=2022,SUMIF(#REF!,M45,#REF!),IF($B$5=2023,SUMIF(#REF!,M45,#REF!),IF($B$5=2024,SUMIF(#REF!,M45,#REF!),SUMIF(#REF!,M45,#REF!)))))</f>
        <v>0.3</v>
      </c>
      <c r="P45" s="508">
        <f ca="1">IF($B$5=2021,SUMIF('РЕЕСТР РИСКОВ_2023'!$K$40:$AD$248,M45,'РЕЕСТР РИСКОВ_2023'!$Z$40:$Z$300),IF($B$5=2022,SUMIF(#REF!,M45,#REF!),IF($B$5=2023,SUMIF(#REF!,M45,#REF!),IF($B$5=2024,SUMIF(#REF!,M45,#REF!),IF($B$5=2025,SUMIF(#REF!,M45,#REF!))))))</f>
        <v>-955.01400000000001</v>
      </c>
      <c r="Q45" s="509">
        <f t="shared" ca="1" si="19"/>
        <v>-286.50419999999997</v>
      </c>
      <c r="R45" s="462"/>
      <c r="S45" s="488" t="s">
        <v>1470</v>
      </c>
      <c r="T45" s="499" t="s">
        <v>1005</v>
      </c>
      <c r="U45" s="498" t="str">
        <f t="shared" ca="1" si="15"/>
        <v>ВЕРОЯТНОСТЬ  4  ВЛИЯНИЕ  1</v>
      </c>
      <c r="V45" s="507">
        <f ca="1">IF($B$5=2021,SUMIF('РЕЕСТР РИСКОВ_2023'!$K$40:$AC$248,T45,'РЕЕСТР РИСКОВ_2023'!$AC$40:$AC$248),IF($B$5=2022,SUMIF(#REF!,T45,#REF!),IF($B$5=2023,SUMIF(#REF!,T45,#REF!),IF($B$5=2024,SUMIF(#REF!,T45,#REF!),SUMIF(#REF!,T45,#REF!)))))</f>
        <v>0.5</v>
      </c>
      <c r="W45" s="508">
        <f ca="1">IF($B$5=2021,SUMIF('РЕЕСТР РИСКОВ_2023'!$K$40:$AD$248,T45,'РЕЕСТР РИСКОВ_2023'!$AD$40:$AD$248),IF($B$5=2022,SUMIF(#REF!,T45,#REF!),IF($B$5=2023,SUMIF(#REF!,T45,#REF!),IF($B$5=2024,SUMIF(#REF!,T45,#REF!),IF($B$5=2025,SUMIF(#REF!,T45,#REF!))))))</f>
        <v>0</v>
      </c>
      <c r="X45" s="509">
        <f t="shared" ca="1" si="16"/>
        <v>0</v>
      </c>
      <c r="Z45" s="462"/>
      <c r="AA45" s="485" t="s">
        <v>1578</v>
      </c>
      <c r="AB45" s="504" t="s">
        <v>1558</v>
      </c>
    </row>
    <row r="46" spans="1:39" ht="72" customHeight="1">
      <c r="A46" s="219"/>
      <c r="B46" s="212"/>
      <c r="C46" s="61"/>
      <c r="D46" s="63"/>
      <c r="E46" s="64"/>
      <c r="F46" s="62"/>
      <c r="G46" s="65"/>
      <c r="H46" s="66"/>
      <c r="I46" s="66"/>
      <c r="K46" s="59"/>
      <c r="L46" s="1589" t="s">
        <v>1345</v>
      </c>
      <c r="M46" s="1590"/>
      <c r="N46" s="312"/>
      <c r="O46" s="507"/>
      <c r="P46" s="508"/>
      <c r="Q46" s="509"/>
      <c r="R46" s="462"/>
      <c r="S46" s="488" t="s">
        <v>1597</v>
      </c>
      <c r="T46" s="499" t="s">
        <v>1598</v>
      </c>
      <c r="U46" s="498" t="str">
        <f t="shared" ref="U46" ca="1" si="20">"ВЕРОЯТНОСТЬ  "&amp;IF(V46&lt;0.05,1,IF((V46&gt;=0.05)*(V46&lt;0.25),2,IF((V46&gt;=0.25)*(V46&lt;0.5),3,IF((V46&gt;=0.5)*(V46&lt;0.75),4,5))))&amp;"  ВЛИЯНИЕ  "&amp;IF(W46&gt;-200,1,IF((W46&lt;=-200)*(W46&gt;-500),2,IF((W46&lt;=-500)*(W46&gt;-1000),3,IF((W46&lt;=-1000)*(W46&gt;-3000),4,5))))</f>
        <v>ВЕРОЯТНОСТЬ  4  ВЛИЯНИЕ  1</v>
      </c>
      <c r="V46" s="507">
        <f ca="1">IF($B$5=2021,SUMIF('РЕЕСТР РИСКОВ_2023'!$K$40:$AC$248,T46,'РЕЕСТР РИСКОВ_2023'!$AC$40:$AC$248),IF($B$5=2022,SUMIF(#REF!,T46,#REF!),IF($B$5=2023,SUMIF(#REF!,T46,#REF!),IF($B$5=2024,SUMIF(#REF!,T46,#REF!),SUMIF(#REF!,T46,#REF!)))))</f>
        <v>0.5</v>
      </c>
      <c r="W46" s="508">
        <f ca="1">IF($B$5=2021,SUMIF('РЕЕСТР РИСКОВ_2023'!$K$40:$AD$248,T46,'РЕЕСТР РИСКОВ_2023'!$AD$40:$AD$248),IF($B$5=2022,SUMIF(#REF!,T46,#REF!),IF($B$5=2023,SUMIF(#REF!,T46,#REF!),IF($B$5=2024,SUMIF(#REF!,T46,#REF!),IF($B$5=2025,SUMIF(#REF!,T46,#REF!))))))</f>
        <v>0</v>
      </c>
      <c r="X46" s="509">
        <f t="shared" ref="X46" ca="1" si="21">V46*W46</f>
        <v>0</v>
      </c>
      <c r="Z46" s="462"/>
      <c r="AA46" s="485" t="s">
        <v>1579</v>
      </c>
      <c r="AB46" s="504" t="s">
        <v>1561</v>
      </c>
    </row>
    <row r="47" spans="1:39" ht="64.5" customHeight="1">
      <c r="A47" s="219"/>
      <c r="B47" s="212"/>
      <c r="C47" s="61"/>
      <c r="D47" s="63"/>
      <c r="E47" s="64"/>
      <c r="F47" s="62"/>
      <c r="G47" s="65"/>
      <c r="H47" s="66"/>
      <c r="I47" s="66"/>
      <c r="K47" s="59"/>
      <c r="L47" s="471" t="s">
        <v>1347</v>
      </c>
      <c r="M47" s="502" t="s">
        <v>121</v>
      </c>
      <c r="N47" s="312" t="s">
        <v>609</v>
      </c>
      <c r="O47" s="507">
        <f ca="1">IF($B$5=2021,SUMIF('РЕЕСТР РИСКОВ_2023'!$K$40:$AC$248,M47,'РЕЕСТР РИСКОВ_2023'!$Y$40:$Y$300),IF($B$5=2022,SUMIF(#REF!,M47,#REF!),IF($B$5=2023,SUMIF(#REF!,M47,#REF!),IF($B$5=2024,SUMIF(#REF!,M47,#REF!),SUMIF(#REF!,M47,#REF!)))))</f>
        <v>0</v>
      </c>
      <c r="P47" s="508">
        <f ca="1">IF($B$5=2021,SUMIF('РЕЕСТР РИСКОВ_2023'!$K$40:$AD$248,M47,'РЕЕСТР РИСКОВ_2023'!$Z$40:$Z$300),IF($B$5=2022,SUMIF(#REF!,M47,#REF!),IF($B$5=2023,SUMIF(#REF!,M47,#REF!),IF($B$5=2024,SUMIF(#REF!,M47,#REF!),IF($B$5=2025,SUMIF(#REF!,M47,#REF!))))))</f>
        <v>0</v>
      </c>
      <c r="Q47" s="509">
        <f t="shared" ref="Q47:Q52" ca="1" si="22">O47*P47</f>
        <v>0</v>
      </c>
      <c r="S47" s="1589" t="s">
        <v>83</v>
      </c>
      <c r="T47" s="1590"/>
      <c r="U47" s="498"/>
      <c r="V47" s="507"/>
      <c r="W47" s="508"/>
      <c r="X47" s="509"/>
      <c r="Z47" s="462"/>
      <c r="AA47" s="485" t="s">
        <v>1580</v>
      </c>
      <c r="AB47" s="504" t="s">
        <v>1565</v>
      </c>
    </row>
    <row r="48" spans="1:39" ht="82.35" customHeight="1">
      <c r="A48" s="219"/>
      <c r="B48" s="212"/>
      <c r="C48" s="61"/>
      <c r="D48" s="63"/>
      <c r="E48" s="64"/>
      <c r="F48" s="62"/>
      <c r="G48" s="65"/>
      <c r="H48" s="66"/>
      <c r="I48" s="66"/>
      <c r="K48" s="59"/>
      <c r="L48" s="487" t="s">
        <v>1348</v>
      </c>
      <c r="M48" s="502" t="s">
        <v>122</v>
      </c>
      <c r="N48" s="312" t="s">
        <v>1690</v>
      </c>
      <c r="O48" s="507">
        <f ca="1">IF($B$5=2021,SUMIF('РЕЕСТР РИСКОВ_2023'!$K$40:$AC$248,M48,'РЕЕСТР РИСКОВ_2023'!$Y$40:$Y$300),IF($B$5=2022,SUMIF(#REF!,M48,#REF!),IF($B$5=2023,SUMIF(#REF!,M48,#REF!),IF($B$5=2024,SUMIF(#REF!,M48,#REF!),SUMIF(#REF!,M48,#REF!)))))</f>
        <v>0</v>
      </c>
      <c r="P48" s="508">
        <f ca="1">IF($B$5=2021,SUMIF('РЕЕСТР РИСКОВ_2023'!$K$40:$AD$248,M48,'РЕЕСТР РИСКОВ_2023'!$Z$40:$Z$300),IF($B$5=2022,SUMIF(#REF!,M48,#REF!),IF($B$5=2023,SUMIF(#REF!,M48,#REF!),IF($B$5=2024,SUMIF(#REF!,M48,#REF!),IF($B$5=2025,SUMIF(#REF!,M48,#REF!))))))</f>
        <v>0</v>
      </c>
      <c r="Q48" s="509">
        <f t="shared" ca="1" si="22"/>
        <v>0</v>
      </c>
      <c r="S48" s="466" t="s">
        <v>190</v>
      </c>
      <c r="T48" s="502" t="s">
        <v>3</v>
      </c>
      <c r="U48" s="498" t="str">
        <f ca="1">"ВЕРОЯТНОСТЬ  "&amp;IF(V48&lt;0.05,1,IF((V48&gt;=0.05)*(V48&lt;0.25),2,IF((V48&gt;=0.25)*(V48&lt;0.5),3,IF((V48&gt;=0.5)*(V48&lt;0.75),4,5))))&amp;"  ВЛИЯНИЕ  "&amp;IF(W48&gt;-200,1,IF((W48&lt;=-200)*(W48&gt;-500),2,IF((W48&lt;=-500)*(W48&gt;-1000),3,IF((W48&lt;=-1000)*(W48&gt;-3000),4,5))))</f>
        <v>ВЕРОЯТНОСТЬ  3  ВЛИЯНИЕ  2</v>
      </c>
      <c r="V48" s="507">
        <f ca="1">IF($B$5=2021,SUMIF('РЕЕСТР РИСКОВ_2023'!$K$40:$AC$248,T48,'РЕЕСТР РИСКОВ_2023'!$AC$40:$AC$248),IF($B$5=2022,SUMIF(#REF!,T48,#REF!),IF($B$5=2023,SUMIF(#REF!,T48,#REF!),IF($B$5=2024,SUMIF(#REF!,T48,#REF!),SUMIF(#REF!,T48,#REF!)))))</f>
        <v>0.25</v>
      </c>
      <c r="W48" s="508">
        <f ca="1">IF($B$5=2021,SUMIF('РЕЕСТР РИСКОВ_2023'!$K$40:$AD$248,T48,'РЕЕСТР РИСКОВ_2023'!$AD$40:$AD$248),IF($B$5=2022,SUMIF(#REF!,T48,#REF!),IF($B$5=2023,SUMIF(#REF!,T48,#REF!),IF($B$5=2024,SUMIF(#REF!,T48,#REF!),IF($B$5=2025,SUMIF(#REF!,T48,#REF!))))))</f>
        <v>-269.72699999999998</v>
      </c>
      <c r="X48" s="509">
        <f ca="1">V48*W48</f>
        <v>-67.431749999999994</v>
      </c>
      <c r="AA48" s="485" t="s">
        <v>1581</v>
      </c>
      <c r="AB48" s="504" t="s">
        <v>1568</v>
      </c>
    </row>
    <row r="49" spans="1:32" ht="64.5" customHeight="1">
      <c r="A49" s="219"/>
      <c r="B49" s="212"/>
      <c r="K49" s="189"/>
      <c r="L49" s="487" t="s">
        <v>1349</v>
      </c>
      <c r="M49" s="502" t="s">
        <v>1346</v>
      </c>
      <c r="N49" s="312" t="s">
        <v>1691</v>
      </c>
      <c r="O49" s="507">
        <f ca="1">IF($B$5=2021,SUMIF('РЕЕСТР РИСКОВ_2023'!$K$40:$AC$248,M49,'РЕЕСТР РИСКОВ_2023'!$Y$40:$Y$300),IF($B$5=2022,SUMIF(#REF!,M49,#REF!),IF($B$5=2023,SUMIF(#REF!,M49,#REF!),IF($B$5=2024,SUMIF(#REF!,M49,#REF!),SUMIF(#REF!,M49,#REF!)))))</f>
        <v>0</v>
      </c>
      <c r="P49" s="508">
        <f ca="1">IF($B$5=2021,SUMIF('РЕЕСТР РИСКОВ_2023'!$K$40:$AD$248,M49,'РЕЕСТР РИСКОВ_2023'!$Z$40:$Z$300),IF($B$5=2022,SUMIF(#REF!,M49,#REF!),IF($B$5=2023,SUMIF(#REF!,M49,#REF!),IF($B$5=2024,SUMIF(#REF!,M49,#REF!),IF($B$5=2025,SUMIF(#REF!,M49,#REF!))))))</f>
        <v>0</v>
      </c>
      <c r="Q49" s="509">
        <f t="shared" ca="1" si="22"/>
        <v>0</v>
      </c>
      <c r="S49" s="1589" t="s">
        <v>85</v>
      </c>
      <c r="T49" s="1590"/>
      <c r="U49" s="498"/>
      <c r="V49" s="507"/>
      <c r="W49" s="508"/>
      <c r="X49" s="509"/>
      <c r="AA49" s="1567" t="s">
        <v>848</v>
      </c>
      <c r="AB49" s="1568"/>
    </row>
    <row r="50" spans="1:32" ht="102" customHeight="1">
      <c r="A50" s="219"/>
      <c r="B50" s="212"/>
      <c r="K50" s="190"/>
      <c r="L50" s="487" t="s">
        <v>1350</v>
      </c>
      <c r="M50" s="502" t="s">
        <v>1323</v>
      </c>
      <c r="N50" s="312" t="s">
        <v>1692</v>
      </c>
      <c r="O50" s="507">
        <f ca="1">IF($B$5=2021,SUMIF('РЕЕСТР РИСКОВ_2023'!$K$40:$AC$248,M50,'РЕЕСТР РИСКОВ_2023'!$Y$40:$Y$300),IF($B$5=2022,SUMIF(#REF!,M50,#REF!),IF($B$5=2023,SUMIF(#REF!,M50,#REF!),IF($B$5=2024,SUMIF(#REF!,M50,#REF!),SUMIF(#REF!,M50,#REF!)))))</f>
        <v>0</v>
      </c>
      <c r="P50" s="508">
        <f ca="1">IF($B$5=2021,SUMIF('РЕЕСТР РИСКОВ_2023'!$K$40:$AD$248,M50,'РЕЕСТР РИСКОВ_2023'!$Z$40:$Z$300),IF($B$5=2022,SUMIF(#REF!,M50,#REF!),IF($B$5=2023,SUMIF(#REF!,M50,#REF!),IF($B$5=2024,SUMIF(#REF!,M50,#REF!),IF($B$5=2025,SUMIF(#REF!,M50,#REF!))))))</f>
        <v>0</v>
      </c>
      <c r="Q50" s="509">
        <f t="shared" ca="1" si="22"/>
        <v>0</v>
      </c>
      <c r="S50" s="474" t="s">
        <v>191</v>
      </c>
      <c r="T50" s="502" t="s">
        <v>37</v>
      </c>
      <c r="U50" s="498" t="str">
        <f ca="1">"ВЕРОЯТНОСТЬ  "&amp;IF(V50&lt;0.05,1,IF((V50&gt;=0.05)*(V50&lt;0.25),2,IF((V50&gt;=0.25)*(V50&lt;0.5),3,IF((V50&gt;=0.5)*(V50&lt;0.75),4,5))))&amp;"  ВЛИЯНИЕ  "&amp;IF(W50&gt;-200,1,IF((W50&lt;=-200)*(W50&gt;-500),2,IF((W50&lt;=-500)*(W50&gt;-1000),3,IF((W50&lt;=-1000)*(W50&gt;-3000),4,5))))</f>
        <v>ВЕРОЯТНОСТЬ  2  ВЛИЯНИЕ  5</v>
      </c>
      <c r="V50" s="507">
        <f ca="1">IF($B$5=2021,SUMIF('РЕЕСТР РИСКОВ_2023'!$K$40:$AC$248,T50,'РЕЕСТР РИСКОВ_2023'!$Y$40:$Y$248),IF($B$5=2022,SUMIF(#REF!,T50,#REF!),IF($B$5=2023,SUMIF(#REF!,T50,#REF!),IF($B$5=2024,SUMIF(#REF!,T50,#REF!),SUMIF(#REF!,T50,#REF!)))))</f>
        <v>0.05</v>
      </c>
      <c r="W50" s="508">
        <f ca="1">IF($B$5=2021,SUMIF('РЕЕСТР РИСКОВ_2023'!$K$40:$AD$248,T50,'РЕЕСТР РИСКОВ_2023'!$Z$40:$Z$248),IF($B$5=2022,SUMIF(#REF!,T50,#REF!),IF($B$5=2023,SUMIF(#REF!,T50,#REF!),IF($B$5=2024,SUMIF(#REF!,T50,#REF!),IF($B$5=2025,SUMIF(#REF!,T50,#REF!))))))</f>
        <v>-4332.5230000000001</v>
      </c>
      <c r="X50" s="509">
        <f ca="1">V50*W50</f>
        <v>-216.62615000000002</v>
      </c>
      <c r="AA50" s="485" t="s">
        <v>1134</v>
      </c>
      <c r="AB50" s="504" t="s">
        <v>1054</v>
      </c>
    </row>
    <row r="51" spans="1:32" ht="77.25" customHeight="1">
      <c r="A51" s="219"/>
      <c r="B51" s="212"/>
      <c r="K51" s="213"/>
      <c r="L51" s="1567" t="s">
        <v>87</v>
      </c>
      <c r="M51" s="1568"/>
      <c r="N51" s="312" t="s">
        <v>1693</v>
      </c>
      <c r="O51" s="507"/>
      <c r="P51" s="508"/>
      <c r="Q51" s="509"/>
      <c r="S51" s="474" t="s">
        <v>192</v>
      </c>
      <c r="T51" s="502" t="s">
        <v>390</v>
      </c>
      <c r="U51" s="498" t="str">
        <f ca="1">"ВЕРОЯТНОСТЬ  "&amp;IF(V51&lt;0.05,1,IF((V51&gt;=0.05)*(V51&lt;0.25),2,IF((V51&gt;=0.25)*(V51&lt;0.5),3,IF((V51&gt;=0.5)*(V51&lt;0.75),4,5))))&amp;"  ВЛИЯНИЕ  "&amp;IF(W51&gt;-200,1,IF((W51&lt;=-200)*(W51&gt;-500),2,IF((W51&lt;=-500)*(W51&gt;-1000),3,IF((W51&lt;=-1000)*(W51&gt;-3000),4,5))))</f>
        <v>ВЕРОЯТНОСТЬ  3  ВЛИЯНИЕ  5</v>
      </c>
      <c r="V51" s="507">
        <f ca="1">IF($B$5=2021,SUMIF('РЕЕСТР РИСКОВ_2023'!$K$40:$AC$248,T51,'РЕЕСТР РИСКОВ_2023'!$Y$40:$Y$248),IF($B$5=2022,SUMIF(#REF!,T51,#REF!),IF($B$5=2023,SUMIF(#REF!,T51,#REF!),IF($B$5=2024,SUMIF(#REF!,T51,#REF!),SUMIF(#REF!,T51,#REF!)))))</f>
        <v>0.4</v>
      </c>
      <c r="W51" s="508">
        <f ca="1">IF($B$5=2021,SUMIF('РЕЕСТР РИСКОВ_2023'!$K$40:$AD$248,T51,'РЕЕСТР РИСКОВ_2023'!$Z$40:$Z$248),IF($B$5=2022,SUMIF(#REF!,T51,#REF!),IF($B$5=2023,SUMIF(#REF!,T51,#REF!),IF($B$5=2024,SUMIF(#REF!,T51,#REF!),IF($B$5=2025,SUMIF(#REF!,T51,#REF!))))))</f>
        <v>-16003</v>
      </c>
      <c r="X51" s="509">
        <f ca="1">V51*W51</f>
        <v>-6401.2000000000007</v>
      </c>
      <c r="AA51" s="1567" t="s">
        <v>1351</v>
      </c>
      <c r="AB51" s="1568"/>
    </row>
    <row r="52" spans="1:32" ht="67.5" customHeight="1">
      <c r="A52" s="219"/>
      <c r="B52" s="212"/>
      <c r="K52" s="220"/>
      <c r="L52" s="485" t="s">
        <v>1352</v>
      </c>
      <c r="M52" s="504" t="s">
        <v>1695</v>
      </c>
      <c r="N52" s="312" t="s">
        <v>1694</v>
      </c>
      <c r="O52" s="507">
        <f ca="1">IF($B$5=2021,SUMIF('РЕЕСТР РИСКОВ_2023'!$K$40:$AC$248,M52,'РЕЕСТР РИСКОВ_2023'!$Y$40:$Y$300),IF($B$5=2022,SUMIF(#REF!,M52,#REF!),IF($B$5=2023,SUMIF(#REF!,M52,#REF!),IF($B$5=2024,SUMIF(#REF!,M52,#REF!),SUMIF(#REF!,M52,#REF!)))))</f>
        <v>0</v>
      </c>
      <c r="P52" s="508">
        <f ca="1">IF($B$5=2021,SUMIF('РЕЕСТР РИСКОВ_2023'!$K$40:$AD$248,M52,'РЕЕСТР РИСКОВ_2023'!$Z$40:$Z$300),IF($B$5=2022,SUMIF(#REF!,M52,#REF!),IF($B$5=2023,SUMIF(#REF!,M52,#REF!),IF($B$5=2024,SUMIF(#REF!,M52,#REF!),IF($B$5=2025,SUMIF(#REF!,M52,#REF!))))))</f>
        <v>0</v>
      </c>
      <c r="Q52" s="509">
        <f t="shared" ca="1" si="22"/>
        <v>0</v>
      </c>
      <c r="S52" s="474" t="s">
        <v>301</v>
      </c>
      <c r="T52" s="502" t="s">
        <v>391</v>
      </c>
      <c r="U52" s="498" t="str">
        <f ca="1">"ВЕРОЯТНОСТЬ  "&amp;IF(V52&lt;0.05,1,IF((V52&gt;=0.05)*(V52&lt;0.25),2,IF((V52&gt;=0.25)*(V52&lt;0.5),3,IF((V52&gt;=0.5)*(V52&lt;0.75),4,5))))&amp;"  ВЛИЯНИЕ  "&amp;IF(W52&gt;-200,1,IF((W52&lt;=-200)*(W52&gt;-500),2,IF((W52&lt;=-500)*(W52&gt;-1000),3,IF((W52&lt;=-1000)*(W52&gt;-3000),4,5))))</f>
        <v>ВЕРОЯТНОСТЬ  3  ВЛИЯНИЕ  5</v>
      </c>
      <c r="V52" s="507">
        <f ca="1">IF($B$5=2021,SUMIF('РЕЕСТР РИСКОВ_2023'!$K$40:$AC$248,T52,'РЕЕСТР РИСКОВ_2023'!$Y$40:$Y$248),IF($B$5=2022,SUMIF(#REF!,T52,#REF!),IF($B$5=2023,SUMIF(#REF!,T52,#REF!),IF($B$5=2024,SUMIF(#REF!,T52,#REF!),SUMIF(#REF!,T52,#REF!)))))</f>
        <v>0.47</v>
      </c>
      <c r="W52" s="508">
        <f ca="1">IF($B$5=2021,SUMIF('РЕЕСТР РИСКОВ_2023'!$K$40:$AD$248,T52,'РЕЕСТР РИСКОВ_2023'!$Z$40:$Z$248),IF($B$5=2022,SUMIF(#REF!,T52,#REF!),IF($B$5=2023,SUMIF(#REF!,T52,#REF!),IF($B$5=2024,SUMIF(#REF!,T52,#REF!),IF($B$5=2025,SUMIF(#REF!,T52,#REF!))))))</f>
        <v>-48905</v>
      </c>
      <c r="X52" s="509">
        <f ca="1">V52*W52</f>
        <v>-22985.35</v>
      </c>
      <c r="AA52" s="485" t="s">
        <v>1474</v>
      </c>
      <c r="AB52" s="504" t="s">
        <v>1336</v>
      </c>
      <c r="AC52" s="312"/>
      <c r="AD52" s="309"/>
      <c r="AE52" s="310"/>
      <c r="AF52" s="311"/>
    </row>
    <row r="53" spans="1:32" ht="67.5" customHeight="1">
      <c r="A53" s="219"/>
      <c r="B53" s="212"/>
      <c r="C53" s="61"/>
      <c r="D53" s="63"/>
      <c r="E53" s="64"/>
      <c r="F53" s="62"/>
      <c r="G53" s="65"/>
      <c r="H53" s="66"/>
      <c r="I53" s="66"/>
      <c r="K53" s="59"/>
      <c r="AA53" s="485" t="s">
        <v>1475</v>
      </c>
      <c r="AB53" s="504" t="s">
        <v>1324</v>
      </c>
      <c r="AC53" s="312" t="str">
        <f ca="1">"ВЕРОЯТНОСТЬ  "&amp;IF(AD53&lt;0.05,1,IF((AD53&gt;=0.05)*(AD53&lt;0.25),2,IF((AD53&gt;=0.25)*(AD53&lt;0.5),3,IF((AD53&gt;=0.5)*(AD53&lt;0.75),4,5))))&amp;"  ВЛИЯНИЕ  "&amp;IF(AE53&gt;-200,1,IF((AE53&lt;=-200)*(AE53&gt;-500),2,IF((AE53&lt;=-500)*(AE53&gt;-1000),3,IF((AE53&lt;=-1000)*(AE53&gt;-3000),4,5))))</f>
        <v>ВЕРОЯТНОСТЬ  2  ВЛИЯНИЕ  1</v>
      </c>
      <c r="AD53" s="309">
        <f ca="1">IF($B$5=2021,SUMIF('РЕЕСТР РИСКОВ_2023'!$K$40:$AC$279,AB50,'РЕЕСТР РИСКОВ_2023'!$AC$40:$AC$279),IF($B$5=2022,SUMIF(#REF!,AB50,#REF!),IF($B$5=2023,SUMIF(#REF!,AB50,#REF!),IF($B$5=2024,SUMIF(#REF!,AB50,#REF!),SUMIF(#REF!,AB50,#REF!)))))</f>
        <v>0.05</v>
      </c>
      <c r="AE53" s="310">
        <f ca="1">IF($B$5=2021,SUMIF('РЕЕСТР РИСКОВ_2023'!$K$40:$AD$279,AB50,'РЕЕСТР РИСКОВ_2023'!$AD$40:$AD$279),IF($B$5=2022,SUMIF(#REF!,AB50,#REF!),IF($B$5=2023,SUMIF(#REF!,AB50,#REF!),IF($B$5=2024,SUMIF(#REF!,AB50,#REF!),IF($B$5=2025,SUMIF(#REF!,AB50,#REF!))))))</f>
        <v>0</v>
      </c>
      <c r="AF53" s="311">
        <f ca="1">AD53*AE53</f>
        <v>0</v>
      </c>
    </row>
    <row r="54" spans="1:32" ht="67.5" customHeight="1">
      <c r="A54" s="219"/>
      <c r="B54" s="212"/>
      <c r="C54" s="61"/>
      <c r="D54" s="63"/>
      <c r="E54" s="64"/>
      <c r="F54" s="62"/>
      <c r="G54" s="65"/>
      <c r="H54" s="66"/>
      <c r="I54" s="66"/>
      <c r="K54" s="1611"/>
      <c r="R54"/>
      <c r="AA54" s="485" t="s">
        <v>1476</v>
      </c>
      <c r="AB54" s="504" t="s">
        <v>1325</v>
      </c>
    </row>
    <row r="55" spans="1:32" ht="58.5" customHeight="1">
      <c r="A55" s="219"/>
      <c r="B55" s="212"/>
      <c r="K55" s="1611"/>
      <c r="R55"/>
      <c r="Y55" s="462"/>
      <c r="Z55"/>
    </row>
    <row r="56" spans="1:32" ht="92.25" customHeight="1">
      <c r="A56" s="219"/>
      <c r="B56" s="212"/>
      <c r="K56" s="1601"/>
      <c r="Y56" s="462"/>
      <c r="Z56"/>
    </row>
    <row r="57" spans="1:32" ht="65.25" customHeight="1">
      <c r="A57" s="219"/>
      <c r="B57" s="212"/>
      <c r="C57" s="61"/>
      <c r="D57" s="66"/>
      <c r="E57" s="64"/>
      <c r="F57" s="62"/>
      <c r="G57" s="65"/>
      <c r="H57" s="66"/>
      <c r="I57" s="66"/>
      <c r="K57" s="25">
        <v>9</v>
      </c>
      <c r="Z57"/>
    </row>
    <row r="58" spans="1:32" ht="54.6" customHeight="1">
      <c r="A58" s="219"/>
      <c r="B58" s="212"/>
      <c r="C58" s="213"/>
      <c r="D58" s="214"/>
      <c r="E58" s="215"/>
      <c r="F58" s="216"/>
      <c r="G58" s="217"/>
      <c r="H58" s="218"/>
      <c r="I58" s="218"/>
      <c r="J58" s="212"/>
      <c r="K58" s="26">
        <v>10</v>
      </c>
      <c r="L58" s="216"/>
      <c r="M58" s="217"/>
      <c r="N58" s="218"/>
      <c r="R58" s="216"/>
      <c r="S58" s="217"/>
      <c r="T58" s="218"/>
      <c r="Y58" s="217"/>
      <c r="Z58" s="217"/>
      <c r="AA58" s="217"/>
      <c r="AB58" s="218"/>
    </row>
    <row r="59" spans="1:32" ht="54.6" customHeight="1">
      <c r="A59" s="219"/>
      <c r="B59" s="219"/>
      <c r="C59" s="220"/>
      <c r="D59" s="221"/>
      <c r="E59" s="222"/>
      <c r="F59" s="223"/>
      <c r="G59" s="224"/>
      <c r="H59" s="225"/>
      <c r="I59" s="225"/>
      <c r="J59" s="219"/>
      <c r="K59" s="1600">
        <v>12</v>
      </c>
      <c r="L59" s="223"/>
      <c r="M59" s="224"/>
      <c r="N59" s="225"/>
      <c r="R59" s="223"/>
      <c r="S59" s="224"/>
      <c r="T59" s="225"/>
      <c r="Y59" s="224"/>
      <c r="Z59" s="224"/>
      <c r="AA59" s="224"/>
      <c r="AB59" s="225"/>
    </row>
    <row r="60" spans="1:32" ht="47.25" customHeight="1">
      <c r="B60" s="67"/>
      <c r="C60" s="67"/>
      <c r="D60" s="70"/>
      <c r="E60" s="70"/>
      <c r="F60" s="70"/>
      <c r="G60" s="68"/>
      <c r="H60" s="69"/>
      <c r="I60" s="69"/>
      <c r="K60" s="1601"/>
      <c r="Z60"/>
    </row>
    <row r="61" spans="1:32" ht="60" customHeight="1">
      <c r="B61" s="29"/>
      <c r="G61" s="70"/>
      <c r="H61" s="70"/>
      <c r="I61" s="70"/>
      <c r="K61" s="30">
        <v>13</v>
      </c>
    </row>
    <row r="62" spans="1:32" ht="54" customHeight="1">
      <c r="B62" s="29"/>
      <c r="K62" s="1605">
        <v>14</v>
      </c>
    </row>
    <row r="63" spans="1:32" ht="66.599999999999994" customHeight="1">
      <c r="B63" s="29"/>
      <c r="K63" s="1606"/>
    </row>
    <row r="64" spans="1:32" ht="66.75" customHeight="1">
      <c r="B64" s="29"/>
      <c r="K64" s="1607"/>
    </row>
    <row r="65" spans="6:11" ht="64.5" customHeight="1">
      <c r="G65" s="31"/>
      <c r="H65" s="32"/>
      <c r="I65" s="32"/>
      <c r="K65" s="33">
        <v>15</v>
      </c>
    </row>
    <row r="66" spans="6:11" ht="57.75" customHeight="1">
      <c r="G66" s="31"/>
      <c r="H66" s="32"/>
      <c r="I66" s="32"/>
      <c r="K66" s="35"/>
    </row>
    <row r="67" spans="6:11" ht="56.25" customHeight="1">
      <c r="G67" s="34"/>
      <c r="H67" s="32"/>
      <c r="I67" s="32"/>
      <c r="K67" s="35"/>
    </row>
    <row r="68" spans="6:11" ht="90" customHeight="1">
      <c r="G68" s="34"/>
      <c r="H68" s="32"/>
      <c r="I68" s="32"/>
      <c r="K68" s="35"/>
    </row>
    <row r="69" spans="6:11" ht="54" customHeight="1">
      <c r="G69" s="34"/>
      <c r="H69" s="32"/>
      <c r="I69" s="32"/>
      <c r="K69" s="35">
        <v>16</v>
      </c>
    </row>
    <row r="70" spans="6:11" ht="53.25" customHeight="1">
      <c r="G70" s="57"/>
      <c r="H70" s="37"/>
      <c r="I70" s="37"/>
      <c r="K70" s="36"/>
    </row>
    <row r="71" spans="6:11" ht="60.6" customHeight="1">
      <c r="G71" s="57"/>
    </row>
    <row r="72" spans="6:11" ht="46.5" customHeight="1">
      <c r="G72" s="57"/>
    </row>
    <row r="73" spans="6:11" ht="46.5" customHeight="1">
      <c r="G73" s="57"/>
    </row>
    <row r="74" spans="6:11" ht="41.25" customHeight="1">
      <c r="G74" s="57"/>
    </row>
    <row r="75" spans="6:11" ht="64.5" customHeight="1">
      <c r="G75"/>
    </row>
    <row r="76" spans="6:11" ht="42" customHeight="1"/>
    <row r="77" spans="6:11" ht="50.25" customHeight="1">
      <c r="F77" s="4"/>
      <c r="G77" s="38"/>
      <c r="J77" s="19"/>
      <c r="K77" s="39"/>
    </row>
    <row r="78" spans="6:11" ht="52.5" customHeight="1">
      <c r="F78" s="4"/>
      <c r="K78" s="2"/>
    </row>
    <row r="79" spans="6:11" ht="68.25" customHeight="1">
      <c r="K79" s="2"/>
    </row>
    <row r="80" spans="6:11" ht="47.25" customHeight="1"/>
    <row r="81" ht="51" customHeight="1"/>
    <row r="82" ht="48" customHeight="1"/>
    <row r="83" ht="56.25" customHeight="1"/>
    <row r="84" ht="47.25" customHeight="1"/>
    <row r="85" ht="48" customHeight="1"/>
    <row r="86" ht="48" customHeight="1"/>
    <row r="92" ht="81" customHeight="1"/>
    <row r="96" ht="108" customHeight="1"/>
    <row r="102" spans="25:25">
      <c r="Y102"/>
    </row>
    <row r="103" spans="25:25">
      <c r="Y103"/>
    </row>
    <row r="104" spans="25:25">
      <c r="Y104"/>
    </row>
    <row r="105" spans="25:25">
      <c r="Y105"/>
    </row>
    <row r="106" spans="25:25">
      <c r="Y106"/>
    </row>
    <row r="107" spans="25:25" ht="81" customHeight="1">
      <c r="Y107"/>
    </row>
    <row r="117" ht="108" customHeight="1"/>
    <row r="119" ht="81" customHeight="1"/>
    <row r="123" ht="42" customHeight="1"/>
    <row r="125" ht="48" customHeight="1"/>
    <row r="131" ht="81" customHeight="1"/>
    <row r="133" ht="69" customHeight="1"/>
  </sheetData>
  <mergeCells count="81">
    <mergeCell ref="B1:T1"/>
    <mergeCell ref="AB1:AE1"/>
    <mergeCell ref="K17:K18"/>
    <mergeCell ref="K19:K23"/>
    <mergeCell ref="S20:T20"/>
    <mergeCell ref="G8:G11"/>
    <mergeCell ref="H8:H11"/>
    <mergeCell ref="G6:H6"/>
    <mergeCell ref="B8:B28"/>
    <mergeCell ref="C3:L3"/>
    <mergeCell ref="E17:E19"/>
    <mergeCell ref="F17:F19"/>
    <mergeCell ref="C20:C23"/>
    <mergeCell ref="D20:D23"/>
    <mergeCell ref="B4:L4"/>
    <mergeCell ref="H12:H16"/>
    <mergeCell ref="C8:C11"/>
    <mergeCell ref="D8:D11"/>
    <mergeCell ref="E8:E11"/>
    <mergeCell ref="F8:F11"/>
    <mergeCell ref="F12:F16"/>
    <mergeCell ref="C12:C16"/>
    <mergeCell ref="D12:D16"/>
    <mergeCell ref="E12:E16"/>
    <mergeCell ref="K62:K64"/>
    <mergeCell ref="S47:T47"/>
    <mergeCell ref="S49:T49"/>
    <mergeCell ref="G12:G16"/>
    <mergeCell ref="AH9:AI9"/>
    <mergeCell ref="S9:T9"/>
    <mergeCell ref="K54:K56"/>
    <mergeCell ref="AH21:AI21"/>
    <mergeCell ref="L33:M33"/>
    <mergeCell ref="S13:T13"/>
    <mergeCell ref="L26:M26"/>
    <mergeCell ref="AH27:AI27"/>
    <mergeCell ref="AH29:AI29"/>
    <mergeCell ref="L9:M9"/>
    <mergeCell ref="K10:K11"/>
    <mergeCell ref="S25:T25"/>
    <mergeCell ref="K59:K60"/>
    <mergeCell ref="AA41:AB41"/>
    <mergeCell ref="AA49:AB49"/>
    <mergeCell ref="L19:M19"/>
    <mergeCell ref="AA37:AB37"/>
    <mergeCell ref="L36:M36"/>
    <mergeCell ref="AA29:AB29"/>
    <mergeCell ref="AA35:AB35"/>
    <mergeCell ref="L29:M29"/>
    <mergeCell ref="L22:M22"/>
    <mergeCell ref="S35:T35"/>
    <mergeCell ref="L46:M46"/>
    <mergeCell ref="AA51:AB51"/>
    <mergeCell ref="L51:M51"/>
    <mergeCell ref="D30:E30"/>
    <mergeCell ref="F30:H30"/>
    <mergeCell ref="G34:H34"/>
    <mergeCell ref="H17:H19"/>
    <mergeCell ref="AA9:AB9"/>
    <mergeCell ref="AA13:AB13"/>
    <mergeCell ref="AA17:AB17"/>
    <mergeCell ref="D17:D19"/>
    <mergeCell ref="H20:H23"/>
    <mergeCell ref="C28:H28"/>
    <mergeCell ref="C24:C26"/>
    <mergeCell ref="D24:D26"/>
    <mergeCell ref="E24:E26"/>
    <mergeCell ref="F24:F26"/>
    <mergeCell ref="G24:G26"/>
    <mergeCell ref="H24:H26"/>
    <mergeCell ref="E20:E23"/>
    <mergeCell ref="C17:C19"/>
    <mergeCell ref="G20:G23"/>
    <mergeCell ref="F20:F23"/>
    <mergeCell ref="G17:G19"/>
    <mergeCell ref="AH34:AI34"/>
    <mergeCell ref="AH37:AI37"/>
    <mergeCell ref="G31:H31"/>
    <mergeCell ref="G35:H35"/>
    <mergeCell ref="G33:H33"/>
    <mergeCell ref="G32:H32"/>
  </mergeCells>
  <phoneticPr fontId="88" type="noConversion"/>
  <conditionalFormatting sqref="Q36:Q38 X26:X32 Q22:Q26 X14:X19 AM9:AM38 X9:X12 Q28:Q33 X35:X39 X47:X49 AF52:AF53 Q10:Q19 AF9:AF43 Q40:Q52">
    <cfRule type="cellIs" dxfId="295" priority="1051" operator="lessThan">
      <formula>0</formula>
    </cfRule>
    <cfRule type="cellIs" dxfId="294" priority="1052" operator="greaterThan">
      <formula>0</formula>
    </cfRule>
  </conditionalFormatting>
  <conditionalFormatting sqref="P36:P38 W26:W32 P22:P26 W14:W19 P10:P19 AL9:AL38 W9 P28:P33 W35:W39 W47:W49 AE52:AE53 AE9:AE43 P40:P52">
    <cfRule type="cellIs" dxfId="293" priority="1078" operator="lessThan">
      <formula>-3000</formula>
    </cfRule>
    <cfRule type="cellIs" dxfId="292" priority="1079" operator="between">
      <formula>-1001</formula>
      <formula>-3000</formula>
    </cfRule>
    <cfRule type="cellIs" dxfId="291" priority="1080" operator="between">
      <formula>-501</formula>
      <formula>-1000</formula>
    </cfRule>
    <cfRule type="cellIs" dxfId="290" priority="1081" operator="between">
      <formula>-201</formula>
      <formula>-500</formula>
    </cfRule>
    <cfRule type="cellIs" dxfId="289" priority="1082" operator="between">
      <formula>0</formula>
      <formula>-200</formula>
    </cfRule>
  </conditionalFormatting>
  <conditionalFormatting sqref="O36:O38 V26:V32 O22:O26 V14:V19 O10:O19 AK9:AK38 V9 O28:O33 V35:V39 V47:V49 AD52:AD53 AD9:AD43 O40:O52">
    <cfRule type="cellIs" dxfId="288" priority="1073" operator="between">
      <formula>0.76</formula>
      <formula>1</formula>
    </cfRule>
    <cfRule type="cellIs" dxfId="287" priority="1074" operator="between">
      <formula>0.51</formula>
      <formula>0.75</formula>
    </cfRule>
    <cfRule type="cellIs" dxfId="286" priority="1075" operator="between">
      <formula>0.26</formula>
      <formula>0.5</formula>
    </cfRule>
    <cfRule type="cellIs" dxfId="285" priority="1076" operator="between">
      <formula>0.05</formula>
      <formula>0.25</formula>
    </cfRule>
    <cfRule type="cellIs" dxfId="284" priority="1077" operator="between">
      <formula>0</formula>
      <formula>0.05</formula>
    </cfRule>
  </conditionalFormatting>
  <conditionalFormatting sqref="D5">
    <cfRule type="cellIs" dxfId="283" priority="988" operator="equal">
      <formula>$B$5</formula>
    </cfRule>
  </conditionalFormatting>
  <conditionalFormatting sqref="E5">
    <cfRule type="cellIs" dxfId="282" priority="987" operator="equal">
      <formula>$B$5</formula>
    </cfRule>
  </conditionalFormatting>
  <conditionalFormatting sqref="F5">
    <cfRule type="cellIs" dxfId="281" priority="986" operator="equal">
      <formula>$B$5</formula>
    </cfRule>
  </conditionalFormatting>
  <conditionalFormatting sqref="G5">
    <cfRule type="cellIs" dxfId="280" priority="985" operator="equal">
      <formula>$B$5</formula>
    </cfRule>
  </conditionalFormatting>
  <conditionalFormatting sqref="H5">
    <cfRule type="cellIs" dxfId="279" priority="984" operator="equal">
      <formula>$B$5</formula>
    </cfRule>
  </conditionalFormatting>
  <conditionalFormatting sqref="X40:X46">
    <cfRule type="cellIs" dxfId="278" priority="13" operator="lessThan">
      <formula>0</formula>
    </cfRule>
    <cfRule type="cellIs" dxfId="277" priority="14" operator="greaterThan">
      <formula>0</formula>
    </cfRule>
  </conditionalFormatting>
  <conditionalFormatting sqref="W40:W46">
    <cfRule type="cellIs" dxfId="276" priority="20" operator="lessThan">
      <formula>-3000</formula>
    </cfRule>
    <cfRule type="cellIs" dxfId="275" priority="21" operator="between">
      <formula>-1001</formula>
      <formula>-3000</formula>
    </cfRule>
    <cfRule type="cellIs" dxfId="274" priority="22" operator="between">
      <formula>-501</formula>
      <formula>-1000</formula>
    </cfRule>
    <cfRule type="cellIs" dxfId="273" priority="23" operator="between">
      <formula>-201</formula>
      <formula>-500</formula>
    </cfRule>
    <cfRule type="cellIs" dxfId="272" priority="24" operator="between">
      <formula>0</formula>
      <formula>-200</formula>
    </cfRule>
  </conditionalFormatting>
  <conditionalFormatting sqref="V40:V46">
    <cfRule type="cellIs" dxfId="271" priority="15" operator="between">
      <formula>0.76</formula>
      <formula>1</formula>
    </cfRule>
    <cfRule type="cellIs" dxfId="270" priority="16" operator="between">
      <formula>0.51</formula>
      <formula>0.75</formula>
    </cfRule>
    <cfRule type="cellIs" dxfId="269" priority="17" operator="between">
      <formula>0.26</formula>
      <formula>0.5</formula>
    </cfRule>
    <cfRule type="cellIs" dxfId="268" priority="18" operator="between">
      <formula>0.05</formula>
      <formula>0.25</formula>
    </cfRule>
    <cfRule type="cellIs" dxfId="267" priority="19" operator="between">
      <formula>0</formula>
      <formula>0.05</formula>
    </cfRule>
  </conditionalFormatting>
  <dataValidations disablePrompts="1" count="1">
    <dataValidation type="list" allowBlank="1" showInputMessage="1" showErrorMessage="1" sqref="WVD983024:WVG983026 WLH983024:WLK983026 WBL983024:WBO983026 VRP983024:VRS983026 VHT983024:VHW983026 UXX983024:UYA983026 UOB983024:UOE983026 UEF983024:UEI983026 TUJ983024:TUM983026 TKN983024:TKQ983026 TAR983024:TAU983026 SQV983024:SQY983026 SGZ983024:SHC983026 RXD983024:RXG983026 RNH983024:RNK983026 RDL983024:RDO983026 QTP983024:QTS983026 QJT983024:QJW983026 PZX983024:QAA983026 PQB983024:PQE983026 PGF983024:PGI983026 OWJ983024:OWM983026 OMN983024:OMQ983026 OCR983024:OCU983026 NSV983024:NSY983026 NIZ983024:NJC983026 MZD983024:MZG983026 MPH983024:MPK983026 MFL983024:MFO983026 LVP983024:LVS983026 LLT983024:LLW983026 LBX983024:LCA983026 KSB983024:KSE983026 KIF983024:KII983026 JYJ983024:JYM983026 JON983024:JOQ983026 JER983024:JEU983026 IUV983024:IUY983026 IKZ983024:ILC983026 IBD983024:IBG983026 HRH983024:HRK983026 HHL983024:HHO983026 GXP983024:GXS983026 GNT983024:GNW983026 GDX983024:GEA983026 FUB983024:FUE983026 FKF983024:FKI983026 FAJ983024:FAM983026 EQN983024:EQQ983026 EGR983024:EGU983026 DWV983024:DWY983026 DMZ983024:DNC983026 DDD983024:DDG983026 CTH983024:CTK983026 CJL983024:CJO983026 BZP983024:BZS983026 BPT983024:BPW983026 BFX983024:BGA983026 AWB983024:AWE983026 AMF983024:AMI983026 ACJ983024:ACM983026 SN983024:SQ983026 IR983024:IU983026 WVD917488:WVG917490 WLH917488:WLK917490 WBL917488:WBO917490 VRP917488:VRS917490 VHT917488:VHW917490 UXX917488:UYA917490 UOB917488:UOE917490 UEF917488:UEI917490 TUJ917488:TUM917490 TKN917488:TKQ917490 TAR917488:TAU917490 SQV917488:SQY917490 SGZ917488:SHC917490 RXD917488:RXG917490 RNH917488:RNK917490 RDL917488:RDO917490 QTP917488:QTS917490 QJT917488:QJW917490 PZX917488:QAA917490 PQB917488:PQE917490 PGF917488:PGI917490 OWJ917488:OWM917490 OMN917488:OMQ917490 OCR917488:OCU917490 NSV917488:NSY917490 NIZ917488:NJC917490 MZD917488:MZG917490 MPH917488:MPK917490 MFL917488:MFO917490 LVP917488:LVS917490 LLT917488:LLW917490 LBX917488:LCA917490 KSB917488:KSE917490 KIF917488:KII917490 JYJ917488:JYM917490 JON917488:JOQ917490 JER917488:JEU917490 IUV917488:IUY917490 IKZ917488:ILC917490 IBD917488:IBG917490 HRH917488:HRK917490 HHL917488:HHO917490 GXP917488:GXS917490 GNT917488:GNW917490 GDX917488:GEA917490 FUB917488:FUE917490 FKF917488:FKI917490 FAJ917488:FAM917490 EQN917488:EQQ917490 EGR917488:EGU917490 DWV917488:DWY917490 DMZ917488:DNC917490 DDD917488:DDG917490 CTH917488:CTK917490 CJL917488:CJO917490 BZP917488:BZS917490 BPT917488:BPW917490 BFX917488:BGA917490 AWB917488:AWE917490 AMF917488:AMI917490 ACJ917488:ACM917490 SN917488:SQ917490 IR917488:IU917490 WVD851952:WVG851954 WLH851952:WLK851954 WBL851952:WBO851954 VRP851952:VRS851954 VHT851952:VHW851954 UXX851952:UYA851954 UOB851952:UOE851954 UEF851952:UEI851954 TUJ851952:TUM851954 TKN851952:TKQ851954 TAR851952:TAU851954 SQV851952:SQY851954 SGZ851952:SHC851954 RXD851952:RXG851954 RNH851952:RNK851954 RDL851952:RDO851954 QTP851952:QTS851954 QJT851952:QJW851954 PZX851952:QAA851954 PQB851952:PQE851954 PGF851952:PGI851954 OWJ851952:OWM851954 OMN851952:OMQ851954 OCR851952:OCU851954 NSV851952:NSY851954 NIZ851952:NJC851954 MZD851952:MZG851954 MPH851952:MPK851954 MFL851952:MFO851954 LVP851952:LVS851954 LLT851952:LLW851954 LBX851952:LCA851954 KSB851952:KSE851954 KIF851952:KII851954 JYJ851952:JYM851954 JON851952:JOQ851954 JER851952:JEU851954 IUV851952:IUY851954 IKZ851952:ILC851954 IBD851952:IBG851954 HRH851952:HRK851954 HHL851952:HHO851954 GXP851952:GXS851954 GNT851952:GNW851954 GDX851952:GEA851954 FUB851952:FUE851954 FKF851952:FKI851954 FAJ851952:FAM851954 EQN851952:EQQ851954 EGR851952:EGU851954 DWV851952:DWY851954 DMZ851952:DNC851954 DDD851952:DDG851954 CTH851952:CTK851954 CJL851952:CJO851954 BZP851952:BZS851954 BPT851952:BPW851954 BFX851952:BGA851954 AWB851952:AWE851954 AMF851952:AMI851954 ACJ851952:ACM851954 SN851952:SQ851954 IR851952:IU851954 WVD786416:WVG786418 WLH786416:WLK786418 WBL786416:WBO786418 VRP786416:VRS786418 VHT786416:VHW786418 UXX786416:UYA786418 UOB786416:UOE786418 UEF786416:UEI786418 TUJ786416:TUM786418 TKN786416:TKQ786418 TAR786416:TAU786418 SQV786416:SQY786418 SGZ786416:SHC786418 RXD786416:RXG786418 RNH786416:RNK786418 RDL786416:RDO786418 QTP786416:QTS786418 QJT786416:QJW786418 PZX786416:QAA786418 PQB786416:PQE786418 PGF786416:PGI786418 OWJ786416:OWM786418 OMN786416:OMQ786418 OCR786416:OCU786418 NSV786416:NSY786418 NIZ786416:NJC786418 MZD786416:MZG786418 MPH786416:MPK786418 MFL786416:MFO786418 LVP786416:LVS786418 LLT786416:LLW786418 LBX786416:LCA786418 KSB786416:KSE786418 KIF786416:KII786418 JYJ786416:JYM786418 JON786416:JOQ786418 JER786416:JEU786418 IUV786416:IUY786418 IKZ786416:ILC786418 IBD786416:IBG786418 HRH786416:HRK786418 HHL786416:HHO786418 GXP786416:GXS786418 GNT786416:GNW786418 GDX786416:GEA786418 FUB786416:FUE786418 FKF786416:FKI786418 FAJ786416:FAM786418 EQN786416:EQQ786418 EGR786416:EGU786418 DWV786416:DWY786418 DMZ786416:DNC786418 DDD786416:DDG786418 CTH786416:CTK786418 CJL786416:CJO786418 BZP786416:BZS786418 BPT786416:BPW786418 BFX786416:BGA786418 AWB786416:AWE786418 AMF786416:AMI786418 ACJ786416:ACM786418 SN786416:SQ786418 IR786416:IU786418 WVD720880:WVG720882 WLH720880:WLK720882 WBL720880:WBO720882 VRP720880:VRS720882 VHT720880:VHW720882 UXX720880:UYA720882 UOB720880:UOE720882 UEF720880:UEI720882 TUJ720880:TUM720882 TKN720880:TKQ720882 TAR720880:TAU720882 SQV720880:SQY720882 SGZ720880:SHC720882 RXD720880:RXG720882 RNH720880:RNK720882 RDL720880:RDO720882 QTP720880:QTS720882 QJT720880:QJW720882 PZX720880:QAA720882 PQB720880:PQE720882 PGF720880:PGI720882 OWJ720880:OWM720882 OMN720880:OMQ720882 OCR720880:OCU720882 NSV720880:NSY720882 NIZ720880:NJC720882 MZD720880:MZG720882 MPH720880:MPK720882 MFL720880:MFO720882 LVP720880:LVS720882 LLT720880:LLW720882 LBX720880:LCA720882 KSB720880:KSE720882 KIF720880:KII720882 JYJ720880:JYM720882 JON720880:JOQ720882 JER720880:JEU720882 IUV720880:IUY720882 IKZ720880:ILC720882 IBD720880:IBG720882 HRH720880:HRK720882 HHL720880:HHO720882 GXP720880:GXS720882 GNT720880:GNW720882 GDX720880:GEA720882 FUB720880:FUE720882 FKF720880:FKI720882 FAJ720880:FAM720882 EQN720880:EQQ720882 EGR720880:EGU720882 DWV720880:DWY720882 DMZ720880:DNC720882 DDD720880:DDG720882 CTH720880:CTK720882 CJL720880:CJO720882 BZP720880:BZS720882 BPT720880:BPW720882 BFX720880:BGA720882 AWB720880:AWE720882 AMF720880:AMI720882 ACJ720880:ACM720882 SN720880:SQ720882 IR720880:IU720882 WVD655344:WVG655346 WLH655344:WLK655346 WBL655344:WBO655346 VRP655344:VRS655346 VHT655344:VHW655346 UXX655344:UYA655346 UOB655344:UOE655346 UEF655344:UEI655346 TUJ655344:TUM655346 TKN655344:TKQ655346 TAR655344:TAU655346 SQV655344:SQY655346 SGZ655344:SHC655346 RXD655344:RXG655346 RNH655344:RNK655346 RDL655344:RDO655346 QTP655344:QTS655346 QJT655344:QJW655346 PZX655344:QAA655346 PQB655344:PQE655346 PGF655344:PGI655346 OWJ655344:OWM655346 OMN655344:OMQ655346 OCR655344:OCU655346 NSV655344:NSY655346 NIZ655344:NJC655346 MZD655344:MZG655346 MPH655344:MPK655346 MFL655344:MFO655346 LVP655344:LVS655346 LLT655344:LLW655346 LBX655344:LCA655346 KSB655344:KSE655346 KIF655344:KII655346 JYJ655344:JYM655346 JON655344:JOQ655346 JER655344:JEU655346 IUV655344:IUY655346 IKZ655344:ILC655346 IBD655344:IBG655346 HRH655344:HRK655346 HHL655344:HHO655346 GXP655344:GXS655346 GNT655344:GNW655346 GDX655344:GEA655346 FUB655344:FUE655346 FKF655344:FKI655346 FAJ655344:FAM655346 EQN655344:EQQ655346 EGR655344:EGU655346 DWV655344:DWY655346 DMZ655344:DNC655346 DDD655344:DDG655346 CTH655344:CTK655346 CJL655344:CJO655346 BZP655344:BZS655346 BPT655344:BPW655346 BFX655344:BGA655346 AWB655344:AWE655346 AMF655344:AMI655346 ACJ655344:ACM655346 SN655344:SQ655346 IR655344:IU655346 WVD589808:WVG589810 WLH589808:WLK589810 WBL589808:WBO589810 VRP589808:VRS589810 VHT589808:VHW589810 UXX589808:UYA589810 UOB589808:UOE589810 UEF589808:UEI589810 TUJ589808:TUM589810 TKN589808:TKQ589810 TAR589808:TAU589810 SQV589808:SQY589810 SGZ589808:SHC589810 RXD589808:RXG589810 RNH589808:RNK589810 RDL589808:RDO589810 QTP589808:QTS589810 QJT589808:QJW589810 PZX589808:QAA589810 PQB589808:PQE589810 PGF589808:PGI589810 OWJ589808:OWM589810 OMN589808:OMQ589810 OCR589808:OCU589810 NSV589808:NSY589810 NIZ589808:NJC589810 MZD589808:MZG589810 MPH589808:MPK589810 MFL589808:MFO589810 LVP589808:LVS589810 LLT589808:LLW589810 LBX589808:LCA589810 KSB589808:KSE589810 KIF589808:KII589810 JYJ589808:JYM589810 JON589808:JOQ589810 JER589808:JEU589810 IUV589808:IUY589810 IKZ589808:ILC589810 IBD589808:IBG589810 HRH589808:HRK589810 HHL589808:HHO589810 GXP589808:GXS589810 GNT589808:GNW589810 GDX589808:GEA589810 FUB589808:FUE589810 FKF589808:FKI589810 FAJ589808:FAM589810 EQN589808:EQQ589810 EGR589808:EGU589810 DWV589808:DWY589810 DMZ589808:DNC589810 DDD589808:DDG589810 CTH589808:CTK589810 CJL589808:CJO589810 BZP589808:BZS589810 BPT589808:BPW589810 BFX589808:BGA589810 AWB589808:AWE589810 AMF589808:AMI589810 ACJ589808:ACM589810 SN589808:SQ589810 IR589808:IU589810 WVD524272:WVG524274 WLH524272:WLK524274 WBL524272:WBO524274 VRP524272:VRS524274 VHT524272:VHW524274 UXX524272:UYA524274 UOB524272:UOE524274 UEF524272:UEI524274 TUJ524272:TUM524274 TKN524272:TKQ524274 TAR524272:TAU524274 SQV524272:SQY524274 SGZ524272:SHC524274 RXD524272:RXG524274 RNH524272:RNK524274 RDL524272:RDO524274 QTP524272:QTS524274 QJT524272:QJW524274 PZX524272:QAA524274 PQB524272:PQE524274 PGF524272:PGI524274 OWJ524272:OWM524274 OMN524272:OMQ524274 OCR524272:OCU524274 NSV524272:NSY524274 NIZ524272:NJC524274 MZD524272:MZG524274 MPH524272:MPK524274 MFL524272:MFO524274 LVP524272:LVS524274 LLT524272:LLW524274 LBX524272:LCA524274 KSB524272:KSE524274 KIF524272:KII524274 JYJ524272:JYM524274 JON524272:JOQ524274 JER524272:JEU524274 IUV524272:IUY524274 IKZ524272:ILC524274 IBD524272:IBG524274 HRH524272:HRK524274 HHL524272:HHO524274 GXP524272:GXS524274 GNT524272:GNW524274 GDX524272:GEA524274 FUB524272:FUE524274 FKF524272:FKI524274 FAJ524272:FAM524274 EQN524272:EQQ524274 EGR524272:EGU524274 DWV524272:DWY524274 DMZ524272:DNC524274 DDD524272:DDG524274 CTH524272:CTK524274 CJL524272:CJO524274 BZP524272:BZS524274 BPT524272:BPW524274 BFX524272:BGA524274 AWB524272:AWE524274 AMF524272:AMI524274 ACJ524272:ACM524274 SN524272:SQ524274 IR524272:IU524274 WVD458736:WVG458738 WLH458736:WLK458738 WBL458736:WBO458738 VRP458736:VRS458738 VHT458736:VHW458738 UXX458736:UYA458738 UOB458736:UOE458738 UEF458736:UEI458738 TUJ458736:TUM458738 TKN458736:TKQ458738 TAR458736:TAU458738 SQV458736:SQY458738 SGZ458736:SHC458738 RXD458736:RXG458738 RNH458736:RNK458738 RDL458736:RDO458738 QTP458736:QTS458738 QJT458736:QJW458738 PZX458736:QAA458738 PQB458736:PQE458738 PGF458736:PGI458738 OWJ458736:OWM458738 OMN458736:OMQ458738 OCR458736:OCU458738 NSV458736:NSY458738 NIZ458736:NJC458738 MZD458736:MZG458738 MPH458736:MPK458738 MFL458736:MFO458738 LVP458736:LVS458738 LLT458736:LLW458738 LBX458736:LCA458738 KSB458736:KSE458738 KIF458736:KII458738 JYJ458736:JYM458738 JON458736:JOQ458738 JER458736:JEU458738 IUV458736:IUY458738 IKZ458736:ILC458738 IBD458736:IBG458738 HRH458736:HRK458738 HHL458736:HHO458738 GXP458736:GXS458738 GNT458736:GNW458738 GDX458736:GEA458738 FUB458736:FUE458738 FKF458736:FKI458738 FAJ458736:FAM458738 EQN458736:EQQ458738 EGR458736:EGU458738 DWV458736:DWY458738 DMZ458736:DNC458738 DDD458736:DDG458738 CTH458736:CTK458738 CJL458736:CJO458738 BZP458736:BZS458738 BPT458736:BPW458738 BFX458736:BGA458738 AWB458736:AWE458738 AMF458736:AMI458738 ACJ458736:ACM458738 SN458736:SQ458738 IR458736:IU458738 WVD393200:WVG393202 WLH393200:WLK393202 WBL393200:WBO393202 VRP393200:VRS393202 VHT393200:VHW393202 UXX393200:UYA393202 UOB393200:UOE393202 UEF393200:UEI393202 TUJ393200:TUM393202 TKN393200:TKQ393202 TAR393200:TAU393202 SQV393200:SQY393202 SGZ393200:SHC393202 RXD393200:RXG393202 RNH393200:RNK393202 RDL393200:RDO393202 QTP393200:QTS393202 QJT393200:QJW393202 PZX393200:QAA393202 PQB393200:PQE393202 PGF393200:PGI393202 OWJ393200:OWM393202 OMN393200:OMQ393202 OCR393200:OCU393202 NSV393200:NSY393202 NIZ393200:NJC393202 MZD393200:MZG393202 MPH393200:MPK393202 MFL393200:MFO393202 LVP393200:LVS393202 LLT393200:LLW393202 LBX393200:LCA393202 KSB393200:KSE393202 KIF393200:KII393202 JYJ393200:JYM393202 JON393200:JOQ393202 JER393200:JEU393202 IUV393200:IUY393202 IKZ393200:ILC393202 IBD393200:IBG393202 HRH393200:HRK393202 HHL393200:HHO393202 GXP393200:GXS393202 GNT393200:GNW393202 GDX393200:GEA393202 FUB393200:FUE393202 FKF393200:FKI393202 FAJ393200:FAM393202 EQN393200:EQQ393202 EGR393200:EGU393202 DWV393200:DWY393202 DMZ393200:DNC393202 DDD393200:DDG393202 CTH393200:CTK393202 CJL393200:CJO393202 BZP393200:BZS393202 BPT393200:BPW393202 BFX393200:BGA393202 AWB393200:AWE393202 AMF393200:AMI393202 ACJ393200:ACM393202 SN393200:SQ393202 IR393200:IU393202 WVD327664:WVG327666 WLH327664:WLK327666 WBL327664:WBO327666 VRP327664:VRS327666 VHT327664:VHW327666 UXX327664:UYA327666 UOB327664:UOE327666 UEF327664:UEI327666 TUJ327664:TUM327666 TKN327664:TKQ327666 TAR327664:TAU327666 SQV327664:SQY327666 SGZ327664:SHC327666 RXD327664:RXG327666 RNH327664:RNK327666 RDL327664:RDO327666 QTP327664:QTS327666 QJT327664:QJW327666 PZX327664:QAA327666 PQB327664:PQE327666 PGF327664:PGI327666 OWJ327664:OWM327666 OMN327664:OMQ327666 OCR327664:OCU327666 NSV327664:NSY327666 NIZ327664:NJC327666 MZD327664:MZG327666 MPH327664:MPK327666 MFL327664:MFO327666 LVP327664:LVS327666 LLT327664:LLW327666 LBX327664:LCA327666 KSB327664:KSE327666 KIF327664:KII327666 JYJ327664:JYM327666 JON327664:JOQ327666 JER327664:JEU327666 IUV327664:IUY327666 IKZ327664:ILC327666 IBD327664:IBG327666 HRH327664:HRK327666 HHL327664:HHO327666 GXP327664:GXS327666 GNT327664:GNW327666 GDX327664:GEA327666 FUB327664:FUE327666 FKF327664:FKI327666 FAJ327664:FAM327666 EQN327664:EQQ327666 EGR327664:EGU327666 DWV327664:DWY327666 DMZ327664:DNC327666 DDD327664:DDG327666 CTH327664:CTK327666 CJL327664:CJO327666 BZP327664:BZS327666 BPT327664:BPW327666 BFX327664:BGA327666 AWB327664:AWE327666 AMF327664:AMI327666 ACJ327664:ACM327666 SN327664:SQ327666 IR327664:IU327666 WVD262128:WVG262130 WLH262128:WLK262130 WBL262128:WBO262130 VRP262128:VRS262130 VHT262128:VHW262130 UXX262128:UYA262130 UOB262128:UOE262130 UEF262128:UEI262130 TUJ262128:TUM262130 TKN262128:TKQ262130 TAR262128:TAU262130 SQV262128:SQY262130 SGZ262128:SHC262130 RXD262128:RXG262130 RNH262128:RNK262130 RDL262128:RDO262130 QTP262128:QTS262130 QJT262128:QJW262130 PZX262128:QAA262130 PQB262128:PQE262130 PGF262128:PGI262130 OWJ262128:OWM262130 OMN262128:OMQ262130 OCR262128:OCU262130 NSV262128:NSY262130 NIZ262128:NJC262130 MZD262128:MZG262130 MPH262128:MPK262130 MFL262128:MFO262130 LVP262128:LVS262130 LLT262128:LLW262130 LBX262128:LCA262130 KSB262128:KSE262130 KIF262128:KII262130 JYJ262128:JYM262130 JON262128:JOQ262130 JER262128:JEU262130 IUV262128:IUY262130 IKZ262128:ILC262130 IBD262128:IBG262130 HRH262128:HRK262130 HHL262128:HHO262130 GXP262128:GXS262130 GNT262128:GNW262130 GDX262128:GEA262130 FUB262128:FUE262130 FKF262128:FKI262130 FAJ262128:FAM262130 EQN262128:EQQ262130 EGR262128:EGU262130 DWV262128:DWY262130 DMZ262128:DNC262130 DDD262128:DDG262130 CTH262128:CTK262130 CJL262128:CJO262130 BZP262128:BZS262130 BPT262128:BPW262130 BFX262128:BGA262130 AWB262128:AWE262130 AMF262128:AMI262130 ACJ262128:ACM262130 SN262128:SQ262130 IR262128:IU262130 WVD196592:WVG196594 WLH196592:WLK196594 WBL196592:WBO196594 VRP196592:VRS196594 VHT196592:VHW196594 UXX196592:UYA196594 UOB196592:UOE196594 UEF196592:UEI196594 TUJ196592:TUM196594 TKN196592:TKQ196594 TAR196592:TAU196594 SQV196592:SQY196594 SGZ196592:SHC196594 RXD196592:RXG196594 RNH196592:RNK196594 RDL196592:RDO196594 QTP196592:QTS196594 QJT196592:QJW196594 PZX196592:QAA196594 PQB196592:PQE196594 PGF196592:PGI196594 OWJ196592:OWM196594 OMN196592:OMQ196594 OCR196592:OCU196594 NSV196592:NSY196594 NIZ196592:NJC196594 MZD196592:MZG196594 MPH196592:MPK196594 MFL196592:MFO196594 LVP196592:LVS196594 LLT196592:LLW196594 LBX196592:LCA196594 KSB196592:KSE196594 KIF196592:KII196594 JYJ196592:JYM196594 JON196592:JOQ196594 JER196592:JEU196594 IUV196592:IUY196594 IKZ196592:ILC196594 IBD196592:IBG196594 HRH196592:HRK196594 HHL196592:HHO196594 GXP196592:GXS196594 GNT196592:GNW196594 GDX196592:GEA196594 FUB196592:FUE196594 FKF196592:FKI196594 FAJ196592:FAM196594 EQN196592:EQQ196594 EGR196592:EGU196594 DWV196592:DWY196594 DMZ196592:DNC196594 DDD196592:DDG196594 CTH196592:CTK196594 CJL196592:CJO196594 BZP196592:BZS196594 BPT196592:BPW196594 BFX196592:BGA196594 AWB196592:AWE196594 AMF196592:AMI196594 ACJ196592:ACM196594 SN196592:SQ196594 IR196592:IU196594 WVD131056:WVG131058 WLH131056:WLK131058 WBL131056:WBO131058 VRP131056:VRS131058 VHT131056:VHW131058 UXX131056:UYA131058 UOB131056:UOE131058 UEF131056:UEI131058 TUJ131056:TUM131058 TKN131056:TKQ131058 TAR131056:TAU131058 SQV131056:SQY131058 SGZ131056:SHC131058 RXD131056:RXG131058 RNH131056:RNK131058 RDL131056:RDO131058 QTP131056:QTS131058 QJT131056:QJW131058 PZX131056:QAA131058 PQB131056:PQE131058 PGF131056:PGI131058 OWJ131056:OWM131058 OMN131056:OMQ131058 OCR131056:OCU131058 NSV131056:NSY131058 NIZ131056:NJC131058 MZD131056:MZG131058 MPH131056:MPK131058 MFL131056:MFO131058 LVP131056:LVS131058 LLT131056:LLW131058 LBX131056:LCA131058 KSB131056:KSE131058 KIF131056:KII131058 JYJ131056:JYM131058 JON131056:JOQ131058 JER131056:JEU131058 IUV131056:IUY131058 IKZ131056:ILC131058 IBD131056:IBG131058 HRH131056:HRK131058 HHL131056:HHO131058 GXP131056:GXS131058 GNT131056:GNW131058 GDX131056:GEA131058 FUB131056:FUE131058 FKF131056:FKI131058 FAJ131056:FAM131058 EQN131056:EQQ131058 EGR131056:EGU131058 DWV131056:DWY131058 DMZ131056:DNC131058 DDD131056:DDG131058 CTH131056:CTK131058 CJL131056:CJO131058 BZP131056:BZS131058 BPT131056:BPW131058 BFX131056:BGA131058 AWB131056:AWE131058 AMF131056:AMI131058 ACJ131056:ACM131058 SN131056:SQ131058 IR131056:IU131058 WVD65520:WVG65522 WLH65520:WLK65522 WBL65520:WBO65522 VRP65520:VRS65522 VHT65520:VHW65522 UXX65520:UYA65522 UOB65520:UOE65522 UEF65520:UEI65522 TUJ65520:TUM65522 TKN65520:TKQ65522 TAR65520:TAU65522 SQV65520:SQY65522 SGZ65520:SHC65522 RXD65520:RXG65522 RNH65520:RNK65522 RDL65520:RDO65522 QTP65520:QTS65522 QJT65520:QJW65522 PZX65520:QAA65522 PQB65520:PQE65522 PGF65520:PGI65522 OWJ65520:OWM65522 OMN65520:OMQ65522 OCR65520:OCU65522 NSV65520:NSY65522 NIZ65520:NJC65522 MZD65520:MZG65522 MPH65520:MPK65522 MFL65520:MFO65522 LVP65520:LVS65522 LLT65520:LLW65522 LBX65520:LCA65522 KSB65520:KSE65522 KIF65520:KII65522 JYJ65520:JYM65522 JON65520:JOQ65522 JER65520:JEU65522 IUV65520:IUY65522 IKZ65520:ILC65522 IBD65520:IBG65522 HRH65520:HRK65522 HHL65520:HHO65522 GXP65520:GXS65522 GNT65520:GNW65522 GDX65520:GEA65522 FUB65520:FUE65522 FKF65520:FKI65522 FAJ65520:FAM65522 EQN65520:EQQ65522 EGR65520:EGU65522 DWV65520:DWY65522 DMZ65520:DNC65522 DDD65520:DDG65522 CTH65520:CTK65522 CJL65520:CJO65522 BZP65520:BZS65522 BPT65520:BPW65522 BFX65520:BGA65522 AWB65520:AWE65522 AMF65520:AMI65522 ACJ65520:ACM65522 SN65520:SQ65522 IR65520:IU65522">
      <formula1>$M$8:$M$9</formula1>
    </dataValidation>
  </dataValidations>
  <pageMargins left="0.23622047244094491" right="0" top="0" bottom="0" header="0" footer="0"/>
  <pageSetup paperSize="9" scale="13"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53" r:id="rId4" name="Scroll Bar 5">
              <controlPr defaultSize="0" autoPict="0">
                <anchor moveWithCells="1">
                  <from>
                    <xdr:col>8</xdr:col>
                    <xdr:colOff>45720</xdr:colOff>
                    <xdr:row>3</xdr:row>
                    <xdr:rowOff>617220</xdr:rowOff>
                  </from>
                  <to>
                    <xdr:col>11</xdr:col>
                    <xdr:colOff>1516380</xdr:colOff>
                    <xdr:row>6</xdr:row>
                    <xdr:rowOff>190500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C000"/>
  </sheetPr>
  <dimension ref="B2:O29"/>
  <sheetViews>
    <sheetView topLeftCell="A3" workbookViewId="0">
      <selection activeCell="F13" sqref="F13"/>
    </sheetView>
  </sheetViews>
  <sheetFormatPr defaultRowHeight="14.4"/>
  <cols>
    <col min="2" max="2" width="27.5546875" customWidth="1"/>
    <col min="7" max="7" width="12.109375" customWidth="1"/>
    <col min="8" max="8" width="6" customWidth="1"/>
  </cols>
  <sheetData>
    <row r="2" spans="2:15" ht="22.8">
      <c r="B2" s="1645" t="s">
        <v>1497</v>
      </c>
      <c r="C2" s="1644">
        <v>2022</v>
      </c>
      <c r="D2" s="1645"/>
      <c r="E2" s="1644">
        <v>2023</v>
      </c>
      <c r="F2" s="1645"/>
      <c r="G2" s="591"/>
      <c r="H2" s="616"/>
      <c r="I2" s="1644">
        <v>2024</v>
      </c>
      <c r="J2" s="1645"/>
      <c r="K2" s="1644">
        <v>2025</v>
      </c>
      <c r="L2" s="1645"/>
      <c r="M2" s="1644">
        <v>2026</v>
      </c>
      <c r="N2" s="1645"/>
      <c r="O2" s="590">
        <v>2027</v>
      </c>
    </row>
    <row r="3" spans="2:15" ht="52.8">
      <c r="B3" s="1648"/>
      <c r="C3" s="592" t="s">
        <v>1498</v>
      </c>
      <c r="D3" s="593" t="s">
        <v>1499</v>
      </c>
      <c r="E3" s="592" t="s">
        <v>1498</v>
      </c>
      <c r="F3" s="593" t="s">
        <v>1500</v>
      </c>
      <c r="G3" s="1646" t="s">
        <v>1501</v>
      </c>
      <c r="H3" s="1647"/>
      <c r="I3" s="592" t="s">
        <v>1498</v>
      </c>
      <c r="J3" s="593" t="s">
        <v>1500</v>
      </c>
      <c r="K3" s="592" t="s">
        <v>1498</v>
      </c>
      <c r="L3" s="593" t="s">
        <v>1500</v>
      </c>
      <c r="M3" s="592" t="s">
        <v>1498</v>
      </c>
      <c r="N3" s="593" t="s">
        <v>1500</v>
      </c>
      <c r="O3" s="592" t="s">
        <v>1500</v>
      </c>
    </row>
    <row r="4" spans="2:15" ht="22.8">
      <c r="B4" s="594" t="s">
        <v>1502</v>
      </c>
      <c r="C4" s="595">
        <v>1403661</v>
      </c>
      <c r="D4" s="596">
        <v>1419379</v>
      </c>
      <c r="E4" s="595">
        <v>1658270</v>
      </c>
      <c r="F4" s="596">
        <v>1734573</v>
      </c>
      <c r="G4" s="613"/>
      <c r="H4" s="617"/>
      <c r="I4" s="595">
        <v>1763058</v>
      </c>
      <c r="J4" s="596">
        <v>1843944</v>
      </c>
      <c r="K4" s="595">
        <v>1883515</v>
      </c>
      <c r="L4" s="596">
        <v>1977423</v>
      </c>
      <c r="M4" s="595">
        <v>1971443</v>
      </c>
      <c r="N4" s="596">
        <v>2089782</v>
      </c>
      <c r="O4" s="595">
        <v>2179978</v>
      </c>
    </row>
    <row r="5" spans="2:15" ht="30" customHeight="1">
      <c r="B5" s="597" t="s">
        <v>1503</v>
      </c>
      <c r="C5" s="598">
        <v>1240726</v>
      </c>
      <c r="D5" s="599">
        <v>1251620</v>
      </c>
      <c r="E5" s="598">
        <v>1466195</v>
      </c>
      <c r="F5" s="599">
        <v>1537401</v>
      </c>
      <c r="G5" s="615">
        <f>SUM(G6:G11)</f>
        <v>1226671.4038818013</v>
      </c>
      <c r="H5" s="619">
        <f>G5/F5</f>
        <v>0.7978864355375086</v>
      </c>
      <c r="I5" s="598">
        <v>1573005</v>
      </c>
      <c r="J5" s="599">
        <v>1636500</v>
      </c>
      <c r="K5" s="598">
        <v>1684313</v>
      </c>
      <c r="L5" s="599">
        <v>1758378</v>
      </c>
      <c r="M5" s="598">
        <v>1762561</v>
      </c>
      <c r="N5" s="599">
        <v>1858440</v>
      </c>
      <c r="O5" s="598">
        <v>1935157</v>
      </c>
    </row>
    <row r="6" spans="2:15">
      <c r="B6" s="600" t="s">
        <v>1504</v>
      </c>
      <c r="C6" s="601">
        <v>288059</v>
      </c>
      <c r="D6" s="602">
        <v>270561</v>
      </c>
      <c r="E6" s="601">
        <v>324756</v>
      </c>
      <c r="F6" s="602">
        <v>354032</v>
      </c>
      <c r="G6" s="614">
        <f>'РЕЕСТР РИСКОВ_2023'!P41</f>
        <v>339578.71216973336</v>
      </c>
      <c r="H6" s="619">
        <f t="shared" ref="H6:H13" si="0">G6/F6</f>
        <v>0.95917519368230375</v>
      </c>
      <c r="I6" s="601">
        <v>357210</v>
      </c>
      <c r="J6" s="602">
        <v>391215</v>
      </c>
      <c r="K6" s="601">
        <v>382042</v>
      </c>
      <c r="L6" s="602">
        <v>423718</v>
      </c>
      <c r="M6" s="601">
        <v>402931</v>
      </c>
      <c r="N6" s="602">
        <v>462931</v>
      </c>
      <c r="O6" s="601">
        <v>502343</v>
      </c>
    </row>
    <row r="7" spans="2:15">
      <c r="B7" s="600" t="s">
        <v>1505</v>
      </c>
      <c r="C7" s="601">
        <v>187524</v>
      </c>
      <c r="D7" s="602">
        <v>191882</v>
      </c>
      <c r="E7" s="601">
        <v>225507</v>
      </c>
      <c r="F7" s="602">
        <v>267833</v>
      </c>
      <c r="G7" s="614">
        <f>'РЕЕСТР РИСКОВ_2023'!P51</f>
        <v>267918.75653440494</v>
      </c>
      <c r="H7" s="619">
        <f t="shared" si="0"/>
        <v>1.0003201865879296</v>
      </c>
      <c r="I7" s="601">
        <v>252571</v>
      </c>
      <c r="J7" s="602">
        <v>299131</v>
      </c>
      <c r="K7" s="601">
        <v>286202</v>
      </c>
      <c r="L7" s="602">
        <v>329557</v>
      </c>
      <c r="M7" s="601">
        <v>300353</v>
      </c>
      <c r="N7" s="602">
        <v>354967</v>
      </c>
      <c r="O7" s="601">
        <v>380311</v>
      </c>
    </row>
    <row r="8" spans="2:15">
      <c r="B8" s="600" t="s">
        <v>1506</v>
      </c>
      <c r="C8" s="601">
        <v>123186</v>
      </c>
      <c r="D8" s="602">
        <v>129222</v>
      </c>
      <c r="E8" s="601">
        <v>135629</v>
      </c>
      <c r="F8" s="602">
        <v>150762</v>
      </c>
      <c r="G8" s="614">
        <f>'РЕЕСТР РИСКОВ_2023'!P60</f>
        <v>141369.5302500985</v>
      </c>
      <c r="H8" s="619">
        <f t="shared" si="0"/>
        <v>0.93770001890462118</v>
      </c>
      <c r="I8" s="601">
        <v>145352</v>
      </c>
      <c r="J8" s="602">
        <v>162781</v>
      </c>
      <c r="K8" s="601">
        <v>156565</v>
      </c>
      <c r="L8" s="602">
        <v>176068</v>
      </c>
      <c r="M8" s="601">
        <v>163985</v>
      </c>
      <c r="N8" s="602">
        <v>188169</v>
      </c>
      <c r="O8" s="601">
        <v>200415</v>
      </c>
    </row>
    <row r="9" spans="2:15">
      <c r="B9" s="600" t="s">
        <v>1507</v>
      </c>
      <c r="C9" s="601">
        <v>430341</v>
      </c>
      <c r="D9" s="602">
        <v>448139</v>
      </c>
      <c r="E9" s="601">
        <v>504876</v>
      </c>
      <c r="F9" s="602">
        <v>478897</v>
      </c>
      <c r="G9" s="614">
        <f>'РЕЕСТР РИСКОВ_2023'!P71</f>
        <v>477804.40492756461</v>
      </c>
      <c r="H9" s="619">
        <f t="shared" si="0"/>
        <v>0.99771851760934938</v>
      </c>
      <c r="I9" s="601">
        <v>537961</v>
      </c>
      <c r="J9" s="602">
        <v>498789</v>
      </c>
      <c r="K9" s="601">
        <v>575417</v>
      </c>
      <c r="L9" s="602">
        <v>542096</v>
      </c>
      <c r="M9" s="601">
        <v>609517</v>
      </c>
      <c r="N9" s="602">
        <v>561916</v>
      </c>
      <c r="O9" s="601">
        <v>571181</v>
      </c>
    </row>
    <row r="10" spans="2:15">
      <c r="B10" s="600" t="s">
        <v>1508</v>
      </c>
      <c r="C10" s="601">
        <v>-57568</v>
      </c>
      <c r="D10" s="602">
        <v>-54442</v>
      </c>
      <c r="E10" s="603">
        <v>0</v>
      </c>
      <c r="F10" s="604">
        <v>0</v>
      </c>
      <c r="G10" s="614">
        <f>F10</f>
        <v>0</v>
      </c>
      <c r="H10" s="619">
        <v>0</v>
      </c>
      <c r="I10" s="603">
        <v>0</v>
      </c>
      <c r="J10" s="604">
        <v>0</v>
      </c>
      <c r="K10" s="603">
        <v>0</v>
      </c>
      <c r="L10" s="604">
        <v>0</v>
      </c>
      <c r="M10" s="603">
        <v>0</v>
      </c>
      <c r="N10" s="604">
        <v>0</v>
      </c>
      <c r="O10" s="603">
        <v>0</v>
      </c>
    </row>
    <row r="11" spans="2:15" ht="26.4">
      <c r="B11" s="600" t="s">
        <v>1509</v>
      </c>
      <c r="C11" s="601">
        <v>269184</v>
      </c>
      <c r="D11" s="602">
        <v>266258</v>
      </c>
      <c r="E11" s="601">
        <v>275426</v>
      </c>
      <c r="F11" s="602">
        <v>285877</v>
      </c>
      <c r="G11" s="614"/>
      <c r="H11" s="619">
        <f t="shared" si="0"/>
        <v>0</v>
      </c>
      <c r="I11" s="601">
        <v>279911</v>
      </c>
      <c r="J11" s="602">
        <v>284584</v>
      </c>
      <c r="K11" s="601">
        <v>284087</v>
      </c>
      <c r="L11" s="602">
        <v>286938</v>
      </c>
      <c r="M11" s="601">
        <v>285776</v>
      </c>
      <c r="N11" s="602">
        <v>290457</v>
      </c>
      <c r="O11" s="601">
        <v>280906</v>
      </c>
    </row>
    <row r="12" spans="2:15">
      <c r="B12" s="597" t="s">
        <v>1510</v>
      </c>
      <c r="C12" s="598">
        <v>83401</v>
      </c>
      <c r="D12" s="599">
        <v>83366</v>
      </c>
      <c r="E12" s="598">
        <v>93570</v>
      </c>
      <c r="F12" s="602">
        <v>107405</v>
      </c>
      <c r="G12" s="614">
        <f>'РЕЕСТР РИСКОВ_2023'!P93</f>
        <v>102177.1</v>
      </c>
      <c r="H12" s="619">
        <f t="shared" si="0"/>
        <v>0.95132535729249112</v>
      </c>
      <c r="I12" s="598">
        <v>100348</v>
      </c>
      <c r="J12" s="599">
        <v>113865</v>
      </c>
      <c r="K12" s="598">
        <v>105757</v>
      </c>
      <c r="L12" s="599">
        <v>121775</v>
      </c>
      <c r="M12" s="598">
        <v>111379</v>
      </c>
      <c r="N12" s="599">
        <v>124889</v>
      </c>
      <c r="O12" s="598">
        <v>127400</v>
      </c>
    </row>
    <row r="13" spans="2:15">
      <c r="B13" s="597" t="s">
        <v>1511</v>
      </c>
      <c r="C13" s="598">
        <v>37464</v>
      </c>
      <c r="D13" s="599">
        <v>33530</v>
      </c>
      <c r="E13" s="598">
        <v>48980</v>
      </c>
      <c r="F13" s="602">
        <v>39463</v>
      </c>
      <c r="G13" s="614">
        <v>0</v>
      </c>
      <c r="H13" s="619">
        <f t="shared" si="0"/>
        <v>0</v>
      </c>
      <c r="I13" s="598">
        <v>50315</v>
      </c>
      <c r="J13" s="599">
        <v>40360</v>
      </c>
      <c r="K13" s="598">
        <v>51413</v>
      </c>
      <c r="L13" s="599">
        <v>40158</v>
      </c>
      <c r="M13" s="598">
        <v>52592</v>
      </c>
      <c r="N13" s="599">
        <v>46204</v>
      </c>
      <c r="O13" s="598">
        <v>51273</v>
      </c>
    </row>
    <row r="14" spans="2:15" ht="26.4">
      <c r="B14" s="597" t="s">
        <v>1512</v>
      </c>
      <c r="C14" s="598">
        <v>42070</v>
      </c>
      <c r="D14" s="599">
        <v>50862</v>
      </c>
      <c r="E14" s="598">
        <v>49525</v>
      </c>
      <c r="F14" s="602">
        <v>50303</v>
      </c>
      <c r="G14" s="614"/>
      <c r="H14" s="618"/>
      <c r="I14" s="598">
        <v>39390</v>
      </c>
      <c r="J14" s="599">
        <v>53220</v>
      </c>
      <c r="K14" s="598">
        <v>42031</v>
      </c>
      <c r="L14" s="599">
        <v>57112</v>
      </c>
      <c r="M14" s="598">
        <v>44911</v>
      </c>
      <c r="N14" s="599">
        <v>60248</v>
      </c>
      <c r="O14" s="598">
        <v>66148</v>
      </c>
    </row>
    <row r="15" spans="2:15" ht="22.8">
      <c r="B15" s="605" t="s">
        <v>1513</v>
      </c>
      <c r="C15" s="606">
        <v>1198657</v>
      </c>
      <c r="D15" s="607">
        <v>1222613</v>
      </c>
      <c r="E15" s="606">
        <v>1284560</v>
      </c>
      <c r="F15" s="607">
        <v>1373667</v>
      </c>
      <c r="G15" s="591"/>
      <c r="H15" s="616"/>
      <c r="I15" s="606">
        <v>1353517</v>
      </c>
      <c r="J15" s="607">
        <v>1434189</v>
      </c>
      <c r="K15" s="606">
        <v>1428996</v>
      </c>
      <c r="L15" s="607">
        <v>1511699</v>
      </c>
      <c r="M15" s="606">
        <v>1500681</v>
      </c>
      <c r="N15" s="607">
        <v>1571884</v>
      </c>
      <c r="O15" s="606">
        <v>1613607</v>
      </c>
    </row>
    <row r="16" spans="2:15" ht="22.8">
      <c r="B16" s="605" t="s">
        <v>1514</v>
      </c>
      <c r="C16" s="606">
        <v>205005</v>
      </c>
      <c r="D16" s="607">
        <v>196766</v>
      </c>
      <c r="E16" s="606">
        <v>373711</v>
      </c>
      <c r="F16" s="607">
        <v>360906</v>
      </c>
      <c r="G16" s="591"/>
      <c r="H16" s="616"/>
      <c r="I16" s="606">
        <v>409541</v>
      </c>
      <c r="J16" s="607">
        <v>409755</v>
      </c>
      <c r="K16" s="606">
        <v>454519</v>
      </c>
      <c r="L16" s="607">
        <v>465724</v>
      </c>
      <c r="M16" s="606">
        <v>470762</v>
      </c>
      <c r="N16" s="607">
        <v>517897</v>
      </c>
      <c r="O16" s="606">
        <v>566371</v>
      </c>
    </row>
    <row r="17" spans="2:15" ht="39.6">
      <c r="B17" s="605" t="s">
        <v>1515</v>
      </c>
      <c r="C17" s="606">
        <v>105660</v>
      </c>
      <c r="D17" s="607">
        <v>103931</v>
      </c>
      <c r="E17" s="606">
        <v>109443</v>
      </c>
      <c r="F17" s="607">
        <v>107580</v>
      </c>
      <c r="G17" s="591"/>
      <c r="H17" s="616"/>
      <c r="I17" s="606">
        <v>113559</v>
      </c>
      <c r="J17" s="607">
        <v>109889</v>
      </c>
      <c r="K17" s="606">
        <v>119279</v>
      </c>
      <c r="L17" s="607">
        <v>114347</v>
      </c>
      <c r="M17" s="606">
        <v>123939</v>
      </c>
      <c r="N17" s="607">
        <v>118519</v>
      </c>
      <c r="O17" s="606">
        <v>122362</v>
      </c>
    </row>
    <row r="18" spans="2:15" ht="22.8">
      <c r="B18" s="608" t="s">
        <v>1346</v>
      </c>
      <c r="C18" s="609">
        <v>709</v>
      </c>
      <c r="D18" s="610">
        <v>-473</v>
      </c>
      <c r="E18" s="609">
        <v>794</v>
      </c>
      <c r="F18" s="610">
        <v>409</v>
      </c>
      <c r="G18" s="591"/>
      <c r="H18" s="616"/>
      <c r="I18" s="609">
        <v>774</v>
      </c>
      <c r="J18" s="610">
        <v>169</v>
      </c>
      <c r="K18" s="609">
        <v>808</v>
      </c>
      <c r="L18" s="610">
        <v>184</v>
      </c>
      <c r="M18" s="609">
        <v>907</v>
      </c>
      <c r="N18" s="610">
        <v>579</v>
      </c>
      <c r="O18" s="609">
        <v>874</v>
      </c>
    </row>
    <row r="19" spans="2:15" ht="22.8">
      <c r="B19" s="605" t="s">
        <v>1516</v>
      </c>
      <c r="C19" s="606">
        <v>98636</v>
      </c>
      <c r="D19" s="607">
        <v>93309</v>
      </c>
      <c r="E19" s="606">
        <v>263474</v>
      </c>
      <c r="F19" s="607">
        <v>252916</v>
      </c>
      <c r="G19" s="591"/>
      <c r="H19" s="616"/>
      <c r="I19" s="606">
        <v>295209</v>
      </c>
      <c r="J19" s="607">
        <v>299698</v>
      </c>
      <c r="K19" s="606">
        <v>334432</v>
      </c>
      <c r="L19" s="607">
        <v>351192</v>
      </c>
      <c r="M19" s="606">
        <v>345917</v>
      </c>
      <c r="N19" s="607">
        <v>398799</v>
      </c>
      <c r="O19" s="606">
        <v>443134</v>
      </c>
    </row>
    <row r="20" spans="2:15" ht="26.4">
      <c r="B20" s="597" t="s">
        <v>1517</v>
      </c>
      <c r="C20" s="598">
        <v>138579</v>
      </c>
      <c r="D20" s="599">
        <v>144376</v>
      </c>
      <c r="E20" s="598">
        <v>145667</v>
      </c>
      <c r="F20" s="599">
        <v>166172</v>
      </c>
      <c r="G20" s="591"/>
      <c r="H20" s="616"/>
      <c r="I20" s="598">
        <v>154771</v>
      </c>
      <c r="J20" s="599">
        <v>184081</v>
      </c>
      <c r="K20" s="598">
        <v>145418</v>
      </c>
      <c r="L20" s="599">
        <v>190856</v>
      </c>
      <c r="M20" s="598">
        <v>135958</v>
      </c>
      <c r="N20" s="599">
        <v>211796</v>
      </c>
      <c r="O20" s="598">
        <v>224008</v>
      </c>
    </row>
    <row r="21" spans="2:15" ht="22.8">
      <c r="B21" s="597" t="s">
        <v>1518</v>
      </c>
      <c r="C21" s="598">
        <v>37956</v>
      </c>
      <c r="D21" s="599">
        <v>49688</v>
      </c>
      <c r="E21" s="598">
        <v>32738</v>
      </c>
      <c r="F21" s="599">
        <v>36672</v>
      </c>
      <c r="G21" s="591"/>
      <c r="H21" s="616"/>
      <c r="I21" s="598">
        <v>31860</v>
      </c>
      <c r="J21" s="599">
        <v>47996</v>
      </c>
      <c r="K21" s="598">
        <v>32527</v>
      </c>
      <c r="L21" s="599">
        <v>53292</v>
      </c>
      <c r="M21" s="598">
        <v>33582</v>
      </c>
      <c r="N21" s="599">
        <v>58653</v>
      </c>
      <c r="O21" s="598">
        <v>65084</v>
      </c>
    </row>
    <row r="22" spans="2:15" ht="22.8">
      <c r="B22" s="597" t="s">
        <v>1519</v>
      </c>
      <c r="C22" s="598">
        <v>-38915</v>
      </c>
      <c r="D22" s="599">
        <v>-59505</v>
      </c>
      <c r="E22" s="609">
        <v>0</v>
      </c>
      <c r="F22" s="610">
        <v>0</v>
      </c>
      <c r="G22" s="591"/>
      <c r="H22" s="616"/>
      <c r="I22" s="609">
        <v>0</v>
      </c>
      <c r="J22" s="610">
        <v>0</v>
      </c>
      <c r="K22" s="609">
        <v>0</v>
      </c>
      <c r="L22" s="610">
        <v>0</v>
      </c>
      <c r="M22" s="609">
        <v>0</v>
      </c>
      <c r="N22" s="610">
        <v>0</v>
      </c>
      <c r="O22" s="609">
        <v>0</v>
      </c>
    </row>
    <row r="23" spans="2:15" ht="26.4">
      <c r="B23" s="597" t="s">
        <v>1520</v>
      </c>
      <c r="C23" s="598">
        <v>6429</v>
      </c>
      <c r="D23" s="599">
        <v>2201</v>
      </c>
      <c r="E23" s="598">
        <v>5365</v>
      </c>
      <c r="F23" s="599">
        <v>10427</v>
      </c>
      <c r="G23" s="591"/>
      <c r="H23" s="616"/>
      <c r="I23" s="598">
        <v>7071</v>
      </c>
      <c r="J23" s="599">
        <v>11797</v>
      </c>
      <c r="K23" s="598">
        <v>9840</v>
      </c>
      <c r="L23" s="599">
        <v>13315</v>
      </c>
      <c r="M23" s="598">
        <v>10596</v>
      </c>
      <c r="N23" s="599">
        <v>13594</v>
      </c>
      <c r="O23" s="598">
        <v>16333</v>
      </c>
    </row>
    <row r="24" spans="2:15" ht="22.8">
      <c r="B24" s="597" t="s">
        <v>1521</v>
      </c>
      <c r="C24" s="609">
        <v>923</v>
      </c>
      <c r="D24" s="599">
        <v>3830</v>
      </c>
      <c r="E24" s="598">
        <v>26034</v>
      </c>
      <c r="F24" s="599">
        <v>18201</v>
      </c>
      <c r="G24" s="591"/>
      <c r="H24" s="616"/>
      <c r="I24" s="598">
        <v>30484</v>
      </c>
      <c r="J24" s="599">
        <v>30422</v>
      </c>
      <c r="K24" s="598">
        <v>45909</v>
      </c>
      <c r="L24" s="599">
        <v>42686</v>
      </c>
      <c r="M24" s="598">
        <v>52585</v>
      </c>
      <c r="N24" s="599">
        <v>49996</v>
      </c>
      <c r="O24" s="598">
        <v>59429</v>
      </c>
    </row>
    <row r="25" spans="2:15" ht="22.8">
      <c r="B25" s="605" t="s">
        <v>1522</v>
      </c>
      <c r="C25" s="606">
        <v>-35396</v>
      </c>
      <c r="D25" s="607">
        <v>-62514</v>
      </c>
      <c r="E25" s="606">
        <v>129877</v>
      </c>
      <c r="F25" s="607">
        <v>115642</v>
      </c>
      <c r="G25" s="591"/>
      <c r="H25" s="616"/>
      <c r="I25" s="606">
        <v>148885</v>
      </c>
      <c r="J25" s="607">
        <v>144987</v>
      </c>
      <c r="K25" s="606">
        <v>185471</v>
      </c>
      <c r="L25" s="607">
        <v>184257</v>
      </c>
      <c r="M25" s="606">
        <v>201551</v>
      </c>
      <c r="N25" s="607">
        <v>209254</v>
      </c>
      <c r="O25" s="606">
        <v>241114</v>
      </c>
    </row>
    <row r="26" spans="2:15" ht="22.8">
      <c r="B26" s="597" t="s">
        <v>1523</v>
      </c>
      <c r="C26" s="609">
        <v>995</v>
      </c>
      <c r="D26" s="599">
        <v>1835</v>
      </c>
      <c r="E26" s="598">
        <v>2399</v>
      </c>
      <c r="F26" s="599">
        <v>2660</v>
      </c>
      <c r="G26" s="591"/>
      <c r="H26" s="616"/>
      <c r="I26" s="598">
        <v>2883</v>
      </c>
      <c r="J26" s="599">
        <v>3426</v>
      </c>
      <c r="K26" s="598">
        <v>3468</v>
      </c>
      <c r="L26" s="599">
        <v>4080</v>
      </c>
      <c r="M26" s="598">
        <v>4142</v>
      </c>
      <c r="N26" s="599">
        <v>4794</v>
      </c>
      <c r="O26" s="598">
        <v>5595</v>
      </c>
    </row>
    <row r="27" spans="2:15" ht="39.6">
      <c r="B27" s="605" t="s">
        <v>1524</v>
      </c>
      <c r="C27" s="606">
        <v>-36391</v>
      </c>
      <c r="D27" s="607">
        <v>-64349</v>
      </c>
      <c r="E27" s="606">
        <v>127478</v>
      </c>
      <c r="F27" s="607">
        <v>112982</v>
      </c>
      <c r="G27" s="591"/>
      <c r="H27" s="616"/>
      <c r="I27" s="606">
        <v>146002</v>
      </c>
      <c r="J27" s="607">
        <v>141561</v>
      </c>
      <c r="K27" s="606">
        <v>182004</v>
      </c>
      <c r="L27" s="607">
        <v>180177</v>
      </c>
      <c r="M27" s="606">
        <v>197409</v>
      </c>
      <c r="N27" s="607">
        <v>204460</v>
      </c>
      <c r="O27" s="606">
        <v>235519</v>
      </c>
    </row>
    <row r="28" spans="2:15" ht="22.8">
      <c r="B28" s="605" t="s">
        <v>1525</v>
      </c>
      <c r="C28" s="606">
        <v>320042</v>
      </c>
      <c r="D28" s="607">
        <v>297980</v>
      </c>
      <c r="E28" s="606">
        <v>437063</v>
      </c>
      <c r="F28" s="607">
        <v>421569</v>
      </c>
      <c r="G28" s="591"/>
      <c r="H28" s="616"/>
      <c r="I28" s="606">
        <v>477142</v>
      </c>
      <c r="J28" s="607">
        <v>480021</v>
      </c>
      <c r="K28" s="606">
        <v>530458</v>
      </c>
      <c r="L28" s="607">
        <v>539672</v>
      </c>
      <c r="M28" s="606">
        <v>552032</v>
      </c>
      <c r="N28" s="607">
        <v>594603</v>
      </c>
      <c r="O28" s="606">
        <v>650093</v>
      </c>
    </row>
    <row r="29" spans="2:15" ht="22.8">
      <c r="B29" s="605" t="s">
        <v>1526</v>
      </c>
      <c r="C29" s="611">
        <v>0.22800000000000001</v>
      </c>
      <c r="D29" s="612">
        <v>0.20200000000000001</v>
      </c>
      <c r="E29" s="611">
        <v>0.26400000000000001</v>
      </c>
      <c r="F29" s="612">
        <v>0.24299999999999999</v>
      </c>
      <c r="G29" s="591"/>
      <c r="H29" s="616"/>
      <c r="I29" s="611">
        <v>0.27100000000000002</v>
      </c>
      <c r="J29" s="612">
        <v>0.26</v>
      </c>
      <c r="K29" s="611">
        <v>0.28199999999999997</v>
      </c>
      <c r="L29" s="612">
        <v>0.27300000000000002</v>
      </c>
      <c r="M29" s="611">
        <v>0.28000000000000003</v>
      </c>
      <c r="N29" s="612">
        <v>0.28499999999999998</v>
      </c>
      <c r="O29" s="611">
        <v>0.29799999999999999</v>
      </c>
    </row>
  </sheetData>
  <mergeCells count="7">
    <mergeCell ref="M2:N2"/>
    <mergeCell ref="G3:H3"/>
    <mergeCell ref="B2:B3"/>
    <mergeCell ref="C2:D2"/>
    <mergeCell ref="E2:F2"/>
    <mergeCell ref="I2:J2"/>
    <mergeCell ref="K2:L2"/>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tabColor rgb="FFFFC000"/>
    <pageSetUpPr fitToPage="1"/>
  </sheetPr>
  <dimension ref="B1:AD130"/>
  <sheetViews>
    <sheetView showGridLines="0" topLeftCell="A3" zoomScale="30" zoomScaleNormal="30" zoomScaleSheetLayoutView="50" zoomScalePageLayoutView="50" workbookViewId="0">
      <selection activeCell="N31" sqref="N31"/>
    </sheetView>
  </sheetViews>
  <sheetFormatPr defaultRowHeight="25.2" outlineLevelCol="1"/>
  <cols>
    <col min="1" max="1" width="3" style="2" customWidth="1"/>
    <col min="2" max="2" width="8.109375" style="2" customWidth="1"/>
    <col min="3" max="3" width="10.109375" style="2" customWidth="1"/>
    <col min="4" max="4" width="46.88671875" style="2" customWidth="1"/>
    <col min="5" max="5" width="50.33203125" style="2" customWidth="1"/>
    <col min="6" max="6" width="46.88671875" style="2" customWidth="1"/>
    <col min="7" max="7" width="60.5546875" style="2" customWidth="1"/>
    <col min="8" max="8" width="46.88671875" style="2" customWidth="1"/>
    <col min="9" max="9" width="50.88671875" style="2" customWidth="1"/>
    <col min="10" max="10" width="2" style="2" customWidth="1"/>
    <col min="11" max="11" width="3.44140625" style="19" hidden="1" customWidth="1"/>
    <col min="12" max="12" width="23.44140625" style="10" customWidth="1"/>
    <col min="13" max="13" width="149.109375" style="4" customWidth="1" outlineLevel="1"/>
    <col min="14" max="14" width="35.44140625" style="2" customWidth="1"/>
    <col min="15" max="18" width="27" style="2" customWidth="1"/>
    <col min="19" max="19" width="14.6640625" customWidth="1"/>
    <col min="20" max="20" width="16.109375" style="2" customWidth="1"/>
    <col min="21" max="21" width="11.44140625" style="2" customWidth="1"/>
    <col min="22" max="22" width="10.5546875" style="2" customWidth="1"/>
    <col min="23" max="23" width="9.109375" style="2" customWidth="1"/>
    <col min="24" max="24" width="9.109375" style="2"/>
    <col min="25" max="25" width="9.109375" style="2" customWidth="1"/>
    <col min="26" max="34" width="9.109375" style="2"/>
    <col min="35" max="35" width="8.6640625" style="2" customWidth="1"/>
    <col min="36" max="235" width="9.109375" style="2"/>
    <col min="236" max="236" width="8.44140625" style="2" customWidth="1"/>
    <col min="237" max="237" width="6.44140625" style="2" customWidth="1"/>
    <col min="238" max="242" width="17.44140625" style="2" customWidth="1"/>
    <col min="243" max="243" width="7" style="2" customWidth="1"/>
    <col min="244" max="244" width="7.44140625" style="2" customWidth="1"/>
    <col min="245" max="245" width="19" style="2" customWidth="1"/>
    <col min="246" max="249" width="17.44140625" style="2" customWidth="1"/>
    <col min="250" max="250" width="4.44140625" style="2" customWidth="1"/>
    <col min="251" max="252" width="9.109375" style="2"/>
    <col min="253" max="254" width="0" style="2" hidden="1" customWidth="1"/>
    <col min="255" max="491" width="9.109375" style="2"/>
    <col min="492" max="492" width="8.44140625" style="2" customWidth="1"/>
    <col min="493" max="493" width="6.44140625" style="2" customWidth="1"/>
    <col min="494" max="498" width="17.44140625" style="2" customWidth="1"/>
    <col min="499" max="499" width="7" style="2" customWidth="1"/>
    <col min="500" max="500" width="7.44140625" style="2" customWidth="1"/>
    <col min="501" max="501" width="19" style="2" customWidth="1"/>
    <col min="502" max="505" width="17.44140625" style="2" customWidth="1"/>
    <col min="506" max="506" width="4.44140625" style="2" customWidth="1"/>
    <col min="507" max="508" width="9.109375" style="2"/>
    <col min="509" max="510" width="0" style="2" hidden="1" customWidth="1"/>
    <col min="511" max="747" width="9.109375" style="2"/>
    <col min="748" max="748" width="8.44140625" style="2" customWidth="1"/>
    <col min="749" max="749" width="6.44140625" style="2" customWidth="1"/>
    <col min="750" max="754" width="17.44140625" style="2" customWidth="1"/>
    <col min="755" max="755" width="7" style="2" customWidth="1"/>
    <col min="756" max="756" width="7.44140625" style="2" customWidth="1"/>
    <col min="757" max="757" width="19" style="2" customWidth="1"/>
    <col min="758" max="761" width="17.44140625" style="2" customWidth="1"/>
    <col min="762" max="762" width="4.44140625" style="2" customWidth="1"/>
    <col min="763" max="764" width="9.109375" style="2"/>
    <col min="765" max="766" width="0" style="2" hidden="1" customWidth="1"/>
    <col min="767" max="1003" width="9.109375" style="2"/>
    <col min="1004" max="1004" width="8.44140625" style="2" customWidth="1"/>
    <col min="1005" max="1005" width="6.44140625" style="2" customWidth="1"/>
    <col min="1006" max="1010" width="17.44140625" style="2" customWidth="1"/>
    <col min="1011" max="1011" width="7" style="2" customWidth="1"/>
    <col min="1012" max="1012" width="7.44140625" style="2" customWidth="1"/>
    <col min="1013" max="1013" width="19" style="2" customWidth="1"/>
    <col min="1014" max="1017" width="17.44140625" style="2" customWidth="1"/>
    <col min="1018" max="1018" width="4.44140625" style="2" customWidth="1"/>
    <col min="1019" max="1020" width="9.109375" style="2"/>
    <col min="1021" max="1022" width="0" style="2" hidden="1" customWidth="1"/>
    <col min="1023" max="1259" width="9.109375" style="2"/>
    <col min="1260" max="1260" width="8.44140625" style="2" customWidth="1"/>
    <col min="1261" max="1261" width="6.44140625" style="2" customWidth="1"/>
    <col min="1262" max="1266" width="17.44140625" style="2" customWidth="1"/>
    <col min="1267" max="1267" width="7" style="2" customWidth="1"/>
    <col min="1268" max="1268" width="7.44140625" style="2" customWidth="1"/>
    <col min="1269" max="1269" width="19" style="2" customWidth="1"/>
    <col min="1270" max="1273" width="17.44140625" style="2" customWidth="1"/>
    <col min="1274" max="1274" width="4.44140625" style="2" customWidth="1"/>
    <col min="1275" max="1276" width="9.109375" style="2"/>
    <col min="1277" max="1278" width="0" style="2" hidden="1" customWidth="1"/>
    <col min="1279" max="1515" width="9.109375" style="2"/>
    <col min="1516" max="1516" width="8.44140625" style="2" customWidth="1"/>
    <col min="1517" max="1517" width="6.44140625" style="2" customWidth="1"/>
    <col min="1518" max="1522" width="17.44140625" style="2" customWidth="1"/>
    <col min="1523" max="1523" width="7" style="2" customWidth="1"/>
    <col min="1524" max="1524" width="7.44140625" style="2" customWidth="1"/>
    <col min="1525" max="1525" width="19" style="2" customWidth="1"/>
    <col min="1526" max="1529" width="17.44140625" style="2" customWidth="1"/>
    <col min="1530" max="1530" width="4.44140625" style="2" customWidth="1"/>
    <col min="1531" max="1532" width="9.109375" style="2"/>
    <col min="1533" max="1534" width="0" style="2" hidden="1" customWidth="1"/>
    <col min="1535" max="1771" width="9.109375" style="2"/>
    <col min="1772" max="1772" width="8.44140625" style="2" customWidth="1"/>
    <col min="1773" max="1773" width="6.44140625" style="2" customWidth="1"/>
    <col min="1774" max="1778" width="17.44140625" style="2" customWidth="1"/>
    <col min="1779" max="1779" width="7" style="2" customWidth="1"/>
    <col min="1780" max="1780" width="7.44140625" style="2" customWidth="1"/>
    <col min="1781" max="1781" width="19" style="2" customWidth="1"/>
    <col min="1782" max="1785" width="17.44140625" style="2" customWidth="1"/>
    <col min="1786" max="1786" width="4.44140625" style="2" customWidth="1"/>
    <col min="1787" max="1788" width="9.109375" style="2"/>
    <col min="1789" max="1790" width="0" style="2" hidden="1" customWidth="1"/>
    <col min="1791" max="2027" width="9.109375" style="2"/>
    <col min="2028" max="2028" width="8.44140625" style="2" customWidth="1"/>
    <col min="2029" max="2029" width="6.44140625" style="2" customWidth="1"/>
    <col min="2030" max="2034" width="17.44140625" style="2" customWidth="1"/>
    <col min="2035" max="2035" width="7" style="2" customWidth="1"/>
    <col min="2036" max="2036" width="7.44140625" style="2" customWidth="1"/>
    <col min="2037" max="2037" width="19" style="2" customWidth="1"/>
    <col min="2038" max="2041" width="17.44140625" style="2" customWidth="1"/>
    <col min="2042" max="2042" width="4.44140625" style="2" customWidth="1"/>
    <col min="2043" max="2044" width="9.109375" style="2"/>
    <col min="2045" max="2046" width="0" style="2" hidden="1" customWidth="1"/>
    <col min="2047" max="2283" width="9.109375" style="2"/>
    <col min="2284" max="2284" width="8.44140625" style="2" customWidth="1"/>
    <col min="2285" max="2285" width="6.44140625" style="2" customWidth="1"/>
    <col min="2286" max="2290" width="17.44140625" style="2" customWidth="1"/>
    <col min="2291" max="2291" width="7" style="2" customWidth="1"/>
    <col min="2292" max="2292" width="7.44140625" style="2" customWidth="1"/>
    <col min="2293" max="2293" width="19" style="2" customWidth="1"/>
    <col min="2294" max="2297" width="17.44140625" style="2" customWidth="1"/>
    <col min="2298" max="2298" width="4.44140625" style="2" customWidth="1"/>
    <col min="2299" max="2300" width="9.109375" style="2"/>
    <col min="2301" max="2302" width="0" style="2" hidden="1" customWidth="1"/>
    <col min="2303" max="2539" width="9.109375" style="2"/>
    <col min="2540" max="2540" width="8.44140625" style="2" customWidth="1"/>
    <col min="2541" max="2541" width="6.44140625" style="2" customWidth="1"/>
    <col min="2542" max="2546" width="17.44140625" style="2" customWidth="1"/>
    <col min="2547" max="2547" width="7" style="2" customWidth="1"/>
    <col min="2548" max="2548" width="7.44140625" style="2" customWidth="1"/>
    <col min="2549" max="2549" width="19" style="2" customWidth="1"/>
    <col min="2550" max="2553" width="17.44140625" style="2" customWidth="1"/>
    <col min="2554" max="2554" width="4.44140625" style="2" customWidth="1"/>
    <col min="2555" max="2556" width="9.109375" style="2"/>
    <col min="2557" max="2558" width="0" style="2" hidden="1" customWidth="1"/>
    <col min="2559" max="2795" width="9.109375" style="2"/>
    <col min="2796" max="2796" width="8.44140625" style="2" customWidth="1"/>
    <col min="2797" max="2797" width="6.44140625" style="2" customWidth="1"/>
    <col min="2798" max="2802" width="17.44140625" style="2" customWidth="1"/>
    <col min="2803" max="2803" width="7" style="2" customWidth="1"/>
    <col min="2804" max="2804" width="7.44140625" style="2" customWidth="1"/>
    <col min="2805" max="2805" width="19" style="2" customWidth="1"/>
    <col min="2806" max="2809" width="17.44140625" style="2" customWidth="1"/>
    <col min="2810" max="2810" width="4.44140625" style="2" customWidth="1"/>
    <col min="2811" max="2812" width="9.109375" style="2"/>
    <col min="2813" max="2814" width="0" style="2" hidden="1" customWidth="1"/>
    <col min="2815" max="3051" width="9.109375" style="2"/>
    <col min="3052" max="3052" width="8.44140625" style="2" customWidth="1"/>
    <col min="3053" max="3053" width="6.44140625" style="2" customWidth="1"/>
    <col min="3054" max="3058" width="17.44140625" style="2" customWidth="1"/>
    <col min="3059" max="3059" width="7" style="2" customWidth="1"/>
    <col min="3060" max="3060" width="7.44140625" style="2" customWidth="1"/>
    <col min="3061" max="3061" width="19" style="2" customWidth="1"/>
    <col min="3062" max="3065" width="17.44140625" style="2" customWidth="1"/>
    <col min="3066" max="3066" width="4.44140625" style="2" customWidth="1"/>
    <col min="3067" max="3068" width="9.109375" style="2"/>
    <col min="3069" max="3070" width="0" style="2" hidden="1" customWidth="1"/>
    <col min="3071" max="3307" width="9.109375" style="2"/>
    <col min="3308" max="3308" width="8.44140625" style="2" customWidth="1"/>
    <col min="3309" max="3309" width="6.44140625" style="2" customWidth="1"/>
    <col min="3310" max="3314" width="17.44140625" style="2" customWidth="1"/>
    <col min="3315" max="3315" width="7" style="2" customWidth="1"/>
    <col min="3316" max="3316" width="7.44140625" style="2" customWidth="1"/>
    <col min="3317" max="3317" width="19" style="2" customWidth="1"/>
    <col min="3318" max="3321" width="17.44140625" style="2" customWidth="1"/>
    <col min="3322" max="3322" width="4.44140625" style="2" customWidth="1"/>
    <col min="3323" max="3324" width="9.109375" style="2"/>
    <col min="3325" max="3326" width="0" style="2" hidden="1" customWidth="1"/>
    <col min="3327" max="3563" width="9.109375" style="2"/>
    <col min="3564" max="3564" width="8.44140625" style="2" customWidth="1"/>
    <col min="3565" max="3565" width="6.44140625" style="2" customWidth="1"/>
    <col min="3566" max="3570" width="17.44140625" style="2" customWidth="1"/>
    <col min="3571" max="3571" width="7" style="2" customWidth="1"/>
    <col min="3572" max="3572" width="7.44140625" style="2" customWidth="1"/>
    <col min="3573" max="3573" width="19" style="2" customWidth="1"/>
    <col min="3574" max="3577" width="17.44140625" style="2" customWidth="1"/>
    <col min="3578" max="3578" width="4.44140625" style="2" customWidth="1"/>
    <col min="3579" max="3580" width="9.109375" style="2"/>
    <col min="3581" max="3582" width="0" style="2" hidden="1" customWidth="1"/>
    <col min="3583" max="3819" width="9.109375" style="2"/>
    <col min="3820" max="3820" width="8.44140625" style="2" customWidth="1"/>
    <col min="3821" max="3821" width="6.44140625" style="2" customWidth="1"/>
    <col min="3822" max="3826" width="17.44140625" style="2" customWidth="1"/>
    <col min="3827" max="3827" width="7" style="2" customWidth="1"/>
    <col min="3828" max="3828" width="7.44140625" style="2" customWidth="1"/>
    <col min="3829" max="3829" width="19" style="2" customWidth="1"/>
    <col min="3830" max="3833" width="17.44140625" style="2" customWidth="1"/>
    <col min="3834" max="3834" width="4.44140625" style="2" customWidth="1"/>
    <col min="3835" max="3836" width="9.109375" style="2"/>
    <col min="3837" max="3838" width="0" style="2" hidden="1" customWidth="1"/>
    <col min="3839" max="4075" width="9.109375" style="2"/>
    <col min="4076" max="4076" width="8.44140625" style="2" customWidth="1"/>
    <col min="4077" max="4077" width="6.44140625" style="2" customWidth="1"/>
    <col min="4078" max="4082" width="17.44140625" style="2" customWidth="1"/>
    <col min="4083" max="4083" width="7" style="2" customWidth="1"/>
    <col min="4084" max="4084" width="7.44140625" style="2" customWidth="1"/>
    <col min="4085" max="4085" width="19" style="2" customWidth="1"/>
    <col min="4086" max="4089" width="17.44140625" style="2" customWidth="1"/>
    <col min="4090" max="4090" width="4.44140625" style="2" customWidth="1"/>
    <col min="4091" max="4092" width="9.109375" style="2"/>
    <col min="4093" max="4094" width="0" style="2" hidden="1" customWidth="1"/>
    <col min="4095" max="4331" width="9.109375" style="2"/>
    <col min="4332" max="4332" width="8.44140625" style="2" customWidth="1"/>
    <col min="4333" max="4333" width="6.44140625" style="2" customWidth="1"/>
    <col min="4334" max="4338" width="17.44140625" style="2" customWidth="1"/>
    <col min="4339" max="4339" width="7" style="2" customWidth="1"/>
    <col min="4340" max="4340" width="7.44140625" style="2" customWidth="1"/>
    <col min="4341" max="4341" width="19" style="2" customWidth="1"/>
    <col min="4342" max="4345" width="17.44140625" style="2" customWidth="1"/>
    <col min="4346" max="4346" width="4.44140625" style="2" customWidth="1"/>
    <col min="4347" max="4348" width="9.109375" style="2"/>
    <col min="4349" max="4350" width="0" style="2" hidden="1" customWidth="1"/>
    <col min="4351" max="4587" width="9.109375" style="2"/>
    <col min="4588" max="4588" width="8.44140625" style="2" customWidth="1"/>
    <col min="4589" max="4589" width="6.44140625" style="2" customWidth="1"/>
    <col min="4590" max="4594" width="17.44140625" style="2" customWidth="1"/>
    <col min="4595" max="4595" width="7" style="2" customWidth="1"/>
    <col min="4596" max="4596" width="7.44140625" style="2" customWidth="1"/>
    <col min="4597" max="4597" width="19" style="2" customWidth="1"/>
    <col min="4598" max="4601" width="17.44140625" style="2" customWidth="1"/>
    <col min="4602" max="4602" width="4.44140625" style="2" customWidth="1"/>
    <col min="4603" max="4604" width="9.109375" style="2"/>
    <col min="4605" max="4606" width="0" style="2" hidden="1" customWidth="1"/>
    <col min="4607" max="4843" width="9.109375" style="2"/>
    <col min="4844" max="4844" width="8.44140625" style="2" customWidth="1"/>
    <col min="4845" max="4845" width="6.44140625" style="2" customWidth="1"/>
    <col min="4846" max="4850" width="17.44140625" style="2" customWidth="1"/>
    <col min="4851" max="4851" width="7" style="2" customWidth="1"/>
    <col min="4852" max="4852" width="7.44140625" style="2" customWidth="1"/>
    <col min="4853" max="4853" width="19" style="2" customWidth="1"/>
    <col min="4854" max="4857" width="17.44140625" style="2" customWidth="1"/>
    <col min="4858" max="4858" width="4.44140625" style="2" customWidth="1"/>
    <col min="4859" max="4860" width="9.109375" style="2"/>
    <col min="4861" max="4862" width="0" style="2" hidden="1" customWidth="1"/>
    <col min="4863" max="5099" width="9.109375" style="2"/>
    <col min="5100" max="5100" width="8.44140625" style="2" customWidth="1"/>
    <col min="5101" max="5101" width="6.44140625" style="2" customWidth="1"/>
    <col min="5102" max="5106" width="17.44140625" style="2" customWidth="1"/>
    <col min="5107" max="5107" width="7" style="2" customWidth="1"/>
    <col min="5108" max="5108" width="7.44140625" style="2" customWidth="1"/>
    <col min="5109" max="5109" width="19" style="2" customWidth="1"/>
    <col min="5110" max="5113" width="17.44140625" style="2" customWidth="1"/>
    <col min="5114" max="5114" width="4.44140625" style="2" customWidth="1"/>
    <col min="5115" max="5116" width="9.109375" style="2"/>
    <col min="5117" max="5118" width="0" style="2" hidden="1" customWidth="1"/>
    <col min="5119" max="5355" width="9.109375" style="2"/>
    <col min="5356" max="5356" width="8.44140625" style="2" customWidth="1"/>
    <col min="5357" max="5357" width="6.44140625" style="2" customWidth="1"/>
    <col min="5358" max="5362" width="17.44140625" style="2" customWidth="1"/>
    <col min="5363" max="5363" width="7" style="2" customWidth="1"/>
    <col min="5364" max="5364" width="7.44140625" style="2" customWidth="1"/>
    <col min="5365" max="5365" width="19" style="2" customWidth="1"/>
    <col min="5366" max="5369" width="17.44140625" style="2" customWidth="1"/>
    <col min="5370" max="5370" width="4.44140625" style="2" customWidth="1"/>
    <col min="5371" max="5372" width="9.109375" style="2"/>
    <col min="5373" max="5374" width="0" style="2" hidden="1" customWidth="1"/>
    <col min="5375" max="5611" width="9.109375" style="2"/>
    <col min="5612" max="5612" width="8.44140625" style="2" customWidth="1"/>
    <col min="5613" max="5613" width="6.44140625" style="2" customWidth="1"/>
    <col min="5614" max="5618" width="17.44140625" style="2" customWidth="1"/>
    <col min="5619" max="5619" width="7" style="2" customWidth="1"/>
    <col min="5620" max="5620" width="7.44140625" style="2" customWidth="1"/>
    <col min="5621" max="5621" width="19" style="2" customWidth="1"/>
    <col min="5622" max="5625" width="17.44140625" style="2" customWidth="1"/>
    <col min="5626" max="5626" width="4.44140625" style="2" customWidth="1"/>
    <col min="5627" max="5628" width="9.109375" style="2"/>
    <col min="5629" max="5630" width="0" style="2" hidden="1" customWidth="1"/>
    <col min="5631" max="5867" width="9.109375" style="2"/>
    <col min="5868" max="5868" width="8.44140625" style="2" customWidth="1"/>
    <col min="5869" max="5869" width="6.44140625" style="2" customWidth="1"/>
    <col min="5870" max="5874" width="17.44140625" style="2" customWidth="1"/>
    <col min="5875" max="5875" width="7" style="2" customWidth="1"/>
    <col min="5876" max="5876" width="7.44140625" style="2" customWidth="1"/>
    <col min="5877" max="5877" width="19" style="2" customWidth="1"/>
    <col min="5878" max="5881" width="17.44140625" style="2" customWidth="1"/>
    <col min="5882" max="5882" width="4.44140625" style="2" customWidth="1"/>
    <col min="5883" max="5884" width="9.109375" style="2"/>
    <col min="5885" max="5886" width="0" style="2" hidden="1" customWidth="1"/>
    <col min="5887" max="6123" width="9.109375" style="2"/>
    <col min="6124" max="6124" width="8.44140625" style="2" customWidth="1"/>
    <col min="6125" max="6125" width="6.44140625" style="2" customWidth="1"/>
    <col min="6126" max="6130" width="17.44140625" style="2" customWidth="1"/>
    <col min="6131" max="6131" width="7" style="2" customWidth="1"/>
    <col min="6132" max="6132" width="7.44140625" style="2" customWidth="1"/>
    <col min="6133" max="6133" width="19" style="2" customWidth="1"/>
    <col min="6134" max="6137" width="17.44140625" style="2" customWidth="1"/>
    <col min="6138" max="6138" width="4.44140625" style="2" customWidth="1"/>
    <col min="6139" max="6140" width="9.109375" style="2"/>
    <col min="6141" max="6142" width="0" style="2" hidden="1" customWidth="1"/>
    <col min="6143" max="6379" width="9.109375" style="2"/>
    <col min="6380" max="6380" width="8.44140625" style="2" customWidth="1"/>
    <col min="6381" max="6381" width="6.44140625" style="2" customWidth="1"/>
    <col min="6382" max="6386" width="17.44140625" style="2" customWidth="1"/>
    <col min="6387" max="6387" width="7" style="2" customWidth="1"/>
    <col min="6388" max="6388" width="7.44140625" style="2" customWidth="1"/>
    <col min="6389" max="6389" width="19" style="2" customWidth="1"/>
    <col min="6390" max="6393" width="17.44140625" style="2" customWidth="1"/>
    <col min="6394" max="6394" width="4.44140625" style="2" customWidth="1"/>
    <col min="6395" max="6396" width="9.109375" style="2"/>
    <col min="6397" max="6398" width="0" style="2" hidden="1" customWidth="1"/>
    <col min="6399" max="6635" width="9.109375" style="2"/>
    <col min="6636" max="6636" width="8.44140625" style="2" customWidth="1"/>
    <col min="6637" max="6637" width="6.44140625" style="2" customWidth="1"/>
    <col min="6638" max="6642" width="17.44140625" style="2" customWidth="1"/>
    <col min="6643" max="6643" width="7" style="2" customWidth="1"/>
    <col min="6644" max="6644" width="7.44140625" style="2" customWidth="1"/>
    <col min="6645" max="6645" width="19" style="2" customWidth="1"/>
    <col min="6646" max="6649" width="17.44140625" style="2" customWidth="1"/>
    <col min="6650" max="6650" width="4.44140625" style="2" customWidth="1"/>
    <col min="6651" max="6652" width="9.109375" style="2"/>
    <col min="6653" max="6654" width="0" style="2" hidden="1" customWidth="1"/>
    <col min="6655" max="6891" width="9.109375" style="2"/>
    <col min="6892" max="6892" width="8.44140625" style="2" customWidth="1"/>
    <col min="6893" max="6893" width="6.44140625" style="2" customWidth="1"/>
    <col min="6894" max="6898" width="17.44140625" style="2" customWidth="1"/>
    <col min="6899" max="6899" width="7" style="2" customWidth="1"/>
    <col min="6900" max="6900" width="7.44140625" style="2" customWidth="1"/>
    <col min="6901" max="6901" width="19" style="2" customWidth="1"/>
    <col min="6902" max="6905" width="17.44140625" style="2" customWidth="1"/>
    <col min="6906" max="6906" width="4.44140625" style="2" customWidth="1"/>
    <col min="6907" max="6908" width="9.109375" style="2"/>
    <col min="6909" max="6910" width="0" style="2" hidden="1" customWidth="1"/>
    <col min="6911" max="7147" width="9.109375" style="2"/>
    <col min="7148" max="7148" width="8.44140625" style="2" customWidth="1"/>
    <col min="7149" max="7149" width="6.44140625" style="2" customWidth="1"/>
    <col min="7150" max="7154" width="17.44140625" style="2" customWidth="1"/>
    <col min="7155" max="7155" width="7" style="2" customWidth="1"/>
    <col min="7156" max="7156" width="7.44140625" style="2" customWidth="1"/>
    <col min="7157" max="7157" width="19" style="2" customWidth="1"/>
    <col min="7158" max="7161" width="17.44140625" style="2" customWidth="1"/>
    <col min="7162" max="7162" width="4.44140625" style="2" customWidth="1"/>
    <col min="7163" max="7164" width="9.109375" style="2"/>
    <col min="7165" max="7166" width="0" style="2" hidden="1" customWidth="1"/>
    <col min="7167" max="7403" width="9.109375" style="2"/>
    <col min="7404" max="7404" width="8.44140625" style="2" customWidth="1"/>
    <col min="7405" max="7405" width="6.44140625" style="2" customWidth="1"/>
    <col min="7406" max="7410" width="17.44140625" style="2" customWidth="1"/>
    <col min="7411" max="7411" width="7" style="2" customWidth="1"/>
    <col min="7412" max="7412" width="7.44140625" style="2" customWidth="1"/>
    <col min="7413" max="7413" width="19" style="2" customWidth="1"/>
    <col min="7414" max="7417" width="17.44140625" style="2" customWidth="1"/>
    <col min="7418" max="7418" width="4.44140625" style="2" customWidth="1"/>
    <col min="7419" max="7420" width="9.109375" style="2"/>
    <col min="7421" max="7422" width="0" style="2" hidden="1" customWidth="1"/>
    <col min="7423" max="7659" width="9.109375" style="2"/>
    <col min="7660" max="7660" width="8.44140625" style="2" customWidth="1"/>
    <col min="7661" max="7661" width="6.44140625" style="2" customWidth="1"/>
    <col min="7662" max="7666" width="17.44140625" style="2" customWidth="1"/>
    <col min="7667" max="7667" width="7" style="2" customWidth="1"/>
    <col min="7668" max="7668" width="7.44140625" style="2" customWidth="1"/>
    <col min="7669" max="7669" width="19" style="2" customWidth="1"/>
    <col min="7670" max="7673" width="17.44140625" style="2" customWidth="1"/>
    <col min="7674" max="7674" width="4.44140625" style="2" customWidth="1"/>
    <col min="7675" max="7676" width="9.109375" style="2"/>
    <col min="7677" max="7678" width="0" style="2" hidden="1" customWidth="1"/>
    <col min="7679" max="7915" width="9.109375" style="2"/>
    <col min="7916" max="7916" width="8.44140625" style="2" customWidth="1"/>
    <col min="7917" max="7917" width="6.44140625" style="2" customWidth="1"/>
    <col min="7918" max="7922" width="17.44140625" style="2" customWidth="1"/>
    <col min="7923" max="7923" width="7" style="2" customWidth="1"/>
    <col min="7924" max="7924" width="7.44140625" style="2" customWidth="1"/>
    <col min="7925" max="7925" width="19" style="2" customWidth="1"/>
    <col min="7926" max="7929" width="17.44140625" style="2" customWidth="1"/>
    <col min="7930" max="7930" width="4.44140625" style="2" customWidth="1"/>
    <col min="7931" max="7932" width="9.109375" style="2"/>
    <col min="7933" max="7934" width="0" style="2" hidden="1" customWidth="1"/>
    <col min="7935" max="8171" width="9.109375" style="2"/>
    <col min="8172" max="8172" width="8.44140625" style="2" customWidth="1"/>
    <col min="8173" max="8173" width="6.44140625" style="2" customWidth="1"/>
    <col min="8174" max="8178" width="17.44140625" style="2" customWidth="1"/>
    <col min="8179" max="8179" width="7" style="2" customWidth="1"/>
    <col min="8180" max="8180" width="7.44140625" style="2" customWidth="1"/>
    <col min="8181" max="8181" width="19" style="2" customWidth="1"/>
    <col min="8182" max="8185" width="17.44140625" style="2" customWidth="1"/>
    <col min="8186" max="8186" width="4.44140625" style="2" customWidth="1"/>
    <col min="8187" max="8188" width="9.109375" style="2"/>
    <col min="8189" max="8190" width="0" style="2" hidden="1" customWidth="1"/>
    <col min="8191" max="8427" width="9.109375" style="2"/>
    <col min="8428" max="8428" width="8.44140625" style="2" customWidth="1"/>
    <col min="8429" max="8429" width="6.44140625" style="2" customWidth="1"/>
    <col min="8430" max="8434" width="17.44140625" style="2" customWidth="1"/>
    <col min="8435" max="8435" width="7" style="2" customWidth="1"/>
    <col min="8436" max="8436" width="7.44140625" style="2" customWidth="1"/>
    <col min="8437" max="8437" width="19" style="2" customWidth="1"/>
    <col min="8438" max="8441" width="17.44140625" style="2" customWidth="1"/>
    <col min="8442" max="8442" width="4.44140625" style="2" customWidth="1"/>
    <col min="8443" max="8444" width="9.109375" style="2"/>
    <col min="8445" max="8446" width="0" style="2" hidden="1" customWidth="1"/>
    <col min="8447" max="8683" width="9.109375" style="2"/>
    <col min="8684" max="8684" width="8.44140625" style="2" customWidth="1"/>
    <col min="8685" max="8685" width="6.44140625" style="2" customWidth="1"/>
    <col min="8686" max="8690" width="17.44140625" style="2" customWidth="1"/>
    <col min="8691" max="8691" width="7" style="2" customWidth="1"/>
    <col min="8692" max="8692" width="7.44140625" style="2" customWidth="1"/>
    <col min="8693" max="8693" width="19" style="2" customWidth="1"/>
    <col min="8694" max="8697" width="17.44140625" style="2" customWidth="1"/>
    <col min="8698" max="8698" width="4.44140625" style="2" customWidth="1"/>
    <col min="8699" max="8700" width="9.109375" style="2"/>
    <col min="8701" max="8702" width="0" style="2" hidden="1" customWidth="1"/>
    <col min="8703" max="8939" width="9.109375" style="2"/>
    <col min="8940" max="8940" width="8.44140625" style="2" customWidth="1"/>
    <col min="8941" max="8941" width="6.44140625" style="2" customWidth="1"/>
    <col min="8942" max="8946" width="17.44140625" style="2" customWidth="1"/>
    <col min="8947" max="8947" width="7" style="2" customWidth="1"/>
    <col min="8948" max="8948" width="7.44140625" style="2" customWidth="1"/>
    <col min="8949" max="8949" width="19" style="2" customWidth="1"/>
    <col min="8950" max="8953" width="17.44140625" style="2" customWidth="1"/>
    <col min="8954" max="8954" width="4.44140625" style="2" customWidth="1"/>
    <col min="8955" max="8956" width="9.109375" style="2"/>
    <col min="8957" max="8958" width="0" style="2" hidden="1" customWidth="1"/>
    <col min="8959" max="9195" width="9.109375" style="2"/>
    <col min="9196" max="9196" width="8.44140625" style="2" customWidth="1"/>
    <col min="9197" max="9197" width="6.44140625" style="2" customWidth="1"/>
    <col min="9198" max="9202" width="17.44140625" style="2" customWidth="1"/>
    <col min="9203" max="9203" width="7" style="2" customWidth="1"/>
    <col min="9204" max="9204" width="7.44140625" style="2" customWidth="1"/>
    <col min="9205" max="9205" width="19" style="2" customWidth="1"/>
    <col min="9206" max="9209" width="17.44140625" style="2" customWidth="1"/>
    <col min="9210" max="9210" width="4.44140625" style="2" customWidth="1"/>
    <col min="9211" max="9212" width="9.109375" style="2"/>
    <col min="9213" max="9214" width="0" style="2" hidden="1" customWidth="1"/>
    <col min="9215" max="9451" width="9.109375" style="2"/>
    <col min="9452" max="9452" width="8.44140625" style="2" customWidth="1"/>
    <col min="9453" max="9453" width="6.44140625" style="2" customWidth="1"/>
    <col min="9454" max="9458" width="17.44140625" style="2" customWidth="1"/>
    <col min="9459" max="9459" width="7" style="2" customWidth="1"/>
    <col min="9460" max="9460" width="7.44140625" style="2" customWidth="1"/>
    <col min="9461" max="9461" width="19" style="2" customWidth="1"/>
    <col min="9462" max="9465" width="17.44140625" style="2" customWidth="1"/>
    <col min="9466" max="9466" width="4.44140625" style="2" customWidth="1"/>
    <col min="9467" max="9468" width="9.109375" style="2"/>
    <col min="9469" max="9470" width="0" style="2" hidden="1" customWidth="1"/>
    <col min="9471" max="9707" width="9.109375" style="2"/>
    <col min="9708" max="9708" width="8.44140625" style="2" customWidth="1"/>
    <col min="9709" max="9709" width="6.44140625" style="2" customWidth="1"/>
    <col min="9710" max="9714" width="17.44140625" style="2" customWidth="1"/>
    <col min="9715" max="9715" width="7" style="2" customWidth="1"/>
    <col min="9716" max="9716" width="7.44140625" style="2" customWidth="1"/>
    <col min="9717" max="9717" width="19" style="2" customWidth="1"/>
    <col min="9718" max="9721" width="17.44140625" style="2" customWidth="1"/>
    <col min="9722" max="9722" width="4.44140625" style="2" customWidth="1"/>
    <col min="9723" max="9724" width="9.109375" style="2"/>
    <col min="9725" max="9726" width="0" style="2" hidden="1" customWidth="1"/>
    <col min="9727" max="9963" width="9.109375" style="2"/>
    <col min="9964" max="9964" width="8.44140625" style="2" customWidth="1"/>
    <col min="9965" max="9965" width="6.44140625" style="2" customWidth="1"/>
    <col min="9966" max="9970" width="17.44140625" style="2" customWidth="1"/>
    <col min="9971" max="9971" width="7" style="2" customWidth="1"/>
    <col min="9972" max="9972" width="7.44140625" style="2" customWidth="1"/>
    <col min="9973" max="9973" width="19" style="2" customWidth="1"/>
    <col min="9974" max="9977" width="17.44140625" style="2" customWidth="1"/>
    <col min="9978" max="9978" width="4.44140625" style="2" customWidth="1"/>
    <col min="9979" max="9980" width="9.109375" style="2"/>
    <col min="9981" max="9982" width="0" style="2" hidden="1" customWidth="1"/>
    <col min="9983" max="10219" width="9.109375" style="2"/>
    <col min="10220" max="10220" width="8.44140625" style="2" customWidth="1"/>
    <col min="10221" max="10221" width="6.44140625" style="2" customWidth="1"/>
    <col min="10222" max="10226" width="17.44140625" style="2" customWidth="1"/>
    <col min="10227" max="10227" width="7" style="2" customWidth="1"/>
    <col min="10228" max="10228" width="7.44140625" style="2" customWidth="1"/>
    <col min="10229" max="10229" width="19" style="2" customWidth="1"/>
    <col min="10230" max="10233" width="17.44140625" style="2" customWidth="1"/>
    <col min="10234" max="10234" width="4.44140625" style="2" customWidth="1"/>
    <col min="10235" max="10236" width="9.109375" style="2"/>
    <col min="10237" max="10238" width="0" style="2" hidden="1" customWidth="1"/>
    <col min="10239" max="10475" width="9.109375" style="2"/>
    <col min="10476" max="10476" width="8.44140625" style="2" customWidth="1"/>
    <col min="10477" max="10477" width="6.44140625" style="2" customWidth="1"/>
    <col min="10478" max="10482" width="17.44140625" style="2" customWidth="1"/>
    <col min="10483" max="10483" width="7" style="2" customWidth="1"/>
    <col min="10484" max="10484" width="7.44140625" style="2" customWidth="1"/>
    <col min="10485" max="10485" width="19" style="2" customWidth="1"/>
    <col min="10486" max="10489" width="17.44140625" style="2" customWidth="1"/>
    <col min="10490" max="10490" width="4.44140625" style="2" customWidth="1"/>
    <col min="10491" max="10492" width="9.109375" style="2"/>
    <col min="10493" max="10494" width="0" style="2" hidden="1" customWidth="1"/>
    <col min="10495" max="10731" width="9.109375" style="2"/>
    <col min="10732" max="10732" width="8.44140625" style="2" customWidth="1"/>
    <col min="10733" max="10733" width="6.44140625" style="2" customWidth="1"/>
    <col min="10734" max="10738" width="17.44140625" style="2" customWidth="1"/>
    <col min="10739" max="10739" width="7" style="2" customWidth="1"/>
    <col min="10740" max="10740" width="7.44140625" style="2" customWidth="1"/>
    <col min="10741" max="10741" width="19" style="2" customWidth="1"/>
    <col min="10742" max="10745" width="17.44140625" style="2" customWidth="1"/>
    <col min="10746" max="10746" width="4.44140625" style="2" customWidth="1"/>
    <col min="10747" max="10748" width="9.109375" style="2"/>
    <col min="10749" max="10750" width="0" style="2" hidden="1" customWidth="1"/>
    <col min="10751" max="10987" width="9.109375" style="2"/>
    <col min="10988" max="10988" width="8.44140625" style="2" customWidth="1"/>
    <col min="10989" max="10989" width="6.44140625" style="2" customWidth="1"/>
    <col min="10990" max="10994" width="17.44140625" style="2" customWidth="1"/>
    <col min="10995" max="10995" width="7" style="2" customWidth="1"/>
    <col min="10996" max="10996" width="7.44140625" style="2" customWidth="1"/>
    <col min="10997" max="10997" width="19" style="2" customWidth="1"/>
    <col min="10998" max="11001" width="17.44140625" style="2" customWidth="1"/>
    <col min="11002" max="11002" width="4.44140625" style="2" customWidth="1"/>
    <col min="11003" max="11004" width="9.109375" style="2"/>
    <col min="11005" max="11006" width="0" style="2" hidden="1" customWidth="1"/>
    <col min="11007" max="11243" width="9.109375" style="2"/>
    <col min="11244" max="11244" width="8.44140625" style="2" customWidth="1"/>
    <col min="11245" max="11245" width="6.44140625" style="2" customWidth="1"/>
    <col min="11246" max="11250" width="17.44140625" style="2" customWidth="1"/>
    <col min="11251" max="11251" width="7" style="2" customWidth="1"/>
    <col min="11252" max="11252" width="7.44140625" style="2" customWidth="1"/>
    <col min="11253" max="11253" width="19" style="2" customWidth="1"/>
    <col min="11254" max="11257" width="17.44140625" style="2" customWidth="1"/>
    <col min="11258" max="11258" width="4.44140625" style="2" customWidth="1"/>
    <col min="11259" max="11260" width="9.109375" style="2"/>
    <col min="11261" max="11262" width="0" style="2" hidden="1" customWidth="1"/>
    <col min="11263" max="11499" width="9.109375" style="2"/>
    <col min="11500" max="11500" width="8.44140625" style="2" customWidth="1"/>
    <col min="11501" max="11501" width="6.44140625" style="2" customWidth="1"/>
    <col min="11502" max="11506" width="17.44140625" style="2" customWidth="1"/>
    <col min="11507" max="11507" width="7" style="2" customWidth="1"/>
    <col min="11508" max="11508" width="7.44140625" style="2" customWidth="1"/>
    <col min="11509" max="11509" width="19" style="2" customWidth="1"/>
    <col min="11510" max="11513" width="17.44140625" style="2" customWidth="1"/>
    <col min="11514" max="11514" width="4.44140625" style="2" customWidth="1"/>
    <col min="11515" max="11516" width="9.109375" style="2"/>
    <col min="11517" max="11518" width="0" style="2" hidden="1" customWidth="1"/>
    <col min="11519" max="11755" width="9.109375" style="2"/>
    <col min="11756" max="11756" width="8.44140625" style="2" customWidth="1"/>
    <col min="11757" max="11757" width="6.44140625" style="2" customWidth="1"/>
    <col min="11758" max="11762" width="17.44140625" style="2" customWidth="1"/>
    <col min="11763" max="11763" width="7" style="2" customWidth="1"/>
    <col min="11764" max="11764" width="7.44140625" style="2" customWidth="1"/>
    <col min="11765" max="11765" width="19" style="2" customWidth="1"/>
    <col min="11766" max="11769" width="17.44140625" style="2" customWidth="1"/>
    <col min="11770" max="11770" width="4.44140625" style="2" customWidth="1"/>
    <col min="11771" max="11772" width="9.109375" style="2"/>
    <col min="11773" max="11774" width="0" style="2" hidden="1" customWidth="1"/>
    <col min="11775" max="12011" width="9.109375" style="2"/>
    <col min="12012" max="12012" width="8.44140625" style="2" customWidth="1"/>
    <col min="12013" max="12013" width="6.44140625" style="2" customWidth="1"/>
    <col min="12014" max="12018" width="17.44140625" style="2" customWidth="1"/>
    <col min="12019" max="12019" width="7" style="2" customWidth="1"/>
    <col min="12020" max="12020" width="7.44140625" style="2" customWidth="1"/>
    <col min="12021" max="12021" width="19" style="2" customWidth="1"/>
    <col min="12022" max="12025" width="17.44140625" style="2" customWidth="1"/>
    <col min="12026" max="12026" width="4.44140625" style="2" customWidth="1"/>
    <col min="12027" max="12028" width="9.109375" style="2"/>
    <col min="12029" max="12030" width="0" style="2" hidden="1" customWidth="1"/>
    <col min="12031" max="12267" width="9.109375" style="2"/>
    <col min="12268" max="12268" width="8.44140625" style="2" customWidth="1"/>
    <col min="12269" max="12269" width="6.44140625" style="2" customWidth="1"/>
    <col min="12270" max="12274" width="17.44140625" style="2" customWidth="1"/>
    <col min="12275" max="12275" width="7" style="2" customWidth="1"/>
    <col min="12276" max="12276" width="7.44140625" style="2" customWidth="1"/>
    <col min="12277" max="12277" width="19" style="2" customWidth="1"/>
    <col min="12278" max="12281" width="17.44140625" style="2" customWidth="1"/>
    <col min="12282" max="12282" width="4.44140625" style="2" customWidth="1"/>
    <col min="12283" max="12284" width="9.109375" style="2"/>
    <col min="12285" max="12286" width="0" style="2" hidden="1" customWidth="1"/>
    <col min="12287" max="12523" width="9.109375" style="2"/>
    <col min="12524" max="12524" width="8.44140625" style="2" customWidth="1"/>
    <col min="12525" max="12525" width="6.44140625" style="2" customWidth="1"/>
    <col min="12526" max="12530" width="17.44140625" style="2" customWidth="1"/>
    <col min="12531" max="12531" width="7" style="2" customWidth="1"/>
    <col min="12532" max="12532" width="7.44140625" style="2" customWidth="1"/>
    <col min="12533" max="12533" width="19" style="2" customWidth="1"/>
    <col min="12534" max="12537" width="17.44140625" style="2" customWidth="1"/>
    <col min="12538" max="12538" width="4.44140625" style="2" customWidth="1"/>
    <col min="12539" max="12540" width="9.109375" style="2"/>
    <col min="12541" max="12542" width="0" style="2" hidden="1" customWidth="1"/>
    <col min="12543" max="12779" width="9.109375" style="2"/>
    <col min="12780" max="12780" width="8.44140625" style="2" customWidth="1"/>
    <col min="12781" max="12781" width="6.44140625" style="2" customWidth="1"/>
    <col min="12782" max="12786" width="17.44140625" style="2" customWidth="1"/>
    <col min="12787" max="12787" width="7" style="2" customWidth="1"/>
    <col min="12788" max="12788" width="7.44140625" style="2" customWidth="1"/>
    <col min="12789" max="12789" width="19" style="2" customWidth="1"/>
    <col min="12790" max="12793" width="17.44140625" style="2" customWidth="1"/>
    <col min="12794" max="12794" width="4.44140625" style="2" customWidth="1"/>
    <col min="12795" max="12796" width="9.109375" style="2"/>
    <col min="12797" max="12798" width="0" style="2" hidden="1" customWidth="1"/>
    <col min="12799" max="13035" width="9.109375" style="2"/>
    <col min="13036" max="13036" width="8.44140625" style="2" customWidth="1"/>
    <col min="13037" max="13037" width="6.44140625" style="2" customWidth="1"/>
    <col min="13038" max="13042" width="17.44140625" style="2" customWidth="1"/>
    <col min="13043" max="13043" width="7" style="2" customWidth="1"/>
    <col min="13044" max="13044" width="7.44140625" style="2" customWidth="1"/>
    <col min="13045" max="13045" width="19" style="2" customWidth="1"/>
    <col min="13046" max="13049" width="17.44140625" style="2" customWidth="1"/>
    <col min="13050" max="13050" width="4.44140625" style="2" customWidth="1"/>
    <col min="13051" max="13052" width="9.109375" style="2"/>
    <col min="13053" max="13054" width="0" style="2" hidden="1" customWidth="1"/>
    <col min="13055" max="13291" width="9.109375" style="2"/>
    <col min="13292" max="13292" width="8.44140625" style="2" customWidth="1"/>
    <col min="13293" max="13293" width="6.44140625" style="2" customWidth="1"/>
    <col min="13294" max="13298" width="17.44140625" style="2" customWidth="1"/>
    <col min="13299" max="13299" width="7" style="2" customWidth="1"/>
    <col min="13300" max="13300" width="7.44140625" style="2" customWidth="1"/>
    <col min="13301" max="13301" width="19" style="2" customWidth="1"/>
    <col min="13302" max="13305" width="17.44140625" style="2" customWidth="1"/>
    <col min="13306" max="13306" width="4.44140625" style="2" customWidth="1"/>
    <col min="13307" max="13308" width="9.109375" style="2"/>
    <col min="13309" max="13310" width="0" style="2" hidden="1" customWidth="1"/>
    <col min="13311" max="13547" width="9.109375" style="2"/>
    <col min="13548" max="13548" width="8.44140625" style="2" customWidth="1"/>
    <col min="13549" max="13549" width="6.44140625" style="2" customWidth="1"/>
    <col min="13550" max="13554" width="17.44140625" style="2" customWidth="1"/>
    <col min="13555" max="13555" width="7" style="2" customWidth="1"/>
    <col min="13556" max="13556" width="7.44140625" style="2" customWidth="1"/>
    <col min="13557" max="13557" width="19" style="2" customWidth="1"/>
    <col min="13558" max="13561" width="17.44140625" style="2" customWidth="1"/>
    <col min="13562" max="13562" width="4.44140625" style="2" customWidth="1"/>
    <col min="13563" max="13564" width="9.109375" style="2"/>
    <col min="13565" max="13566" width="0" style="2" hidden="1" customWidth="1"/>
    <col min="13567" max="13803" width="9.109375" style="2"/>
    <col min="13804" max="13804" width="8.44140625" style="2" customWidth="1"/>
    <col min="13805" max="13805" width="6.44140625" style="2" customWidth="1"/>
    <col min="13806" max="13810" width="17.44140625" style="2" customWidth="1"/>
    <col min="13811" max="13811" width="7" style="2" customWidth="1"/>
    <col min="13812" max="13812" width="7.44140625" style="2" customWidth="1"/>
    <col min="13813" max="13813" width="19" style="2" customWidth="1"/>
    <col min="13814" max="13817" width="17.44140625" style="2" customWidth="1"/>
    <col min="13818" max="13818" width="4.44140625" style="2" customWidth="1"/>
    <col min="13819" max="13820" width="9.109375" style="2"/>
    <col min="13821" max="13822" width="0" style="2" hidden="1" customWidth="1"/>
    <col min="13823" max="14059" width="9.109375" style="2"/>
    <col min="14060" max="14060" width="8.44140625" style="2" customWidth="1"/>
    <col min="14061" max="14061" width="6.44140625" style="2" customWidth="1"/>
    <col min="14062" max="14066" width="17.44140625" style="2" customWidth="1"/>
    <col min="14067" max="14067" width="7" style="2" customWidth="1"/>
    <col min="14068" max="14068" width="7.44140625" style="2" customWidth="1"/>
    <col min="14069" max="14069" width="19" style="2" customWidth="1"/>
    <col min="14070" max="14073" width="17.44140625" style="2" customWidth="1"/>
    <col min="14074" max="14074" width="4.44140625" style="2" customWidth="1"/>
    <col min="14075" max="14076" width="9.109375" style="2"/>
    <col min="14077" max="14078" width="0" style="2" hidden="1" customWidth="1"/>
    <col min="14079" max="14315" width="9.109375" style="2"/>
    <col min="14316" max="14316" width="8.44140625" style="2" customWidth="1"/>
    <col min="14317" max="14317" width="6.44140625" style="2" customWidth="1"/>
    <col min="14318" max="14322" width="17.44140625" style="2" customWidth="1"/>
    <col min="14323" max="14323" width="7" style="2" customWidth="1"/>
    <col min="14324" max="14324" width="7.44140625" style="2" customWidth="1"/>
    <col min="14325" max="14325" width="19" style="2" customWidth="1"/>
    <col min="14326" max="14329" width="17.44140625" style="2" customWidth="1"/>
    <col min="14330" max="14330" width="4.44140625" style="2" customWidth="1"/>
    <col min="14331" max="14332" width="9.109375" style="2"/>
    <col min="14333" max="14334" width="0" style="2" hidden="1" customWidth="1"/>
    <col min="14335" max="14571" width="9.109375" style="2"/>
    <col min="14572" max="14572" width="8.44140625" style="2" customWidth="1"/>
    <col min="14573" max="14573" width="6.44140625" style="2" customWidth="1"/>
    <col min="14574" max="14578" width="17.44140625" style="2" customWidth="1"/>
    <col min="14579" max="14579" width="7" style="2" customWidth="1"/>
    <col min="14580" max="14580" width="7.44140625" style="2" customWidth="1"/>
    <col min="14581" max="14581" width="19" style="2" customWidth="1"/>
    <col min="14582" max="14585" width="17.44140625" style="2" customWidth="1"/>
    <col min="14586" max="14586" width="4.44140625" style="2" customWidth="1"/>
    <col min="14587" max="14588" width="9.109375" style="2"/>
    <col min="14589" max="14590" width="0" style="2" hidden="1" customWidth="1"/>
    <col min="14591" max="14827" width="9.109375" style="2"/>
    <col min="14828" max="14828" width="8.44140625" style="2" customWidth="1"/>
    <col min="14829" max="14829" width="6.44140625" style="2" customWidth="1"/>
    <col min="14830" max="14834" width="17.44140625" style="2" customWidth="1"/>
    <col min="14835" max="14835" width="7" style="2" customWidth="1"/>
    <col min="14836" max="14836" width="7.44140625" style="2" customWidth="1"/>
    <col min="14837" max="14837" width="19" style="2" customWidth="1"/>
    <col min="14838" max="14841" width="17.44140625" style="2" customWidth="1"/>
    <col min="14842" max="14842" width="4.44140625" style="2" customWidth="1"/>
    <col min="14843" max="14844" width="9.109375" style="2"/>
    <col min="14845" max="14846" width="0" style="2" hidden="1" customWidth="1"/>
    <col min="14847" max="15083" width="9.109375" style="2"/>
    <col min="15084" max="15084" width="8.44140625" style="2" customWidth="1"/>
    <col min="15085" max="15085" width="6.44140625" style="2" customWidth="1"/>
    <col min="15086" max="15090" width="17.44140625" style="2" customWidth="1"/>
    <col min="15091" max="15091" width="7" style="2" customWidth="1"/>
    <col min="15092" max="15092" width="7.44140625" style="2" customWidth="1"/>
    <col min="15093" max="15093" width="19" style="2" customWidth="1"/>
    <col min="15094" max="15097" width="17.44140625" style="2" customWidth="1"/>
    <col min="15098" max="15098" width="4.44140625" style="2" customWidth="1"/>
    <col min="15099" max="15100" width="9.109375" style="2"/>
    <col min="15101" max="15102" width="0" style="2" hidden="1" customWidth="1"/>
    <col min="15103" max="15339" width="9.109375" style="2"/>
    <col min="15340" max="15340" width="8.44140625" style="2" customWidth="1"/>
    <col min="15341" max="15341" width="6.44140625" style="2" customWidth="1"/>
    <col min="15342" max="15346" width="17.44140625" style="2" customWidth="1"/>
    <col min="15347" max="15347" width="7" style="2" customWidth="1"/>
    <col min="15348" max="15348" width="7.44140625" style="2" customWidth="1"/>
    <col min="15349" max="15349" width="19" style="2" customWidth="1"/>
    <col min="15350" max="15353" width="17.44140625" style="2" customWidth="1"/>
    <col min="15354" max="15354" width="4.44140625" style="2" customWidth="1"/>
    <col min="15355" max="15356" width="9.109375" style="2"/>
    <col min="15357" max="15358" width="0" style="2" hidden="1" customWidth="1"/>
    <col min="15359" max="15595" width="9.109375" style="2"/>
    <col min="15596" max="15596" width="8.44140625" style="2" customWidth="1"/>
    <col min="15597" max="15597" width="6.44140625" style="2" customWidth="1"/>
    <col min="15598" max="15602" width="17.44140625" style="2" customWidth="1"/>
    <col min="15603" max="15603" width="7" style="2" customWidth="1"/>
    <col min="15604" max="15604" width="7.44140625" style="2" customWidth="1"/>
    <col min="15605" max="15605" width="19" style="2" customWidth="1"/>
    <col min="15606" max="15609" width="17.44140625" style="2" customWidth="1"/>
    <col min="15610" max="15610" width="4.44140625" style="2" customWidth="1"/>
    <col min="15611" max="15612" width="9.109375" style="2"/>
    <col min="15613" max="15614" width="0" style="2" hidden="1" customWidth="1"/>
    <col min="15615" max="15851" width="9.109375" style="2"/>
    <col min="15852" max="15852" width="8.44140625" style="2" customWidth="1"/>
    <col min="15853" max="15853" width="6.44140625" style="2" customWidth="1"/>
    <col min="15854" max="15858" width="17.44140625" style="2" customWidth="1"/>
    <col min="15859" max="15859" width="7" style="2" customWidth="1"/>
    <col min="15860" max="15860" width="7.44140625" style="2" customWidth="1"/>
    <col min="15861" max="15861" width="19" style="2" customWidth="1"/>
    <col min="15862" max="15865" width="17.44140625" style="2" customWidth="1"/>
    <col min="15866" max="15866" width="4.44140625" style="2" customWidth="1"/>
    <col min="15867" max="15868" width="9.109375" style="2"/>
    <col min="15869" max="15870" width="0" style="2" hidden="1" customWidth="1"/>
    <col min="15871" max="16107" width="9.109375" style="2"/>
    <col min="16108" max="16108" width="8.44140625" style="2" customWidth="1"/>
    <col min="16109" max="16109" width="6.44140625" style="2" customWidth="1"/>
    <col min="16110" max="16114" width="17.44140625" style="2" customWidth="1"/>
    <col min="16115" max="16115" width="7" style="2" customWidth="1"/>
    <col min="16116" max="16116" width="7.44140625" style="2" customWidth="1"/>
    <col min="16117" max="16117" width="19" style="2" customWidth="1"/>
    <col min="16118" max="16121" width="17.44140625" style="2" customWidth="1"/>
    <col min="16122" max="16122" width="4.44140625" style="2" customWidth="1"/>
    <col min="16123" max="16124" width="9.109375" style="2"/>
    <col min="16125" max="16126" width="0" style="2" hidden="1" customWidth="1"/>
    <col min="16127" max="16384" width="9.109375" style="2"/>
  </cols>
  <sheetData>
    <row r="1" spans="2:19" ht="214.5" customHeight="1">
      <c r="B1" s="1632" t="s">
        <v>1377</v>
      </c>
      <c r="C1" s="1663"/>
      <c r="D1" s="1663"/>
      <c r="E1" s="1663"/>
      <c r="F1" s="1663"/>
      <c r="G1" s="1663"/>
      <c r="H1" s="1663"/>
      <c r="I1" s="1663"/>
      <c r="J1" s="1663"/>
      <c r="K1" s="1663"/>
      <c r="L1" s="1663"/>
      <c r="M1" s="1663"/>
      <c r="N1" s="1663"/>
      <c r="O1" s="1633" t="s">
        <v>528</v>
      </c>
      <c r="P1" s="1633"/>
      <c r="Q1" s="1633"/>
      <c r="R1" s="1633"/>
    </row>
    <row r="2" spans="2:19" ht="6.75" customHeight="1">
      <c r="B2" s="134"/>
      <c r="C2" s="134"/>
      <c r="D2" s="134"/>
      <c r="E2" s="134"/>
      <c r="F2" s="134"/>
      <c r="G2" s="134"/>
      <c r="H2" s="134"/>
      <c r="I2" s="134"/>
      <c r="J2" s="134"/>
      <c r="K2" s="135"/>
      <c r="L2" s="136"/>
      <c r="M2" s="137"/>
      <c r="N2" s="137"/>
      <c r="O2" s="137"/>
      <c r="P2" s="137"/>
      <c r="Q2" s="137"/>
      <c r="R2" s="137"/>
    </row>
    <row r="3" spans="2:19" ht="40.5" customHeight="1">
      <c r="B3" s="134"/>
      <c r="C3" s="1640" t="s">
        <v>627</v>
      </c>
      <c r="D3" s="1640"/>
      <c r="E3" s="1640"/>
      <c r="F3" s="1640"/>
      <c r="G3" s="1640"/>
      <c r="H3" s="1640"/>
      <c r="I3" s="1640"/>
      <c r="J3" s="1640"/>
      <c r="K3" s="1640"/>
      <c r="L3" s="1640"/>
      <c r="M3" s="260" t="s">
        <v>354</v>
      </c>
      <c r="N3" s="134"/>
      <c r="O3" s="134"/>
      <c r="P3" s="134"/>
      <c r="Q3" s="134"/>
      <c r="R3" s="134"/>
    </row>
    <row r="4" spans="2:19" s="20" customFormat="1" ht="50.25" customHeight="1">
      <c r="B4" s="1643" t="str">
        <f>"АО НК ҚАЗАҚСТАН ТЕМІР ЖОЛЫ на " &amp;B5&amp;" год (консолидированная)"</f>
        <v>АО НК ҚАЗАҚСТАН ТЕМІР ЖОЛЫ на 2021 год (консолидированная)</v>
      </c>
      <c r="C4" s="1643"/>
      <c r="D4" s="1643"/>
      <c r="E4" s="1643"/>
      <c r="F4" s="1643"/>
      <c r="G4" s="1643"/>
      <c r="H4" s="1643"/>
      <c r="I4" s="1643"/>
      <c r="J4" s="1643"/>
      <c r="K4" s="1643"/>
      <c r="L4" s="1643"/>
      <c r="M4" s="191">
        <v>-326739.77471341484</v>
      </c>
      <c r="N4" s="140"/>
      <c r="O4" s="140"/>
      <c r="P4" s="140"/>
      <c r="Q4" s="140"/>
      <c r="R4" s="140"/>
      <c r="S4"/>
    </row>
    <row r="5" spans="2:19" s="20" customFormat="1" ht="65.25" hidden="1" customHeight="1">
      <c r="B5" s="315">
        <v>2021</v>
      </c>
      <c r="C5" s="192"/>
      <c r="D5" s="316">
        <v>2021</v>
      </c>
      <c r="E5" s="316">
        <v>2022</v>
      </c>
      <c r="F5" s="316">
        <v>2023</v>
      </c>
      <c r="G5" s="316">
        <v>2024</v>
      </c>
      <c r="H5" s="316">
        <v>2025</v>
      </c>
      <c r="I5" s="192"/>
      <c r="J5" s="192"/>
      <c r="K5" s="193"/>
      <c r="L5" s="194"/>
      <c r="M5" s="196"/>
      <c r="N5" s="196"/>
      <c r="O5" s="196"/>
      <c r="P5" s="196"/>
      <c r="Q5" s="196"/>
      <c r="R5" s="196"/>
      <c r="S5"/>
    </row>
    <row r="6" spans="2:19" s="20" customFormat="1" ht="47.25" customHeight="1">
      <c r="B6" s="144"/>
      <c r="C6" s="142"/>
      <c r="D6" s="141" t="s">
        <v>278</v>
      </c>
      <c r="E6" s="141" t="s">
        <v>279</v>
      </c>
      <c r="F6" s="141" t="s">
        <v>280</v>
      </c>
      <c r="G6" s="1636" t="s">
        <v>281</v>
      </c>
      <c r="H6" s="1636"/>
      <c r="I6" s="145"/>
      <c r="J6" s="142"/>
      <c r="K6" s="143"/>
      <c r="L6" s="143"/>
      <c r="M6" s="142"/>
      <c r="N6" s="142"/>
      <c r="O6" s="142"/>
      <c r="P6" s="142"/>
      <c r="Q6" s="142"/>
      <c r="R6" s="142"/>
      <c r="S6"/>
    </row>
    <row r="7" spans="2:19" s="20" customFormat="1" ht="16.5" customHeight="1">
      <c r="B7" s="21"/>
      <c r="I7"/>
      <c r="K7" s="22"/>
      <c r="L7" s="22"/>
      <c r="S7"/>
    </row>
    <row r="8" spans="2:19" ht="72" customHeight="1">
      <c r="B8" s="1664" t="s">
        <v>283</v>
      </c>
      <c r="C8" s="1613" t="s">
        <v>326</v>
      </c>
      <c r="D8" s="1666"/>
      <c r="E8" s="1667"/>
      <c r="F8" s="1672"/>
      <c r="G8" s="1673"/>
      <c r="H8" s="1678"/>
      <c r="I8" s="1679"/>
      <c r="K8" s="23" t="s">
        <v>10</v>
      </c>
      <c r="L8" s="560" t="s">
        <v>291</v>
      </c>
      <c r="M8" s="560" t="s">
        <v>292</v>
      </c>
      <c r="N8" s="462"/>
      <c r="O8" s="566" t="s">
        <v>100</v>
      </c>
      <c r="P8" s="566" t="s">
        <v>167</v>
      </c>
      <c r="Q8" s="566" t="s">
        <v>311</v>
      </c>
      <c r="R8" s="566" t="s">
        <v>116</v>
      </c>
    </row>
    <row r="9" spans="2:19" ht="66" customHeight="1">
      <c r="B9" s="1665"/>
      <c r="C9" s="1614"/>
      <c r="D9" s="1668"/>
      <c r="E9" s="1669"/>
      <c r="F9" s="1674"/>
      <c r="G9" s="1675"/>
      <c r="H9" s="1680"/>
      <c r="I9" s="1681"/>
      <c r="K9" s="24"/>
      <c r="L9" s="465" t="s">
        <v>160</v>
      </c>
      <c r="M9" s="558" t="s">
        <v>73</v>
      </c>
      <c r="N9" s="559" t="str">
        <f ca="1">"ВЕРОЯТНОСТЬ  "&amp;IF(O9&lt;0.05,1,IF((O9&gt;=0.05)*(O9&lt;0.25),2,IF((O9&gt;=0.25)*(O9&lt;0.5),3,IF((O9&gt;=0.5)*(O9&lt;0.75),4,5))))&amp;"  ВЛИЯНИЕ  "&amp;IF(P9&gt;-200,1,IF((P9&lt;=-200)*(P9&gt;-500),2,IF((P9&lt;=-500)*(P9&gt;-1000),3,IF((P9&lt;=-1000)*(P9&gt;-3000),4,5))))</f>
        <v>ВЕРОЯТНОСТЬ  4  ВЛИЯНИЕ  5</v>
      </c>
      <c r="O9" s="561">
        <f ca="1">SUMIF(Check!$B$4:$C$31,M9,Check!$C$4:$C$31)</f>
        <v>0.72021590109278355</v>
      </c>
      <c r="P9" s="562">
        <f ca="1">SUMIF(Check!$B$4:$C$31,M9,Check!$D$4:$D$31)</f>
        <v>-64897.071819128585</v>
      </c>
      <c r="Q9" s="563">
        <f ca="1">SUMIF(Check!$B$4:$C$31,M9,Check!$E$4:$E$31)</f>
        <v>-46739.903058496784</v>
      </c>
      <c r="R9" s="563">
        <f ca="1">SUMIF(Check!$B$4:$C$31,M9,Check!$F$4:$F$31)</f>
        <v>-13338.641693468657</v>
      </c>
      <c r="S9" s="2"/>
    </row>
    <row r="10" spans="2:19" ht="95.25" customHeight="1">
      <c r="B10" s="1665"/>
      <c r="C10" s="1614"/>
      <c r="D10" s="1668"/>
      <c r="E10" s="1669"/>
      <c r="F10" s="1674"/>
      <c r="G10" s="1675"/>
      <c r="H10" s="1680"/>
      <c r="I10" s="1681"/>
      <c r="K10" s="1600">
        <v>1</v>
      </c>
      <c r="L10" s="470" t="s">
        <v>359</v>
      </c>
      <c r="M10" s="558" t="s">
        <v>1015</v>
      </c>
      <c r="N10" s="559" t="str">
        <f t="shared" ref="N10:N35" ca="1" si="0">"ВЕРОЯТНОСТЬ  "&amp;IF(O10&lt;0.05,1,IF((O10&gt;=0.05)*(O10&lt;0.25),2,IF((O10&gt;=0.25)*(O10&lt;0.5),3,IF((O10&gt;=0.5)*(O10&lt;0.75),4,5))))&amp;"  ВЛИЯНИЕ  "&amp;IF(P10&gt;-200,1,IF((P10&lt;=-200)*(P10&gt;-500),2,IF((P10&lt;=-500)*(P10&gt;-1000),3,IF((P10&lt;=-1000)*(P10&gt;-3000),4,5))))</f>
        <v>ВЕРОЯТНОСТЬ  4  ВЛИЯНИЕ  5</v>
      </c>
      <c r="O10" s="561">
        <f ca="1">SUMIF(Check!$B$4:$C$31,M10,Check!$C$4:$C$31)</f>
        <v>0.65018747104050056</v>
      </c>
      <c r="P10" s="562">
        <f ca="1">SUMIF(Check!$B$4:$C$31,M10,Check!$D$4:$D$31)</f>
        <v>-21892.101850229999</v>
      </c>
      <c r="Q10" s="563">
        <f ca="1">SUMIF(Check!$B$4:$C$31,M10,Check!$E$4:$E$31)</f>
        <v>-14233.970337762106</v>
      </c>
      <c r="R10" s="563">
        <f ca="1">SUMIF(Check!$B$4:$C$31,M10,Check!$F$4:$F$31)</f>
        <v>-2374.4891951609998</v>
      </c>
    </row>
    <row r="11" spans="2:19" ht="66" customHeight="1">
      <c r="B11" s="1665"/>
      <c r="C11" s="1614"/>
      <c r="D11" s="1668"/>
      <c r="E11" s="1669"/>
      <c r="F11" s="1674"/>
      <c r="G11" s="1675"/>
      <c r="H11" s="1680"/>
      <c r="I11" s="1681"/>
      <c r="K11" s="1601"/>
      <c r="L11" s="470" t="s">
        <v>61</v>
      </c>
      <c r="M11" s="558" t="s">
        <v>342</v>
      </c>
      <c r="N11" s="559" t="str">
        <f t="shared" ca="1" si="0"/>
        <v>ВЕРОЯТНОСТЬ  2  ВЛИЯНИЕ  5</v>
      </c>
      <c r="O11" s="561">
        <f ca="1">SUMIF(Check!$B$4:$C$31,M11,Check!$C$4:$C$31)</f>
        <v>0.22545055529693422</v>
      </c>
      <c r="P11" s="562">
        <f ca="1">SUMIF(Check!$B$4:$C$31,M11,Check!$D$4:$D$31)</f>
        <v>-37457</v>
      </c>
      <c r="Q11" s="563">
        <f ca="1">SUMIF(Check!$B$4:$C$31,M11,Check!$E$4:$E$31)</f>
        <v>-8444.7014497572654</v>
      </c>
      <c r="R11" s="563">
        <f ca="1">SUMIF(Check!$B$4:$C$31,M11,Check!$F$4:$F$31)</f>
        <v>-4511.0999999999995</v>
      </c>
    </row>
    <row r="12" spans="2:19" ht="102" customHeight="1">
      <c r="B12" s="1665"/>
      <c r="C12" s="1614"/>
      <c r="D12" s="1668"/>
      <c r="E12" s="1669"/>
      <c r="F12" s="1674"/>
      <c r="G12" s="1675"/>
      <c r="H12" s="1680"/>
      <c r="I12" s="1681"/>
      <c r="K12" s="25">
        <v>2</v>
      </c>
      <c r="L12" s="470" t="s">
        <v>313</v>
      </c>
      <c r="M12" s="558" t="s">
        <v>379</v>
      </c>
      <c r="N12" s="559" t="str">
        <f t="shared" ca="1" si="0"/>
        <v>ВЕРОЯТНОСТЬ  2  ВЛИЯНИЕ  5</v>
      </c>
      <c r="O12" s="561">
        <f ca="1">SUMIF(Check!$B$4:$C$31,M12,Check!$C$4:$C$31)</f>
        <v>0.2</v>
      </c>
      <c r="P12" s="562">
        <f ca="1">SUMIF(Check!$B$4:$C$31,M12,Check!$D$4:$D$31)</f>
        <v>-7200</v>
      </c>
      <c r="Q12" s="563">
        <f ca="1">SUMIF(Check!$B$4:$C$31,M12,Check!$E$4:$E$31)</f>
        <v>-1440</v>
      </c>
      <c r="R12" s="563">
        <f ca="1">SUMIF(Check!$B$4:$C$31,M12,Check!$F$4:$F$31)</f>
        <v>-74312</v>
      </c>
    </row>
    <row r="13" spans="2:19" ht="81.75" customHeight="1">
      <c r="B13" s="1665"/>
      <c r="C13" s="1614"/>
      <c r="D13" s="1668"/>
      <c r="E13" s="1669"/>
      <c r="F13" s="1674"/>
      <c r="G13" s="1675"/>
      <c r="H13" s="1680"/>
      <c r="I13" s="1681"/>
      <c r="K13" s="26"/>
      <c r="L13" s="470" t="s">
        <v>360</v>
      </c>
      <c r="M13" s="558" t="s">
        <v>453</v>
      </c>
      <c r="N13" s="559" t="str">
        <f t="shared" ca="1" si="0"/>
        <v>ВЕРОЯТНОСТЬ  5  ВЛИЯНИЕ  5</v>
      </c>
      <c r="O13" s="561">
        <f ca="1">SUMIF(Check!$B$4:$C$31,M13,Check!$C$4:$C$31)</f>
        <v>0.7949841964329738</v>
      </c>
      <c r="P13" s="562">
        <f ca="1">SUMIF(Check!$B$4:$C$31,M13,Check!$D$4:$D$31)</f>
        <v>-105008.03382805461</v>
      </c>
      <c r="Q13" s="563">
        <f ca="1">SUMIF(Check!$B$4:$C$31,M13,Check!$E$4:$E$31)</f>
        <v>-83479.727391802531</v>
      </c>
      <c r="R13" s="563">
        <f ca="1">SUMIF(Check!$B$4:$C$31,M13,Check!$F$4:$F$31)</f>
        <v>-81515.830965372996</v>
      </c>
    </row>
    <row r="14" spans="2:19" ht="74.25" customHeight="1">
      <c r="B14" s="1665"/>
      <c r="C14" s="1614"/>
      <c r="D14" s="1668"/>
      <c r="E14" s="1669"/>
      <c r="F14" s="1674"/>
      <c r="G14" s="1675"/>
      <c r="H14" s="1680"/>
      <c r="I14" s="1681"/>
      <c r="K14" s="26">
        <v>3</v>
      </c>
      <c r="L14" s="478" t="s">
        <v>60</v>
      </c>
      <c r="M14" s="558" t="s">
        <v>76</v>
      </c>
      <c r="N14" s="559" t="str">
        <f t="shared" ca="1" si="0"/>
        <v>ВЕРОЯТНОСТЬ  4  ВЛИЯНИЕ  5</v>
      </c>
      <c r="O14" s="561">
        <f ca="1">SUMIF(Check!$B$4:$C$31,M14,Check!$C$4:$C$31)</f>
        <v>0.6</v>
      </c>
      <c r="P14" s="562">
        <f ca="1">SUMIF(Check!$B$4:$C$31,M14,Check!$D$4:$D$31)</f>
        <v>-49815.520000000019</v>
      </c>
      <c r="Q14" s="563">
        <f ca="1">SUMIF(Check!$B$4:$C$31,M14,Check!$E$4:$E$31)</f>
        <v>-29889.312000000009</v>
      </c>
      <c r="R14" s="563">
        <f ca="1">SUMIF(Check!$B$4:$C$31,M14,Check!$F$4:$F$31)</f>
        <v>-18680.820000000007</v>
      </c>
    </row>
    <row r="15" spans="2:19" ht="105" customHeight="1">
      <c r="B15" s="1665"/>
      <c r="C15" s="1614"/>
      <c r="D15" s="1668"/>
      <c r="E15" s="1669"/>
      <c r="F15" s="1674"/>
      <c r="G15" s="1675"/>
      <c r="H15" s="1680"/>
      <c r="I15" s="1681"/>
      <c r="K15" s="27">
        <v>4</v>
      </c>
      <c r="L15" s="478" t="s">
        <v>14</v>
      </c>
      <c r="M15" s="558" t="s">
        <v>71</v>
      </c>
      <c r="N15" s="559" t="str">
        <f t="shared" ca="1" si="0"/>
        <v>ВЕРОЯТНОСТЬ  3  ВЛИЯНИЕ  4</v>
      </c>
      <c r="O15" s="561">
        <f ca="1">SUMIF(Check!$B$4:$C$31,M15,Check!$C$4:$C$31)</f>
        <v>0.41197943030932727</v>
      </c>
      <c r="P15" s="562">
        <f ca="1">SUMIF(Check!$B$4:$C$31,M15,Check!$D$4:$D$31)</f>
        <v>-1043.307</v>
      </c>
      <c r="Q15" s="563">
        <f ca="1">SUMIF(Check!$B$4:$C$31,M15,Check!$E$4:$E$31)</f>
        <v>-429.82102349773334</v>
      </c>
      <c r="R15" s="563">
        <f ca="1">SUMIF(Check!$B$4:$C$31,M15,Check!$F$4:$F$31)</f>
        <v>-19.319438928231531</v>
      </c>
    </row>
    <row r="16" spans="2:19" ht="87.75" customHeight="1">
      <c r="B16" s="1665"/>
      <c r="C16" s="1614"/>
      <c r="D16" s="1670"/>
      <c r="E16" s="1671"/>
      <c r="F16" s="1676"/>
      <c r="G16" s="1677"/>
      <c r="H16" s="1682"/>
      <c r="I16" s="1683"/>
      <c r="K16" s="28"/>
      <c r="L16" s="470" t="s">
        <v>13</v>
      </c>
      <c r="M16" s="558" t="s">
        <v>69</v>
      </c>
      <c r="N16" s="559" t="str">
        <f t="shared" ca="1" si="0"/>
        <v>ВЕРОЯТНОСТЬ  4  ВЛИЯНИЕ  5</v>
      </c>
      <c r="O16" s="561">
        <f ca="1">SUMIF(Check!$B$4:$C$31,M16,Check!$C$4:$C$31)</f>
        <v>0.52850938613764376</v>
      </c>
      <c r="P16" s="562">
        <f ca="1">SUMIF(Check!$B$4:$C$31,M16,Check!$D$4:$D$31)</f>
        <v>-13682.081210629633</v>
      </c>
      <c r="Q16" s="563">
        <f ca="1">SUMIF(Check!$B$4:$C$31,M16,Check!$E$4:$E$31)</f>
        <v>-7231.1083417152568</v>
      </c>
      <c r="R16" s="563">
        <f ca="1">SUMIF(Check!$B$4:$C$31,M16,Check!$F$4:$F$31)</f>
        <v>-4187.696824450165</v>
      </c>
    </row>
    <row r="17" spans="2:30" ht="90" customHeight="1">
      <c r="B17" s="1665"/>
      <c r="C17" s="1684" t="s">
        <v>327</v>
      </c>
      <c r="D17" s="1687"/>
      <c r="E17" s="1652"/>
      <c r="F17" s="1651"/>
      <c r="G17" s="1652"/>
      <c r="H17" s="1651"/>
      <c r="I17" s="1652"/>
      <c r="K17" s="1634">
        <v>6</v>
      </c>
      <c r="L17" s="470" t="s">
        <v>16</v>
      </c>
      <c r="M17" s="558" t="s">
        <v>79</v>
      </c>
      <c r="N17" s="559" t="str">
        <f t="shared" ca="1" si="0"/>
        <v>ВЕРОЯТНОСТЬ  4  ВЛИЯНИЕ  5</v>
      </c>
      <c r="O17" s="561">
        <f ca="1">SUMIF(Check!$B$4:$C$31,M17,Check!$C$4:$C$31)</f>
        <v>0.59222100961904522</v>
      </c>
      <c r="P17" s="562">
        <f ca="1">SUMIF(Check!$B$4:$C$31,M17,Check!$D$4:$D$31)</f>
        <v>-6669</v>
      </c>
      <c r="Q17" s="563">
        <f ca="1">SUMIF(Check!$B$4:$C$31,M17,Check!$E$4:$E$31)</f>
        <v>-3949.5219131494127</v>
      </c>
      <c r="R17" s="563">
        <f ca="1">SUMIF(Check!$B$4:$C$31,M17,Check!$F$4:$F$31)</f>
        <v>-2123.3000000000002</v>
      </c>
    </row>
    <row r="18" spans="2:30" ht="126" customHeight="1">
      <c r="B18" s="1665"/>
      <c r="C18" s="1685"/>
      <c r="D18" s="1688"/>
      <c r="E18" s="1654"/>
      <c r="F18" s="1653"/>
      <c r="G18" s="1654"/>
      <c r="H18" s="1653"/>
      <c r="I18" s="1654"/>
      <c r="K18" s="1635"/>
      <c r="L18" s="477" t="s">
        <v>358</v>
      </c>
      <c r="M18" s="558" t="s">
        <v>78</v>
      </c>
      <c r="N18" s="559" t="str">
        <f t="shared" ca="1" si="0"/>
        <v>ВЕРОЯТНОСТЬ  1  ВЛИЯНИЕ  1</v>
      </c>
      <c r="O18" s="561">
        <f ca="1">SUMIF(Check!$B$4:$C$31,M18,Check!$C$4:$C$31)</f>
        <v>0</v>
      </c>
      <c r="P18" s="562">
        <f ca="1">SUMIF(Check!$B$4:$C$31,M18,Check!$D$4:$D$31)</f>
        <v>0.25</v>
      </c>
      <c r="Q18" s="563">
        <f ca="1">SUMIF(Check!$B$4:$C$31,M18,Check!$E$4:$E$31)</f>
        <v>0</v>
      </c>
      <c r="R18" s="563">
        <f ca="1">SUMIF(Check!$B$4:$C$31,M18,Check!$F$4:$F$31)</f>
        <v>0</v>
      </c>
    </row>
    <row r="19" spans="2:30" ht="87" customHeight="1">
      <c r="B19" s="1665"/>
      <c r="C19" s="1685"/>
      <c r="D19" s="1688"/>
      <c r="E19" s="1654"/>
      <c r="F19" s="1653"/>
      <c r="G19" s="1654"/>
      <c r="H19" s="1653"/>
      <c r="I19" s="1654"/>
      <c r="K19" s="1600">
        <v>7</v>
      </c>
      <c r="L19" s="478" t="s">
        <v>24</v>
      </c>
      <c r="M19" s="558" t="s">
        <v>128</v>
      </c>
      <c r="N19" s="559" t="str">
        <f t="shared" ca="1" si="0"/>
        <v>ВЕРОЯТНОСТЬ  3  ВЛИЯНИЕ  5</v>
      </c>
      <c r="O19" s="561">
        <f ca="1">SUMIF(Check!$B$4:$C$31,M19,Check!$C$4:$C$31)</f>
        <v>0.27941512636635041</v>
      </c>
      <c r="P19" s="562">
        <f ca="1">SUMIF(Check!$B$4:$C$31,M19,Check!$D$4:$D$31)</f>
        <v>-341233.14299999998</v>
      </c>
      <c r="Q19" s="563">
        <f ca="1">SUMIF(Check!$B$4:$C$31,M19,Check!$E$4:$E$31)</f>
        <v>-95345.70177173191</v>
      </c>
      <c r="R19" s="563">
        <f ca="1">SUMIF(Check!$B$4:$C$31,M19,Check!$F$4:$F$31)</f>
        <v>-5557.1555749999998</v>
      </c>
    </row>
    <row r="20" spans="2:30" ht="112.5" customHeight="1">
      <c r="B20" s="1665"/>
      <c r="C20" s="1685"/>
      <c r="D20" s="1688"/>
      <c r="E20" s="1654"/>
      <c r="F20" s="1653"/>
      <c r="G20" s="1654"/>
      <c r="H20" s="1653"/>
      <c r="I20" s="1654"/>
      <c r="K20" s="1611"/>
      <c r="L20" s="478" t="s">
        <v>17</v>
      </c>
      <c r="M20" s="558" t="s">
        <v>82</v>
      </c>
      <c r="N20" s="559" t="str">
        <f t="shared" ca="1" si="0"/>
        <v>ВЕРОЯТНОСТЬ  1  ВЛИЯНИЕ  1</v>
      </c>
      <c r="O20" s="561">
        <f ca="1">SUMIF(Check!$B$4:$C$31,M20,Check!$C$4:$C$31)</f>
        <v>0.02</v>
      </c>
      <c r="P20" s="562">
        <f ca="1">SUMIF(Check!$B$4:$C$31,M20,Check!$D$4:$D$31)</f>
        <v>0</v>
      </c>
      <c r="Q20" s="563">
        <f ca="1">SUMIF(Check!$B$4:$C$31,M20,Check!$E$4:$E$31)</f>
        <v>0</v>
      </c>
      <c r="R20" s="563">
        <f ca="1">SUMIF(Check!$B$4:$C$31,M20,Check!$F$4:$F$31)</f>
        <v>0</v>
      </c>
    </row>
    <row r="21" spans="2:30" ht="87" customHeight="1">
      <c r="B21" s="1665"/>
      <c r="C21" s="1685"/>
      <c r="D21" s="1688"/>
      <c r="E21" s="1654"/>
      <c r="F21" s="1653"/>
      <c r="G21" s="1654"/>
      <c r="H21" s="1653"/>
      <c r="I21" s="1654"/>
      <c r="K21" s="1611"/>
      <c r="L21" s="477" t="s">
        <v>26</v>
      </c>
      <c r="M21" s="558" t="s">
        <v>83</v>
      </c>
      <c r="N21" s="559" t="str">
        <f t="shared" ca="1" si="0"/>
        <v>ВЕРОЯТНОСТЬ  3  ВЛИЯНИЕ  2</v>
      </c>
      <c r="O21" s="561">
        <f ca="1">SUMIF(Check!$B$4:$C$31,M21,Check!$C$4:$C$31)</f>
        <v>0.25</v>
      </c>
      <c r="P21" s="562">
        <f ca="1">SUMIF(Check!$B$4:$C$31,M21,Check!$D$4:$D$31)</f>
        <v>-269.72699999999998</v>
      </c>
      <c r="Q21" s="563">
        <f ca="1">SUMIF(Check!$B$4:$C$31,M21,Check!$E$4:$E$31)</f>
        <v>-67.431749999999994</v>
      </c>
      <c r="R21" s="563">
        <f ca="1">SUMIF(Check!$B$4:$C$31,M21,Check!$F$4:$F$31)</f>
        <v>-33.715874999999997</v>
      </c>
    </row>
    <row r="22" spans="2:30" ht="99" customHeight="1">
      <c r="B22" s="1665"/>
      <c r="C22" s="1685"/>
      <c r="D22" s="1688"/>
      <c r="E22" s="1654"/>
      <c r="F22" s="1653"/>
      <c r="G22" s="1654"/>
      <c r="H22" s="1653"/>
      <c r="I22" s="1654"/>
      <c r="K22" s="1611"/>
      <c r="L22" s="478" t="s">
        <v>15</v>
      </c>
      <c r="M22" s="558" t="s">
        <v>85</v>
      </c>
      <c r="N22" s="559" t="str">
        <f t="shared" ca="1" si="0"/>
        <v>ВЕРОЯТНОСТЬ  3  ВЛИЯНИЕ  5</v>
      </c>
      <c r="O22" s="561">
        <f ca="1">SUMIF(Check!$B$4:$C$31,M22,Check!$C$4:$C$31)</f>
        <v>0.45179023155256937</v>
      </c>
      <c r="P22" s="562">
        <f ca="1">SUMIF(Check!$B$4:$C$31,M22,Check!$D$4:$D$31)</f>
        <v>-29603.176149999999</v>
      </c>
      <c r="Q22" s="563">
        <f ca="1">SUMIF(Check!$B$4:$C$31,M22,Check!$E$4:$E$31)</f>
        <v>-13374.425807499998</v>
      </c>
      <c r="R22" s="563">
        <f ca="1">SUMIF(Check!$B$4:$C$31,M22,Check!$F$4:$F$31)</f>
        <v>-14390</v>
      </c>
    </row>
    <row r="23" spans="2:30" ht="105" customHeight="1">
      <c r="B23" s="1665"/>
      <c r="C23" s="1686"/>
      <c r="D23" s="1689"/>
      <c r="E23" s="1690"/>
      <c r="F23" s="1691"/>
      <c r="G23" s="1690"/>
      <c r="H23" s="1691"/>
      <c r="I23" s="1690"/>
      <c r="K23" s="1601"/>
      <c r="L23" s="478" t="s">
        <v>366</v>
      </c>
      <c r="M23" s="558" t="s">
        <v>161</v>
      </c>
      <c r="N23" s="559" t="str">
        <f t="shared" ca="1" si="0"/>
        <v>ВЕРОЯТНОСТЬ  3  ВЛИЯНИЕ  2</v>
      </c>
      <c r="O23" s="561">
        <f ca="1">SUMIF(Check!$B$4:$C$31,M23,Check!$C$4:$C$31)</f>
        <v>0.4</v>
      </c>
      <c r="P23" s="562">
        <f ca="1">SUMIF(Check!$B$4:$C$31,M23,Check!$D$4:$D$31)</f>
        <v>-401.4</v>
      </c>
      <c r="Q23" s="563">
        <f ca="1">SUMIF(Check!$B$4:$C$31,M23,Check!$E$4:$E$31)</f>
        <v>-160.56</v>
      </c>
      <c r="R23" s="563">
        <f ca="1">SUMIF(Check!$B$4:$C$31,M23,Check!$F$4:$F$31)</f>
        <v>-80.28</v>
      </c>
    </row>
    <row r="24" spans="2:30" ht="73.5" customHeight="1">
      <c r="B24" s="1665"/>
      <c r="C24" s="1649" t="s">
        <v>328</v>
      </c>
      <c r="D24" s="1651"/>
      <c r="E24" s="1652"/>
      <c r="F24" s="1651"/>
      <c r="G24" s="1652"/>
      <c r="H24" s="1651"/>
      <c r="I24" s="1652"/>
      <c r="K24" s="59"/>
      <c r="L24" s="478" t="s">
        <v>25</v>
      </c>
      <c r="M24" s="558" t="s">
        <v>125</v>
      </c>
      <c r="N24" s="559" t="str">
        <f t="shared" ca="1" si="0"/>
        <v>ВЕРОЯТНОСТЬ  1  ВЛИЯНИЕ  1</v>
      </c>
      <c r="O24" s="561">
        <f ca="1">SUMIF(Check!$B$4:$C$31,M24,Check!$C$4:$C$31)</f>
        <v>0</v>
      </c>
      <c r="P24" s="562">
        <f ca="1">SUMIF(Check!$B$4:$C$31,M24,Check!$D$4:$D$31)</f>
        <v>0</v>
      </c>
      <c r="Q24" s="563">
        <f ca="1">SUMIF(Check!$B$4:$C$31,M24,Check!$E$4:$E$31)</f>
        <v>0</v>
      </c>
      <c r="R24" s="563">
        <f ca="1">SUMIF(Check!$B$4:$C$31,M24,Check!$F$4:$F$31)</f>
        <v>0</v>
      </c>
    </row>
    <row r="25" spans="2:30" ht="79.5" customHeight="1">
      <c r="B25" s="1665"/>
      <c r="C25" s="1650"/>
      <c r="D25" s="1653"/>
      <c r="E25" s="1654"/>
      <c r="F25" s="1653"/>
      <c r="G25" s="1654"/>
      <c r="H25" s="1653"/>
      <c r="I25" s="1654"/>
      <c r="K25" s="59"/>
      <c r="L25" s="477" t="s">
        <v>12</v>
      </c>
      <c r="M25" s="558" t="s">
        <v>68</v>
      </c>
      <c r="N25" s="559" t="str">
        <f t="shared" ca="1" si="0"/>
        <v>ВЕРОЯТНОСТЬ  1  ВЛИЯНИЕ  1</v>
      </c>
      <c r="O25" s="561">
        <f ca="1">SUMIF(Check!$B$4:$C$31,M25,Check!$C$4:$C$31)</f>
        <v>0</v>
      </c>
      <c r="P25" s="562">
        <f ca="1">SUMIF(Check!$B$4:$C$31,M25,Check!$D$4:$D$31)</f>
        <v>0</v>
      </c>
      <c r="Q25" s="563">
        <f ca="1">SUMIF(Check!$B$4:$C$31,M25,Check!$E$4:$E$31)</f>
        <v>0</v>
      </c>
      <c r="R25" s="563">
        <f ca="1">SUMIF(Check!$B$4:$C$31,M25,Check!$F$4:$F$31)</f>
        <v>0</v>
      </c>
    </row>
    <row r="26" spans="2:30" ht="71.25" customHeight="1">
      <c r="B26" s="1665"/>
      <c r="C26" s="1650"/>
      <c r="D26" s="1653"/>
      <c r="E26" s="1654"/>
      <c r="F26" s="1653"/>
      <c r="G26" s="1654"/>
      <c r="H26" s="1653"/>
      <c r="I26" s="1654"/>
      <c r="K26" s="59"/>
      <c r="L26" s="477" t="s">
        <v>59</v>
      </c>
      <c r="M26" s="558" t="s">
        <v>66</v>
      </c>
      <c r="N26" s="559" t="str">
        <f t="shared" ca="1" si="0"/>
        <v>ВЕРОЯТНОСТЬ  3  ВЛИЯНИЕ  1</v>
      </c>
      <c r="O26" s="561">
        <f ca="1">SUMIF(Check!$B$4:$C$31,M26,Check!$C$4:$C$31)</f>
        <v>0.4</v>
      </c>
      <c r="P26" s="562">
        <f ca="1">SUMIF(Check!$B$4:$C$31,M26,Check!$D$4:$D$31)</f>
        <v>0</v>
      </c>
      <c r="Q26" s="563">
        <f ca="1">SUMIF(Check!$B$4:$C$31,M26,Check!$E$4:$E$31)</f>
        <v>0</v>
      </c>
      <c r="R26" s="563">
        <f ca="1">SUMIF(Check!$B$4:$C$31,M26,Check!$F$4:$F$31)</f>
        <v>0</v>
      </c>
      <c r="T26"/>
    </row>
    <row r="27" spans="2:30" ht="99.75" customHeight="1">
      <c r="B27" s="1665"/>
      <c r="C27" s="1650"/>
      <c r="D27" s="1653"/>
      <c r="E27" s="1654"/>
      <c r="F27" s="1653"/>
      <c r="G27" s="1654"/>
      <c r="H27" s="1653"/>
      <c r="I27" s="1654"/>
      <c r="K27" s="59"/>
      <c r="L27" s="477" t="s">
        <v>1380</v>
      </c>
      <c r="M27" s="558" t="s">
        <v>838</v>
      </c>
      <c r="N27" s="559" t="str">
        <f t="shared" ca="1" si="0"/>
        <v>ВЕРОЯТНОСТЬ  2  ВЛИЯНИЕ  1</v>
      </c>
      <c r="O27" s="561">
        <f ca="1">SUMIF(Check!$B$4:$C$31,M27,Check!$C$4:$C$31)</f>
        <v>0.05</v>
      </c>
      <c r="P27" s="562">
        <f ca="1">SUMIF(Check!$B$4:$C$31,M27,Check!$D$4:$D$31)</f>
        <v>0</v>
      </c>
      <c r="Q27" s="563">
        <f ca="1">SUMIF(Check!$B$4:$C$31,M27,Check!$E$4:$E$31)</f>
        <v>0</v>
      </c>
      <c r="R27" s="563">
        <f ca="1">SUMIF(Check!$B$4:$C$31,M27,Check!$F$4:$F$31)</f>
        <v>0</v>
      </c>
      <c r="T27"/>
    </row>
    <row r="28" spans="2:30" ht="58.5" customHeight="1">
      <c r="B28" s="1665"/>
      <c r="C28" s="1650"/>
      <c r="D28" s="1653"/>
      <c r="E28" s="1654"/>
      <c r="F28" s="1653"/>
      <c r="G28" s="1654"/>
      <c r="H28" s="1653"/>
      <c r="I28" s="1654"/>
      <c r="K28" s="59"/>
      <c r="L28" s="468" t="s">
        <v>1161</v>
      </c>
      <c r="M28" s="558" t="s">
        <v>844</v>
      </c>
      <c r="N28" s="559" t="str">
        <f t="shared" ca="1" si="0"/>
        <v>ВЕРОЯТНОСТЬ  1  ВЛИЯНИЕ  1</v>
      </c>
      <c r="O28" s="561">
        <f ca="1">SUMIF(Check!$B$4:$C$31,M28,Check!$C$4:$C$31)</f>
        <v>0</v>
      </c>
      <c r="P28" s="562">
        <f ca="1">SUMIF(Check!$B$4:$C$31,M28,Check!$D$4:$D$31)</f>
        <v>0</v>
      </c>
      <c r="Q28" s="563">
        <f ca="1">SUMIF(Check!$B$4:$C$31,M28,Check!$E$4:$E$31)</f>
        <v>0</v>
      </c>
      <c r="R28" s="563">
        <f ca="1">SUMIF(Check!$B$4:$C$31,M28,Check!$F$4:$F$31)</f>
        <v>0</v>
      </c>
      <c r="T28"/>
      <c r="U28"/>
      <c r="V28"/>
      <c r="W28"/>
      <c r="X28"/>
      <c r="Y28"/>
      <c r="Z28"/>
      <c r="AA28"/>
      <c r="AB28"/>
      <c r="AC28"/>
      <c r="AD28"/>
    </row>
    <row r="29" spans="2:30" ht="60.75" customHeight="1">
      <c r="B29" s="1665"/>
      <c r="C29" s="1650"/>
      <c r="D29" s="1655"/>
      <c r="E29" s="1656"/>
      <c r="F29" s="1655"/>
      <c r="G29" s="1656"/>
      <c r="H29" s="1653"/>
      <c r="I29" s="1654"/>
      <c r="K29" s="59"/>
      <c r="L29" s="477" t="s">
        <v>1378</v>
      </c>
      <c r="M29" s="558" t="s">
        <v>845</v>
      </c>
      <c r="N29" s="559" t="str">
        <f t="shared" ca="1" si="0"/>
        <v>ВЕРОЯТНОСТЬ  3  ВЛИЯНИЕ  1</v>
      </c>
      <c r="O29" s="561">
        <f ca="1">SUMIF(Check!$B$4:$C$31,M29,Check!$C$4:$C$31)</f>
        <v>0.4</v>
      </c>
      <c r="P29" s="562">
        <f ca="1">SUMIF(Check!$B$4:$C$31,M29,Check!$D$4:$D$31)</f>
        <v>0</v>
      </c>
      <c r="Q29" s="563">
        <f ca="1">SUMIF(Check!$B$4:$C$31,M29,Check!$E$4:$E$31)</f>
        <v>0</v>
      </c>
      <c r="R29" s="563">
        <f ca="1">SUMIF(Check!$B$4:$C$31,M29,Check!$F$4:$F$31)</f>
        <v>0</v>
      </c>
      <c r="T29"/>
      <c r="U29"/>
      <c r="V29"/>
      <c r="W29"/>
      <c r="X29"/>
      <c r="Y29"/>
      <c r="Z29"/>
      <c r="AA29"/>
      <c r="AB29"/>
      <c r="AC29"/>
      <c r="AD29"/>
    </row>
    <row r="30" spans="2:30" ht="86.25" customHeight="1">
      <c r="B30" s="1665"/>
      <c r="C30" s="1650"/>
      <c r="D30" s="1657" t="s">
        <v>333</v>
      </c>
      <c r="E30" s="1658"/>
      <c r="F30" s="1659" t="s">
        <v>334</v>
      </c>
      <c r="G30" s="1660"/>
      <c r="H30" s="1661" t="s">
        <v>335</v>
      </c>
      <c r="I30" s="1662"/>
      <c r="K30" s="59"/>
      <c r="L30" s="477" t="s">
        <v>1379</v>
      </c>
      <c r="M30" s="558" t="s">
        <v>846</v>
      </c>
      <c r="N30" s="559" t="str">
        <f t="shared" ca="1" si="0"/>
        <v>ВЕРОЯТНОСТЬ  3  ВЛИЯНИЕ  1</v>
      </c>
      <c r="O30" s="561">
        <f ca="1">SUMIF(Check!$B$4:$C$31,M30,Check!$C$4:$C$31)</f>
        <v>0.4</v>
      </c>
      <c r="P30" s="562">
        <f ca="1">SUMIF(Check!$B$4:$C$31,M30,Check!$D$4:$D$31)</f>
        <v>0</v>
      </c>
      <c r="Q30" s="563">
        <f ca="1">SUMIF(Check!$B$4:$C$31,M30,Check!$E$4:$E$31)</f>
        <v>0</v>
      </c>
      <c r="R30" s="563">
        <f ca="1">SUMIF(Check!$B$4:$C$31,M30,Check!$F$4:$F$31)</f>
        <v>0</v>
      </c>
      <c r="T30"/>
      <c r="U30"/>
      <c r="V30"/>
      <c r="W30"/>
      <c r="X30"/>
      <c r="Y30"/>
      <c r="Z30"/>
      <c r="AA30"/>
      <c r="AB30"/>
      <c r="AC30"/>
      <c r="AD30"/>
    </row>
    <row r="31" spans="2:30" ht="74.25" customHeight="1">
      <c r="B31" s="1665"/>
      <c r="C31" s="1593" t="s">
        <v>282</v>
      </c>
      <c r="D31" s="1594"/>
      <c r="E31" s="1594"/>
      <c r="F31" s="1594"/>
      <c r="G31" s="1594"/>
      <c r="H31" s="1594"/>
      <c r="I31" s="1595"/>
      <c r="K31" s="59"/>
      <c r="L31" s="478" t="s">
        <v>1162</v>
      </c>
      <c r="M31" s="558" t="s">
        <v>1384</v>
      </c>
      <c r="N31" s="559" t="str">
        <f t="shared" ca="1" si="0"/>
        <v>ВЕРОЯТНОСТЬ  3  ВЛИЯНИЕ  5</v>
      </c>
      <c r="O31" s="561">
        <f ca="1">SUMIF(Check!$B$4:$C$31,M31,Check!$C$4:$C$31)</f>
        <v>0.4</v>
      </c>
      <c r="P31" s="562">
        <f ca="1">SUMIF(Check!$B$4:$C$31,M31,Check!$D$4:$D$31)</f>
        <v>-13600</v>
      </c>
      <c r="Q31" s="563">
        <f ca="1">SUMIF(Check!$B$4:$C$31,M31,Check!$E$4:$E$31)</f>
        <v>-5440</v>
      </c>
      <c r="R31" s="563">
        <f ca="1">SUMIF(Check!$B$4:$C$31,M31,Check!$F$4:$F$31)</f>
        <v>-1632</v>
      </c>
      <c r="T31"/>
      <c r="U31"/>
      <c r="V31"/>
      <c r="W31"/>
      <c r="X31"/>
      <c r="Y31"/>
      <c r="Z31"/>
      <c r="AA31"/>
      <c r="AB31"/>
      <c r="AC31"/>
      <c r="AD31"/>
    </row>
    <row r="32" spans="2:30" ht="82.5" customHeight="1">
      <c r="B32" s="60"/>
      <c r="C32"/>
      <c r="K32" s="59"/>
      <c r="L32" s="468" t="s">
        <v>1163</v>
      </c>
      <c r="M32" s="558" t="s">
        <v>848</v>
      </c>
      <c r="N32" s="559" t="str">
        <f t="shared" ca="1" si="0"/>
        <v>ВЕРОЯТНОСТЬ  1  ВЛИЯНИЕ  1</v>
      </c>
      <c r="O32" s="561">
        <f ca="1">SUMIF(Check!$B$4:$C$31,M32,Check!$C$4:$C$31)</f>
        <v>0</v>
      </c>
      <c r="P32" s="562">
        <f ca="1">SUMIF(Check!$B$4:$C$31,M32,Check!$D$4:$D$31)</f>
        <v>0</v>
      </c>
      <c r="Q32" s="563">
        <f ca="1">SUMIF(Check!$B$4:$C$31,M32,Check!$E$4:$E$31)</f>
        <v>0</v>
      </c>
      <c r="R32" s="563">
        <f ca="1">SUMIF(Check!$B$4:$C$31,M32,Check!$F$4:$F$31)</f>
        <v>0</v>
      </c>
      <c r="T32"/>
      <c r="U32"/>
      <c r="V32"/>
      <c r="W32"/>
      <c r="X32"/>
      <c r="Y32"/>
      <c r="Z32"/>
      <c r="AA32"/>
      <c r="AB32"/>
      <c r="AC32"/>
      <c r="AD32"/>
    </row>
    <row r="33" spans="2:30" ht="72" customHeight="1">
      <c r="B33" s="60"/>
      <c r="C33"/>
      <c r="D33" s="364" t="s">
        <v>282</v>
      </c>
      <c r="E33" s="365"/>
      <c r="F33" s="369" t="s">
        <v>283</v>
      </c>
      <c r="G33" s="369"/>
      <c r="H33" s="365"/>
      <c r="K33" s="59"/>
      <c r="L33" s="470" t="s">
        <v>57</v>
      </c>
      <c r="M33" s="558" t="s">
        <v>402</v>
      </c>
      <c r="N33" s="559" t="str">
        <f t="shared" ca="1" si="0"/>
        <v>ВЕРОЯТНОСТЬ  4  ВЛИЯНИЕ  5</v>
      </c>
      <c r="O33" s="561">
        <f ca="1">SUMIF(Check!$B$4:$C$31,M33,Check!$C$4:$C$31)</f>
        <v>0.7</v>
      </c>
      <c r="P33" s="562">
        <f ca="1">SUMIF(Check!$B$4:$C$31,M33,Check!$D$4:$D$31)</f>
        <v>-88000</v>
      </c>
      <c r="Q33" s="563">
        <f ca="1">SUMIF(Check!$B$4:$C$31,M33,Check!$E$4:$E$31)</f>
        <v>-61599.999999999993</v>
      </c>
      <c r="R33" s="563">
        <f ca="1">SUMIF(Check!$B$4:$C$31,M33,Check!$F$4:$F$31)</f>
        <v>-43119.999999999993</v>
      </c>
      <c r="T33"/>
      <c r="U33"/>
      <c r="V33"/>
      <c r="W33"/>
      <c r="X33"/>
      <c r="Y33"/>
      <c r="Z33"/>
      <c r="AA33"/>
      <c r="AB33"/>
      <c r="AC33"/>
      <c r="AD33"/>
    </row>
    <row r="34" spans="2:30" ht="78" customHeight="1">
      <c r="B34" s="60"/>
      <c r="C34"/>
      <c r="D34" s="95" t="s">
        <v>274</v>
      </c>
      <c r="E34" s="96">
        <v>0</v>
      </c>
      <c r="F34" s="97" t="s">
        <v>273</v>
      </c>
      <c r="G34" s="97" t="s">
        <v>286</v>
      </c>
      <c r="H34" s="366"/>
      <c r="K34" s="59"/>
      <c r="L34" s="470" t="s">
        <v>1321</v>
      </c>
      <c r="M34" s="558" t="s">
        <v>1367</v>
      </c>
      <c r="N34" s="559" t="str">
        <f t="shared" ca="1" si="0"/>
        <v>ВЕРОЯТНОСТЬ  4  ВЛИЯНИЕ  1</v>
      </c>
      <c r="O34" s="561">
        <f ca="1">SUMIF(Check!$B$4:$C$31,M34,Check!$C$4:$C$31)</f>
        <v>0.5</v>
      </c>
      <c r="P34" s="562">
        <f ca="1">SUMIF(Check!$B$4:$C$31,M34,Check!$D$4:$D$31)</f>
        <v>0</v>
      </c>
      <c r="Q34" s="563">
        <f ca="1">SUMIF(Check!$B$4:$C$31,M34,Check!$E$4:$E$31)</f>
        <v>0</v>
      </c>
      <c r="R34" s="563">
        <f ca="1">SUMIF(Check!$B$4:$C$31,M34,Check!$F$4:$F$31)</f>
        <v>0</v>
      </c>
      <c r="T34"/>
      <c r="U34"/>
      <c r="V34"/>
      <c r="W34"/>
      <c r="X34"/>
      <c r="Y34"/>
      <c r="Z34"/>
      <c r="AA34"/>
      <c r="AB34"/>
      <c r="AC34"/>
      <c r="AD34"/>
    </row>
    <row r="35" spans="2:30" ht="82.5" customHeight="1">
      <c r="B35" s="60"/>
      <c r="C35"/>
      <c r="D35" s="98" t="s">
        <v>275</v>
      </c>
      <c r="E35" s="99">
        <v>0.25</v>
      </c>
      <c r="F35" s="100" t="s">
        <v>272</v>
      </c>
      <c r="G35" s="367" t="s">
        <v>285</v>
      </c>
      <c r="H35" s="368"/>
      <c r="K35" s="59"/>
      <c r="L35" s="564" t="s">
        <v>57</v>
      </c>
      <c r="M35" s="565" t="s">
        <v>87</v>
      </c>
      <c r="N35" s="559" t="str">
        <f t="shared" ca="1" si="0"/>
        <v>ВЕРОЯТНОСТЬ  3  ВЛИЯНИЕ  4</v>
      </c>
      <c r="O35" s="561">
        <f ca="1">SUMIF(Check!$B$4:$C$31,M35,Check!$C$4:$C$31)</f>
        <v>0.4</v>
      </c>
      <c r="P35" s="562">
        <f ca="1">SUMIF(Check!$B$4:$C$31,M35,Check!$D$4:$D$31)</f>
        <v>-1800</v>
      </c>
      <c r="Q35" s="563">
        <f ca="1">SUMIF(Check!$B$4:$C$31,M35,Check!$E$4:$E$31)</f>
        <v>-720</v>
      </c>
      <c r="R35" s="563">
        <f ca="1">SUMIF(Check!$B$4:$C$31,M35,Check!$F$4:$F$31)</f>
        <v>-216</v>
      </c>
      <c r="T35"/>
      <c r="U35"/>
      <c r="V35"/>
      <c r="W35"/>
      <c r="X35"/>
      <c r="Y35"/>
      <c r="Z35"/>
      <c r="AA35"/>
      <c r="AB35"/>
      <c r="AC35"/>
      <c r="AD35"/>
    </row>
    <row r="36" spans="2:30" ht="90.75" customHeight="1">
      <c r="B36" s="60"/>
      <c r="C36"/>
      <c r="D36" s="101" t="s">
        <v>284</v>
      </c>
      <c r="E36" s="102">
        <v>0.5</v>
      </c>
      <c r="F36" s="103" t="s">
        <v>271</v>
      </c>
      <c r="G36" s="1573" t="s">
        <v>287</v>
      </c>
      <c r="H36" s="1574"/>
      <c r="I36"/>
      <c r="K36" s="59"/>
      <c r="T36"/>
      <c r="U36"/>
      <c r="V36"/>
      <c r="W36"/>
      <c r="X36"/>
      <c r="Y36"/>
      <c r="Z36"/>
      <c r="AA36"/>
      <c r="AB36"/>
      <c r="AC36"/>
      <c r="AD36"/>
    </row>
    <row r="37" spans="2:30" ht="78" customHeight="1">
      <c r="B37" s="60"/>
      <c r="C37"/>
      <c r="D37" s="104" t="s">
        <v>276</v>
      </c>
      <c r="E37" s="105">
        <v>0.75</v>
      </c>
      <c r="F37" s="106" t="s">
        <v>270</v>
      </c>
      <c r="G37" s="1585" t="s">
        <v>288</v>
      </c>
      <c r="H37" s="1586"/>
      <c r="I37"/>
      <c r="K37" s="59"/>
      <c r="T37"/>
      <c r="U37"/>
      <c r="V37"/>
      <c r="W37"/>
      <c r="X37"/>
      <c r="Y37"/>
      <c r="Z37"/>
      <c r="AA37"/>
      <c r="AB37"/>
      <c r="AC37"/>
      <c r="AD37"/>
    </row>
    <row r="38" spans="2:30" ht="89.25" customHeight="1">
      <c r="B38" s="60"/>
      <c r="C38"/>
      <c r="D38" s="107" t="s">
        <v>277</v>
      </c>
      <c r="E38" s="108">
        <v>1</v>
      </c>
      <c r="F38" s="109" t="s">
        <v>269</v>
      </c>
      <c r="G38" s="1571" t="s">
        <v>289</v>
      </c>
      <c r="H38" s="1572"/>
      <c r="I38"/>
      <c r="K38" s="59"/>
      <c r="T38"/>
      <c r="U38"/>
    </row>
    <row r="39" spans="2:30" ht="80.25" customHeight="1">
      <c r="B39" s="60"/>
      <c r="C39"/>
      <c r="I39"/>
      <c r="K39" s="59"/>
      <c r="T39"/>
      <c r="U39"/>
      <c r="V39"/>
      <c r="W39"/>
      <c r="X39"/>
    </row>
    <row r="40" spans="2:30" ht="91.5" customHeight="1">
      <c r="B40" s="60"/>
      <c r="C40"/>
      <c r="I40"/>
      <c r="K40" s="59"/>
      <c r="T40"/>
      <c r="U40"/>
      <c r="V40"/>
      <c r="W40"/>
      <c r="X40"/>
    </row>
    <row r="41" spans="2:30" ht="87" customHeight="1">
      <c r="B41" s="60"/>
      <c r="C41"/>
      <c r="I41"/>
      <c r="K41" s="59"/>
      <c r="T41"/>
      <c r="U41"/>
      <c r="V41"/>
      <c r="W41"/>
      <c r="X41"/>
    </row>
    <row r="42" spans="2:30" ht="99" customHeight="1">
      <c r="B42" s="60"/>
      <c r="C42" s="61"/>
      <c r="I42"/>
      <c r="K42" s="59"/>
      <c r="T42"/>
      <c r="U42"/>
      <c r="V42"/>
      <c r="W42"/>
      <c r="X42"/>
    </row>
    <row r="43" spans="2:30" ht="162.75" customHeight="1">
      <c r="B43" s="60"/>
      <c r="C43" s="61"/>
      <c r="I43"/>
      <c r="K43" s="59"/>
      <c r="T43"/>
      <c r="U43"/>
      <c r="V43"/>
      <c r="W43"/>
      <c r="X43"/>
    </row>
    <row r="44" spans="2:30" ht="124.5" customHeight="1">
      <c r="B44" s="60"/>
      <c r="C44" s="61"/>
      <c r="I44"/>
      <c r="K44" s="59"/>
      <c r="T44"/>
      <c r="U44"/>
      <c r="V44"/>
      <c r="W44"/>
      <c r="X44"/>
    </row>
    <row r="45" spans="2:30" ht="81.75" customHeight="1">
      <c r="B45" s="60"/>
      <c r="C45" s="61"/>
      <c r="D45" s="63"/>
      <c r="E45" s="64"/>
      <c r="F45" s="62"/>
      <c r="G45" s="65"/>
      <c r="H45" s="66"/>
      <c r="I45" s="66"/>
      <c r="K45" s="59"/>
      <c r="T45"/>
      <c r="U45"/>
      <c r="V45"/>
      <c r="W45"/>
      <c r="X45"/>
    </row>
    <row r="46" spans="2:30" ht="141.75" customHeight="1">
      <c r="B46" s="60"/>
      <c r="C46" s="61"/>
      <c r="D46" s="63"/>
      <c r="E46" s="64"/>
      <c r="F46" s="62"/>
      <c r="G46" s="65"/>
      <c r="H46" s="66"/>
      <c r="I46" s="66"/>
      <c r="K46" s="59"/>
      <c r="T46"/>
      <c r="U46"/>
      <c r="V46"/>
      <c r="W46"/>
      <c r="X46"/>
    </row>
    <row r="47" spans="2:30" ht="96" customHeight="1">
      <c r="B47" s="60"/>
      <c r="C47" s="61"/>
      <c r="D47" s="63"/>
      <c r="E47" s="64"/>
      <c r="F47" s="62"/>
      <c r="G47" s="65"/>
      <c r="H47" s="66"/>
      <c r="I47" s="66"/>
      <c r="K47" s="59"/>
      <c r="T47"/>
      <c r="U47"/>
      <c r="V47"/>
      <c r="W47"/>
      <c r="X47"/>
    </row>
    <row r="48" spans="2:30" ht="104.25" customHeight="1">
      <c r="B48" s="60"/>
      <c r="C48" s="61"/>
      <c r="D48" s="63"/>
      <c r="E48" s="64"/>
      <c r="F48" s="62"/>
      <c r="G48" s="65"/>
      <c r="H48" s="66"/>
      <c r="I48" s="66"/>
      <c r="K48" s="59"/>
      <c r="T48"/>
      <c r="U48"/>
      <c r="V48"/>
      <c r="W48"/>
      <c r="X48"/>
    </row>
    <row r="49" spans="2:24" ht="94.5" customHeight="1">
      <c r="K49" s="189"/>
      <c r="T49"/>
      <c r="U49"/>
      <c r="V49"/>
      <c r="W49"/>
      <c r="X49"/>
    </row>
    <row r="50" spans="2:24" ht="60" customHeight="1">
      <c r="K50" s="190"/>
      <c r="T50"/>
      <c r="U50"/>
      <c r="V50"/>
      <c r="W50"/>
      <c r="X50"/>
    </row>
    <row r="51" spans="2:24" ht="135.75" customHeight="1">
      <c r="B51" s="60"/>
      <c r="C51" s="61"/>
      <c r="D51" s="63"/>
      <c r="E51" s="64"/>
      <c r="F51" s="62"/>
      <c r="G51" s="65"/>
      <c r="H51" s="66"/>
      <c r="I51" s="66"/>
      <c r="K51" s="1611"/>
      <c r="T51"/>
      <c r="U51"/>
      <c r="V51"/>
      <c r="W51"/>
      <c r="X51"/>
    </row>
    <row r="52" spans="2:24" ht="84.75" customHeight="1">
      <c r="K52" s="1611"/>
      <c r="T52"/>
      <c r="U52"/>
      <c r="V52"/>
      <c r="W52"/>
      <c r="X52"/>
    </row>
    <row r="53" spans="2:24" ht="48.75" customHeight="1">
      <c r="K53" s="1601"/>
      <c r="T53"/>
      <c r="U53"/>
      <c r="V53"/>
      <c r="W53"/>
      <c r="X53"/>
    </row>
    <row r="54" spans="2:24" ht="117.75" customHeight="1">
      <c r="B54" s="60"/>
      <c r="C54" s="61"/>
      <c r="D54" s="66"/>
      <c r="E54" s="64"/>
      <c r="F54" s="62"/>
      <c r="G54" s="65"/>
      <c r="H54" s="66"/>
      <c r="I54" s="66"/>
      <c r="K54" s="25">
        <v>9</v>
      </c>
      <c r="T54"/>
      <c r="U54"/>
      <c r="V54"/>
      <c r="W54"/>
      <c r="X54"/>
    </row>
    <row r="55" spans="2:24" ht="54.6" customHeight="1">
      <c r="B55" s="212"/>
      <c r="C55" s="213"/>
      <c r="D55" s="214"/>
      <c r="E55" s="215"/>
      <c r="F55" s="216"/>
      <c r="G55" s="217"/>
      <c r="H55" s="218"/>
      <c r="I55" s="218"/>
      <c r="J55" s="212"/>
      <c r="K55" s="26">
        <v>10</v>
      </c>
      <c r="T55"/>
      <c r="U55"/>
      <c r="V55"/>
      <c r="W55"/>
      <c r="X55"/>
    </row>
    <row r="56" spans="2:24" ht="54.6" customHeight="1">
      <c r="B56" s="219"/>
      <c r="C56" s="220"/>
      <c r="D56" s="221"/>
      <c r="E56" s="222"/>
      <c r="F56" s="223"/>
      <c r="G56" s="224"/>
      <c r="H56" s="225"/>
      <c r="I56" s="225"/>
      <c r="J56" s="219"/>
      <c r="K56" s="1600">
        <v>12</v>
      </c>
      <c r="T56"/>
      <c r="U56"/>
      <c r="V56"/>
      <c r="W56"/>
      <c r="X56"/>
    </row>
    <row r="57" spans="2:24" ht="47.25" customHeight="1">
      <c r="B57" s="67"/>
      <c r="C57" s="67"/>
      <c r="D57" s="70"/>
      <c r="E57" s="70"/>
      <c r="F57" s="70"/>
      <c r="G57" s="68"/>
      <c r="H57" s="69"/>
      <c r="I57" s="69"/>
      <c r="K57" s="1601"/>
      <c r="T57"/>
      <c r="U57"/>
      <c r="V57"/>
      <c r="W57"/>
      <c r="X57"/>
    </row>
    <row r="58" spans="2:24" ht="60" customHeight="1">
      <c r="B58" s="29"/>
      <c r="G58" s="70"/>
      <c r="H58" s="70"/>
      <c r="I58" s="70"/>
      <c r="K58" s="30">
        <v>13</v>
      </c>
      <c r="T58"/>
      <c r="U58"/>
      <c r="V58"/>
      <c r="W58"/>
      <c r="X58"/>
    </row>
    <row r="59" spans="2:24" ht="54" customHeight="1">
      <c r="B59" s="29"/>
      <c r="K59" s="1605">
        <v>14</v>
      </c>
      <c r="T59"/>
      <c r="U59"/>
      <c r="V59"/>
      <c r="W59"/>
      <c r="X59"/>
    </row>
    <row r="60" spans="2:24" ht="66.599999999999994" customHeight="1">
      <c r="B60" s="29"/>
      <c r="K60" s="1606"/>
      <c r="T60"/>
      <c r="U60"/>
      <c r="V60"/>
      <c r="W60"/>
      <c r="X60"/>
    </row>
    <row r="61" spans="2:24" ht="30.75" customHeight="1">
      <c r="B61" s="29"/>
      <c r="K61" s="1607"/>
      <c r="T61"/>
      <c r="U61"/>
      <c r="V61"/>
      <c r="W61"/>
      <c r="X61"/>
    </row>
    <row r="62" spans="2:24" ht="46.5" customHeight="1">
      <c r="G62" s="31"/>
      <c r="H62" s="32"/>
      <c r="I62" s="32"/>
      <c r="K62" s="33">
        <v>15</v>
      </c>
      <c r="T62"/>
      <c r="U62"/>
      <c r="V62"/>
      <c r="W62"/>
      <c r="X62"/>
    </row>
    <row r="63" spans="2:24" ht="63.75" customHeight="1">
      <c r="G63" s="31"/>
      <c r="H63" s="32"/>
      <c r="I63" s="32"/>
      <c r="K63" s="35"/>
      <c r="U63"/>
      <c r="V63"/>
      <c r="W63"/>
      <c r="X63"/>
    </row>
    <row r="64" spans="2:24" ht="56.25" customHeight="1">
      <c r="G64" s="34"/>
      <c r="H64" s="32"/>
      <c r="I64" s="32"/>
      <c r="K64" s="35"/>
      <c r="U64"/>
      <c r="V64"/>
      <c r="W64"/>
      <c r="X64"/>
    </row>
    <row r="65" spans="6:11" ht="39.6" customHeight="1">
      <c r="G65" s="34"/>
      <c r="H65" s="32"/>
      <c r="I65" s="32"/>
      <c r="K65" s="35"/>
    </row>
    <row r="66" spans="6:11" ht="54" customHeight="1">
      <c r="G66" s="34"/>
      <c r="H66" s="32"/>
      <c r="I66" s="32"/>
      <c r="K66" s="35">
        <v>16</v>
      </c>
    </row>
    <row r="67" spans="6:11" ht="53.25" customHeight="1">
      <c r="G67" s="57"/>
      <c r="H67" s="37"/>
      <c r="I67" s="37"/>
      <c r="K67" s="36"/>
    </row>
    <row r="68" spans="6:11" ht="60.6" customHeight="1">
      <c r="G68" s="57"/>
    </row>
    <row r="69" spans="6:11" ht="46.5" customHeight="1">
      <c r="G69" s="57"/>
    </row>
    <row r="70" spans="6:11" ht="46.5" customHeight="1">
      <c r="G70" s="57"/>
    </row>
    <row r="71" spans="6:11" ht="41.25" customHeight="1">
      <c r="G71" s="57"/>
    </row>
    <row r="72" spans="6:11" ht="64.5" customHeight="1">
      <c r="G72"/>
    </row>
    <row r="73" spans="6:11" ht="42" customHeight="1"/>
    <row r="74" spans="6:11" ht="50.25" customHeight="1">
      <c r="F74" s="4"/>
      <c r="G74" s="38"/>
      <c r="J74" s="19"/>
      <c r="K74" s="39"/>
    </row>
    <row r="75" spans="6:11" ht="52.5" customHeight="1">
      <c r="F75" s="4"/>
      <c r="K75" s="2"/>
    </row>
    <row r="76" spans="6:11" ht="68.25" customHeight="1">
      <c r="K76" s="2"/>
    </row>
    <row r="77" spans="6:11" ht="47.25" customHeight="1"/>
    <row r="78" spans="6:11" ht="51" customHeight="1"/>
    <row r="79" spans="6:11" ht="48" customHeight="1"/>
    <row r="80" spans="6:11" ht="56.25" customHeight="1"/>
    <row r="81" ht="47.25" customHeight="1"/>
    <row r="82" ht="48" customHeight="1"/>
    <row r="83" ht="48" customHeight="1"/>
    <row r="89" ht="81" customHeight="1"/>
    <row r="93" ht="108" customHeight="1"/>
    <row r="104" ht="81" customHeight="1"/>
    <row r="114" ht="108" customHeight="1"/>
    <row r="116" ht="81" customHeight="1"/>
    <row r="120" ht="42" customHeight="1"/>
    <row r="122" ht="48" customHeight="1"/>
    <row r="128" ht="81" customHeight="1"/>
    <row r="130" ht="69" customHeight="1"/>
  </sheetData>
  <mergeCells count="31">
    <mergeCell ref="K10:K11"/>
    <mergeCell ref="B8:B31"/>
    <mergeCell ref="C8:C16"/>
    <mergeCell ref="D8:E16"/>
    <mergeCell ref="F8:G16"/>
    <mergeCell ref="H8:I16"/>
    <mergeCell ref="C17:C23"/>
    <mergeCell ref="D17:E23"/>
    <mergeCell ref="F17:G23"/>
    <mergeCell ref="H17:I23"/>
    <mergeCell ref="K17:K18"/>
    <mergeCell ref="K19:K23"/>
    <mergeCell ref="B1:N1"/>
    <mergeCell ref="O1:R1"/>
    <mergeCell ref="C3:L3"/>
    <mergeCell ref="B4:L4"/>
    <mergeCell ref="G6:H6"/>
    <mergeCell ref="K51:K53"/>
    <mergeCell ref="K59:K61"/>
    <mergeCell ref="C24:C30"/>
    <mergeCell ref="D24:E29"/>
    <mergeCell ref="F24:G29"/>
    <mergeCell ref="H24:I29"/>
    <mergeCell ref="K56:K57"/>
    <mergeCell ref="C31:I31"/>
    <mergeCell ref="D30:E30"/>
    <mergeCell ref="F30:G30"/>
    <mergeCell ref="H30:I30"/>
    <mergeCell ref="G36:H36"/>
    <mergeCell ref="G37:H37"/>
    <mergeCell ref="G38:H38"/>
  </mergeCells>
  <phoneticPr fontId="88" type="noConversion"/>
  <conditionalFormatting sqref="Q9:Q35">
    <cfRule type="cellIs" dxfId="266" priority="125" operator="lessThan">
      <formula>0</formula>
    </cfRule>
    <cfRule type="cellIs" dxfId="265" priority="126" operator="greaterThan">
      <formula>0</formula>
    </cfRule>
  </conditionalFormatting>
  <conditionalFormatting sqref="P9:P35">
    <cfRule type="cellIs" dxfId="264" priority="132" operator="lessThan">
      <formula>-3000</formula>
    </cfRule>
    <cfRule type="cellIs" dxfId="263" priority="133" operator="between">
      <formula>-1001</formula>
      <formula>-3000</formula>
    </cfRule>
    <cfRule type="cellIs" dxfId="262" priority="134" operator="between">
      <formula>-501</formula>
      <formula>-1000</formula>
    </cfRule>
    <cfRule type="cellIs" dxfId="261" priority="135" operator="between">
      <formula>-201</formula>
      <formula>-500</formula>
    </cfRule>
    <cfRule type="cellIs" dxfId="260" priority="136" operator="between">
      <formula>0</formula>
      <formula>-200</formula>
    </cfRule>
  </conditionalFormatting>
  <conditionalFormatting sqref="O9:O35">
    <cfRule type="cellIs" dxfId="259" priority="127" operator="between">
      <formula>0.76</formula>
      <formula>1</formula>
    </cfRule>
    <cfRule type="cellIs" dxfId="258" priority="128" operator="between">
      <formula>0.51</formula>
      <formula>0.75</formula>
    </cfRule>
    <cfRule type="cellIs" dxfId="257" priority="129" operator="between">
      <formula>0.26</formula>
      <formula>0.5</formula>
    </cfRule>
    <cfRule type="cellIs" dxfId="256" priority="130" operator="between">
      <formula>0.05</formula>
      <formula>0.25</formula>
    </cfRule>
    <cfRule type="cellIs" dxfId="255" priority="131" operator="between">
      <formula>0</formula>
      <formula>0.05</formula>
    </cfRule>
  </conditionalFormatting>
  <conditionalFormatting sqref="D5">
    <cfRule type="cellIs" dxfId="254" priority="124" operator="equal">
      <formula>$B$5</formula>
    </cfRule>
  </conditionalFormatting>
  <conditionalFormatting sqref="E5">
    <cfRule type="cellIs" dxfId="253" priority="123" operator="equal">
      <formula>$B$5</formula>
    </cfRule>
  </conditionalFormatting>
  <conditionalFormatting sqref="F5">
    <cfRule type="cellIs" dxfId="252" priority="122" operator="equal">
      <formula>$B$5</formula>
    </cfRule>
  </conditionalFormatting>
  <conditionalFormatting sqref="G5">
    <cfRule type="cellIs" dxfId="251" priority="121" operator="equal">
      <formula>$B$5</formula>
    </cfRule>
  </conditionalFormatting>
  <conditionalFormatting sqref="H5">
    <cfRule type="cellIs" dxfId="250" priority="120" operator="equal">
      <formula>$B$5</formula>
    </cfRule>
  </conditionalFormatting>
  <dataValidations disablePrompts="1" count="1">
    <dataValidation type="list" allowBlank="1" showInputMessage="1" showErrorMessage="1" sqref="WUT983021:WUW983023 IH65517:IK65519 SD65517:SG65519 ABZ65517:ACC65519 ALV65517:ALY65519 AVR65517:AVU65519 BFN65517:BFQ65519 BPJ65517:BPM65519 BZF65517:BZI65519 CJB65517:CJE65519 CSX65517:CTA65519 DCT65517:DCW65519 DMP65517:DMS65519 DWL65517:DWO65519 EGH65517:EGK65519 EQD65517:EQG65519 EZZ65517:FAC65519 FJV65517:FJY65519 FTR65517:FTU65519 GDN65517:GDQ65519 GNJ65517:GNM65519 GXF65517:GXI65519 HHB65517:HHE65519 HQX65517:HRA65519 IAT65517:IAW65519 IKP65517:IKS65519 IUL65517:IUO65519 JEH65517:JEK65519 JOD65517:JOG65519 JXZ65517:JYC65519 KHV65517:KHY65519 KRR65517:KRU65519 LBN65517:LBQ65519 LLJ65517:LLM65519 LVF65517:LVI65519 MFB65517:MFE65519 MOX65517:MPA65519 MYT65517:MYW65519 NIP65517:NIS65519 NSL65517:NSO65519 OCH65517:OCK65519 OMD65517:OMG65519 OVZ65517:OWC65519 PFV65517:PFY65519 PPR65517:PPU65519 PZN65517:PZQ65519 QJJ65517:QJM65519 QTF65517:QTI65519 RDB65517:RDE65519 RMX65517:RNA65519 RWT65517:RWW65519 SGP65517:SGS65519 SQL65517:SQO65519 TAH65517:TAK65519 TKD65517:TKG65519 TTZ65517:TUC65519 UDV65517:UDY65519 UNR65517:UNU65519 UXN65517:UXQ65519 VHJ65517:VHM65519 VRF65517:VRI65519 WBB65517:WBE65519 WKX65517:WLA65519 WUT65517:WUW65519 IH131053:IK131055 SD131053:SG131055 ABZ131053:ACC131055 ALV131053:ALY131055 AVR131053:AVU131055 BFN131053:BFQ131055 BPJ131053:BPM131055 BZF131053:BZI131055 CJB131053:CJE131055 CSX131053:CTA131055 DCT131053:DCW131055 DMP131053:DMS131055 DWL131053:DWO131055 EGH131053:EGK131055 EQD131053:EQG131055 EZZ131053:FAC131055 FJV131053:FJY131055 FTR131053:FTU131055 GDN131053:GDQ131055 GNJ131053:GNM131055 GXF131053:GXI131055 HHB131053:HHE131055 HQX131053:HRA131055 IAT131053:IAW131055 IKP131053:IKS131055 IUL131053:IUO131055 JEH131053:JEK131055 JOD131053:JOG131055 JXZ131053:JYC131055 KHV131053:KHY131055 KRR131053:KRU131055 LBN131053:LBQ131055 LLJ131053:LLM131055 LVF131053:LVI131055 MFB131053:MFE131055 MOX131053:MPA131055 MYT131053:MYW131055 NIP131053:NIS131055 NSL131053:NSO131055 OCH131053:OCK131055 OMD131053:OMG131055 OVZ131053:OWC131055 PFV131053:PFY131055 PPR131053:PPU131055 PZN131053:PZQ131055 QJJ131053:QJM131055 QTF131053:QTI131055 RDB131053:RDE131055 RMX131053:RNA131055 RWT131053:RWW131055 SGP131053:SGS131055 SQL131053:SQO131055 TAH131053:TAK131055 TKD131053:TKG131055 TTZ131053:TUC131055 UDV131053:UDY131055 UNR131053:UNU131055 UXN131053:UXQ131055 VHJ131053:VHM131055 VRF131053:VRI131055 WBB131053:WBE131055 WKX131053:WLA131055 WUT131053:WUW131055 IH196589:IK196591 SD196589:SG196591 ABZ196589:ACC196591 ALV196589:ALY196591 AVR196589:AVU196591 BFN196589:BFQ196591 BPJ196589:BPM196591 BZF196589:BZI196591 CJB196589:CJE196591 CSX196589:CTA196591 DCT196589:DCW196591 DMP196589:DMS196591 DWL196589:DWO196591 EGH196589:EGK196591 EQD196589:EQG196591 EZZ196589:FAC196591 FJV196589:FJY196591 FTR196589:FTU196591 GDN196589:GDQ196591 GNJ196589:GNM196591 GXF196589:GXI196591 HHB196589:HHE196591 HQX196589:HRA196591 IAT196589:IAW196591 IKP196589:IKS196591 IUL196589:IUO196591 JEH196589:JEK196591 JOD196589:JOG196591 JXZ196589:JYC196591 KHV196589:KHY196591 KRR196589:KRU196591 LBN196589:LBQ196591 LLJ196589:LLM196591 LVF196589:LVI196591 MFB196589:MFE196591 MOX196589:MPA196591 MYT196589:MYW196591 NIP196589:NIS196591 NSL196589:NSO196591 OCH196589:OCK196591 OMD196589:OMG196591 OVZ196589:OWC196591 PFV196589:PFY196591 PPR196589:PPU196591 PZN196589:PZQ196591 QJJ196589:QJM196591 QTF196589:QTI196591 RDB196589:RDE196591 RMX196589:RNA196591 RWT196589:RWW196591 SGP196589:SGS196591 SQL196589:SQO196591 TAH196589:TAK196591 TKD196589:TKG196591 TTZ196589:TUC196591 UDV196589:UDY196591 UNR196589:UNU196591 UXN196589:UXQ196591 VHJ196589:VHM196591 VRF196589:VRI196591 WBB196589:WBE196591 WKX196589:WLA196591 WUT196589:WUW196591 IH262125:IK262127 SD262125:SG262127 ABZ262125:ACC262127 ALV262125:ALY262127 AVR262125:AVU262127 BFN262125:BFQ262127 BPJ262125:BPM262127 BZF262125:BZI262127 CJB262125:CJE262127 CSX262125:CTA262127 DCT262125:DCW262127 DMP262125:DMS262127 DWL262125:DWO262127 EGH262125:EGK262127 EQD262125:EQG262127 EZZ262125:FAC262127 FJV262125:FJY262127 FTR262125:FTU262127 GDN262125:GDQ262127 GNJ262125:GNM262127 GXF262125:GXI262127 HHB262125:HHE262127 HQX262125:HRA262127 IAT262125:IAW262127 IKP262125:IKS262127 IUL262125:IUO262127 JEH262125:JEK262127 JOD262125:JOG262127 JXZ262125:JYC262127 KHV262125:KHY262127 KRR262125:KRU262127 LBN262125:LBQ262127 LLJ262125:LLM262127 LVF262125:LVI262127 MFB262125:MFE262127 MOX262125:MPA262127 MYT262125:MYW262127 NIP262125:NIS262127 NSL262125:NSO262127 OCH262125:OCK262127 OMD262125:OMG262127 OVZ262125:OWC262127 PFV262125:PFY262127 PPR262125:PPU262127 PZN262125:PZQ262127 QJJ262125:QJM262127 QTF262125:QTI262127 RDB262125:RDE262127 RMX262125:RNA262127 RWT262125:RWW262127 SGP262125:SGS262127 SQL262125:SQO262127 TAH262125:TAK262127 TKD262125:TKG262127 TTZ262125:TUC262127 UDV262125:UDY262127 UNR262125:UNU262127 UXN262125:UXQ262127 VHJ262125:VHM262127 VRF262125:VRI262127 WBB262125:WBE262127 WKX262125:WLA262127 WUT262125:WUW262127 IH327661:IK327663 SD327661:SG327663 ABZ327661:ACC327663 ALV327661:ALY327663 AVR327661:AVU327663 BFN327661:BFQ327663 BPJ327661:BPM327663 BZF327661:BZI327663 CJB327661:CJE327663 CSX327661:CTA327663 DCT327661:DCW327663 DMP327661:DMS327663 DWL327661:DWO327663 EGH327661:EGK327663 EQD327661:EQG327663 EZZ327661:FAC327663 FJV327661:FJY327663 FTR327661:FTU327663 GDN327661:GDQ327663 GNJ327661:GNM327663 GXF327661:GXI327663 HHB327661:HHE327663 HQX327661:HRA327663 IAT327661:IAW327663 IKP327661:IKS327663 IUL327661:IUO327663 JEH327661:JEK327663 JOD327661:JOG327663 JXZ327661:JYC327663 KHV327661:KHY327663 KRR327661:KRU327663 LBN327661:LBQ327663 LLJ327661:LLM327663 LVF327661:LVI327663 MFB327661:MFE327663 MOX327661:MPA327663 MYT327661:MYW327663 NIP327661:NIS327663 NSL327661:NSO327663 OCH327661:OCK327663 OMD327661:OMG327663 OVZ327661:OWC327663 PFV327661:PFY327663 PPR327661:PPU327663 PZN327661:PZQ327663 QJJ327661:QJM327663 QTF327661:QTI327663 RDB327661:RDE327663 RMX327661:RNA327663 RWT327661:RWW327663 SGP327661:SGS327663 SQL327661:SQO327663 TAH327661:TAK327663 TKD327661:TKG327663 TTZ327661:TUC327663 UDV327661:UDY327663 UNR327661:UNU327663 UXN327661:UXQ327663 VHJ327661:VHM327663 VRF327661:VRI327663 WBB327661:WBE327663 WKX327661:WLA327663 WUT327661:WUW327663 IH393197:IK393199 SD393197:SG393199 ABZ393197:ACC393199 ALV393197:ALY393199 AVR393197:AVU393199 BFN393197:BFQ393199 BPJ393197:BPM393199 BZF393197:BZI393199 CJB393197:CJE393199 CSX393197:CTA393199 DCT393197:DCW393199 DMP393197:DMS393199 DWL393197:DWO393199 EGH393197:EGK393199 EQD393197:EQG393199 EZZ393197:FAC393199 FJV393197:FJY393199 FTR393197:FTU393199 GDN393197:GDQ393199 GNJ393197:GNM393199 GXF393197:GXI393199 HHB393197:HHE393199 HQX393197:HRA393199 IAT393197:IAW393199 IKP393197:IKS393199 IUL393197:IUO393199 JEH393197:JEK393199 JOD393197:JOG393199 JXZ393197:JYC393199 KHV393197:KHY393199 KRR393197:KRU393199 LBN393197:LBQ393199 LLJ393197:LLM393199 LVF393197:LVI393199 MFB393197:MFE393199 MOX393197:MPA393199 MYT393197:MYW393199 NIP393197:NIS393199 NSL393197:NSO393199 OCH393197:OCK393199 OMD393197:OMG393199 OVZ393197:OWC393199 PFV393197:PFY393199 PPR393197:PPU393199 PZN393197:PZQ393199 QJJ393197:QJM393199 QTF393197:QTI393199 RDB393197:RDE393199 RMX393197:RNA393199 RWT393197:RWW393199 SGP393197:SGS393199 SQL393197:SQO393199 TAH393197:TAK393199 TKD393197:TKG393199 TTZ393197:TUC393199 UDV393197:UDY393199 UNR393197:UNU393199 UXN393197:UXQ393199 VHJ393197:VHM393199 VRF393197:VRI393199 WBB393197:WBE393199 WKX393197:WLA393199 WUT393197:WUW393199 IH458733:IK458735 SD458733:SG458735 ABZ458733:ACC458735 ALV458733:ALY458735 AVR458733:AVU458735 BFN458733:BFQ458735 BPJ458733:BPM458735 BZF458733:BZI458735 CJB458733:CJE458735 CSX458733:CTA458735 DCT458733:DCW458735 DMP458733:DMS458735 DWL458733:DWO458735 EGH458733:EGK458735 EQD458733:EQG458735 EZZ458733:FAC458735 FJV458733:FJY458735 FTR458733:FTU458735 GDN458733:GDQ458735 GNJ458733:GNM458735 GXF458733:GXI458735 HHB458733:HHE458735 HQX458733:HRA458735 IAT458733:IAW458735 IKP458733:IKS458735 IUL458733:IUO458735 JEH458733:JEK458735 JOD458733:JOG458735 JXZ458733:JYC458735 KHV458733:KHY458735 KRR458733:KRU458735 LBN458733:LBQ458735 LLJ458733:LLM458735 LVF458733:LVI458735 MFB458733:MFE458735 MOX458733:MPA458735 MYT458733:MYW458735 NIP458733:NIS458735 NSL458733:NSO458735 OCH458733:OCK458735 OMD458733:OMG458735 OVZ458733:OWC458735 PFV458733:PFY458735 PPR458733:PPU458735 PZN458733:PZQ458735 QJJ458733:QJM458735 QTF458733:QTI458735 RDB458733:RDE458735 RMX458733:RNA458735 RWT458733:RWW458735 SGP458733:SGS458735 SQL458733:SQO458735 TAH458733:TAK458735 TKD458733:TKG458735 TTZ458733:TUC458735 UDV458733:UDY458735 UNR458733:UNU458735 UXN458733:UXQ458735 VHJ458733:VHM458735 VRF458733:VRI458735 WBB458733:WBE458735 WKX458733:WLA458735 WUT458733:WUW458735 IH524269:IK524271 SD524269:SG524271 ABZ524269:ACC524271 ALV524269:ALY524271 AVR524269:AVU524271 BFN524269:BFQ524271 BPJ524269:BPM524271 BZF524269:BZI524271 CJB524269:CJE524271 CSX524269:CTA524271 DCT524269:DCW524271 DMP524269:DMS524271 DWL524269:DWO524271 EGH524269:EGK524271 EQD524269:EQG524271 EZZ524269:FAC524271 FJV524269:FJY524271 FTR524269:FTU524271 GDN524269:GDQ524271 GNJ524269:GNM524271 GXF524269:GXI524271 HHB524269:HHE524271 HQX524269:HRA524271 IAT524269:IAW524271 IKP524269:IKS524271 IUL524269:IUO524271 JEH524269:JEK524271 JOD524269:JOG524271 JXZ524269:JYC524271 KHV524269:KHY524271 KRR524269:KRU524271 LBN524269:LBQ524271 LLJ524269:LLM524271 LVF524269:LVI524271 MFB524269:MFE524271 MOX524269:MPA524271 MYT524269:MYW524271 NIP524269:NIS524271 NSL524269:NSO524271 OCH524269:OCK524271 OMD524269:OMG524271 OVZ524269:OWC524271 PFV524269:PFY524271 PPR524269:PPU524271 PZN524269:PZQ524271 QJJ524269:QJM524271 QTF524269:QTI524271 RDB524269:RDE524271 RMX524269:RNA524271 RWT524269:RWW524271 SGP524269:SGS524271 SQL524269:SQO524271 TAH524269:TAK524271 TKD524269:TKG524271 TTZ524269:TUC524271 UDV524269:UDY524271 UNR524269:UNU524271 UXN524269:UXQ524271 VHJ524269:VHM524271 VRF524269:VRI524271 WBB524269:WBE524271 WKX524269:WLA524271 WUT524269:WUW524271 IH589805:IK589807 SD589805:SG589807 ABZ589805:ACC589807 ALV589805:ALY589807 AVR589805:AVU589807 BFN589805:BFQ589807 BPJ589805:BPM589807 BZF589805:BZI589807 CJB589805:CJE589807 CSX589805:CTA589807 DCT589805:DCW589807 DMP589805:DMS589807 DWL589805:DWO589807 EGH589805:EGK589807 EQD589805:EQG589807 EZZ589805:FAC589807 FJV589805:FJY589807 FTR589805:FTU589807 GDN589805:GDQ589807 GNJ589805:GNM589807 GXF589805:GXI589807 HHB589805:HHE589807 HQX589805:HRA589807 IAT589805:IAW589807 IKP589805:IKS589807 IUL589805:IUO589807 JEH589805:JEK589807 JOD589805:JOG589807 JXZ589805:JYC589807 KHV589805:KHY589807 KRR589805:KRU589807 LBN589805:LBQ589807 LLJ589805:LLM589807 LVF589805:LVI589807 MFB589805:MFE589807 MOX589805:MPA589807 MYT589805:MYW589807 NIP589805:NIS589807 NSL589805:NSO589807 OCH589805:OCK589807 OMD589805:OMG589807 OVZ589805:OWC589807 PFV589805:PFY589807 PPR589805:PPU589807 PZN589805:PZQ589807 QJJ589805:QJM589807 QTF589805:QTI589807 RDB589805:RDE589807 RMX589805:RNA589807 RWT589805:RWW589807 SGP589805:SGS589807 SQL589805:SQO589807 TAH589805:TAK589807 TKD589805:TKG589807 TTZ589805:TUC589807 UDV589805:UDY589807 UNR589805:UNU589807 UXN589805:UXQ589807 VHJ589805:VHM589807 VRF589805:VRI589807 WBB589805:WBE589807 WKX589805:WLA589807 WUT589805:WUW589807 IH655341:IK655343 SD655341:SG655343 ABZ655341:ACC655343 ALV655341:ALY655343 AVR655341:AVU655343 BFN655341:BFQ655343 BPJ655341:BPM655343 BZF655341:BZI655343 CJB655341:CJE655343 CSX655341:CTA655343 DCT655341:DCW655343 DMP655341:DMS655343 DWL655341:DWO655343 EGH655341:EGK655343 EQD655341:EQG655343 EZZ655341:FAC655343 FJV655341:FJY655343 FTR655341:FTU655343 GDN655341:GDQ655343 GNJ655341:GNM655343 GXF655341:GXI655343 HHB655341:HHE655343 HQX655341:HRA655343 IAT655341:IAW655343 IKP655341:IKS655343 IUL655341:IUO655343 JEH655341:JEK655343 JOD655341:JOG655343 JXZ655341:JYC655343 KHV655341:KHY655343 KRR655341:KRU655343 LBN655341:LBQ655343 LLJ655341:LLM655343 LVF655341:LVI655343 MFB655341:MFE655343 MOX655341:MPA655343 MYT655341:MYW655343 NIP655341:NIS655343 NSL655341:NSO655343 OCH655341:OCK655343 OMD655341:OMG655343 OVZ655341:OWC655343 PFV655341:PFY655343 PPR655341:PPU655343 PZN655341:PZQ655343 QJJ655341:QJM655343 QTF655341:QTI655343 RDB655341:RDE655343 RMX655341:RNA655343 RWT655341:RWW655343 SGP655341:SGS655343 SQL655341:SQO655343 TAH655341:TAK655343 TKD655341:TKG655343 TTZ655341:TUC655343 UDV655341:UDY655343 UNR655341:UNU655343 UXN655341:UXQ655343 VHJ655341:VHM655343 VRF655341:VRI655343 WBB655341:WBE655343 WKX655341:WLA655343 WUT655341:WUW655343 IH720877:IK720879 SD720877:SG720879 ABZ720877:ACC720879 ALV720877:ALY720879 AVR720877:AVU720879 BFN720877:BFQ720879 BPJ720877:BPM720879 BZF720877:BZI720879 CJB720877:CJE720879 CSX720877:CTA720879 DCT720877:DCW720879 DMP720877:DMS720879 DWL720877:DWO720879 EGH720877:EGK720879 EQD720877:EQG720879 EZZ720877:FAC720879 FJV720877:FJY720879 FTR720877:FTU720879 GDN720877:GDQ720879 GNJ720877:GNM720879 GXF720877:GXI720879 HHB720877:HHE720879 HQX720877:HRA720879 IAT720877:IAW720879 IKP720877:IKS720879 IUL720877:IUO720879 JEH720877:JEK720879 JOD720877:JOG720879 JXZ720877:JYC720879 KHV720877:KHY720879 KRR720877:KRU720879 LBN720877:LBQ720879 LLJ720877:LLM720879 LVF720877:LVI720879 MFB720877:MFE720879 MOX720877:MPA720879 MYT720877:MYW720879 NIP720877:NIS720879 NSL720877:NSO720879 OCH720877:OCK720879 OMD720877:OMG720879 OVZ720877:OWC720879 PFV720877:PFY720879 PPR720877:PPU720879 PZN720877:PZQ720879 QJJ720877:QJM720879 QTF720877:QTI720879 RDB720877:RDE720879 RMX720877:RNA720879 RWT720877:RWW720879 SGP720877:SGS720879 SQL720877:SQO720879 TAH720877:TAK720879 TKD720877:TKG720879 TTZ720877:TUC720879 UDV720877:UDY720879 UNR720877:UNU720879 UXN720877:UXQ720879 VHJ720877:VHM720879 VRF720877:VRI720879 WBB720877:WBE720879 WKX720877:WLA720879 WUT720877:WUW720879 IH786413:IK786415 SD786413:SG786415 ABZ786413:ACC786415 ALV786413:ALY786415 AVR786413:AVU786415 BFN786413:BFQ786415 BPJ786413:BPM786415 BZF786413:BZI786415 CJB786413:CJE786415 CSX786413:CTA786415 DCT786413:DCW786415 DMP786413:DMS786415 DWL786413:DWO786415 EGH786413:EGK786415 EQD786413:EQG786415 EZZ786413:FAC786415 FJV786413:FJY786415 FTR786413:FTU786415 GDN786413:GDQ786415 GNJ786413:GNM786415 GXF786413:GXI786415 HHB786413:HHE786415 HQX786413:HRA786415 IAT786413:IAW786415 IKP786413:IKS786415 IUL786413:IUO786415 JEH786413:JEK786415 JOD786413:JOG786415 JXZ786413:JYC786415 KHV786413:KHY786415 KRR786413:KRU786415 LBN786413:LBQ786415 LLJ786413:LLM786415 LVF786413:LVI786415 MFB786413:MFE786415 MOX786413:MPA786415 MYT786413:MYW786415 NIP786413:NIS786415 NSL786413:NSO786415 OCH786413:OCK786415 OMD786413:OMG786415 OVZ786413:OWC786415 PFV786413:PFY786415 PPR786413:PPU786415 PZN786413:PZQ786415 QJJ786413:QJM786415 QTF786413:QTI786415 RDB786413:RDE786415 RMX786413:RNA786415 RWT786413:RWW786415 SGP786413:SGS786415 SQL786413:SQO786415 TAH786413:TAK786415 TKD786413:TKG786415 TTZ786413:TUC786415 UDV786413:UDY786415 UNR786413:UNU786415 UXN786413:UXQ786415 VHJ786413:VHM786415 VRF786413:VRI786415 WBB786413:WBE786415 WKX786413:WLA786415 WUT786413:WUW786415 IH851949:IK851951 SD851949:SG851951 ABZ851949:ACC851951 ALV851949:ALY851951 AVR851949:AVU851951 BFN851949:BFQ851951 BPJ851949:BPM851951 BZF851949:BZI851951 CJB851949:CJE851951 CSX851949:CTA851951 DCT851949:DCW851951 DMP851949:DMS851951 DWL851949:DWO851951 EGH851949:EGK851951 EQD851949:EQG851951 EZZ851949:FAC851951 FJV851949:FJY851951 FTR851949:FTU851951 GDN851949:GDQ851951 GNJ851949:GNM851951 GXF851949:GXI851951 HHB851949:HHE851951 HQX851949:HRA851951 IAT851949:IAW851951 IKP851949:IKS851951 IUL851949:IUO851951 JEH851949:JEK851951 JOD851949:JOG851951 JXZ851949:JYC851951 KHV851949:KHY851951 KRR851949:KRU851951 LBN851949:LBQ851951 LLJ851949:LLM851951 LVF851949:LVI851951 MFB851949:MFE851951 MOX851949:MPA851951 MYT851949:MYW851951 NIP851949:NIS851951 NSL851949:NSO851951 OCH851949:OCK851951 OMD851949:OMG851951 OVZ851949:OWC851951 PFV851949:PFY851951 PPR851949:PPU851951 PZN851949:PZQ851951 QJJ851949:QJM851951 QTF851949:QTI851951 RDB851949:RDE851951 RMX851949:RNA851951 RWT851949:RWW851951 SGP851949:SGS851951 SQL851949:SQO851951 TAH851949:TAK851951 TKD851949:TKG851951 TTZ851949:TUC851951 UDV851949:UDY851951 UNR851949:UNU851951 UXN851949:UXQ851951 VHJ851949:VHM851951 VRF851949:VRI851951 WBB851949:WBE851951 WKX851949:WLA851951 WUT851949:WUW851951 IH917485:IK917487 SD917485:SG917487 ABZ917485:ACC917487 ALV917485:ALY917487 AVR917485:AVU917487 BFN917485:BFQ917487 BPJ917485:BPM917487 BZF917485:BZI917487 CJB917485:CJE917487 CSX917485:CTA917487 DCT917485:DCW917487 DMP917485:DMS917487 DWL917485:DWO917487 EGH917485:EGK917487 EQD917485:EQG917487 EZZ917485:FAC917487 FJV917485:FJY917487 FTR917485:FTU917487 GDN917485:GDQ917487 GNJ917485:GNM917487 GXF917485:GXI917487 HHB917485:HHE917487 HQX917485:HRA917487 IAT917485:IAW917487 IKP917485:IKS917487 IUL917485:IUO917487 JEH917485:JEK917487 JOD917485:JOG917487 JXZ917485:JYC917487 KHV917485:KHY917487 KRR917485:KRU917487 LBN917485:LBQ917487 LLJ917485:LLM917487 LVF917485:LVI917487 MFB917485:MFE917487 MOX917485:MPA917487 MYT917485:MYW917487 NIP917485:NIS917487 NSL917485:NSO917487 OCH917485:OCK917487 OMD917485:OMG917487 OVZ917485:OWC917487 PFV917485:PFY917487 PPR917485:PPU917487 PZN917485:PZQ917487 QJJ917485:QJM917487 QTF917485:QTI917487 RDB917485:RDE917487 RMX917485:RNA917487 RWT917485:RWW917487 SGP917485:SGS917487 SQL917485:SQO917487 TAH917485:TAK917487 TKD917485:TKG917487 TTZ917485:TUC917487 UDV917485:UDY917487 UNR917485:UNU917487 UXN917485:UXQ917487 VHJ917485:VHM917487 VRF917485:VRI917487 WBB917485:WBE917487 WKX917485:WLA917487 WUT917485:WUW917487 IH983021:IK983023 SD983021:SG983023 ABZ983021:ACC983023 ALV983021:ALY983023 AVR983021:AVU983023 BFN983021:BFQ983023 BPJ983021:BPM983023 BZF983021:BZI983023 CJB983021:CJE983023 CSX983021:CTA983023 DCT983021:DCW983023 DMP983021:DMS983023 DWL983021:DWO983023 EGH983021:EGK983023 EQD983021:EQG983023 EZZ983021:FAC983023 FJV983021:FJY983023 FTR983021:FTU983023 GDN983021:GDQ983023 GNJ983021:GNM983023 GXF983021:GXI983023 HHB983021:HHE983023 HQX983021:HRA983023 IAT983021:IAW983023 IKP983021:IKS983023 IUL983021:IUO983023 JEH983021:JEK983023 JOD983021:JOG983023 JXZ983021:JYC983023 KHV983021:KHY983023 KRR983021:KRU983023 LBN983021:LBQ983023 LLJ983021:LLM983023 LVF983021:LVI983023 MFB983021:MFE983023 MOX983021:MPA983023 MYT983021:MYW983023 NIP983021:NIS983023 NSL983021:NSO983023 OCH983021:OCK983023 OMD983021:OMG983023 OVZ983021:OWC983023 PFV983021:PFY983023 PPR983021:PPU983023 PZN983021:PZQ983023 QJJ983021:QJM983023 QTF983021:QTI983023 RDB983021:RDE983023 RMX983021:RNA983023 RWT983021:RWW983023 SGP983021:SGS983023 SQL983021:SQO983023 TAH983021:TAK983023 TKD983021:TKG983023 TTZ983021:TUC983023 UDV983021:UDY983023 UNR983021:UNU983023 UXN983021:UXQ983023 VHJ983021:VHM983023 VRF983021:VRI983023 WBB983021:WBE983023 WKX983021:WLA983023">
      <formula1>$M$8:$M$8</formula1>
    </dataValidation>
  </dataValidations>
  <pageMargins left="0.70866141732283472" right="0.70866141732283472" top="0.74803149606299213" bottom="0.74803149606299213" header="0.31496062992125984" footer="0.31496062992125984"/>
  <pageSetup paperSize="8" scale="16" orientation="landscape"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3">
    <tabColor rgb="FFFFC000"/>
    <pageSetUpPr fitToPage="1"/>
  </sheetPr>
  <dimension ref="B1:AM133"/>
  <sheetViews>
    <sheetView showGridLines="0" topLeftCell="A7" zoomScale="40" zoomScaleNormal="40" zoomScaleSheetLayoutView="25" zoomScalePageLayoutView="50" workbookViewId="0">
      <selection activeCell="M12" sqref="M12"/>
    </sheetView>
  </sheetViews>
  <sheetFormatPr defaultRowHeight="25.2" outlineLevelCol="1"/>
  <cols>
    <col min="1" max="1" width="3" style="2" customWidth="1"/>
    <col min="2" max="2" width="8.109375" style="2" customWidth="1"/>
    <col min="3" max="3" width="10.109375" style="2" customWidth="1"/>
    <col min="4" max="8" width="46.88671875" style="2" customWidth="1"/>
    <col min="9" max="9" width="4" style="2" customWidth="1"/>
    <col min="10" max="10" width="2" style="2" customWidth="1"/>
    <col min="11" max="11" width="4.44140625" style="19" hidden="1" customWidth="1"/>
    <col min="12" max="12" width="23.44140625" style="10" customWidth="1"/>
    <col min="13" max="13" width="190.88671875" style="4" customWidth="1" outlineLevel="1"/>
    <col min="14" max="14" width="26.5546875" style="2" hidden="1" customWidth="1"/>
    <col min="15" max="15" width="17.44140625" style="2" hidden="1" customWidth="1"/>
    <col min="16" max="16" width="17" style="2" hidden="1" customWidth="1"/>
    <col min="17" max="17" width="15.5546875" style="2" hidden="1" customWidth="1"/>
    <col min="18" max="18" width="9.109375" style="2" customWidth="1"/>
    <col min="19" max="19" width="19.44140625" style="2" customWidth="1"/>
    <col min="20" max="20" width="255.109375" style="2" customWidth="1"/>
    <col min="21" max="21" width="29.88671875" style="2" hidden="1" customWidth="1"/>
    <col min="22" max="22" width="17.44140625" style="2" hidden="1" customWidth="1"/>
    <col min="23" max="24" width="15.44140625" style="2" hidden="1" customWidth="1"/>
    <col min="25" max="25" width="3" style="2" customWidth="1"/>
    <col min="26" max="26" width="4" style="2" customWidth="1"/>
    <col min="27" max="27" width="20.44140625" style="2" customWidth="1"/>
    <col min="28" max="28" width="228.88671875" style="2" customWidth="1"/>
    <col min="29" max="29" width="16.5546875" hidden="1" customWidth="1"/>
    <col min="30" max="30" width="26" style="2" hidden="1" customWidth="1"/>
    <col min="31" max="31" width="26.109375" style="2" hidden="1" customWidth="1"/>
    <col min="32" max="32" width="17.44140625" style="2" hidden="1" customWidth="1"/>
    <col min="33" max="33" width="9.109375" style="2"/>
    <col min="34" max="34" width="23.44140625" style="2" hidden="1" customWidth="1"/>
    <col min="35" max="35" width="255" style="2" hidden="1" customWidth="1"/>
    <col min="36" max="36" width="9.109375" style="2" hidden="1" customWidth="1"/>
    <col min="37" max="37" width="13.44140625" style="2" hidden="1" customWidth="1"/>
    <col min="38" max="38" width="15.44140625" style="2" hidden="1" customWidth="1"/>
    <col min="39" max="39" width="14.44140625" style="2" hidden="1" customWidth="1"/>
    <col min="40" max="245" width="9.109375" style="2"/>
    <col min="246" max="246" width="8.44140625" style="2" customWidth="1"/>
    <col min="247" max="247" width="6.44140625" style="2" customWidth="1"/>
    <col min="248" max="252" width="17.44140625" style="2" customWidth="1"/>
    <col min="253" max="253" width="7" style="2" customWidth="1"/>
    <col min="254" max="254" width="7.44140625" style="2" customWidth="1"/>
    <col min="255" max="255" width="19" style="2" customWidth="1"/>
    <col min="256" max="259" width="17.44140625" style="2" customWidth="1"/>
    <col min="260" max="260" width="4.44140625" style="2" customWidth="1"/>
    <col min="261" max="262" width="9.109375" style="2"/>
    <col min="263" max="264" width="0" style="2" hidden="1" customWidth="1"/>
    <col min="265" max="501" width="9.109375" style="2"/>
    <col min="502" max="502" width="8.44140625" style="2" customWidth="1"/>
    <col min="503" max="503" width="6.44140625" style="2" customWidth="1"/>
    <col min="504" max="508" width="17.44140625" style="2" customWidth="1"/>
    <col min="509" max="509" width="7" style="2" customWidth="1"/>
    <col min="510" max="510" width="7.44140625" style="2" customWidth="1"/>
    <col min="511" max="511" width="19" style="2" customWidth="1"/>
    <col min="512" max="515" width="17.44140625" style="2" customWidth="1"/>
    <col min="516" max="516" width="4.44140625" style="2" customWidth="1"/>
    <col min="517" max="518" width="9.109375" style="2"/>
    <col min="519" max="520" width="0" style="2" hidden="1" customWidth="1"/>
    <col min="521" max="757" width="9.109375" style="2"/>
    <col min="758" max="758" width="8.44140625" style="2" customWidth="1"/>
    <col min="759" max="759" width="6.44140625" style="2" customWidth="1"/>
    <col min="760" max="764" width="17.44140625" style="2" customWidth="1"/>
    <col min="765" max="765" width="7" style="2" customWidth="1"/>
    <col min="766" max="766" width="7.44140625" style="2" customWidth="1"/>
    <col min="767" max="767" width="19" style="2" customWidth="1"/>
    <col min="768" max="771" width="17.44140625" style="2" customWidth="1"/>
    <col min="772" max="772" width="4.44140625" style="2" customWidth="1"/>
    <col min="773" max="774" width="9.109375" style="2"/>
    <col min="775" max="776" width="0" style="2" hidden="1" customWidth="1"/>
    <col min="777" max="1013" width="9.109375" style="2"/>
    <col min="1014" max="1014" width="8.44140625" style="2" customWidth="1"/>
    <col min="1015" max="1015" width="6.44140625" style="2" customWidth="1"/>
    <col min="1016" max="1020" width="17.44140625" style="2" customWidth="1"/>
    <col min="1021" max="1021" width="7" style="2" customWidth="1"/>
    <col min="1022" max="1022" width="7.44140625" style="2" customWidth="1"/>
    <col min="1023" max="1023" width="19" style="2" customWidth="1"/>
    <col min="1024" max="1027" width="17.44140625" style="2" customWidth="1"/>
    <col min="1028" max="1028" width="4.44140625" style="2" customWidth="1"/>
    <col min="1029" max="1030" width="9.109375" style="2"/>
    <col min="1031" max="1032" width="0" style="2" hidden="1" customWidth="1"/>
    <col min="1033" max="1269" width="9.109375" style="2"/>
    <col min="1270" max="1270" width="8.44140625" style="2" customWidth="1"/>
    <col min="1271" max="1271" width="6.44140625" style="2" customWidth="1"/>
    <col min="1272" max="1276" width="17.44140625" style="2" customWidth="1"/>
    <col min="1277" max="1277" width="7" style="2" customWidth="1"/>
    <col min="1278" max="1278" width="7.44140625" style="2" customWidth="1"/>
    <col min="1279" max="1279" width="19" style="2" customWidth="1"/>
    <col min="1280" max="1283" width="17.44140625" style="2" customWidth="1"/>
    <col min="1284" max="1284" width="4.44140625" style="2" customWidth="1"/>
    <col min="1285" max="1286" width="9.109375" style="2"/>
    <col min="1287" max="1288" width="0" style="2" hidden="1" customWidth="1"/>
    <col min="1289" max="1525" width="9.109375" style="2"/>
    <col min="1526" max="1526" width="8.44140625" style="2" customWidth="1"/>
    <col min="1527" max="1527" width="6.44140625" style="2" customWidth="1"/>
    <col min="1528" max="1532" width="17.44140625" style="2" customWidth="1"/>
    <col min="1533" max="1533" width="7" style="2" customWidth="1"/>
    <col min="1534" max="1534" width="7.44140625" style="2" customWidth="1"/>
    <col min="1535" max="1535" width="19" style="2" customWidth="1"/>
    <col min="1536" max="1539" width="17.44140625" style="2" customWidth="1"/>
    <col min="1540" max="1540" width="4.44140625" style="2" customWidth="1"/>
    <col min="1541" max="1542" width="9.109375" style="2"/>
    <col min="1543" max="1544" width="0" style="2" hidden="1" customWidth="1"/>
    <col min="1545" max="1781" width="9.109375" style="2"/>
    <col min="1782" max="1782" width="8.44140625" style="2" customWidth="1"/>
    <col min="1783" max="1783" width="6.44140625" style="2" customWidth="1"/>
    <col min="1784" max="1788" width="17.44140625" style="2" customWidth="1"/>
    <col min="1789" max="1789" width="7" style="2" customWidth="1"/>
    <col min="1790" max="1790" width="7.44140625" style="2" customWidth="1"/>
    <col min="1791" max="1791" width="19" style="2" customWidth="1"/>
    <col min="1792" max="1795" width="17.44140625" style="2" customWidth="1"/>
    <col min="1796" max="1796" width="4.44140625" style="2" customWidth="1"/>
    <col min="1797" max="1798" width="9.109375" style="2"/>
    <col min="1799" max="1800" width="0" style="2" hidden="1" customWidth="1"/>
    <col min="1801" max="2037" width="9.109375" style="2"/>
    <col min="2038" max="2038" width="8.44140625" style="2" customWidth="1"/>
    <col min="2039" max="2039" width="6.44140625" style="2" customWidth="1"/>
    <col min="2040" max="2044" width="17.44140625" style="2" customWidth="1"/>
    <col min="2045" max="2045" width="7" style="2" customWidth="1"/>
    <col min="2046" max="2046" width="7.44140625" style="2" customWidth="1"/>
    <col min="2047" max="2047" width="19" style="2" customWidth="1"/>
    <col min="2048" max="2051" width="17.44140625" style="2" customWidth="1"/>
    <col min="2052" max="2052" width="4.44140625" style="2" customWidth="1"/>
    <col min="2053" max="2054" width="9.109375" style="2"/>
    <col min="2055" max="2056" width="0" style="2" hidden="1" customWidth="1"/>
    <col min="2057" max="2293" width="9.109375" style="2"/>
    <col min="2294" max="2294" width="8.44140625" style="2" customWidth="1"/>
    <col min="2295" max="2295" width="6.44140625" style="2" customWidth="1"/>
    <col min="2296" max="2300" width="17.44140625" style="2" customWidth="1"/>
    <col min="2301" max="2301" width="7" style="2" customWidth="1"/>
    <col min="2302" max="2302" width="7.44140625" style="2" customWidth="1"/>
    <col min="2303" max="2303" width="19" style="2" customWidth="1"/>
    <col min="2304" max="2307" width="17.44140625" style="2" customWidth="1"/>
    <col min="2308" max="2308" width="4.44140625" style="2" customWidth="1"/>
    <col min="2309" max="2310" width="9.109375" style="2"/>
    <col min="2311" max="2312" width="0" style="2" hidden="1" customWidth="1"/>
    <col min="2313" max="2549" width="9.109375" style="2"/>
    <col min="2550" max="2550" width="8.44140625" style="2" customWidth="1"/>
    <col min="2551" max="2551" width="6.44140625" style="2" customWidth="1"/>
    <col min="2552" max="2556" width="17.44140625" style="2" customWidth="1"/>
    <col min="2557" max="2557" width="7" style="2" customWidth="1"/>
    <col min="2558" max="2558" width="7.44140625" style="2" customWidth="1"/>
    <col min="2559" max="2559" width="19" style="2" customWidth="1"/>
    <col min="2560" max="2563" width="17.44140625" style="2" customWidth="1"/>
    <col min="2564" max="2564" width="4.44140625" style="2" customWidth="1"/>
    <col min="2565" max="2566" width="9.109375" style="2"/>
    <col min="2567" max="2568" width="0" style="2" hidden="1" customWidth="1"/>
    <col min="2569" max="2805" width="9.109375" style="2"/>
    <col min="2806" max="2806" width="8.44140625" style="2" customWidth="1"/>
    <col min="2807" max="2807" width="6.44140625" style="2" customWidth="1"/>
    <col min="2808" max="2812" width="17.44140625" style="2" customWidth="1"/>
    <col min="2813" max="2813" width="7" style="2" customWidth="1"/>
    <col min="2814" max="2814" width="7.44140625" style="2" customWidth="1"/>
    <col min="2815" max="2815" width="19" style="2" customWidth="1"/>
    <col min="2816" max="2819" width="17.44140625" style="2" customWidth="1"/>
    <col min="2820" max="2820" width="4.44140625" style="2" customWidth="1"/>
    <col min="2821" max="2822" width="9.109375" style="2"/>
    <col min="2823" max="2824" width="0" style="2" hidden="1" customWidth="1"/>
    <col min="2825" max="3061" width="9.109375" style="2"/>
    <col min="3062" max="3062" width="8.44140625" style="2" customWidth="1"/>
    <col min="3063" max="3063" width="6.44140625" style="2" customWidth="1"/>
    <col min="3064" max="3068" width="17.44140625" style="2" customWidth="1"/>
    <col min="3069" max="3069" width="7" style="2" customWidth="1"/>
    <col min="3070" max="3070" width="7.44140625" style="2" customWidth="1"/>
    <col min="3071" max="3071" width="19" style="2" customWidth="1"/>
    <col min="3072" max="3075" width="17.44140625" style="2" customWidth="1"/>
    <col min="3076" max="3076" width="4.44140625" style="2" customWidth="1"/>
    <col min="3077" max="3078" width="9.109375" style="2"/>
    <col min="3079" max="3080" width="0" style="2" hidden="1" customWidth="1"/>
    <col min="3081" max="3317" width="9.109375" style="2"/>
    <col min="3318" max="3318" width="8.44140625" style="2" customWidth="1"/>
    <col min="3319" max="3319" width="6.44140625" style="2" customWidth="1"/>
    <col min="3320" max="3324" width="17.44140625" style="2" customWidth="1"/>
    <col min="3325" max="3325" width="7" style="2" customWidth="1"/>
    <col min="3326" max="3326" width="7.44140625" style="2" customWidth="1"/>
    <col min="3327" max="3327" width="19" style="2" customWidth="1"/>
    <col min="3328" max="3331" width="17.44140625" style="2" customWidth="1"/>
    <col min="3332" max="3332" width="4.44140625" style="2" customWidth="1"/>
    <col min="3333" max="3334" width="9.109375" style="2"/>
    <col min="3335" max="3336" width="0" style="2" hidden="1" customWidth="1"/>
    <col min="3337" max="3573" width="9.109375" style="2"/>
    <col min="3574" max="3574" width="8.44140625" style="2" customWidth="1"/>
    <col min="3575" max="3575" width="6.44140625" style="2" customWidth="1"/>
    <col min="3576" max="3580" width="17.44140625" style="2" customWidth="1"/>
    <col min="3581" max="3581" width="7" style="2" customWidth="1"/>
    <col min="3582" max="3582" width="7.44140625" style="2" customWidth="1"/>
    <col min="3583" max="3583" width="19" style="2" customWidth="1"/>
    <col min="3584" max="3587" width="17.44140625" style="2" customWidth="1"/>
    <col min="3588" max="3588" width="4.44140625" style="2" customWidth="1"/>
    <col min="3589" max="3590" width="9.109375" style="2"/>
    <col min="3591" max="3592" width="0" style="2" hidden="1" customWidth="1"/>
    <col min="3593" max="3829" width="9.109375" style="2"/>
    <col min="3830" max="3830" width="8.44140625" style="2" customWidth="1"/>
    <col min="3831" max="3831" width="6.44140625" style="2" customWidth="1"/>
    <col min="3832" max="3836" width="17.44140625" style="2" customWidth="1"/>
    <col min="3837" max="3837" width="7" style="2" customWidth="1"/>
    <col min="3838" max="3838" width="7.44140625" style="2" customWidth="1"/>
    <col min="3839" max="3839" width="19" style="2" customWidth="1"/>
    <col min="3840" max="3843" width="17.44140625" style="2" customWidth="1"/>
    <col min="3844" max="3844" width="4.44140625" style="2" customWidth="1"/>
    <col min="3845" max="3846" width="9.109375" style="2"/>
    <col min="3847" max="3848" width="0" style="2" hidden="1" customWidth="1"/>
    <col min="3849" max="4085" width="9.109375" style="2"/>
    <col min="4086" max="4086" width="8.44140625" style="2" customWidth="1"/>
    <col min="4087" max="4087" width="6.44140625" style="2" customWidth="1"/>
    <col min="4088" max="4092" width="17.44140625" style="2" customWidth="1"/>
    <col min="4093" max="4093" width="7" style="2" customWidth="1"/>
    <col min="4094" max="4094" width="7.44140625" style="2" customWidth="1"/>
    <col min="4095" max="4095" width="19" style="2" customWidth="1"/>
    <col min="4096" max="4099" width="17.44140625" style="2" customWidth="1"/>
    <col min="4100" max="4100" width="4.44140625" style="2" customWidth="1"/>
    <col min="4101" max="4102" width="9.109375" style="2"/>
    <col min="4103" max="4104" width="0" style="2" hidden="1" customWidth="1"/>
    <col min="4105" max="4341" width="9.109375" style="2"/>
    <col min="4342" max="4342" width="8.44140625" style="2" customWidth="1"/>
    <col min="4343" max="4343" width="6.44140625" style="2" customWidth="1"/>
    <col min="4344" max="4348" width="17.44140625" style="2" customWidth="1"/>
    <col min="4349" max="4349" width="7" style="2" customWidth="1"/>
    <col min="4350" max="4350" width="7.44140625" style="2" customWidth="1"/>
    <col min="4351" max="4351" width="19" style="2" customWidth="1"/>
    <col min="4352" max="4355" width="17.44140625" style="2" customWidth="1"/>
    <col min="4356" max="4356" width="4.44140625" style="2" customWidth="1"/>
    <col min="4357" max="4358" width="9.109375" style="2"/>
    <col min="4359" max="4360" width="0" style="2" hidden="1" customWidth="1"/>
    <col min="4361" max="4597" width="9.109375" style="2"/>
    <col min="4598" max="4598" width="8.44140625" style="2" customWidth="1"/>
    <col min="4599" max="4599" width="6.44140625" style="2" customWidth="1"/>
    <col min="4600" max="4604" width="17.44140625" style="2" customWidth="1"/>
    <col min="4605" max="4605" width="7" style="2" customWidth="1"/>
    <col min="4606" max="4606" width="7.44140625" style="2" customWidth="1"/>
    <col min="4607" max="4607" width="19" style="2" customWidth="1"/>
    <col min="4608" max="4611" width="17.44140625" style="2" customWidth="1"/>
    <col min="4612" max="4612" width="4.44140625" style="2" customWidth="1"/>
    <col min="4613" max="4614" width="9.109375" style="2"/>
    <col min="4615" max="4616" width="0" style="2" hidden="1" customWidth="1"/>
    <col min="4617" max="4853" width="9.109375" style="2"/>
    <col min="4854" max="4854" width="8.44140625" style="2" customWidth="1"/>
    <col min="4855" max="4855" width="6.44140625" style="2" customWidth="1"/>
    <col min="4856" max="4860" width="17.44140625" style="2" customWidth="1"/>
    <col min="4861" max="4861" width="7" style="2" customWidth="1"/>
    <col min="4862" max="4862" width="7.44140625" style="2" customWidth="1"/>
    <col min="4863" max="4863" width="19" style="2" customWidth="1"/>
    <col min="4864" max="4867" width="17.44140625" style="2" customWidth="1"/>
    <col min="4868" max="4868" width="4.44140625" style="2" customWidth="1"/>
    <col min="4869" max="4870" width="9.109375" style="2"/>
    <col min="4871" max="4872" width="0" style="2" hidden="1" customWidth="1"/>
    <col min="4873" max="5109" width="9.109375" style="2"/>
    <col min="5110" max="5110" width="8.44140625" style="2" customWidth="1"/>
    <col min="5111" max="5111" width="6.44140625" style="2" customWidth="1"/>
    <col min="5112" max="5116" width="17.44140625" style="2" customWidth="1"/>
    <col min="5117" max="5117" width="7" style="2" customWidth="1"/>
    <col min="5118" max="5118" width="7.44140625" style="2" customWidth="1"/>
    <col min="5119" max="5119" width="19" style="2" customWidth="1"/>
    <col min="5120" max="5123" width="17.44140625" style="2" customWidth="1"/>
    <col min="5124" max="5124" width="4.44140625" style="2" customWidth="1"/>
    <col min="5125" max="5126" width="9.109375" style="2"/>
    <col min="5127" max="5128" width="0" style="2" hidden="1" customWidth="1"/>
    <col min="5129" max="5365" width="9.109375" style="2"/>
    <col min="5366" max="5366" width="8.44140625" style="2" customWidth="1"/>
    <col min="5367" max="5367" width="6.44140625" style="2" customWidth="1"/>
    <col min="5368" max="5372" width="17.44140625" style="2" customWidth="1"/>
    <col min="5373" max="5373" width="7" style="2" customWidth="1"/>
    <col min="5374" max="5374" width="7.44140625" style="2" customWidth="1"/>
    <col min="5375" max="5375" width="19" style="2" customWidth="1"/>
    <col min="5376" max="5379" width="17.44140625" style="2" customWidth="1"/>
    <col min="5380" max="5380" width="4.44140625" style="2" customWidth="1"/>
    <col min="5381" max="5382" width="9.109375" style="2"/>
    <col min="5383" max="5384" width="0" style="2" hidden="1" customWidth="1"/>
    <col min="5385" max="5621" width="9.109375" style="2"/>
    <col min="5622" max="5622" width="8.44140625" style="2" customWidth="1"/>
    <col min="5623" max="5623" width="6.44140625" style="2" customWidth="1"/>
    <col min="5624" max="5628" width="17.44140625" style="2" customWidth="1"/>
    <col min="5629" max="5629" width="7" style="2" customWidth="1"/>
    <col min="5630" max="5630" width="7.44140625" style="2" customWidth="1"/>
    <col min="5631" max="5631" width="19" style="2" customWidth="1"/>
    <col min="5632" max="5635" width="17.44140625" style="2" customWidth="1"/>
    <col min="5636" max="5636" width="4.44140625" style="2" customWidth="1"/>
    <col min="5637" max="5638" width="9.109375" style="2"/>
    <col min="5639" max="5640" width="0" style="2" hidden="1" customWidth="1"/>
    <col min="5641" max="5877" width="9.109375" style="2"/>
    <col min="5878" max="5878" width="8.44140625" style="2" customWidth="1"/>
    <col min="5879" max="5879" width="6.44140625" style="2" customWidth="1"/>
    <col min="5880" max="5884" width="17.44140625" style="2" customWidth="1"/>
    <col min="5885" max="5885" width="7" style="2" customWidth="1"/>
    <col min="5886" max="5886" width="7.44140625" style="2" customWidth="1"/>
    <col min="5887" max="5887" width="19" style="2" customWidth="1"/>
    <col min="5888" max="5891" width="17.44140625" style="2" customWidth="1"/>
    <col min="5892" max="5892" width="4.44140625" style="2" customWidth="1"/>
    <col min="5893" max="5894" width="9.109375" style="2"/>
    <col min="5895" max="5896" width="0" style="2" hidden="1" customWidth="1"/>
    <col min="5897" max="6133" width="9.109375" style="2"/>
    <col min="6134" max="6134" width="8.44140625" style="2" customWidth="1"/>
    <col min="6135" max="6135" width="6.44140625" style="2" customWidth="1"/>
    <col min="6136" max="6140" width="17.44140625" style="2" customWidth="1"/>
    <col min="6141" max="6141" width="7" style="2" customWidth="1"/>
    <col min="6142" max="6142" width="7.44140625" style="2" customWidth="1"/>
    <col min="6143" max="6143" width="19" style="2" customWidth="1"/>
    <col min="6144" max="6147" width="17.44140625" style="2" customWidth="1"/>
    <col min="6148" max="6148" width="4.44140625" style="2" customWidth="1"/>
    <col min="6149" max="6150" width="9.109375" style="2"/>
    <col min="6151" max="6152" width="0" style="2" hidden="1" customWidth="1"/>
    <col min="6153" max="6389" width="9.109375" style="2"/>
    <col min="6390" max="6390" width="8.44140625" style="2" customWidth="1"/>
    <col min="6391" max="6391" width="6.44140625" style="2" customWidth="1"/>
    <col min="6392" max="6396" width="17.44140625" style="2" customWidth="1"/>
    <col min="6397" max="6397" width="7" style="2" customWidth="1"/>
    <col min="6398" max="6398" width="7.44140625" style="2" customWidth="1"/>
    <col min="6399" max="6399" width="19" style="2" customWidth="1"/>
    <col min="6400" max="6403" width="17.44140625" style="2" customWidth="1"/>
    <col min="6404" max="6404" width="4.44140625" style="2" customWidth="1"/>
    <col min="6405" max="6406" width="9.109375" style="2"/>
    <col min="6407" max="6408" width="0" style="2" hidden="1" customWidth="1"/>
    <col min="6409" max="6645" width="9.109375" style="2"/>
    <col min="6646" max="6646" width="8.44140625" style="2" customWidth="1"/>
    <col min="6647" max="6647" width="6.44140625" style="2" customWidth="1"/>
    <col min="6648" max="6652" width="17.44140625" style="2" customWidth="1"/>
    <col min="6653" max="6653" width="7" style="2" customWidth="1"/>
    <col min="6654" max="6654" width="7.44140625" style="2" customWidth="1"/>
    <col min="6655" max="6655" width="19" style="2" customWidth="1"/>
    <col min="6656" max="6659" width="17.44140625" style="2" customWidth="1"/>
    <col min="6660" max="6660" width="4.44140625" style="2" customWidth="1"/>
    <col min="6661" max="6662" width="9.109375" style="2"/>
    <col min="6663" max="6664" width="0" style="2" hidden="1" customWidth="1"/>
    <col min="6665" max="6901" width="9.109375" style="2"/>
    <col min="6902" max="6902" width="8.44140625" style="2" customWidth="1"/>
    <col min="6903" max="6903" width="6.44140625" style="2" customWidth="1"/>
    <col min="6904" max="6908" width="17.44140625" style="2" customWidth="1"/>
    <col min="6909" max="6909" width="7" style="2" customWidth="1"/>
    <col min="6910" max="6910" width="7.44140625" style="2" customWidth="1"/>
    <col min="6911" max="6911" width="19" style="2" customWidth="1"/>
    <col min="6912" max="6915" width="17.44140625" style="2" customWidth="1"/>
    <col min="6916" max="6916" width="4.44140625" style="2" customWidth="1"/>
    <col min="6917" max="6918" width="9.109375" style="2"/>
    <col min="6919" max="6920" width="0" style="2" hidden="1" customWidth="1"/>
    <col min="6921" max="7157" width="9.109375" style="2"/>
    <col min="7158" max="7158" width="8.44140625" style="2" customWidth="1"/>
    <col min="7159" max="7159" width="6.44140625" style="2" customWidth="1"/>
    <col min="7160" max="7164" width="17.44140625" style="2" customWidth="1"/>
    <col min="7165" max="7165" width="7" style="2" customWidth="1"/>
    <col min="7166" max="7166" width="7.44140625" style="2" customWidth="1"/>
    <col min="7167" max="7167" width="19" style="2" customWidth="1"/>
    <col min="7168" max="7171" width="17.44140625" style="2" customWidth="1"/>
    <col min="7172" max="7172" width="4.44140625" style="2" customWidth="1"/>
    <col min="7173" max="7174" width="9.109375" style="2"/>
    <col min="7175" max="7176" width="0" style="2" hidden="1" customWidth="1"/>
    <col min="7177" max="7413" width="9.109375" style="2"/>
    <col min="7414" max="7414" width="8.44140625" style="2" customWidth="1"/>
    <col min="7415" max="7415" width="6.44140625" style="2" customWidth="1"/>
    <col min="7416" max="7420" width="17.44140625" style="2" customWidth="1"/>
    <col min="7421" max="7421" width="7" style="2" customWidth="1"/>
    <col min="7422" max="7422" width="7.44140625" style="2" customWidth="1"/>
    <col min="7423" max="7423" width="19" style="2" customWidth="1"/>
    <col min="7424" max="7427" width="17.44140625" style="2" customWidth="1"/>
    <col min="7428" max="7428" width="4.44140625" style="2" customWidth="1"/>
    <col min="7429" max="7430" width="9.109375" style="2"/>
    <col min="7431" max="7432" width="0" style="2" hidden="1" customWidth="1"/>
    <col min="7433" max="7669" width="9.109375" style="2"/>
    <col min="7670" max="7670" width="8.44140625" style="2" customWidth="1"/>
    <col min="7671" max="7671" width="6.44140625" style="2" customWidth="1"/>
    <col min="7672" max="7676" width="17.44140625" style="2" customWidth="1"/>
    <col min="7677" max="7677" width="7" style="2" customWidth="1"/>
    <col min="7678" max="7678" width="7.44140625" style="2" customWidth="1"/>
    <col min="7679" max="7679" width="19" style="2" customWidth="1"/>
    <col min="7680" max="7683" width="17.44140625" style="2" customWidth="1"/>
    <col min="7684" max="7684" width="4.44140625" style="2" customWidth="1"/>
    <col min="7685" max="7686" width="9.109375" style="2"/>
    <col min="7687" max="7688" width="0" style="2" hidden="1" customWidth="1"/>
    <col min="7689" max="7925" width="9.109375" style="2"/>
    <col min="7926" max="7926" width="8.44140625" style="2" customWidth="1"/>
    <col min="7927" max="7927" width="6.44140625" style="2" customWidth="1"/>
    <col min="7928" max="7932" width="17.44140625" style="2" customWidth="1"/>
    <col min="7933" max="7933" width="7" style="2" customWidth="1"/>
    <col min="7934" max="7934" width="7.44140625" style="2" customWidth="1"/>
    <col min="7935" max="7935" width="19" style="2" customWidth="1"/>
    <col min="7936" max="7939" width="17.44140625" style="2" customWidth="1"/>
    <col min="7940" max="7940" width="4.44140625" style="2" customWidth="1"/>
    <col min="7941" max="7942" width="9.109375" style="2"/>
    <col min="7943" max="7944" width="0" style="2" hidden="1" customWidth="1"/>
    <col min="7945" max="8181" width="9.109375" style="2"/>
    <col min="8182" max="8182" width="8.44140625" style="2" customWidth="1"/>
    <col min="8183" max="8183" width="6.44140625" style="2" customWidth="1"/>
    <col min="8184" max="8188" width="17.44140625" style="2" customWidth="1"/>
    <col min="8189" max="8189" width="7" style="2" customWidth="1"/>
    <col min="8190" max="8190" width="7.44140625" style="2" customWidth="1"/>
    <col min="8191" max="8191" width="19" style="2" customWidth="1"/>
    <col min="8192" max="8195" width="17.44140625" style="2" customWidth="1"/>
    <col min="8196" max="8196" width="4.44140625" style="2" customWidth="1"/>
    <col min="8197" max="8198" width="9.109375" style="2"/>
    <col min="8199" max="8200" width="0" style="2" hidden="1" customWidth="1"/>
    <col min="8201" max="8437" width="9.109375" style="2"/>
    <col min="8438" max="8438" width="8.44140625" style="2" customWidth="1"/>
    <col min="8439" max="8439" width="6.44140625" style="2" customWidth="1"/>
    <col min="8440" max="8444" width="17.44140625" style="2" customWidth="1"/>
    <col min="8445" max="8445" width="7" style="2" customWidth="1"/>
    <col min="8446" max="8446" width="7.44140625" style="2" customWidth="1"/>
    <col min="8447" max="8447" width="19" style="2" customWidth="1"/>
    <col min="8448" max="8451" width="17.44140625" style="2" customWidth="1"/>
    <col min="8452" max="8452" width="4.44140625" style="2" customWidth="1"/>
    <col min="8453" max="8454" width="9.109375" style="2"/>
    <col min="8455" max="8456" width="0" style="2" hidden="1" customWidth="1"/>
    <col min="8457" max="8693" width="9.109375" style="2"/>
    <col min="8694" max="8694" width="8.44140625" style="2" customWidth="1"/>
    <col min="8695" max="8695" width="6.44140625" style="2" customWidth="1"/>
    <col min="8696" max="8700" width="17.44140625" style="2" customWidth="1"/>
    <col min="8701" max="8701" width="7" style="2" customWidth="1"/>
    <col min="8702" max="8702" width="7.44140625" style="2" customWidth="1"/>
    <col min="8703" max="8703" width="19" style="2" customWidth="1"/>
    <col min="8704" max="8707" width="17.44140625" style="2" customWidth="1"/>
    <col min="8708" max="8708" width="4.44140625" style="2" customWidth="1"/>
    <col min="8709" max="8710" width="9.109375" style="2"/>
    <col min="8711" max="8712" width="0" style="2" hidden="1" customWidth="1"/>
    <col min="8713" max="8949" width="9.109375" style="2"/>
    <col min="8950" max="8950" width="8.44140625" style="2" customWidth="1"/>
    <col min="8951" max="8951" width="6.44140625" style="2" customWidth="1"/>
    <col min="8952" max="8956" width="17.44140625" style="2" customWidth="1"/>
    <col min="8957" max="8957" width="7" style="2" customWidth="1"/>
    <col min="8958" max="8958" width="7.44140625" style="2" customWidth="1"/>
    <col min="8959" max="8959" width="19" style="2" customWidth="1"/>
    <col min="8960" max="8963" width="17.44140625" style="2" customWidth="1"/>
    <col min="8964" max="8964" width="4.44140625" style="2" customWidth="1"/>
    <col min="8965" max="8966" width="9.109375" style="2"/>
    <col min="8967" max="8968" width="0" style="2" hidden="1" customWidth="1"/>
    <col min="8969" max="9205" width="9.109375" style="2"/>
    <col min="9206" max="9206" width="8.44140625" style="2" customWidth="1"/>
    <col min="9207" max="9207" width="6.44140625" style="2" customWidth="1"/>
    <col min="9208" max="9212" width="17.44140625" style="2" customWidth="1"/>
    <col min="9213" max="9213" width="7" style="2" customWidth="1"/>
    <col min="9214" max="9214" width="7.44140625" style="2" customWidth="1"/>
    <col min="9215" max="9215" width="19" style="2" customWidth="1"/>
    <col min="9216" max="9219" width="17.44140625" style="2" customWidth="1"/>
    <col min="9220" max="9220" width="4.44140625" style="2" customWidth="1"/>
    <col min="9221" max="9222" width="9.109375" style="2"/>
    <col min="9223" max="9224" width="0" style="2" hidden="1" customWidth="1"/>
    <col min="9225" max="9461" width="9.109375" style="2"/>
    <col min="9462" max="9462" width="8.44140625" style="2" customWidth="1"/>
    <col min="9463" max="9463" width="6.44140625" style="2" customWidth="1"/>
    <col min="9464" max="9468" width="17.44140625" style="2" customWidth="1"/>
    <col min="9469" max="9469" width="7" style="2" customWidth="1"/>
    <col min="9470" max="9470" width="7.44140625" style="2" customWidth="1"/>
    <col min="9471" max="9471" width="19" style="2" customWidth="1"/>
    <col min="9472" max="9475" width="17.44140625" style="2" customWidth="1"/>
    <col min="9476" max="9476" width="4.44140625" style="2" customWidth="1"/>
    <col min="9477" max="9478" width="9.109375" style="2"/>
    <col min="9479" max="9480" width="0" style="2" hidden="1" customWidth="1"/>
    <col min="9481" max="9717" width="9.109375" style="2"/>
    <col min="9718" max="9718" width="8.44140625" style="2" customWidth="1"/>
    <col min="9719" max="9719" width="6.44140625" style="2" customWidth="1"/>
    <col min="9720" max="9724" width="17.44140625" style="2" customWidth="1"/>
    <col min="9725" max="9725" width="7" style="2" customWidth="1"/>
    <col min="9726" max="9726" width="7.44140625" style="2" customWidth="1"/>
    <col min="9727" max="9727" width="19" style="2" customWidth="1"/>
    <col min="9728" max="9731" width="17.44140625" style="2" customWidth="1"/>
    <col min="9732" max="9732" width="4.44140625" style="2" customWidth="1"/>
    <col min="9733" max="9734" width="9.109375" style="2"/>
    <col min="9735" max="9736" width="0" style="2" hidden="1" customWidth="1"/>
    <col min="9737" max="9973" width="9.109375" style="2"/>
    <col min="9974" max="9974" width="8.44140625" style="2" customWidth="1"/>
    <col min="9975" max="9975" width="6.44140625" style="2" customWidth="1"/>
    <col min="9976" max="9980" width="17.44140625" style="2" customWidth="1"/>
    <col min="9981" max="9981" width="7" style="2" customWidth="1"/>
    <col min="9982" max="9982" width="7.44140625" style="2" customWidth="1"/>
    <col min="9983" max="9983" width="19" style="2" customWidth="1"/>
    <col min="9984" max="9987" width="17.44140625" style="2" customWidth="1"/>
    <col min="9988" max="9988" width="4.44140625" style="2" customWidth="1"/>
    <col min="9989" max="9990" width="9.109375" style="2"/>
    <col min="9991" max="9992" width="0" style="2" hidden="1" customWidth="1"/>
    <col min="9993" max="10229" width="9.109375" style="2"/>
    <col min="10230" max="10230" width="8.44140625" style="2" customWidth="1"/>
    <col min="10231" max="10231" width="6.44140625" style="2" customWidth="1"/>
    <col min="10232" max="10236" width="17.44140625" style="2" customWidth="1"/>
    <col min="10237" max="10237" width="7" style="2" customWidth="1"/>
    <col min="10238" max="10238" width="7.44140625" style="2" customWidth="1"/>
    <col min="10239" max="10239" width="19" style="2" customWidth="1"/>
    <col min="10240" max="10243" width="17.44140625" style="2" customWidth="1"/>
    <col min="10244" max="10244" width="4.44140625" style="2" customWidth="1"/>
    <col min="10245" max="10246" width="9.109375" style="2"/>
    <col min="10247" max="10248" width="0" style="2" hidden="1" customWidth="1"/>
    <col min="10249" max="10485" width="9.109375" style="2"/>
    <col min="10486" max="10486" width="8.44140625" style="2" customWidth="1"/>
    <col min="10487" max="10487" width="6.44140625" style="2" customWidth="1"/>
    <col min="10488" max="10492" width="17.44140625" style="2" customWidth="1"/>
    <col min="10493" max="10493" width="7" style="2" customWidth="1"/>
    <col min="10494" max="10494" width="7.44140625" style="2" customWidth="1"/>
    <col min="10495" max="10495" width="19" style="2" customWidth="1"/>
    <col min="10496" max="10499" width="17.44140625" style="2" customWidth="1"/>
    <col min="10500" max="10500" width="4.44140625" style="2" customWidth="1"/>
    <col min="10501" max="10502" width="9.109375" style="2"/>
    <col min="10503" max="10504" width="0" style="2" hidden="1" customWidth="1"/>
    <col min="10505" max="10741" width="9.109375" style="2"/>
    <col min="10742" max="10742" width="8.44140625" style="2" customWidth="1"/>
    <col min="10743" max="10743" width="6.44140625" style="2" customWidth="1"/>
    <col min="10744" max="10748" width="17.44140625" style="2" customWidth="1"/>
    <col min="10749" max="10749" width="7" style="2" customWidth="1"/>
    <col min="10750" max="10750" width="7.44140625" style="2" customWidth="1"/>
    <col min="10751" max="10751" width="19" style="2" customWidth="1"/>
    <col min="10752" max="10755" width="17.44140625" style="2" customWidth="1"/>
    <col min="10756" max="10756" width="4.44140625" style="2" customWidth="1"/>
    <col min="10757" max="10758" width="9.109375" style="2"/>
    <col min="10759" max="10760" width="0" style="2" hidden="1" customWidth="1"/>
    <col min="10761" max="10997" width="9.109375" style="2"/>
    <col min="10998" max="10998" width="8.44140625" style="2" customWidth="1"/>
    <col min="10999" max="10999" width="6.44140625" style="2" customWidth="1"/>
    <col min="11000" max="11004" width="17.44140625" style="2" customWidth="1"/>
    <col min="11005" max="11005" width="7" style="2" customWidth="1"/>
    <col min="11006" max="11006" width="7.44140625" style="2" customWidth="1"/>
    <col min="11007" max="11007" width="19" style="2" customWidth="1"/>
    <col min="11008" max="11011" width="17.44140625" style="2" customWidth="1"/>
    <col min="11012" max="11012" width="4.44140625" style="2" customWidth="1"/>
    <col min="11013" max="11014" width="9.109375" style="2"/>
    <col min="11015" max="11016" width="0" style="2" hidden="1" customWidth="1"/>
    <col min="11017" max="11253" width="9.109375" style="2"/>
    <col min="11254" max="11254" width="8.44140625" style="2" customWidth="1"/>
    <col min="11255" max="11255" width="6.44140625" style="2" customWidth="1"/>
    <col min="11256" max="11260" width="17.44140625" style="2" customWidth="1"/>
    <col min="11261" max="11261" width="7" style="2" customWidth="1"/>
    <col min="11262" max="11262" width="7.44140625" style="2" customWidth="1"/>
    <col min="11263" max="11263" width="19" style="2" customWidth="1"/>
    <col min="11264" max="11267" width="17.44140625" style="2" customWidth="1"/>
    <col min="11268" max="11268" width="4.44140625" style="2" customWidth="1"/>
    <col min="11269" max="11270" width="9.109375" style="2"/>
    <col min="11271" max="11272" width="0" style="2" hidden="1" customWidth="1"/>
    <col min="11273" max="11509" width="9.109375" style="2"/>
    <col min="11510" max="11510" width="8.44140625" style="2" customWidth="1"/>
    <col min="11511" max="11511" width="6.44140625" style="2" customWidth="1"/>
    <col min="11512" max="11516" width="17.44140625" style="2" customWidth="1"/>
    <col min="11517" max="11517" width="7" style="2" customWidth="1"/>
    <col min="11518" max="11518" width="7.44140625" style="2" customWidth="1"/>
    <col min="11519" max="11519" width="19" style="2" customWidth="1"/>
    <col min="11520" max="11523" width="17.44140625" style="2" customWidth="1"/>
    <col min="11524" max="11524" width="4.44140625" style="2" customWidth="1"/>
    <col min="11525" max="11526" width="9.109375" style="2"/>
    <col min="11527" max="11528" width="0" style="2" hidden="1" customWidth="1"/>
    <col min="11529" max="11765" width="9.109375" style="2"/>
    <col min="11766" max="11766" width="8.44140625" style="2" customWidth="1"/>
    <col min="11767" max="11767" width="6.44140625" style="2" customWidth="1"/>
    <col min="11768" max="11772" width="17.44140625" style="2" customWidth="1"/>
    <col min="11773" max="11773" width="7" style="2" customWidth="1"/>
    <col min="11774" max="11774" width="7.44140625" style="2" customWidth="1"/>
    <col min="11775" max="11775" width="19" style="2" customWidth="1"/>
    <col min="11776" max="11779" width="17.44140625" style="2" customWidth="1"/>
    <col min="11780" max="11780" width="4.44140625" style="2" customWidth="1"/>
    <col min="11781" max="11782" width="9.109375" style="2"/>
    <col min="11783" max="11784" width="0" style="2" hidden="1" customWidth="1"/>
    <col min="11785" max="12021" width="9.109375" style="2"/>
    <col min="12022" max="12022" width="8.44140625" style="2" customWidth="1"/>
    <col min="12023" max="12023" width="6.44140625" style="2" customWidth="1"/>
    <col min="12024" max="12028" width="17.44140625" style="2" customWidth="1"/>
    <col min="12029" max="12029" width="7" style="2" customWidth="1"/>
    <col min="12030" max="12030" width="7.44140625" style="2" customWidth="1"/>
    <col min="12031" max="12031" width="19" style="2" customWidth="1"/>
    <col min="12032" max="12035" width="17.44140625" style="2" customWidth="1"/>
    <col min="12036" max="12036" width="4.44140625" style="2" customWidth="1"/>
    <col min="12037" max="12038" width="9.109375" style="2"/>
    <col min="12039" max="12040" width="0" style="2" hidden="1" customWidth="1"/>
    <col min="12041" max="12277" width="9.109375" style="2"/>
    <col min="12278" max="12278" width="8.44140625" style="2" customWidth="1"/>
    <col min="12279" max="12279" width="6.44140625" style="2" customWidth="1"/>
    <col min="12280" max="12284" width="17.44140625" style="2" customWidth="1"/>
    <col min="12285" max="12285" width="7" style="2" customWidth="1"/>
    <col min="12286" max="12286" width="7.44140625" style="2" customWidth="1"/>
    <col min="12287" max="12287" width="19" style="2" customWidth="1"/>
    <col min="12288" max="12291" width="17.44140625" style="2" customWidth="1"/>
    <col min="12292" max="12292" width="4.44140625" style="2" customWidth="1"/>
    <col min="12293" max="12294" width="9.109375" style="2"/>
    <col min="12295" max="12296" width="0" style="2" hidden="1" customWidth="1"/>
    <col min="12297" max="12533" width="9.109375" style="2"/>
    <col min="12534" max="12534" width="8.44140625" style="2" customWidth="1"/>
    <col min="12535" max="12535" width="6.44140625" style="2" customWidth="1"/>
    <col min="12536" max="12540" width="17.44140625" style="2" customWidth="1"/>
    <col min="12541" max="12541" width="7" style="2" customWidth="1"/>
    <col min="12542" max="12542" width="7.44140625" style="2" customWidth="1"/>
    <col min="12543" max="12543" width="19" style="2" customWidth="1"/>
    <col min="12544" max="12547" width="17.44140625" style="2" customWidth="1"/>
    <col min="12548" max="12548" width="4.44140625" style="2" customWidth="1"/>
    <col min="12549" max="12550" width="9.109375" style="2"/>
    <col min="12551" max="12552" width="0" style="2" hidden="1" customWidth="1"/>
    <col min="12553" max="12789" width="9.109375" style="2"/>
    <col min="12790" max="12790" width="8.44140625" style="2" customWidth="1"/>
    <col min="12791" max="12791" width="6.44140625" style="2" customWidth="1"/>
    <col min="12792" max="12796" width="17.44140625" style="2" customWidth="1"/>
    <col min="12797" max="12797" width="7" style="2" customWidth="1"/>
    <col min="12798" max="12798" width="7.44140625" style="2" customWidth="1"/>
    <col min="12799" max="12799" width="19" style="2" customWidth="1"/>
    <col min="12800" max="12803" width="17.44140625" style="2" customWidth="1"/>
    <col min="12804" max="12804" width="4.44140625" style="2" customWidth="1"/>
    <col min="12805" max="12806" width="9.109375" style="2"/>
    <col min="12807" max="12808" width="0" style="2" hidden="1" customWidth="1"/>
    <col min="12809" max="13045" width="9.109375" style="2"/>
    <col min="13046" max="13046" width="8.44140625" style="2" customWidth="1"/>
    <col min="13047" max="13047" width="6.44140625" style="2" customWidth="1"/>
    <col min="13048" max="13052" width="17.44140625" style="2" customWidth="1"/>
    <col min="13053" max="13053" width="7" style="2" customWidth="1"/>
    <col min="13054" max="13054" width="7.44140625" style="2" customWidth="1"/>
    <col min="13055" max="13055" width="19" style="2" customWidth="1"/>
    <col min="13056" max="13059" width="17.44140625" style="2" customWidth="1"/>
    <col min="13060" max="13060" width="4.44140625" style="2" customWidth="1"/>
    <col min="13061" max="13062" width="9.109375" style="2"/>
    <col min="13063" max="13064" width="0" style="2" hidden="1" customWidth="1"/>
    <col min="13065" max="13301" width="9.109375" style="2"/>
    <col min="13302" max="13302" width="8.44140625" style="2" customWidth="1"/>
    <col min="13303" max="13303" width="6.44140625" style="2" customWidth="1"/>
    <col min="13304" max="13308" width="17.44140625" style="2" customWidth="1"/>
    <col min="13309" max="13309" width="7" style="2" customWidth="1"/>
    <col min="13310" max="13310" width="7.44140625" style="2" customWidth="1"/>
    <col min="13311" max="13311" width="19" style="2" customWidth="1"/>
    <col min="13312" max="13315" width="17.44140625" style="2" customWidth="1"/>
    <col min="13316" max="13316" width="4.44140625" style="2" customWidth="1"/>
    <col min="13317" max="13318" width="9.109375" style="2"/>
    <col min="13319" max="13320" width="0" style="2" hidden="1" customWidth="1"/>
    <col min="13321" max="13557" width="9.109375" style="2"/>
    <col min="13558" max="13558" width="8.44140625" style="2" customWidth="1"/>
    <col min="13559" max="13559" width="6.44140625" style="2" customWidth="1"/>
    <col min="13560" max="13564" width="17.44140625" style="2" customWidth="1"/>
    <col min="13565" max="13565" width="7" style="2" customWidth="1"/>
    <col min="13566" max="13566" width="7.44140625" style="2" customWidth="1"/>
    <col min="13567" max="13567" width="19" style="2" customWidth="1"/>
    <col min="13568" max="13571" width="17.44140625" style="2" customWidth="1"/>
    <col min="13572" max="13572" width="4.44140625" style="2" customWidth="1"/>
    <col min="13573" max="13574" width="9.109375" style="2"/>
    <col min="13575" max="13576" width="0" style="2" hidden="1" customWidth="1"/>
    <col min="13577" max="13813" width="9.109375" style="2"/>
    <col min="13814" max="13814" width="8.44140625" style="2" customWidth="1"/>
    <col min="13815" max="13815" width="6.44140625" style="2" customWidth="1"/>
    <col min="13816" max="13820" width="17.44140625" style="2" customWidth="1"/>
    <col min="13821" max="13821" width="7" style="2" customWidth="1"/>
    <col min="13822" max="13822" width="7.44140625" style="2" customWidth="1"/>
    <col min="13823" max="13823" width="19" style="2" customWidth="1"/>
    <col min="13824" max="13827" width="17.44140625" style="2" customWidth="1"/>
    <col min="13828" max="13828" width="4.44140625" style="2" customWidth="1"/>
    <col min="13829" max="13830" width="9.109375" style="2"/>
    <col min="13831" max="13832" width="0" style="2" hidden="1" customWidth="1"/>
    <col min="13833" max="14069" width="9.109375" style="2"/>
    <col min="14070" max="14070" width="8.44140625" style="2" customWidth="1"/>
    <col min="14071" max="14071" width="6.44140625" style="2" customWidth="1"/>
    <col min="14072" max="14076" width="17.44140625" style="2" customWidth="1"/>
    <col min="14077" max="14077" width="7" style="2" customWidth="1"/>
    <col min="14078" max="14078" width="7.44140625" style="2" customWidth="1"/>
    <col min="14079" max="14079" width="19" style="2" customWidth="1"/>
    <col min="14080" max="14083" width="17.44140625" style="2" customWidth="1"/>
    <col min="14084" max="14084" width="4.44140625" style="2" customWidth="1"/>
    <col min="14085" max="14086" width="9.109375" style="2"/>
    <col min="14087" max="14088" width="0" style="2" hidden="1" customWidth="1"/>
    <col min="14089" max="14325" width="9.109375" style="2"/>
    <col min="14326" max="14326" width="8.44140625" style="2" customWidth="1"/>
    <col min="14327" max="14327" width="6.44140625" style="2" customWidth="1"/>
    <col min="14328" max="14332" width="17.44140625" style="2" customWidth="1"/>
    <col min="14333" max="14333" width="7" style="2" customWidth="1"/>
    <col min="14334" max="14334" width="7.44140625" style="2" customWidth="1"/>
    <col min="14335" max="14335" width="19" style="2" customWidth="1"/>
    <col min="14336" max="14339" width="17.44140625" style="2" customWidth="1"/>
    <col min="14340" max="14340" width="4.44140625" style="2" customWidth="1"/>
    <col min="14341" max="14342" width="9.109375" style="2"/>
    <col min="14343" max="14344" width="0" style="2" hidden="1" customWidth="1"/>
    <col min="14345" max="14581" width="9.109375" style="2"/>
    <col min="14582" max="14582" width="8.44140625" style="2" customWidth="1"/>
    <col min="14583" max="14583" width="6.44140625" style="2" customWidth="1"/>
    <col min="14584" max="14588" width="17.44140625" style="2" customWidth="1"/>
    <col min="14589" max="14589" width="7" style="2" customWidth="1"/>
    <col min="14590" max="14590" width="7.44140625" style="2" customWidth="1"/>
    <col min="14591" max="14591" width="19" style="2" customWidth="1"/>
    <col min="14592" max="14595" width="17.44140625" style="2" customWidth="1"/>
    <col min="14596" max="14596" width="4.44140625" style="2" customWidth="1"/>
    <col min="14597" max="14598" width="9.109375" style="2"/>
    <col min="14599" max="14600" width="0" style="2" hidden="1" customWidth="1"/>
    <col min="14601" max="14837" width="9.109375" style="2"/>
    <col min="14838" max="14838" width="8.44140625" style="2" customWidth="1"/>
    <col min="14839" max="14839" width="6.44140625" style="2" customWidth="1"/>
    <col min="14840" max="14844" width="17.44140625" style="2" customWidth="1"/>
    <col min="14845" max="14845" width="7" style="2" customWidth="1"/>
    <col min="14846" max="14846" width="7.44140625" style="2" customWidth="1"/>
    <col min="14847" max="14847" width="19" style="2" customWidth="1"/>
    <col min="14848" max="14851" width="17.44140625" style="2" customWidth="1"/>
    <col min="14852" max="14852" width="4.44140625" style="2" customWidth="1"/>
    <col min="14853" max="14854" width="9.109375" style="2"/>
    <col min="14855" max="14856" width="0" style="2" hidden="1" customWidth="1"/>
    <col min="14857" max="15093" width="9.109375" style="2"/>
    <col min="15094" max="15094" width="8.44140625" style="2" customWidth="1"/>
    <col min="15095" max="15095" width="6.44140625" style="2" customWidth="1"/>
    <col min="15096" max="15100" width="17.44140625" style="2" customWidth="1"/>
    <col min="15101" max="15101" width="7" style="2" customWidth="1"/>
    <col min="15102" max="15102" width="7.44140625" style="2" customWidth="1"/>
    <col min="15103" max="15103" width="19" style="2" customWidth="1"/>
    <col min="15104" max="15107" width="17.44140625" style="2" customWidth="1"/>
    <col min="15108" max="15108" width="4.44140625" style="2" customWidth="1"/>
    <col min="15109" max="15110" width="9.109375" style="2"/>
    <col min="15111" max="15112" width="0" style="2" hidden="1" customWidth="1"/>
    <col min="15113" max="15349" width="9.109375" style="2"/>
    <col min="15350" max="15350" width="8.44140625" style="2" customWidth="1"/>
    <col min="15351" max="15351" width="6.44140625" style="2" customWidth="1"/>
    <col min="15352" max="15356" width="17.44140625" style="2" customWidth="1"/>
    <col min="15357" max="15357" width="7" style="2" customWidth="1"/>
    <col min="15358" max="15358" width="7.44140625" style="2" customWidth="1"/>
    <col min="15359" max="15359" width="19" style="2" customWidth="1"/>
    <col min="15360" max="15363" width="17.44140625" style="2" customWidth="1"/>
    <col min="15364" max="15364" width="4.44140625" style="2" customWidth="1"/>
    <col min="15365" max="15366" width="9.109375" style="2"/>
    <col min="15367" max="15368" width="0" style="2" hidden="1" customWidth="1"/>
    <col min="15369" max="15605" width="9.109375" style="2"/>
    <col min="15606" max="15606" width="8.44140625" style="2" customWidth="1"/>
    <col min="15607" max="15607" width="6.44140625" style="2" customWidth="1"/>
    <col min="15608" max="15612" width="17.44140625" style="2" customWidth="1"/>
    <col min="15613" max="15613" width="7" style="2" customWidth="1"/>
    <col min="15614" max="15614" width="7.44140625" style="2" customWidth="1"/>
    <col min="15615" max="15615" width="19" style="2" customWidth="1"/>
    <col min="15616" max="15619" width="17.44140625" style="2" customWidth="1"/>
    <col min="15620" max="15620" width="4.44140625" style="2" customWidth="1"/>
    <col min="15621" max="15622" width="9.109375" style="2"/>
    <col min="15623" max="15624" width="0" style="2" hidden="1" customWidth="1"/>
    <col min="15625" max="15861" width="9.109375" style="2"/>
    <col min="15862" max="15862" width="8.44140625" style="2" customWidth="1"/>
    <col min="15863" max="15863" width="6.44140625" style="2" customWidth="1"/>
    <col min="15864" max="15868" width="17.44140625" style="2" customWidth="1"/>
    <col min="15869" max="15869" width="7" style="2" customWidth="1"/>
    <col min="15870" max="15870" width="7.44140625" style="2" customWidth="1"/>
    <col min="15871" max="15871" width="19" style="2" customWidth="1"/>
    <col min="15872" max="15875" width="17.44140625" style="2" customWidth="1"/>
    <col min="15876" max="15876" width="4.44140625" style="2" customWidth="1"/>
    <col min="15877" max="15878" width="9.109375" style="2"/>
    <col min="15879" max="15880" width="0" style="2" hidden="1" customWidth="1"/>
    <col min="15881" max="16117" width="9.109375" style="2"/>
    <col min="16118" max="16118" width="8.44140625" style="2" customWidth="1"/>
    <col min="16119" max="16119" width="6.44140625" style="2" customWidth="1"/>
    <col min="16120" max="16124" width="17.44140625" style="2" customWidth="1"/>
    <col min="16125" max="16125" width="7" style="2" customWidth="1"/>
    <col min="16126" max="16126" width="7.44140625" style="2" customWidth="1"/>
    <col min="16127" max="16127" width="19" style="2" customWidth="1"/>
    <col min="16128" max="16131" width="17.44140625" style="2" customWidth="1"/>
    <col min="16132" max="16132" width="4.44140625" style="2" customWidth="1"/>
    <col min="16133" max="16134" width="9.109375" style="2"/>
    <col min="16135" max="16136" width="0" style="2" hidden="1" customWidth="1"/>
    <col min="16137" max="16384" width="9.109375" style="2"/>
  </cols>
  <sheetData>
    <row r="1" spans="2:39" ht="234.75" customHeight="1">
      <c r="B1" s="1632" t="s">
        <v>525</v>
      </c>
      <c r="C1" s="1663"/>
      <c r="D1" s="1663"/>
      <c r="E1" s="1663"/>
      <c r="F1" s="1663"/>
      <c r="G1" s="1663"/>
      <c r="H1" s="1663"/>
      <c r="I1" s="1663"/>
      <c r="J1" s="1663"/>
      <c r="K1" s="1663"/>
      <c r="L1" s="1663"/>
      <c r="M1" s="1663"/>
      <c r="N1" s="1663"/>
      <c r="T1" s="1633" t="s">
        <v>1198</v>
      </c>
      <c r="U1" s="1633"/>
      <c r="V1" s="1633"/>
      <c r="W1" s="1633"/>
    </row>
    <row r="2" spans="2:39" ht="57" customHeight="1">
      <c r="B2" s="134"/>
      <c r="C2" s="134"/>
      <c r="D2" s="134"/>
      <c r="E2" s="134"/>
      <c r="F2" s="134"/>
      <c r="G2" s="134"/>
      <c r="H2" s="134"/>
      <c r="I2" s="134"/>
      <c r="J2" s="134"/>
      <c r="K2" s="135"/>
      <c r="L2" s="136"/>
      <c r="M2" s="137"/>
      <c r="N2" s="134"/>
      <c r="O2" s="134"/>
      <c r="P2" s="134"/>
      <c r="Q2" s="134"/>
      <c r="R2" s="134"/>
      <c r="S2" s="134"/>
      <c r="T2" s="137" t="s">
        <v>146</v>
      </c>
      <c r="U2" s="137"/>
    </row>
    <row r="3" spans="2:39" ht="40.5" customHeight="1">
      <c r="B3" s="134"/>
      <c r="C3" s="1640" t="s">
        <v>371</v>
      </c>
      <c r="D3" s="1640"/>
      <c r="E3" s="1640"/>
      <c r="F3" s="1640"/>
      <c r="G3" s="1640"/>
      <c r="H3" s="1640"/>
      <c r="I3" s="1640"/>
      <c r="J3" s="1640"/>
      <c r="K3" s="1640"/>
      <c r="L3" s="1640"/>
      <c r="M3" s="260" t="s">
        <v>354</v>
      </c>
      <c r="N3" s="134"/>
      <c r="O3" s="134"/>
      <c r="P3" s="134"/>
      <c r="Q3" s="134"/>
      <c r="R3" s="134"/>
      <c r="S3" s="134"/>
      <c r="T3" s="134"/>
      <c r="U3" s="134"/>
    </row>
    <row r="4" spans="2:39" s="20" customFormat="1" ht="50.25" customHeight="1">
      <c r="B4" s="1643" t="str">
        <f>"АО НК ҚАЗАҚСТАН ТЕМІР ЖОЛЫ на 2022год (консолидированная)"</f>
        <v>АО НК ҚАЗАҚСТАН ТЕМІР ЖОЛЫ на 2022год (консолидированная)</v>
      </c>
      <c r="C4" s="1643"/>
      <c r="D4" s="1643"/>
      <c r="E4" s="1643"/>
      <c r="F4" s="1643"/>
      <c r="G4" s="1643"/>
      <c r="H4" s="1643"/>
      <c r="I4" s="1643"/>
      <c r="J4" s="1643"/>
      <c r="K4" s="1643"/>
      <c r="L4" s="1643"/>
      <c r="M4" s="191">
        <f>IF(B5=2021,'РЕЕСТР РИСКОВ_2023'!AB10,IF(B5=2022,#REF!,IF(B5=2023,#REF!,IF(B5=2024,#REF!,IF(B5=2025,#REF!)))))</f>
        <v>-360256.1718454131</v>
      </c>
      <c r="N4" s="140"/>
      <c r="O4" s="140"/>
      <c r="P4" s="140"/>
      <c r="Q4" s="140"/>
      <c r="R4" s="140"/>
      <c r="S4" s="134"/>
      <c r="T4" s="140"/>
      <c r="U4" s="140"/>
      <c r="AC4"/>
    </row>
    <row r="5" spans="2:39" s="20" customFormat="1" ht="65.25" hidden="1" customHeight="1">
      <c r="B5" s="315">
        <v>2021</v>
      </c>
      <c r="C5" s="192"/>
      <c r="D5" s="316">
        <v>2021</v>
      </c>
      <c r="E5" s="316">
        <v>2022</v>
      </c>
      <c r="F5" s="316">
        <v>2023</v>
      </c>
      <c r="G5" s="316">
        <v>2024</v>
      </c>
      <c r="H5" s="316">
        <v>2025</v>
      </c>
      <c r="I5" s="192"/>
      <c r="J5" s="192"/>
      <c r="K5" s="193"/>
      <c r="L5" s="194"/>
      <c r="M5" s="196"/>
      <c r="N5" s="192"/>
      <c r="O5" s="192"/>
      <c r="P5" s="192"/>
      <c r="Q5" s="192"/>
      <c r="R5" s="192"/>
      <c r="S5" s="195"/>
      <c r="T5" s="192"/>
      <c r="U5" s="192"/>
      <c r="AC5"/>
    </row>
    <row r="6" spans="2:39" s="20" customFormat="1" ht="47.25" customHeight="1">
      <c r="B6" s="144"/>
      <c r="C6" s="142"/>
      <c r="D6" s="141" t="s">
        <v>278</v>
      </c>
      <c r="E6" s="141" t="s">
        <v>279</v>
      </c>
      <c r="F6" s="141" t="s">
        <v>280</v>
      </c>
      <c r="G6" s="1636" t="s">
        <v>281</v>
      </c>
      <c r="H6" s="1636"/>
      <c r="I6" s="145"/>
      <c r="J6" s="142"/>
      <c r="K6" s="143"/>
      <c r="L6" s="143"/>
      <c r="M6" s="142"/>
      <c r="N6" s="142"/>
      <c r="O6" s="142"/>
      <c r="P6" s="142"/>
      <c r="Q6" s="142"/>
      <c r="R6" s="142"/>
      <c r="S6" s="147"/>
      <c r="T6" s="142"/>
      <c r="U6" s="142"/>
      <c r="AC6"/>
    </row>
    <row r="7" spans="2:39" s="20" customFormat="1" ht="16.5" customHeight="1">
      <c r="B7" s="21"/>
      <c r="I7"/>
      <c r="K7" s="22"/>
      <c r="L7" s="22"/>
      <c r="S7" s="2"/>
      <c r="AC7"/>
    </row>
    <row r="8" spans="2:39" ht="66" customHeight="1">
      <c r="B8" s="1637" t="s">
        <v>283</v>
      </c>
      <c r="C8" s="1613" t="s">
        <v>326</v>
      </c>
      <c r="D8" s="1616"/>
      <c r="E8" s="1619"/>
      <c r="F8" s="1620"/>
      <c r="G8" s="1608"/>
      <c r="H8" s="1608"/>
      <c r="I8"/>
      <c r="K8" s="23" t="s">
        <v>10</v>
      </c>
      <c r="L8" s="139" t="s">
        <v>291</v>
      </c>
      <c r="M8" s="139" t="s">
        <v>292</v>
      </c>
      <c r="N8" s="462"/>
      <c r="O8" s="462"/>
      <c r="P8" s="462"/>
      <c r="Q8" s="462"/>
      <c r="R8" s="463"/>
      <c r="S8" s="139" t="s">
        <v>291</v>
      </c>
      <c r="T8" s="139" t="s">
        <v>292</v>
      </c>
      <c r="U8" s="462"/>
      <c r="V8" s="462"/>
      <c r="W8" s="462"/>
      <c r="X8" s="462"/>
      <c r="Y8" s="462"/>
      <c r="Z8" s="462"/>
      <c r="AA8" s="139" t="s">
        <v>291</v>
      </c>
      <c r="AB8" s="139" t="s">
        <v>292</v>
      </c>
      <c r="AD8"/>
      <c r="AE8"/>
      <c r="AF8"/>
      <c r="AH8" s="138" t="s">
        <v>291</v>
      </c>
      <c r="AI8" s="139" t="s">
        <v>292</v>
      </c>
    </row>
    <row r="9" spans="2:39" ht="66" customHeight="1">
      <c r="B9" s="1638"/>
      <c r="C9" s="1614"/>
      <c r="D9" s="1617"/>
      <c r="E9" s="1619"/>
      <c r="F9" s="1621"/>
      <c r="G9" s="1609"/>
      <c r="H9" s="1609"/>
      <c r="I9"/>
      <c r="K9" s="24"/>
      <c r="L9" s="1602" t="s">
        <v>293</v>
      </c>
      <c r="M9" s="1612"/>
      <c r="N9" s="464" t="s">
        <v>382</v>
      </c>
      <c r="O9" s="132" t="s">
        <v>100</v>
      </c>
      <c r="P9" s="132" t="s">
        <v>167</v>
      </c>
      <c r="Q9" s="133" t="s">
        <v>311</v>
      </c>
      <c r="R9" s="463"/>
      <c r="S9" s="1589" t="s">
        <v>78</v>
      </c>
      <c r="T9" s="1590"/>
      <c r="U9" s="498"/>
      <c r="V9" s="507"/>
      <c r="W9" s="508"/>
      <c r="X9" s="509"/>
      <c r="Y9" s="462"/>
      <c r="Z9" s="462"/>
      <c r="AA9" s="1587" t="s">
        <v>161</v>
      </c>
      <c r="AB9" s="1588"/>
      <c r="AH9" s="1591" t="s">
        <v>68</v>
      </c>
      <c r="AI9" s="1592"/>
      <c r="AJ9" s="312"/>
      <c r="AK9" s="309"/>
      <c r="AL9" s="310"/>
      <c r="AM9" s="311"/>
    </row>
    <row r="10" spans="2:39" ht="62.25" customHeight="1">
      <c r="B10" s="1638"/>
      <c r="C10" s="1614"/>
      <c r="D10" s="1617"/>
      <c r="E10" s="1619"/>
      <c r="F10" s="1621"/>
      <c r="G10" s="1609"/>
      <c r="H10" s="1609"/>
      <c r="I10"/>
      <c r="K10" s="1600">
        <v>1</v>
      </c>
      <c r="L10" s="465" t="s">
        <v>178</v>
      </c>
      <c r="M10" s="499" t="s">
        <v>384</v>
      </c>
      <c r="N10" s="312" t="str">
        <f t="shared" ref="N10:N17" ca="1" si="0">"ВЕРОЯТНОСТЬ  "&amp;IF(O10&lt;0.05,1,IF((O10&gt;=0.05)*(O10&lt;0.25),2,IF((O10&gt;=0.25)*(O10&lt;0.5),3,IF((O10&gt;=0.5)*(O10&lt;0.75),4,5))))&amp;"  ВЛИЯНИЕ  "&amp;IF(P10&gt;-200,1,IF((P10&lt;=-200)*(P10&gt;-500),2,IF((P10&lt;=-500)*(P10&gt;-1000),3,IF((P10&lt;=-1000)*(P10&gt;-3000),4,5))))</f>
        <v>ВЕРОЯТНОСТЬ  5  ВЛИЯНИЕ  5</v>
      </c>
      <c r="O10" s="507">
        <f ca="1">IF($B$5=2021,SUMIF('РЕЕСТР РИСКОВ_2023'!$K$40:$AC$248,M10,'РЕЕСТР РИСКОВ_2023'!$AC$40:$AC$248),IF($B$5=2022,SUMIF(#REF!,M10,#REF!),IF($B$5=2023,SUMIF(#REF!,M10,#REF!),IF($B$5=2024,SUMIF(#REF!,M10,#REF!),SUMIF(#REF!,M10,#REF!)))))</f>
        <v>0.99084175724693513</v>
      </c>
      <c r="P10" s="508">
        <f ca="1">IF($B$5=2021,SUMIF('РЕЕСТР РИСКОВ_2023'!$K$40:$AD$248,M10,'РЕЕСТР РИСКОВ_2023'!$AD$40:$AD$248),IF($B$5=2022,SUMIF(#REF!,M10,#REF!),IF($B$5=2023,SUMIF(#REF!,M10,#REF!),IF($B$5=2024,SUMIF(#REF!,M10,#REF!),IF($B$5=2025,SUMIF(#REF!,M10,#REF!))))))</f>
        <v>-14586.878000000001</v>
      </c>
      <c r="Q10" s="509">
        <f t="shared" ref="Q10:Q17" ca="1" si="1">O10*P10</f>
        <v>-14453.28783026666</v>
      </c>
      <c r="R10" s="463"/>
      <c r="S10" s="466" t="s">
        <v>207</v>
      </c>
      <c r="T10" s="502" t="s">
        <v>1130</v>
      </c>
      <c r="U10" s="498" t="str">
        <f ca="1">"ВЕРОЯТНОСТЬ  "&amp;IF(V10&lt;0.05,1,IF((V10&gt;=0.05)*(V10&lt;0.25),2,IF((V10&gt;=0.25)*(V10&lt;0.5),3,IF((V10&gt;=0.5)*(V10&lt;0.75),4,5))))&amp;"  ВЛИЯНИЕ  "&amp;IF(W10&gt;-200,1,IF((W10&lt;=-200)*(W10&gt;-500),2,IF((W10&lt;=-500)*(W10&gt;-1000),3,IF((W10&lt;=-1000)*(W10&gt;-3000),4,5))))</f>
        <v>ВЕРОЯТНОСТЬ  3  ВЛИЯНИЕ  1</v>
      </c>
      <c r="V10" s="507">
        <f ca="1">IF($B$5=2021,SUMIF('РЕЕСТР РИСКОВ_2023'!$K$40:$AC$248,T10,'РЕЕСТР РИСКОВ_2023'!$Y$40:$Y$248),IF($B$5=2022,SUMIF(#REF!,T10,#REF!),IF($B$5=2023,SUMIF(#REF!,T10,#REF!),IF($B$5=2024,SUMIF(#REF!,T10,#REF!),SUMIF(#REF!,T10,#REF!)))))</f>
        <v>0.25</v>
      </c>
      <c r="W10" s="508">
        <f ca="1">IF($B$5=2021,SUMIF('РЕЕСТР РИСКОВ_2023'!$K$40:$AD$248,T10,'РЕЕСТР РИСКОВ_2023'!$Z$40:$Z$248),IF($B$5=2022,SUMIF(#REF!,T10,#REF!),IF($B$5=2023,SUMIF(#REF!,T10,#REF!),IF($B$5=2024,SUMIF(#REF!,T10,#REF!),IF($B$5=2025,SUMIF(#REF!,T10,#REF!))))))</f>
        <v>0</v>
      </c>
      <c r="X10" s="509">
        <f ca="1">V10*W10</f>
        <v>0</v>
      </c>
      <c r="Y10" s="462"/>
      <c r="Z10" s="462"/>
      <c r="AA10" s="467" t="s">
        <v>363</v>
      </c>
      <c r="AB10" s="504" t="s">
        <v>48</v>
      </c>
      <c r="AH10" s="479" t="s">
        <v>204</v>
      </c>
      <c r="AI10" s="513" t="s">
        <v>169</v>
      </c>
      <c r="AJ10" s="312" t="str">
        <f t="shared" ref="AJ10:AJ20" ca="1" si="2">"ВЕРОЯТНОСТЬ  "&amp;IF(AK10&lt;0.05,1,IF((AK10&gt;=0.05)*(AK10&lt;0.25),2,IF((AK10&gt;=0.25)*(AK10&lt;0.5),3,IF((AK10&gt;=0.5)*(AK10&lt;0.75),4,5))))&amp;"  ВЛИЯНИЕ  "&amp;IF(AL10&gt;-200,1,IF((AL10&lt;=-200)*(AL10&gt;-500),2,IF((AL10&lt;=-500)*(AL10&gt;-1000),3,IF((AL10&lt;=-1000)*(AL10&gt;-3000),4,5))))</f>
        <v>ВЕРОЯТНОСТЬ  5  ВЛИЯНИЕ  1</v>
      </c>
      <c r="AK10" s="309">
        <f ca="1">IF($B$5=2021,SUMIF('РЕЕСТР РИСКОВ_2023'!$K$40:$AC$248,AI10,'РЕЕСТР РИСКОВ_2023'!$AC$40:$AC$248),IF($B$5=2022,SUMIF(#REF!,AI10,#REF!),IF($B$5=2023,SUMIF(#REF!,AI10,#REF!),IF($B$5=2024,SUMIF(#REF!,AI10,#REF!),SUMIF(#REF!,AI10,#REF!)))))</f>
        <v>1</v>
      </c>
      <c r="AL10" s="310">
        <f ca="1">IF($B$5=2021,SUMIF('РЕЕСТР РИСКОВ_2023'!$K$40:$AD$248,AI10,'РЕЕСТР РИСКОВ_2023'!$AD$40:$AD$248),IF($B$5=2022,SUMIF(#REF!,AI10,#REF!),IF($B$5=2023,SUMIF(#REF!,AI10,#REF!),IF($B$5=2024,SUMIF(#REF!,AI10,#REF!),IF($B$5=2025,SUMIF(#REF!,AI10,#REF!))))))</f>
        <v>0</v>
      </c>
      <c r="AM10" s="311">
        <f t="shared" ref="AM10:AM20" ca="1" si="3">AK10*AL10</f>
        <v>0</v>
      </c>
    </row>
    <row r="11" spans="2:39" ht="66" customHeight="1">
      <c r="B11" s="1638"/>
      <c r="C11" s="1615"/>
      <c r="D11" s="1618"/>
      <c r="E11" s="1619"/>
      <c r="F11" s="1622"/>
      <c r="G11" s="1610"/>
      <c r="H11" s="1610"/>
      <c r="I11"/>
      <c r="K11" s="1601"/>
      <c r="L11" s="468" t="s">
        <v>179</v>
      </c>
      <c r="M11" s="499" t="s">
        <v>320</v>
      </c>
      <c r="N11" s="312" t="str">
        <f t="shared" ca="1" si="0"/>
        <v>ВЕРОЯТНОСТЬ  2  ВЛИЯНИЕ  1</v>
      </c>
      <c r="O11" s="507">
        <f ca="1">IF($B$5=2021,SUMIF('РЕЕСТР РИСКОВ_2023'!$K$40:$AC$248,M11,'РЕЕСТР РИСКОВ_2023'!$AC$40:$AC$248),IF($B$5=2022,SUMIF(#REF!,M11,#REF!),IF($B$5=2023,SUMIF(#REF!,M11,#REF!),IF($B$5=2024,SUMIF(#REF!,M11,#REF!),SUMIF(#REF!,M11,#REF!)))))</f>
        <v>0.05</v>
      </c>
      <c r="P11" s="508">
        <f ca="1">IF($B$5=2021,SUMIF('РЕЕСТР РИСКОВ_2023'!$K$40:$AD$248,M11,'РЕЕСТР РИСКОВ_2023'!$AD$40:$AD$248),IF($B$5=2022,SUMIF(#REF!,M11,#REF!),IF($B$5=2023,SUMIF(#REF!,M11,#REF!),IF($B$5=2024,SUMIF(#REF!,M11,#REF!),IF($B$5=2025,SUMIF(#REF!,M11,#REF!))))))</f>
        <v>1715.1306880989828</v>
      </c>
      <c r="Q11" s="509">
        <f t="shared" ca="1" si="1"/>
        <v>85.75653440494915</v>
      </c>
      <c r="R11" s="463"/>
      <c r="S11" s="466" t="s">
        <v>208</v>
      </c>
      <c r="T11" s="502" t="s">
        <v>1017</v>
      </c>
      <c r="U11" s="498" t="str">
        <f ca="1">"ВЕРОЯТНОСТЬ  "&amp;IF(V11&lt;0.05,1,IF((V11&gt;=0.05)*(V11&lt;0.25),2,IF((V11&gt;=0.25)*(V11&lt;0.5),3,IF((V11&gt;=0.5)*(V11&lt;0.75),4,5))))&amp;"  ВЛИЯНИЕ  "&amp;IF(W11&gt;-200,1,IF((W11&lt;=-200)*(W11&gt;-500),2,IF((W11&lt;=-500)*(W11&gt;-1000),3,IF((W11&lt;=-1000)*(W11&gt;-3000),4,5))))</f>
        <v>ВЕРОЯТНОСТЬ  3  ВЛИЯНИЕ  1</v>
      </c>
      <c r="V11" s="507">
        <f ca="1">IF($B$5=2021,SUMIF('РЕЕСТР РИСКОВ_2023'!$K$40:$AC$248,T11,'РЕЕСТР РИСКОВ_2023'!$Y$40:$Y$248),IF($B$5=2022,SUMIF(#REF!,T11,#REF!),IF($B$5=2023,SUMIF(#REF!,T11,#REF!),IF($B$5=2024,SUMIF(#REF!,T11,#REF!),SUMIF(#REF!,T11,#REF!)))))</f>
        <v>0.25</v>
      </c>
      <c r="W11" s="508">
        <f ca="1">IF($B$5=2021,SUMIF('РЕЕСТР РИСКОВ_2023'!$K$40:$AD$248,T11,'РЕЕСТР РИСКОВ_2023'!$Z$40:$Z$248),IF($B$5=2022,SUMIF(#REF!,T11,#REF!),IF($B$5=2023,SUMIF(#REF!,T11,#REF!),IF($B$5=2024,SUMIF(#REF!,T11,#REF!),IF($B$5=2025,SUMIF(#REF!,T11,#REF!))))))</f>
        <v>0</v>
      </c>
      <c r="X11" s="509">
        <f ca="1">V11*W11</f>
        <v>0</v>
      </c>
      <c r="Y11" s="462"/>
      <c r="Z11" s="462"/>
      <c r="AA11" s="467" t="s">
        <v>364</v>
      </c>
      <c r="AB11" s="512" t="s">
        <v>934</v>
      </c>
      <c r="AH11" s="479" t="s">
        <v>807</v>
      </c>
      <c r="AI11" s="513" t="s">
        <v>826</v>
      </c>
      <c r="AJ11" s="312" t="str">
        <f t="shared" ca="1" si="2"/>
        <v>ВЕРОЯТНОСТЬ  5  ВЛИЯНИЕ  1</v>
      </c>
      <c r="AK11" s="309">
        <f ca="1">IF($B$5=2021,SUMIF('РЕЕСТР РИСКОВ_2023'!$K$40:$AC$248,AI11,'РЕЕСТР РИСКОВ_2023'!$AC$40:$AC$248),IF($B$5=2022,SUMIF(#REF!,AI11,#REF!),IF($B$5=2023,SUMIF(#REF!,AI11,#REF!),IF($B$5=2024,SUMIF(#REF!,AI11,#REF!),SUMIF(#REF!,AI11,#REF!)))))</f>
        <v>1</v>
      </c>
      <c r="AL11" s="310">
        <f ca="1">IF($B$5=2021,SUMIF('РЕЕСТР РИСКОВ_2023'!$K$40:$AD$248,AI11,'РЕЕСТР РИСКОВ_2023'!$AD$40:$AD$248),IF($B$5=2022,SUMIF(#REF!,AI11,#REF!),IF($B$5=2023,SUMIF(#REF!,AI11,#REF!),IF($B$5=2024,SUMIF(#REF!,AI11,#REF!),IF($B$5=2025,SUMIF(#REF!,AI11,#REF!))))))</f>
        <v>0</v>
      </c>
      <c r="AM11" s="311">
        <f t="shared" ca="1" si="3"/>
        <v>0</v>
      </c>
    </row>
    <row r="12" spans="2:39" ht="69" customHeight="1">
      <c r="B12" s="1638"/>
      <c r="C12" s="1623" t="s">
        <v>327</v>
      </c>
      <c r="D12" s="1626"/>
      <c r="E12" s="1629"/>
      <c r="F12" s="1620"/>
      <c r="G12" s="1608"/>
      <c r="H12" s="1608"/>
      <c r="I12"/>
      <c r="K12" s="25">
        <v>2</v>
      </c>
      <c r="L12" s="473" t="s">
        <v>180</v>
      </c>
      <c r="M12" s="499" t="s">
        <v>304</v>
      </c>
      <c r="N12" s="312" t="str">
        <f t="shared" ca="1" si="0"/>
        <v>ВЕРОЯТНОСТЬ  2  ВЛИЯНИЕ  5</v>
      </c>
      <c r="O12" s="507">
        <f ca="1">IF($B$5=2021,SUMIF('РЕЕСТР РИСКОВ_2023'!$K$40:$AC$248,M12,'РЕЕСТР РИСКОВ_2023'!$AC$40:$AC$248),IF($B$5=2022,SUMIF(#REF!,M12,#REF!),IF($B$5=2023,SUMIF(#REF!,M12,#REF!),IF($B$5=2024,SUMIF(#REF!,M12,#REF!),SUMIF(#REF!,M12,#REF!)))))</f>
        <v>0.2</v>
      </c>
      <c r="P12" s="508">
        <f ca="1">IF($B$5=2021,SUMIF('РЕЕСТР РИСКОВ_2023'!$K$40:$AD$248,M12,'РЕЕСТР РИСКОВ_2023'!$AD$40:$AD$248),IF($B$5=2022,SUMIF(#REF!,M12,#REF!),IF($B$5=2023,SUMIF(#REF!,M12,#REF!),IF($B$5=2024,SUMIF(#REF!,M12,#REF!),IF($B$5=2025,SUMIF(#REF!,M12,#REF!))))))</f>
        <v>-7962.3487495075733</v>
      </c>
      <c r="Q12" s="509">
        <f t="shared" ca="1" si="1"/>
        <v>-1592.4697499015147</v>
      </c>
      <c r="R12" s="463"/>
      <c r="S12" s="466" t="s">
        <v>209</v>
      </c>
      <c r="T12" s="502" t="s">
        <v>1018</v>
      </c>
      <c r="U12" s="498" t="str">
        <f ca="1">"ВЕРОЯТНОСТЬ  "&amp;IF(V12&lt;0.05,1,IF((V12&gt;=0.05)*(V12&lt;0.25),2,IF((V12&gt;=0.25)*(V12&lt;0.5),3,IF((V12&gt;=0.5)*(V12&lt;0.75),4,5))))&amp;"  ВЛИЯНИЕ  "&amp;IF(W12&gt;-200,1,IF((W12&lt;=-200)*(W12&gt;-500),2,IF((W12&lt;=-500)*(W12&gt;-1000),3,IF((W12&lt;=-1000)*(W12&gt;-3000),4,5))))</f>
        <v>ВЕРОЯТНОСТЬ  1  ВЛИЯНИЕ  1</v>
      </c>
      <c r="V12" s="507">
        <f ca="1">IF($B$5=2021,SUMIF('РЕЕСТР РИСКОВ_2023'!$K$40:$AC$248,T12,'РЕЕСТР РИСКОВ_2023'!$Y$40:$Y$248),IF($B$5=2022,SUMIF(#REF!,T12,#REF!),IF($B$5=2023,SUMIF(#REF!,T12,#REF!),IF($B$5=2024,SUMIF(#REF!,T12,#REF!),SUMIF(#REF!,T12,#REF!)))))</f>
        <v>0</v>
      </c>
      <c r="W12" s="508">
        <f ca="1">IF($B$5=2021,SUMIF('РЕЕСТР РИСКОВ_2023'!$K$40:$AD$248,T12,'РЕЕСТР РИСКОВ_2023'!$Z$40:$Z$248),IF($B$5=2022,SUMIF(#REF!,T12,#REF!),IF($B$5=2023,SUMIF(#REF!,T12,#REF!),IF($B$5=2024,SUMIF(#REF!,T12,#REF!),IF($B$5=2025,SUMIF(#REF!,T12,#REF!))))))</f>
        <v>0</v>
      </c>
      <c r="X12" s="509">
        <f ca="1">V12*W12</f>
        <v>0</v>
      </c>
      <c r="Y12" s="462"/>
      <c r="Z12" s="462"/>
      <c r="AA12" s="469" t="s">
        <v>365</v>
      </c>
      <c r="AB12" s="504" t="s">
        <v>476</v>
      </c>
      <c r="AH12" s="479" t="s">
        <v>808</v>
      </c>
      <c r="AI12" s="513" t="s">
        <v>827</v>
      </c>
      <c r="AJ12" s="312" t="str">
        <f t="shared" ca="1" si="2"/>
        <v>ВЕРОЯТНОСТЬ  1  ВЛИЯНИЕ  1</v>
      </c>
      <c r="AK12" s="309">
        <f ca="1">IF($B$5=2021,SUMIF('РЕЕСТР РИСКОВ_2023'!$K$40:$AC$248,AI12,'РЕЕСТР РИСКОВ_2023'!$AC$40:$AC$248),IF($B$5=2022,SUMIF(#REF!,AI12,#REF!),IF($B$5=2023,SUMIF(#REF!,AI12,#REF!),IF($B$5=2024,SUMIF(#REF!,AI12,#REF!),SUMIF(#REF!,AI12,#REF!)))))</f>
        <v>0</v>
      </c>
      <c r="AL12" s="310">
        <f ca="1">IF($B$5=2021,SUMIF('РЕЕСТР РИСКОВ_2023'!$K$40:$AD$248,AI12,'РЕЕСТР РИСКОВ_2023'!$AD$40:$AD$248),IF($B$5=2022,SUMIF(#REF!,AI12,#REF!),IF($B$5=2023,SUMIF(#REF!,AI12,#REF!),IF($B$5=2024,SUMIF(#REF!,AI12,#REF!),IF($B$5=2025,SUMIF(#REF!,AI12,#REF!))))))</f>
        <v>0</v>
      </c>
      <c r="AM12" s="311">
        <f t="shared" ca="1" si="3"/>
        <v>0</v>
      </c>
    </row>
    <row r="13" spans="2:39" ht="63.75" customHeight="1">
      <c r="B13" s="1638"/>
      <c r="C13" s="1624"/>
      <c r="D13" s="1627"/>
      <c r="E13" s="1630"/>
      <c r="F13" s="1621"/>
      <c r="G13" s="1609"/>
      <c r="H13" s="1609"/>
      <c r="I13"/>
      <c r="K13" s="26"/>
      <c r="L13" s="465" t="s">
        <v>181</v>
      </c>
      <c r="M13" s="499" t="s">
        <v>303</v>
      </c>
      <c r="N13" s="312" t="str">
        <f t="shared" ca="1" si="0"/>
        <v>ВЕРОЯТНОСТЬ  2  ВЛИЯНИЕ  5</v>
      </c>
      <c r="O13" s="507">
        <f ca="1">IF($B$5=2021,SUMIF('РЕЕСТР РИСКОВ_2023'!$K$40:$AC$248,M13,'РЕЕСТР РИСКОВ_2023'!$AC$40:$AC$248),IF($B$5=2022,SUMIF(#REF!,M13,#REF!),IF($B$5=2023,SUMIF(#REF!,M13,#REF!),IF($B$5=2024,SUMIF(#REF!,M13,#REF!),SUMIF(#REF!,M13,#REF!)))))</f>
        <v>9.6875000000000003E-2</v>
      </c>
      <c r="P13" s="508">
        <f ca="1">IF($B$5=2021,SUMIF('РЕЕСТР РИСКОВ_2023'!$K$40:$AD$248,M13,'РЕЕСТР РИСКОВ_2023'!$AD$40:$AD$248),IF($B$5=2022,SUMIF(#REF!,M13,#REF!),IF($B$5=2023,SUMIF(#REF!,M13,#REF!),IF($B$5=2024,SUMIF(#REF!,M13,#REF!),IF($B$5=2025,SUMIF(#REF!,M13,#REF!))))))</f>
        <v>-11278.400747719992</v>
      </c>
      <c r="Q13" s="509">
        <f t="shared" ca="1" si="1"/>
        <v>-1092.5950724353743</v>
      </c>
      <c r="R13" s="463"/>
      <c r="S13" s="1589" t="s">
        <v>69</v>
      </c>
      <c r="T13" s="1590"/>
      <c r="U13" s="498"/>
      <c r="V13" s="505" t="s">
        <v>100</v>
      </c>
      <c r="W13" s="505" t="s">
        <v>167</v>
      </c>
      <c r="X13" s="506" t="s">
        <v>311</v>
      </c>
      <c r="Y13" s="462"/>
      <c r="Z13" s="462"/>
      <c r="AA13" s="1589" t="s">
        <v>125</v>
      </c>
      <c r="AB13" s="1590"/>
      <c r="AH13" s="479" t="s">
        <v>809</v>
      </c>
      <c r="AI13" s="513" t="s">
        <v>828</v>
      </c>
      <c r="AJ13" s="312" t="str">
        <f t="shared" ca="1" si="2"/>
        <v>ВЕРОЯТНОСТЬ  1  ВЛИЯНИЕ  1</v>
      </c>
      <c r="AK13" s="309">
        <f ca="1">IF($B$5=2021,SUMIF('РЕЕСТР РИСКОВ_2023'!$K$40:$AC$248,AI13,'РЕЕСТР РИСКОВ_2023'!$AC$40:$AC$248),IF($B$5=2022,SUMIF(#REF!,AI13,#REF!),IF($B$5=2023,SUMIF(#REF!,AI13,#REF!),IF($B$5=2024,SUMIF(#REF!,AI13,#REF!),SUMIF(#REF!,AI13,#REF!)))))</f>
        <v>0</v>
      </c>
      <c r="AL13" s="310">
        <f ca="1">IF($B$5=2021,SUMIF('РЕЕСТР РИСКОВ_2023'!$K$40:$AD$248,AI13,'РЕЕСТР РИСКОВ_2023'!$AD$40:$AD$248),IF($B$5=2022,SUMIF(#REF!,AI13,#REF!),IF($B$5=2023,SUMIF(#REF!,AI13,#REF!),IF($B$5=2024,SUMIF(#REF!,AI13,#REF!),IF($B$5=2025,SUMIF(#REF!,AI13,#REF!))))))</f>
        <v>0</v>
      </c>
      <c r="AM13" s="311">
        <f t="shared" ca="1" si="3"/>
        <v>0</v>
      </c>
    </row>
    <row r="14" spans="2:39" ht="61.5" customHeight="1">
      <c r="B14" s="1638"/>
      <c r="C14" s="1624"/>
      <c r="D14" s="1627"/>
      <c r="E14" s="1630"/>
      <c r="F14" s="1621"/>
      <c r="G14" s="1609"/>
      <c r="H14" s="1609"/>
      <c r="I14"/>
      <c r="K14" s="26">
        <v>3</v>
      </c>
      <c r="L14" s="470" t="s">
        <v>182</v>
      </c>
      <c r="M14" s="500" t="s">
        <v>482</v>
      </c>
      <c r="N14" s="312" t="str">
        <f t="shared" ca="1" si="0"/>
        <v>ВЕРОЯТНОСТЬ  5  ВЛИЯНИЕ  5</v>
      </c>
      <c r="O14" s="507">
        <f ca="1">IF($B$5=2021,SUMIF('РЕЕСТР РИСКОВ_2023'!$K$40:$AC$248,M14,'РЕЕСТР РИСКОВ_2023'!$AC$40:$AC$248),IF($B$5=2022,SUMIF(#REF!,M14,#REF!),IF($B$5=2023,SUMIF(#REF!,M14,#REF!),IF($B$5=2024,SUMIF(#REF!,M14,#REF!),SUMIF(#REF!,M14,#REF!)))))</f>
        <v>0.76364643470029581</v>
      </c>
      <c r="P14" s="508">
        <f ca="1">IF($B$5=2021,SUMIF('РЕЕСТР РИСКОВ_2023'!$K$40:$AD$248,M14,'РЕЕСТР РИСКОВ_2023'!$AD$40:$AD$248),IF($B$5=2022,SUMIF(#REF!,M14,#REF!),IF($B$5=2023,SUMIF(#REF!,M14,#REF!),IF($B$5=2024,SUMIF(#REF!,M14,#REF!),IF($B$5=2025,SUMIF(#REF!,M14,#REF!))))))</f>
        <v>-3613.0450100000003</v>
      </c>
      <c r="Q14" s="509">
        <f t="shared" ca="1" si="1"/>
        <v>-2759.0889402981948</v>
      </c>
      <c r="R14" s="463"/>
      <c r="S14" s="471" t="s">
        <v>383</v>
      </c>
      <c r="T14" s="502" t="s">
        <v>467</v>
      </c>
      <c r="U14" s="498" t="str">
        <f t="shared" ref="U14:U19" ca="1" si="4">"ВЕРОЯТНОСТЬ  "&amp;IF(V14&lt;0.05,1,IF((V14&gt;=0.05)*(V14&lt;0.25),2,IF((V14&gt;=0.25)*(V14&lt;0.5),3,IF((V14&gt;=0.5)*(V14&lt;0.75),4,5))))&amp;"  ВЛИЯНИЕ  "&amp;IF(W14&gt;-200,1,IF((W14&lt;=-200)*(W14&gt;-500),2,IF((W14&lt;=-500)*(W14&gt;-1000),3,IF((W14&lt;=-1000)*(W14&gt;-3000),4,5))))</f>
        <v>ВЕРОЯТНОСТЬ  4  ВЛИЯНИЕ  5</v>
      </c>
      <c r="V14" s="507">
        <f ca="1">IF($B$5=2021,SUMIF('РЕЕСТР РИСКОВ_2023'!$K$40:$AC$248,T14,'РЕЕСТР РИСКОВ_2023'!$Y$40:$Y$248),IF($B$5=2022,SUMIF(#REF!,T14,#REF!),IF($B$5=2023,SUMIF(#REF!,T14,#REF!),IF($B$5=2024,SUMIF(#REF!,T14,#REF!),SUMIF(#REF!,T14,#REF!)))))</f>
        <v>0.54800000000000004</v>
      </c>
      <c r="W14" s="508">
        <f ca="1">IF($B$5=2021,SUMIF('РЕЕСТР РИСКОВ_2023'!$K$40:$AD$248,T14,'РЕЕСТР РИСКОВ_2023'!$Z$40:$Z$248),IF($B$5=2022,SUMIF(#REF!,T14,#REF!),IF($B$5=2023,SUMIF(#REF!,T14,#REF!),IF($B$5=2024,SUMIF(#REF!,T14,#REF!),IF($B$5=2025,SUMIF(#REF!,T14,#REF!))))))</f>
        <v>-11907.465410000001</v>
      </c>
      <c r="X14" s="509">
        <f t="shared" ref="X14:X19" ca="1" si="5">V14*W14</f>
        <v>-6525.2910446800006</v>
      </c>
      <c r="Y14" s="462"/>
      <c r="Z14" s="462"/>
      <c r="AA14" s="472" t="s">
        <v>201</v>
      </c>
      <c r="AB14" s="504" t="s">
        <v>869</v>
      </c>
      <c r="AH14" s="479" t="s">
        <v>810</v>
      </c>
      <c r="AI14" s="513" t="s">
        <v>829</v>
      </c>
      <c r="AJ14" s="312" t="str">
        <f t="shared" ca="1" si="2"/>
        <v>ВЕРОЯТНОСТЬ  1  ВЛИЯНИЕ  1</v>
      </c>
      <c r="AK14" s="309">
        <f ca="1">IF($B$5=2021,SUMIF('РЕЕСТР РИСКОВ_2023'!$K$40:$AC$248,AI14,'РЕЕСТР РИСКОВ_2023'!$AC$40:$AC$248),IF($B$5=2022,SUMIF(#REF!,AI14,#REF!),IF($B$5=2023,SUMIF(#REF!,AI14,#REF!),IF($B$5=2024,SUMIF(#REF!,AI14,#REF!),SUMIF(#REF!,AI14,#REF!)))))</f>
        <v>0</v>
      </c>
      <c r="AL14" s="310">
        <f ca="1">IF($B$5=2021,SUMIF('РЕЕСТР РИСКОВ_2023'!$K$40:$AD$248,AI14,'РЕЕСТР РИСКОВ_2023'!$AD$40:$AD$248),IF($B$5=2022,SUMIF(#REF!,AI14,#REF!),IF($B$5=2023,SUMIF(#REF!,AI14,#REF!),IF($B$5=2024,SUMIF(#REF!,AI14,#REF!),IF($B$5=2025,SUMIF(#REF!,AI14,#REF!))))))</f>
        <v>0</v>
      </c>
      <c r="AM14" s="311">
        <f t="shared" ca="1" si="3"/>
        <v>0</v>
      </c>
    </row>
    <row r="15" spans="2:39" ht="63" customHeight="1">
      <c r="B15" s="1638"/>
      <c r="C15" s="1624"/>
      <c r="D15" s="1627"/>
      <c r="E15" s="1630"/>
      <c r="F15" s="1621"/>
      <c r="G15" s="1609"/>
      <c r="H15" s="1609"/>
      <c r="I15"/>
      <c r="K15" s="27">
        <v>4</v>
      </c>
      <c r="L15" s="473" t="s">
        <v>503</v>
      </c>
      <c r="M15" s="500" t="s">
        <v>571</v>
      </c>
      <c r="N15" s="312" t="str">
        <f t="shared" ca="1" si="0"/>
        <v>ВЕРОЯТНОСТЬ  4  ВЛИЯНИЕ  3</v>
      </c>
      <c r="O15" s="507">
        <f ca="1">IF($B$5=2021,SUMIF('РЕЕСТР РИСКОВ_2023'!$K$40:$AC$248,M15,'РЕЕСТР РИСКОВ_2023'!$AC$40:$AC$248),IF($B$5=2022,SUMIF(#REF!,M15,#REF!),IF($B$5=2023,SUMIF(#REF!,M15,#REF!),IF($B$5=2024,SUMIF(#REF!,M15,#REF!),SUMIF(#REF!,M15,#REF!)))))</f>
        <v>0.72499999999999998</v>
      </c>
      <c r="P15" s="508">
        <f ca="1">IF($B$5=2021,SUMIF('РЕЕСТР РИСКОВ_2023'!$K$40:$AD$248,M15,'РЕЕСТР РИСКОВ_2023'!$AD$40:$AD$248),IF($B$5=2022,SUMIF(#REF!,M15,#REF!),IF($B$5=2023,SUMIF(#REF!,M15,#REF!),IF($B$5=2024,SUMIF(#REF!,M15,#REF!),IF($B$5=2025,SUMIF(#REF!,M15,#REF!))))))</f>
        <v>-502</v>
      </c>
      <c r="Q15" s="509">
        <f t="shared" ca="1" si="1"/>
        <v>-363.95</v>
      </c>
      <c r="R15" s="463"/>
      <c r="S15" s="474" t="s">
        <v>469</v>
      </c>
      <c r="T15" s="502" t="s">
        <v>468</v>
      </c>
      <c r="U15" s="498" t="str">
        <f t="shared" ca="1" si="4"/>
        <v>ВЕРОЯТНОСТЬ  4  ВЛИЯНИЕ  3</v>
      </c>
      <c r="V15" s="507">
        <f ca="1">IF($B$5=2021,SUMIF('РЕЕСТР РИСКОВ_2023'!$K$40:$AC$248,T15,'РЕЕСТР РИСКОВ_2023'!$Y$40:$Y$248),IF($B$5=2022,SUMIF(#REF!,T15,#REF!),IF($B$5=2023,SUMIF(#REF!,T15,#REF!),IF($B$5=2024,SUMIF(#REF!,T15,#REF!),SUMIF(#REF!,T15,#REF!)))))</f>
        <v>0.60299999999999998</v>
      </c>
      <c r="W15" s="508">
        <f ca="1">IF($B$5=2021,SUMIF('РЕЕСТР РИСКОВ_2023'!$K$40:$AD$248,T15,'РЕЕСТР РИСКОВ_2023'!$Z$40:$Z$248),IF($B$5=2022,SUMIF(#REF!,T15,#REF!),IF($B$5=2023,SUMIF(#REF!,T15,#REF!),IF($B$5=2024,SUMIF(#REF!,T15,#REF!),IF($B$5=2025,SUMIF(#REF!,T15,#REF!))))))</f>
        <v>-750</v>
      </c>
      <c r="X15" s="509">
        <f t="shared" ca="1" si="5"/>
        <v>-452.25</v>
      </c>
      <c r="Y15" s="462"/>
      <c r="Z15" s="462"/>
      <c r="AA15" s="475" t="s">
        <v>202</v>
      </c>
      <c r="AB15" s="512" t="s">
        <v>53</v>
      </c>
      <c r="AH15" s="479" t="s">
        <v>811</v>
      </c>
      <c r="AI15" s="513" t="s">
        <v>830</v>
      </c>
      <c r="AJ15" s="312" t="str">
        <f t="shared" ca="1" si="2"/>
        <v>ВЕРОЯТНОСТЬ  1  ВЛИЯНИЕ  1</v>
      </c>
      <c r="AK15" s="309">
        <f ca="1">IF($B$5=2021,SUMIF('РЕЕСТР РИСКОВ_2023'!$K$40:$AC$248,AI15,'РЕЕСТР РИСКОВ_2023'!$AC$40:$AC$248),IF($B$5=2022,SUMIF(#REF!,AI15,#REF!),IF($B$5=2023,SUMIF(#REF!,AI15,#REF!),IF($B$5=2024,SUMIF(#REF!,AI15,#REF!),SUMIF(#REF!,AI15,#REF!)))))</f>
        <v>0</v>
      </c>
      <c r="AL15" s="310">
        <f ca="1">IF($B$5=2021,SUMIF('РЕЕСТР РИСКОВ_2023'!$K$40:$AD$248,AI15,'РЕЕСТР РИСКОВ_2023'!$AD$40:$AD$248),IF($B$5=2022,SUMIF(#REF!,AI15,#REF!),IF($B$5=2023,SUMIF(#REF!,AI15,#REF!),IF($B$5=2024,SUMIF(#REF!,AI15,#REF!),IF($B$5=2025,SUMIF(#REF!,AI15,#REF!))))))</f>
        <v>0</v>
      </c>
      <c r="AM15" s="311">
        <f t="shared" ca="1" si="3"/>
        <v>0</v>
      </c>
    </row>
    <row r="16" spans="2:39" ht="70.5" customHeight="1">
      <c r="B16" s="1638"/>
      <c r="C16" s="1625"/>
      <c r="D16" s="1628"/>
      <c r="E16" s="1631"/>
      <c r="F16" s="1622"/>
      <c r="G16" s="1610"/>
      <c r="H16" s="1610"/>
      <c r="I16"/>
      <c r="K16" s="28"/>
      <c r="L16" s="470" t="s">
        <v>516</v>
      </c>
      <c r="M16" s="500" t="s">
        <v>151</v>
      </c>
      <c r="N16" s="312" t="str">
        <f t="shared" ca="1" si="0"/>
        <v>ВЕРОЯТНОСТЬ  5  ВЛИЯНИЕ  5</v>
      </c>
      <c r="O16" s="507">
        <f ca="1">IF($B$5=2021,SUMIF('РЕЕСТР РИСКОВ_2023'!$K$40:$AC$248,M16,'РЕЕСТР РИСКОВ_2023'!$AC$40:$AC$248),IF($B$5=2022,SUMIF(#REF!,M16,#REF!),IF($B$5=2023,SUMIF(#REF!,M16,#REF!),IF($B$5=2024,SUMIF(#REF!,M16,#REF!),SUMIF(#REF!,M16,#REF!)))))</f>
        <v>0.95</v>
      </c>
      <c r="P16" s="508">
        <f ca="1">IF($B$5=2021,SUMIF('РЕЕСТР РИСКОВ_2023'!$K$40:$AD$248,M16,'РЕЕСТР РИСКОВ_2023'!$AD$40:$AD$248),IF($B$5=2022,SUMIF(#REF!,M16,#REF!),IF($B$5=2023,SUMIF(#REF!,M16,#REF!),IF($B$5=2024,SUMIF(#REF!,M16,#REF!),IF($B$5=2025,SUMIF(#REF!,M16,#REF!))))))</f>
        <v>-26809</v>
      </c>
      <c r="Q16" s="509">
        <f t="shared" ca="1" si="1"/>
        <v>-25468.55</v>
      </c>
      <c r="R16" s="463"/>
      <c r="S16" s="466" t="s">
        <v>470</v>
      </c>
      <c r="T16" s="502" t="s">
        <v>1079</v>
      </c>
      <c r="U16" s="498" t="str">
        <f t="shared" ca="1" si="4"/>
        <v>ВЕРОЯТНОСТЬ  4  ВЛИЯНИЕ  2</v>
      </c>
      <c r="V16" s="507">
        <f ca="1">IF($B$5=2021,SUMIF('РЕЕСТР РИСКОВ_2023'!$K$40:$AC$248,T16,'РЕЕСТР РИСКОВ_2023'!$Y$40:$Y$248),IF($B$5=2022,SUMIF(#REF!,T16,#REF!),IF($B$5=2023,SUMIF(#REF!,T16,#REF!),IF($B$5=2024,SUMIF(#REF!,T16,#REF!),SUMIF(#REF!,T16,#REF!)))))</f>
        <v>0.54847566100344269</v>
      </c>
      <c r="W16" s="508">
        <f ca="1">IF($B$5=2021,SUMIF('РЕЕСТР РИСКОВ_2023'!$K$40:$AD$248,T16,'РЕЕСТР РИСКОВ_2023'!$Z$40:$Z$248),IF($B$5=2022,SUMIF(#REF!,T16,#REF!),IF($B$5=2023,SUMIF(#REF!,T16,#REF!),IF($B$5=2024,SUMIF(#REF!,T16,#REF!),IF($B$5=2025,SUMIF(#REF!,T16,#REF!))))))</f>
        <v>-376.24222300000002</v>
      </c>
      <c r="X16" s="509">
        <f t="shared" ca="1" si="5"/>
        <v>-206.35970195732969</v>
      </c>
      <c r="Y16" s="462"/>
      <c r="Z16" s="462"/>
      <c r="AA16" s="476" t="s">
        <v>203</v>
      </c>
      <c r="AB16" s="504" t="s">
        <v>41</v>
      </c>
      <c r="AH16" s="479" t="s">
        <v>812</v>
      </c>
      <c r="AI16" s="513" t="s">
        <v>831</v>
      </c>
      <c r="AJ16" s="312" t="str">
        <f t="shared" ca="1" si="2"/>
        <v>ВЕРОЯТНОСТЬ  1  ВЛИЯНИЕ  1</v>
      </c>
      <c r="AK16" s="309">
        <f ca="1">IF($B$5=2021,SUMIF('РЕЕСТР РИСКОВ_2023'!$K$40:$AC$248,AI16,'РЕЕСТР РИСКОВ_2023'!$AC$40:$AC$248),IF($B$5=2022,SUMIF(#REF!,AI16,#REF!),IF($B$5=2023,SUMIF(#REF!,AI16,#REF!),IF($B$5=2024,SUMIF(#REF!,AI16,#REF!),SUMIF(#REF!,AI16,#REF!)))))</f>
        <v>0</v>
      </c>
      <c r="AL16" s="310">
        <f ca="1">IF($B$5=2021,SUMIF('РЕЕСТР РИСКОВ_2023'!$K$40:$AD$248,AI16,'РЕЕСТР РИСКОВ_2023'!$AD$40:$AD$248),IF($B$5=2022,SUMIF(#REF!,AI16,#REF!),IF($B$5=2023,SUMIF(#REF!,AI16,#REF!),IF($B$5=2024,SUMIF(#REF!,AI16,#REF!),IF($B$5=2025,SUMIF(#REF!,AI16,#REF!))))))</f>
        <v>0</v>
      </c>
      <c r="AM16" s="311">
        <f t="shared" ca="1" si="3"/>
        <v>0</v>
      </c>
    </row>
    <row r="17" spans="2:39" ht="72" customHeight="1">
      <c r="B17" s="1638"/>
      <c r="C17" s="1578" t="s">
        <v>328</v>
      </c>
      <c r="D17" s="1577"/>
      <c r="E17" s="1577"/>
      <c r="F17" s="1580"/>
      <c r="G17" s="1580"/>
      <c r="H17" s="1580"/>
      <c r="I17"/>
      <c r="K17" s="1634">
        <v>6</v>
      </c>
      <c r="L17" s="478" t="s">
        <v>504</v>
      </c>
      <c r="M17" s="500" t="s">
        <v>998</v>
      </c>
      <c r="N17" s="312" t="str">
        <f t="shared" ca="1" si="0"/>
        <v>ВЕРОЯТНОСТЬ  3  ВЛИЯНИЕ  1</v>
      </c>
      <c r="O17" s="507">
        <f ca="1">IF($B$5=2021,SUMIF('РЕЕСТР РИСКОВ_2023'!$K$40:$AC$248,M17,'РЕЕСТР РИСКОВ_2023'!$AC$40:$AC$248),IF($B$5=2022,SUMIF(#REF!,M17,#REF!),IF($B$5=2023,SUMIF(#REF!,M17,#REF!),IF($B$5=2024,SUMIF(#REF!,M17,#REF!),SUMIF(#REF!,M17,#REF!)))))</f>
        <v>0.4</v>
      </c>
      <c r="P17" s="508">
        <f ca="1">IF($B$5=2021,SUMIF('РЕЕСТР РИСКОВ_2023'!$K$40:$AD$248,M17,'РЕЕСТР РИСКОВ_2023'!$AD$40:$AD$248),IF($B$5=2022,SUMIF(#REF!,M17,#REF!),IF($B$5=2023,SUMIF(#REF!,M17,#REF!),IF($B$5=2024,SUMIF(#REF!,M17,#REF!),IF($B$5=2025,SUMIF(#REF!,M17,#REF!))))))</f>
        <v>-103</v>
      </c>
      <c r="Q17" s="509">
        <f t="shared" ca="1" si="1"/>
        <v>-41.2</v>
      </c>
      <c r="R17" s="463"/>
      <c r="S17" s="474" t="s">
        <v>471</v>
      </c>
      <c r="T17" s="502" t="s">
        <v>505</v>
      </c>
      <c r="U17" s="498" t="str">
        <f t="shared" ca="1" si="4"/>
        <v>ВЕРОЯТНОСТЬ  5  ВЛИЯНИЕ  3</v>
      </c>
      <c r="V17" s="507">
        <f ca="1">IF($B$5=2021,SUMIF('РЕЕСТР РИСКОВ_2023'!$K$40:$AC$248,T17,'РЕЕСТР РИСКОВ_2023'!$Y$40:$Y$248),IF($B$5=2022,SUMIF(#REF!,T17,#REF!),IF($B$5=2023,SUMIF(#REF!,T17,#REF!),IF($B$5=2024,SUMIF(#REF!,T17,#REF!),SUMIF(#REF!,T17,#REF!)))))</f>
        <v>0.76</v>
      </c>
      <c r="W17" s="508">
        <f ca="1">IF($B$5=2021,SUMIF('РЕЕСТР РИСКОВ_2023'!$K$40:$AD$248,T17,'РЕЕСТР РИСКОВ_2023'!$Z$40:$Z$248),IF($B$5=2022,SUMIF(#REF!,T17,#REF!),IF($B$5=2023,SUMIF(#REF!,T17,#REF!),IF($B$5=2024,SUMIF(#REF!,T17,#REF!),IF($B$5=2025,SUMIF(#REF!,T17,#REF!))))))</f>
        <v>-563.62962962962956</v>
      </c>
      <c r="X17" s="509">
        <f t="shared" ca="1" si="5"/>
        <v>-428.35851851851845</v>
      </c>
      <c r="Y17" s="462"/>
      <c r="Z17" s="462"/>
      <c r="AA17" s="1591" t="s">
        <v>68</v>
      </c>
      <c r="AB17" s="1592"/>
      <c r="AC17" s="312"/>
      <c r="AD17" s="309"/>
      <c r="AE17" s="310"/>
      <c r="AF17" s="311"/>
      <c r="AH17" s="479" t="s">
        <v>813</v>
      </c>
      <c r="AI17" s="513" t="s">
        <v>832</v>
      </c>
      <c r="AJ17" s="312" t="str">
        <f t="shared" ca="1" si="2"/>
        <v>ВЕРОЯТНОСТЬ  1  ВЛИЯНИЕ  1</v>
      </c>
      <c r="AK17" s="309">
        <f ca="1">IF($B$5=2021,SUMIF('РЕЕСТР РИСКОВ_2023'!$K$40:$AC$248,AI17,'РЕЕСТР РИСКОВ_2023'!$AC$40:$AC$248),IF($B$5=2022,SUMIF(#REF!,AI17,#REF!),IF($B$5=2023,SUMIF(#REF!,AI17,#REF!),IF($B$5=2024,SUMIF(#REF!,AI17,#REF!),SUMIF(#REF!,AI17,#REF!)))))</f>
        <v>0</v>
      </c>
      <c r="AL17" s="310">
        <f ca="1">IF($B$5=2021,SUMIF('РЕЕСТР РИСКОВ_2023'!$K$40:$AD$248,AI17,'РЕЕСТР РИСКОВ_2023'!$AD$40:$AD$248),IF($B$5=2022,SUMIF(#REF!,AI17,#REF!),IF($B$5=2023,SUMIF(#REF!,AI17,#REF!),IF($B$5=2024,SUMIF(#REF!,AI17,#REF!),IF($B$5=2025,SUMIF(#REF!,AI17,#REF!))))))</f>
        <v>0</v>
      </c>
      <c r="AM17" s="311">
        <f t="shared" ca="1" si="3"/>
        <v>0</v>
      </c>
    </row>
    <row r="18" spans="2:39" ht="72" customHeight="1">
      <c r="B18" s="1638"/>
      <c r="C18" s="1578"/>
      <c r="D18" s="1577"/>
      <c r="E18" s="1577"/>
      <c r="F18" s="1580"/>
      <c r="G18" s="1580"/>
      <c r="H18" s="1580"/>
      <c r="I18"/>
      <c r="K18" s="1635"/>
      <c r="L18" s="468" t="s">
        <v>569</v>
      </c>
      <c r="M18" s="500" t="s">
        <v>1117</v>
      </c>
      <c r="N18" s="312" t="str">
        <f ca="1">"ВЕРОЯТНОСТЬ  "&amp;IF(O18&lt;0.05,1,IF((O18&gt;=0.05)*(O18&lt;0.25),2,IF((O18&gt;=0.25)*(O18&lt;0.5),3,IF((O18&gt;=0.5)*(O18&lt;0.75),4,5))))&amp;"  ВЛИЯНИЕ  "&amp;IF(P18&gt;-200,1,IF((P18&lt;=-200)*(P18&gt;-500),2,IF((P18&lt;=-500)*(P18&gt;-1000),3,IF((P18&lt;=-1000)*(P18&gt;-3000),4,5))))</f>
        <v>ВЕРОЯТНОСТЬ  4  ВЛИЯНИЕ  4</v>
      </c>
      <c r="O18" s="507">
        <f ca="1">IF($B$5=2021,SUMIF('РЕЕСТР РИСКОВ_2023'!$K$40:$AC$248,M18,'РЕЕСТР РИСКОВ_2023'!$AC$40:$AC$248),IF($B$5=2022,SUMIF(#REF!,M18,#REF!),IF($B$5=2023,SUMIF(#REF!,M18,#REF!),IF($B$5=2024,SUMIF(#REF!,M18,#REF!),SUMIF(#REF!,M18,#REF!)))))</f>
        <v>0.6</v>
      </c>
      <c r="P18" s="508">
        <f ca="1">IF($B$5=2021,SUMIF('РЕЕСТР РИСКОВ_2023'!$K$40:$AD$248,M18,'РЕЕСТР РИСКОВ_2023'!$AD$40:$AD$248),IF($B$5=2022,SUMIF(#REF!,M18,#REF!),IF($B$5=2023,SUMIF(#REF!,M18,#REF!),IF($B$5=2024,SUMIF(#REF!,M18,#REF!),IF($B$5=2025,SUMIF(#REF!,M18,#REF!))))))</f>
        <v>-1757.53</v>
      </c>
      <c r="Q18" s="509">
        <f ca="1">O18*P18</f>
        <v>-1054.518</v>
      </c>
      <c r="R18" s="463"/>
      <c r="S18" s="466" t="s">
        <v>472</v>
      </c>
      <c r="T18" s="502" t="s">
        <v>508</v>
      </c>
      <c r="U18" s="498" t="str">
        <f t="shared" ca="1" si="4"/>
        <v>ВЕРОЯТНОСТЬ  4  ВЛИЯНИЕ  1</v>
      </c>
      <c r="V18" s="507">
        <f ca="1">IF($B$5=2021,SUMIF('РЕЕСТР РИСКОВ_2023'!$K$40:$AC$248,T18,'РЕЕСТР РИСКОВ_2023'!$Y$40:$Y$248),IF($B$5=2022,SUMIF(#REF!,T18,#REF!),IF($B$5=2023,SUMIF(#REF!,T18,#REF!),IF($B$5=2024,SUMIF(#REF!,T18,#REF!),SUMIF(#REF!,T18,#REF!)))))</f>
        <v>0.72015262164601623</v>
      </c>
      <c r="W18" s="508">
        <f ca="1">IF($B$5=2021,SUMIF('РЕЕСТР РИСКОВ_2023'!$K$40:$AD$248,T18,'РЕЕСТР РИСКОВ_2023'!$Z$40:$Z$248),IF($B$5=2022,SUMIF(#REF!,T18,#REF!),IF($B$5=2023,SUMIF(#REF!,T18,#REF!),IF($B$5=2024,SUMIF(#REF!,T18,#REF!),IF($B$5=2025,SUMIF(#REF!,T18,#REF!))))))</f>
        <v>-69</v>
      </c>
      <c r="X18" s="509">
        <f t="shared" ca="1" si="5"/>
        <v>-49.690530893575122</v>
      </c>
      <c r="Y18" s="462"/>
      <c r="Z18" s="462"/>
      <c r="AA18" s="479" t="s">
        <v>204</v>
      </c>
      <c r="AB18" s="513" t="s">
        <v>169</v>
      </c>
      <c r="AC18" s="312" t="str">
        <f t="shared" ref="AC18:AC28" ca="1" si="6">"ВЕРОЯТНОСТЬ  "&amp;IF(AD18&lt;0.05,1,IF((AD18&gt;=0.05)*(AD18&lt;0.25),2,IF((AD18&gt;=0.25)*(AD18&lt;0.5),3,IF((AD18&gt;=0.5)*(AD18&lt;0.75),4,5))))&amp;"  ВЛИЯНИЕ  "&amp;IF(AE18&gt;-200,1,IF((AE18&lt;=-200)*(AE18&gt;-500),2,IF((AE18&lt;=-500)*(AE18&gt;-1000),3,IF((AE18&lt;=-1000)*(AE18&gt;-3000),4,5))))</f>
        <v>ВЕРОЯТНОСТЬ  5  ВЛИЯНИЕ  1</v>
      </c>
      <c r="AD18" s="309">
        <f ca="1">IF($B$5=2021,SUMIF('РЕЕСТР РИСКОВ_2023'!$K$40:$AC$248,AB18,'РЕЕСТР РИСКОВ_2023'!$AC$40:$AC$248),IF($B$5=2022,SUMIF(#REF!,AB18,#REF!),IF($B$5=2023,SUMIF(#REF!,AB18,#REF!),IF($B$5=2024,SUMIF(#REF!,AB18,#REF!),SUMIF(#REF!,AB18,#REF!)))))</f>
        <v>1</v>
      </c>
      <c r="AE18" s="310">
        <f ca="1">IF($B$5=2021,SUMIF('РЕЕСТР РИСКОВ_2023'!$K$40:$AD$248,AB18,'РЕЕСТР РИСКОВ_2023'!$AD$40:$AD$248),IF($B$5=2022,SUMIF(#REF!,AB18,#REF!),IF($B$5=2023,SUMIF(#REF!,AB18,#REF!),IF($B$5=2024,SUMIF(#REF!,AB18,#REF!),IF($B$5=2025,SUMIF(#REF!,AB18,#REF!))))))</f>
        <v>0</v>
      </c>
      <c r="AF18" s="311">
        <f t="shared" ref="AF18:AF28" ca="1" si="7">AD18*AE18</f>
        <v>0</v>
      </c>
      <c r="AH18" s="479" t="s">
        <v>814</v>
      </c>
      <c r="AI18" s="513" t="s">
        <v>833</v>
      </c>
      <c r="AJ18" s="312" t="str">
        <f t="shared" ca="1" si="2"/>
        <v>ВЕРОЯТНОСТЬ  1  ВЛИЯНИЕ  1</v>
      </c>
      <c r="AK18" s="309">
        <f ca="1">IF($B$5=2021,SUMIF('РЕЕСТР РИСКОВ_2023'!$K$40:$AC$248,AI18,'РЕЕСТР РИСКОВ_2023'!$AC$40:$AC$248),IF($B$5=2022,SUMIF(#REF!,AI18,#REF!),IF($B$5=2023,SUMIF(#REF!,AI18,#REF!),IF($B$5=2024,SUMIF(#REF!,AI18,#REF!),SUMIF(#REF!,AI18,#REF!)))))</f>
        <v>0</v>
      </c>
      <c r="AL18" s="310">
        <f ca="1">IF($B$5=2021,SUMIF('РЕЕСТР РИСКОВ_2023'!$K$40:$AD$248,AI18,'РЕЕСТР РИСКОВ_2023'!$AD$40:$AD$248),IF($B$5=2022,SUMIF(#REF!,AI18,#REF!),IF($B$5=2023,SUMIF(#REF!,AI18,#REF!),IF($B$5=2024,SUMIF(#REF!,AI18,#REF!),IF($B$5=2025,SUMIF(#REF!,AI18,#REF!))))))</f>
        <v>0</v>
      </c>
      <c r="AM18" s="311">
        <f t="shared" ca="1" si="3"/>
        <v>0</v>
      </c>
    </row>
    <row r="19" spans="2:39" ht="94.5" customHeight="1">
      <c r="B19" s="1638"/>
      <c r="C19" s="1579"/>
      <c r="D19" s="1577"/>
      <c r="E19" s="1577"/>
      <c r="F19" s="1581"/>
      <c r="G19" s="1581"/>
      <c r="H19" s="1581"/>
      <c r="I19"/>
      <c r="K19" s="1600">
        <v>7</v>
      </c>
      <c r="L19" s="1602" t="s">
        <v>294</v>
      </c>
      <c r="M19" s="1603"/>
      <c r="N19" s="312"/>
      <c r="O19" s="507"/>
      <c r="P19" s="508"/>
      <c r="Q19" s="509"/>
      <c r="R19" s="463"/>
      <c r="S19" s="466" t="s">
        <v>473</v>
      </c>
      <c r="T19" s="502" t="s">
        <v>506</v>
      </c>
      <c r="U19" s="498" t="str">
        <f t="shared" ca="1" si="4"/>
        <v>ВЕРОЯТНОСТЬ  3  ВЛИЯНИЕ  1</v>
      </c>
      <c r="V19" s="507">
        <f ca="1">IF($B$5=2021,SUMIF('РЕЕСТР РИСКОВ_2023'!$K$40:$AC$248,T19,'РЕЕСТР РИСКОВ_2023'!$Y$40:$Y$248),IF($B$5=2022,SUMIF(#REF!,T19,#REF!),IF($B$5=2023,SUMIF(#REF!,T19,#REF!),IF($B$5=2024,SUMIF(#REF!,T19,#REF!),SUMIF(#REF!,T19,#REF!)))))</f>
        <v>0.4</v>
      </c>
      <c r="W19" s="508">
        <f ca="1">IF($B$5=2021,SUMIF('РЕЕСТР РИСКОВ_2023'!$K$40:$AD$248,T19,'РЕЕСТР РИСКОВ_2023'!$Z$40:$Z$248),IF($B$5=2022,SUMIF(#REF!,T19,#REF!),IF($B$5=2023,SUMIF(#REF!,T19,#REF!),IF($B$5=2024,SUMIF(#REF!,T19,#REF!),IF($B$5=2025,SUMIF(#REF!,T19,#REF!))))))</f>
        <v>-4</v>
      </c>
      <c r="X19" s="509">
        <f t="shared" ca="1" si="5"/>
        <v>-1.6</v>
      </c>
      <c r="Y19" s="462"/>
      <c r="Z19" s="462"/>
      <c r="AA19" s="479" t="s">
        <v>807</v>
      </c>
      <c r="AB19" s="513" t="s">
        <v>826</v>
      </c>
      <c r="AC19" s="312" t="str">
        <f t="shared" ca="1" si="6"/>
        <v>ВЕРОЯТНОСТЬ  5  ВЛИЯНИЕ  1</v>
      </c>
      <c r="AD19" s="309">
        <f ca="1">IF($B$5=2021,SUMIF('РЕЕСТР РИСКОВ_2023'!$K$40:$AC$248,AB19,'РЕЕСТР РИСКОВ_2023'!$AC$40:$AC$248),IF($B$5=2022,SUMIF(#REF!,AB19,#REF!),IF($B$5=2023,SUMIF(#REF!,AB19,#REF!),IF($B$5=2024,SUMIF(#REF!,AB19,#REF!),SUMIF(#REF!,AB19,#REF!)))))</f>
        <v>1</v>
      </c>
      <c r="AE19" s="310">
        <f ca="1">IF($B$5=2021,SUMIF('РЕЕСТР РИСКОВ_2023'!$K$40:$AD$248,AB19,'РЕЕСТР РИСКОВ_2023'!$AD$40:$AD$248),IF($B$5=2022,SUMIF(#REF!,AB19,#REF!),IF($B$5=2023,SUMIF(#REF!,AB19,#REF!),IF($B$5=2024,SUMIF(#REF!,AB19,#REF!),IF($B$5=2025,SUMIF(#REF!,AB19,#REF!))))))</f>
        <v>0</v>
      </c>
      <c r="AF19" s="311">
        <f t="shared" ca="1" si="7"/>
        <v>0</v>
      </c>
      <c r="AH19" s="479" t="s">
        <v>815</v>
      </c>
      <c r="AI19" s="513" t="s">
        <v>834</v>
      </c>
      <c r="AJ19" s="312" t="str">
        <f t="shared" ca="1" si="2"/>
        <v>ВЕРОЯТНОСТЬ  1  ВЛИЯНИЕ  1</v>
      </c>
      <c r="AK19" s="309">
        <f ca="1">IF($B$5=2021,SUMIF('РЕЕСТР РИСКОВ_2023'!$K$40:$AC$248,AI19,'РЕЕСТР РИСКОВ_2023'!$AC$40:$AC$248),IF($B$5=2022,SUMIF(#REF!,AI19,#REF!),IF($B$5=2023,SUMIF(#REF!,AI19,#REF!),IF($B$5=2024,SUMIF(#REF!,AI19,#REF!),SUMIF(#REF!,AI19,#REF!)))))</f>
        <v>0</v>
      </c>
      <c r="AL19" s="310">
        <f ca="1">IF($B$5=2021,SUMIF('РЕЕСТР РИСКОВ_2023'!$K$40:$AD$248,AI19,'РЕЕСТР РИСКОВ_2023'!$AD$40:$AD$248),IF($B$5=2022,SUMIF(#REF!,AI19,#REF!),IF($B$5=2023,SUMIF(#REF!,AI19,#REF!),IF($B$5=2024,SUMIF(#REF!,AI19,#REF!),IF($B$5=2025,SUMIF(#REF!,AI19,#REF!))))))</f>
        <v>0</v>
      </c>
      <c r="AM19" s="311">
        <f t="shared" ca="1" si="3"/>
        <v>0</v>
      </c>
    </row>
    <row r="20" spans="2:39" ht="95.25" customHeight="1">
      <c r="B20" s="1638"/>
      <c r="C20" s="1641" t="s">
        <v>329</v>
      </c>
      <c r="D20" s="1577"/>
      <c r="E20" s="1577"/>
      <c r="F20" s="1580"/>
      <c r="G20" s="1580"/>
      <c r="H20" s="1580"/>
      <c r="I20"/>
      <c r="K20" s="1611"/>
      <c r="L20" s="465" t="s">
        <v>361</v>
      </c>
      <c r="M20" s="499" t="s">
        <v>935</v>
      </c>
      <c r="N20" s="312" t="str">
        <f ca="1">"ВЕРОЯТНОСТЬ  "&amp;IF(O20&lt;0.05,1,IF((O20&gt;=0.05)*(O20&lt;0.25),2,IF((O20&gt;=0.25)*(O20&lt;0.5),3,IF((O20&gt;=0.5)*(O20&lt;0.75),4,5))))&amp;"  ВЛИЯНИЕ  "&amp;IF(P20&gt;-200,1,IF((P20&lt;=-200)*(P20&gt;-500),2,IF((P20&lt;=-500)*(P20&gt;-1000),3,IF((P20&lt;=-1000)*(P20&gt;-3000),4,5))))</f>
        <v>ВЕРОЯТНОСТЬ  4  ВЛИЯНИЕ  5</v>
      </c>
      <c r="O20" s="507">
        <f ca="1">IF($B$5=2021,SUMIF('РЕЕСТР РИСКОВ_2023'!$K$40:$AC$248,M20,'РЕЕСТР РИСКОВ_2023'!$Y$40:$Y$248),IF($B$5=2022,SUMIF(#REF!,M20,#REF!),IF($B$5=2023,SUMIF(#REF!,M20,#REF!),IF($B$5=2024,SUMIF(#REF!,M20,#REF!),SUMIF(#REF!,M20,#REF!)))))</f>
        <v>0.7</v>
      </c>
      <c r="P20" s="508">
        <v>-6574</v>
      </c>
      <c r="Q20" s="509">
        <f ca="1">O20*P20</f>
        <v>-4601.7999999999993</v>
      </c>
      <c r="R20" s="463"/>
      <c r="S20" s="1602" t="s">
        <v>79</v>
      </c>
      <c r="T20" s="1612"/>
      <c r="U20" s="510"/>
      <c r="V20" s="510"/>
      <c r="W20" s="510"/>
      <c r="X20" s="510"/>
      <c r="Y20" s="462"/>
      <c r="Z20" s="462"/>
      <c r="AA20" s="479" t="s">
        <v>808</v>
      </c>
      <c r="AB20" s="513" t="s">
        <v>827</v>
      </c>
      <c r="AC20" s="312" t="str">
        <f t="shared" ca="1" si="6"/>
        <v>ВЕРОЯТНОСТЬ  1  ВЛИЯНИЕ  1</v>
      </c>
      <c r="AD20" s="309">
        <f ca="1">IF($B$5=2021,SUMIF('РЕЕСТР РИСКОВ_2023'!$K$40:$AC$248,AB20,'РЕЕСТР РИСКОВ_2023'!$AC$40:$AC$248),IF($B$5=2022,SUMIF(#REF!,AB20,#REF!),IF($B$5=2023,SUMIF(#REF!,AB20,#REF!),IF($B$5=2024,SUMIF(#REF!,AB20,#REF!),SUMIF(#REF!,AB20,#REF!)))))</f>
        <v>0</v>
      </c>
      <c r="AE20" s="310">
        <f ca="1">IF($B$5=2021,SUMIF('РЕЕСТР РИСКОВ_2023'!$K$40:$AD$248,AB20,'РЕЕСТР РИСКОВ_2023'!$AD$40:$AD$248),IF($B$5=2022,SUMIF(#REF!,AB20,#REF!),IF($B$5=2023,SUMIF(#REF!,AB20,#REF!),IF($B$5=2024,SUMIF(#REF!,AB20,#REF!),IF($B$5=2025,SUMIF(#REF!,AB20,#REF!))))))</f>
        <v>0</v>
      </c>
      <c r="AF20" s="311">
        <f t="shared" ca="1" si="7"/>
        <v>0</v>
      </c>
      <c r="AH20" s="479" t="s">
        <v>816</v>
      </c>
      <c r="AI20" s="513" t="s">
        <v>835</v>
      </c>
      <c r="AJ20" s="312" t="str">
        <f t="shared" ca="1" si="2"/>
        <v>ВЕРОЯТНОСТЬ  1  ВЛИЯНИЕ  1</v>
      </c>
      <c r="AK20" s="309">
        <f ca="1">IF($B$5=2021,SUMIF('РЕЕСТР РИСКОВ_2023'!$K$40:$AC$248,AI20,'РЕЕСТР РИСКОВ_2023'!$AC$40:$AC$248),IF($B$5=2022,SUMIF(#REF!,AI20,#REF!),IF($B$5=2023,SUMIF(#REF!,AI20,#REF!),IF($B$5=2024,SUMIF(#REF!,AI20,#REF!),SUMIF(#REF!,AI20,#REF!)))))</f>
        <v>0</v>
      </c>
      <c r="AL20" s="310">
        <f ca="1">IF($B$5=2021,SUMIF('РЕЕСТР РИСКОВ_2023'!$K$40:$AD$248,AI20,'РЕЕСТР РИСКОВ_2023'!$AD$40:$AD$248),IF($B$5=2022,SUMIF(#REF!,AI20,#REF!),IF($B$5=2023,SUMIF(#REF!,AI20,#REF!),IF($B$5=2024,SUMIF(#REF!,AI20,#REF!),IF($B$5=2025,SUMIF(#REF!,AI20,#REF!))))))</f>
        <v>0</v>
      </c>
      <c r="AM20" s="311">
        <f t="shared" ca="1" si="3"/>
        <v>0</v>
      </c>
    </row>
    <row r="21" spans="2:39" ht="60" customHeight="1">
      <c r="B21" s="1638"/>
      <c r="C21" s="1642"/>
      <c r="D21" s="1577"/>
      <c r="E21" s="1577"/>
      <c r="F21" s="1580"/>
      <c r="G21" s="1580"/>
      <c r="H21" s="1580"/>
      <c r="I21"/>
      <c r="K21" s="1611"/>
      <c r="L21" s="465" t="s">
        <v>362</v>
      </c>
      <c r="M21" s="499" t="s">
        <v>405</v>
      </c>
      <c r="N21" s="312" t="str">
        <f ca="1">"ВЕРОЯТНОСТЬ  "&amp;IF(O21&lt;0.05,1,IF((O21&gt;=0.05)*(O21&lt;0.25),2,IF((O21&gt;=0.25)*(O21&lt;0.5),3,IF((O21&gt;=0.5)*(O21&lt;0.75),4,5))))&amp;"  ВЛИЯНИЕ  "&amp;IF(P21&gt;-200,1,IF((P21&lt;=-200)*(P21&gt;-500),2,IF((P21&lt;=-500)*(P21&gt;-1000),3,IF((P21&lt;=-1000)*(P21&gt;-3000),4,5))))</f>
        <v>ВЕРОЯТНОСТЬ  4  ВЛИЯНИЕ  5</v>
      </c>
      <c r="O21" s="507">
        <f ca="1">IF($B$5=2021,SUMIF('РЕЕСТР РИСКОВ_2023'!$K$40:$AC$248,M21,'РЕЕСТР РИСКОВ_2023'!$Y$40:$Y$248),IF($B$5=2022,SUMIF(#REF!,M21,#REF!),IF($B$5=2023,SUMIF(#REF!,M21,#REF!),IF($B$5=2024,SUMIF(#REF!,M21,#REF!),SUMIF(#REF!,M21,#REF!)))))</f>
        <v>0.6</v>
      </c>
      <c r="P21" s="508">
        <f ca="1">IF($B$5=2021,SUMIF('РЕЕСТР РИСКОВ_2023'!$K$40:$AD$248,M21,'РЕЕСТР РИСКОВ_2023'!$Z$40:$Z$248),IF($B$5=2022,SUMIF(#REF!,M21,#REF!),IF($B$5=2023,SUMIF(#REF!,M21,#REF!),IF($B$5=2024,SUMIF(#REF!,M21,#REF!),IF($B$5=2025,SUMIF(#REF!,M21,#REF!))))))</f>
        <v>-7659</v>
      </c>
      <c r="Q21" s="509">
        <f ca="1">O21*P21</f>
        <v>-4595.3999999999996</v>
      </c>
      <c r="R21" s="463"/>
      <c r="S21" s="465" t="s">
        <v>305</v>
      </c>
      <c r="T21" s="499" t="s">
        <v>306</v>
      </c>
      <c r="U21" s="498" t="str">
        <f ca="1">"ВЕРОЯТНОСТЬ  "&amp;IF(V21&lt;0.05,1,IF((V21&gt;=0.05)*(V21&lt;0.25),2,IF((V21&gt;=0.25)*(V21&lt;0.5),3,IF((V21&gt;=0.5)*(V21&lt;0.75),4,5))))&amp;"  ВЛИЯНИЕ  "&amp;IF(W21&gt;-200,1,IF((W21&lt;=-200)*(W21&gt;-500),2,IF((W21&lt;=-500)*(W21&gt;-1000),3,IF((W21&lt;=-1000)*(W21&gt;-3000),4,5))))</f>
        <v>ВЕРОЯТНОСТЬ  4  ВЛИЯНИЕ  5</v>
      </c>
      <c r="V21" s="507">
        <f ca="1">IF($B$5=2021,SUMIF('РЕЕСТР РИСКОВ_2023'!$K$40:$AC$248,T21,'РЕЕСТР РИСКОВ_2023'!$AC$40:$AC$248),IF($B$5=2022,SUMIF(#REF!,T21,#REF!),IF($B$5=2023,SUMIF(#REF!,T21,#REF!),IF($B$5=2024,SUMIF(#REF!,T21,#REF!),SUMIF(#REF!,T21,#REF!)))))</f>
        <v>0.59222100961904522</v>
      </c>
      <c r="W21" s="508">
        <f ca="1">IF($B$5=2021,SUMIF('РЕЕСТР РИСКОВ_2023'!$K$40:$AD$248,T21,'РЕЕСТР РИСКОВ_2023'!$AD$40:$AD$248),IF($B$5=2022,SUMIF(#REF!,T21,#REF!),IF($B$5=2023,SUMIF(#REF!,T21,#REF!),IF($B$5=2024,SUMIF(#REF!,T21,#REF!),IF($B$5=2025,SUMIF(#REF!,T21,#REF!))))))</f>
        <v>-6669</v>
      </c>
      <c r="X21" s="509">
        <f ca="1">V21*W21</f>
        <v>-3949.5219131494127</v>
      </c>
      <c r="Y21" s="462"/>
      <c r="Z21" s="462"/>
      <c r="AA21" s="479" t="s">
        <v>809</v>
      </c>
      <c r="AB21" s="513" t="s">
        <v>828</v>
      </c>
      <c r="AC21" s="312" t="str">
        <f t="shared" ca="1" si="6"/>
        <v>ВЕРОЯТНОСТЬ  1  ВЛИЯНИЕ  1</v>
      </c>
      <c r="AD21" s="309">
        <f ca="1">IF($B$5=2021,SUMIF('РЕЕСТР РИСКОВ_2023'!$K$40:$AC$248,AB21,'РЕЕСТР РИСКОВ_2023'!$AC$40:$AC$248),IF($B$5=2022,SUMIF(#REF!,AB21,#REF!),IF($B$5=2023,SUMIF(#REF!,AB21,#REF!),IF($B$5=2024,SUMIF(#REF!,AB21,#REF!),SUMIF(#REF!,AB21,#REF!)))))</f>
        <v>0</v>
      </c>
      <c r="AE21" s="310">
        <f ca="1">IF($B$5=2021,SUMIF('РЕЕСТР РИСКОВ_2023'!$K$40:$AD$248,AB21,'РЕЕСТР РИСКОВ_2023'!$AD$40:$AD$248),IF($B$5=2022,SUMIF(#REF!,AB21,#REF!),IF($B$5=2023,SUMIF(#REF!,AB21,#REF!),IF($B$5=2024,SUMIF(#REF!,AB21,#REF!),IF($B$5=2025,SUMIF(#REF!,AB21,#REF!))))))</f>
        <v>0</v>
      </c>
      <c r="AF21" s="311">
        <f t="shared" ca="1" si="7"/>
        <v>0</v>
      </c>
      <c r="AH21" s="1567" t="s">
        <v>66</v>
      </c>
      <c r="AI21" s="1568"/>
      <c r="AJ21" s="312"/>
      <c r="AK21" s="309"/>
      <c r="AL21" s="310"/>
      <c r="AM21" s="311"/>
    </row>
    <row r="22" spans="2:39" ht="75" customHeight="1">
      <c r="B22" s="1638"/>
      <c r="C22" s="1642"/>
      <c r="D22" s="1577"/>
      <c r="E22" s="1577"/>
      <c r="F22" s="1580"/>
      <c r="G22" s="1580"/>
      <c r="H22" s="1580"/>
      <c r="I22"/>
      <c r="K22" s="1611"/>
      <c r="L22" s="1604" t="s">
        <v>315</v>
      </c>
      <c r="M22" s="1604"/>
      <c r="N22" s="312"/>
      <c r="O22" s="507"/>
      <c r="P22" s="508"/>
      <c r="Q22" s="509"/>
      <c r="R22" s="463"/>
      <c r="S22" s="480" t="s">
        <v>324</v>
      </c>
      <c r="T22" s="499" t="s">
        <v>858</v>
      </c>
      <c r="U22" s="498" t="str">
        <f ca="1">"ВЕРОЯТНОСТЬ  "&amp;IF(V22&lt;0.05,1,IF((V22&gt;=0.05)*(V22&lt;0.25),2,IF((V22&gt;=0.25)*(V22&lt;0.5),3,IF((V22&gt;=0.5)*(V22&lt;0.75),4,5))))&amp;"  ВЛИЯНИЕ  "&amp;IF(W22&gt;-200,1,IF((W22&lt;=-200)*(W22&gt;-500),2,IF((W22&lt;=-500)*(W22&gt;-1000),3,IF((W22&lt;=-1000)*(W22&gt;-3000),4,5))))</f>
        <v>ВЕРОЯТНОСТЬ  1  ВЛИЯНИЕ  1</v>
      </c>
      <c r="V22" s="507">
        <f ca="1">IF($B$5=2021,SUMIF('РЕЕСТР РИСКОВ_2023'!$K$40:$AC$248,T22,'РЕЕСТР РИСКОВ_2023'!$AC$40:$AC$248),IF($B$5=2022,SUMIF(#REF!,T22,#REF!),IF($B$5=2023,SUMIF(#REF!,T22,#REF!),IF($B$5=2024,SUMIF(#REF!,T22,#REF!),SUMIF(#REF!,T22,#REF!)))))</f>
        <v>0</v>
      </c>
      <c r="W22" s="508">
        <f ca="1">IF($B$5=2021,SUMIF('РЕЕСТР РИСКОВ_2023'!$K$40:$AD$248,T22,'РЕЕСТР РИСКОВ_2023'!$AD$40:$AD$248),IF($B$5=2022,SUMIF(#REF!,T22,#REF!),IF($B$5=2023,SUMIF(#REF!,T22,#REF!),IF($B$5=2024,SUMIF(#REF!,T22,#REF!),IF($B$5=2025,SUMIF(#REF!,T22,#REF!))))))</f>
        <v>0</v>
      </c>
      <c r="X22" s="509">
        <f ca="1">V22*W22</f>
        <v>0</v>
      </c>
      <c r="Y22" s="462"/>
      <c r="Z22" s="462"/>
      <c r="AA22" s="479" t="s">
        <v>810</v>
      </c>
      <c r="AB22" s="513" t="s">
        <v>829</v>
      </c>
      <c r="AC22" s="312" t="str">
        <f t="shared" ca="1" si="6"/>
        <v>ВЕРОЯТНОСТЬ  1  ВЛИЯНИЕ  1</v>
      </c>
      <c r="AD22" s="309">
        <f ca="1">IF($B$5=2021,SUMIF('РЕЕСТР РИСКОВ_2023'!$K$40:$AC$248,AB22,'РЕЕСТР РИСКОВ_2023'!$AC$40:$AC$248),IF($B$5=2022,SUMIF(#REF!,AB22,#REF!),IF($B$5=2023,SUMIF(#REF!,AB22,#REF!),IF($B$5=2024,SUMIF(#REF!,AB22,#REF!),SUMIF(#REF!,AB22,#REF!)))))</f>
        <v>0</v>
      </c>
      <c r="AE22" s="310">
        <f ca="1">IF($B$5=2021,SUMIF('РЕЕСТР РИСКОВ_2023'!$K$40:$AD$248,AB22,'РЕЕСТР РИСКОВ_2023'!$AD$40:$AD$248),IF($B$5=2022,SUMIF(#REF!,AB22,#REF!),IF($B$5=2023,SUMIF(#REF!,AB22,#REF!),IF($B$5=2024,SUMIF(#REF!,AB22,#REF!),IF($B$5=2025,SUMIF(#REF!,AB22,#REF!))))))</f>
        <v>0</v>
      </c>
      <c r="AF22" s="311">
        <f t="shared" ca="1" si="7"/>
        <v>0</v>
      </c>
      <c r="AH22" s="484" t="s">
        <v>205</v>
      </c>
      <c r="AI22" s="504" t="s">
        <v>40</v>
      </c>
      <c r="AJ22" s="312" t="str">
        <f ca="1">"ВЕРОЯТНОСТЬ  "&amp;IF(AK22&lt;0.05,1,IF((AK22&gt;=0.05)*(AK22&lt;0.25),2,IF((AK22&gt;=0.25)*(AK22&lt;0.5),3,IF((AK22&gt;=0.5)*(AK22&lt;0.75),4,5))))&amp;"  ВЛИЯНИЕ  "&amp;IF(AL22&gt;-200,1,IF((AL22&lt;=-200)*(AL22&gt;-500),2,IF((AL22&lt;=-500)*(AL22&gt;-1000),3,IF((AL22&lt;=-1000)*(AL22&gt;-3000),4,5))))</f>
        <v>ВЕРОЯТНОСТЬ  3  ВЛИЯНИЕ  1</v>
      </c>
      <c r="AK22" s="309">
        <f ca="1">IF($B$5=2021,SUMIF('РЕЕСТР РИСКОВ_2023'!$K$40:$AC$248,AI22,'РЕЕСТР РИСКОВ_2023'!$AC$40:$AC$248),IF($B$5=2022,SUMIF(#REF!,AI22,#REF!),IF($B$5=2023,SUMIF(#REF!,AI22,#REF!),IF($B$5=2024,SUMIF(#REF!,AI22,#REF!),SUMIF(#REF!,AI22,#REF!)))))</f>
        <v>0.4</v>
      </c>
      <c r="AL22" s="310">
        <f ca="1">IF($B$5=2021,SUMIF('РЕЕСТР РИСКОВ_2023'!$K$40:$AD$248,AI22,'РЕЕСТР РИСКОВ_2023'!$AD$40:$AD$248),IF($B$5=2022,SUMIF(#REF!,AI22,#REF!),IF($B$5=2023,SUMIF(#REF!,AI22,#REF!),IF($B$5=2024,SUMIF(#REF!,AI22,#REF!),IF($B$5=2025,SUMIF(#REF!,AI22,#REF!))))))</f>
        <v>0</v>
      </c>
      <c r="AM22" s="311">
        <f ca="1">AK22*AL22</f>
        <v>0</v>
      </c>
    </row>
    <row r="23" spans="2:39" ht="105" customHeight="1">
      <c r="B23" s="1638"/>
      <c r="C23" s="1642"/>
      <c r="D23" s="1577"/>
      <c r="E23" s="1577"/>
      <c r="F23" s="1581"/>
      <c r="G23" s="1581"/>
      <c r="H23" s="1581"/>
      <c r="I23"/>
      <c r="K23" s="1601"/>
      <c r="L23" s="481" t="s">
        <v>183</v>
      </c>
      <c r="M23" s="499" t="s">
        <v>163</v>
      </c>
      <c r="N23" s="312" t="str">
        <f ca="1">"ВЕРОЯТНОСТЬ  "&amp;IF(O23&lt;0.05,1,IF((O23&gt;=0.05)*(O23&lt;0.25),2,IF((O23&gt;=0.25)*(O23&lt;0.5),3,IF((O23&gt;=0.5)*(O23&lt;0.75),4,5))))&amp;"  ВЛИЯНИЕ  "&amp;IF(P23&gt;-200,1,IF((P23&lt;=-200)*(P23&gt;-500),2,IF((P23&lt;=-500)*(P23&gt;-1000),3,IF((P23&lt;=-1000)*(P23&gt;-3000),4,5))))</f>
        <v>ВЕРОЯТНОСТЬ  3  ВЛИЯНИЕ  5</v>
      </c>
      <c r="O23" s="507">
        <f ca="1">IF($B$5=2021,SUMIF('РЕЕСТР РИСКОВ_2023'!$K$40:$AC$248,M23,'РЕЕСТР РИСКОВ_2023'!$Y$40:$Y$248),IF($B$5=2022,SUMIF(#REF!,M23,#REF!),IF($B$5=2023,SUMIF(#REF!,M23,#REF!),IF($B$5=2024,SUMIF(#REF!,M23,#REF!),SUMIF(#REF!,M23,#REF!)))))</f>
        <v>0.3</v>
      </c>
      <c r="P23" s="508">
        <f ca="1">IF($B$5=2021,SUMIF('РЕЕСТР РИСКОВ_2023'!$K$40:$AD$248,M23,'РЕЕСТР РИСКОВ_2023'!$Z$40:$Z$248),IF($B$5=2022,SUMIF(#REF!,M23,#REF!),IF($B$5=2023,SUMIF(#REF!,M23,#REF!),IF($B$5=2024,SUMIF(#REF!,M23,#REF!),IF($B$5=2025,SUMIF(#REF!,M23,#REF!))))))</f>
        <v>-5705</v>
      </c>
      <c r="Q23" s="509">
        <f ca="1">O23*P23</f>
        <v>-1711.5</v>
      </c>
      <c r="R23" s="463"/>
      <c r="S23" s="480" t="s">
        <v>325</v>
      </c>
      <c r="T23" s="499" t="s">
        <v>1129</v>
      </c>
      <c r="U23" s="498" t="str">
        <f ca="1">"ВЕРОЯТНОСТЬ  "&amp;IF(V23&lt;0.05,1,IF((V23&gt;=0.05)*(V23&lt;0.25),2,IF((V23&gt;=0.25)*(V23&lt;0.5),3,IF((V23&gt;=0.5)*(V23&lt;0.75),4,5))))&amp;"  ВЛИЯНИЕ  "&amp;IF(W23&gt;-200,1,IF((W23&lt;=-200)*(W23&gt;-500),2,IF((W23&lt;=-500)*(W23&gt;-1000),3,IF((W23&lt;=-1000)*(W23&gt;-3000),4,5))))</f>
        <v>ВЕРОЯТНОСТЬ  1  ВЛИЯНИЕ  1</v>
      </c>
      <c r="V23" s="507">
        <f ca="1">IF($B$5=2021,SUMIF('РЕЕСТР РИСКОВ_2023'!$K$40:$AC$248,T23,'РЕЕСТР РИСКОВ_2023'!$AC$40:$AC$248),IF($B$5=2022,SUMIF(#REF!,T23,#REF!),IF($B$5=2023,SUMIF(#REF!,T23,#REF!),IF($B$5=2024,SUMIF(#REF!,T23,#REF!),SUMIF(#REF!,T23,#REF!)))))</f>
        <v>0</v>
      </c>
      <c r="W23" s="508">
        <f ca="1">IF($B$5=2021,SUMIF('РЕЕСТР РИСКОВ_2023'!$K$40:$AD$248,T23,'РЕЕСТР РИСКОВ_2023'!$AD$40:$AD$248),IF($B$5=2022,SUMIF(#REF!,T23,#REF!),IF($B$5=2023,SUMIF(#REF!,T23,#REF!),IF($B$5=2024,SUMIF(#REF!,T23,#REF!),IF($B$5=2025,SUMIF(#REF!,T23,#REF!))))))</f>
        <v>0</v>
      </c>
      <c r="X23" s="509">
        <f ca="1">V23*W23</f>
        <v>0</v>
      </c>
      <c r="Y23" s="462"/>
      <c r="Z23" s="462"/>
      <c r="AA23" s="479" t="s">
        <v>811</v>
      </c>
      <c r="AB23" s="513" t="s">
        <v>830</v>
      </c>
      <c r="AC23" s="312" t="str">
        <f t="shared" ca="1" si="6"/>
        <v>ВЕРОЯТНОСТЬ  1  ВЛИЯНИЕ  1</v>
      </c>
      <c r="AD23" s="309">
        <f ca="1">IF($B$5=2021,SUMIF('РЕЕСТР РИСКОВ_2023'!$K$40:$AC$248,AB23,'РЕЕСТР РИСКОВ_2023'!$AC$40:$AC$248),IF($B$5=2022,SUMIF(#REF!,AB23,#REF!),IF($B$5=2023,SUMIF(#REF!,AB23,#REF!),IF($B$5=2024,SUMIF(#REF!,AB23,#REF!),SUMIF(#REF!,AB23,#REF!)))))</f>
        <v>0</v>
      </c>
      <c r="AE23" s="310">
        <f ca="1">IF($B$5=2021,SUMIF('РЕЕСТР РИСКОВ_2023'!$K$40:$AD$248,AB23,'РЕЕСТР РИСКОВ_2023'!$AD$40:$AD$248),IF($B$5=2022,SUMIF(#REF!,AB23,#REF!),IF($B$5=2023,SUMIF(#REF!,AB23,#REF!),IF($B$5=2024,SUMIF(#REF!,AB23,#REF!),IF($B$5=2025,SUMIF(#REF!,AB23,#REF!))))))</f>
        <v>0</v>
      </c>
      <c r="AF23" s="311">
        <f t="shared" ca="1" si="7"/>
        <v>0</v>
      </c>
      <c r="AH23" s="485" t="s">
        <v>206</v>
      </c>
      <c r="AI23" s="504" t="s">
        <v>55</v>
      </c>
      <c r="AJ23" s="312" t="str">
        <f ca="1">"ВЕРОЯТНОСТЬ  "&amp;IF(AK23&lt;0.05,1,IF((AK23&gt;=0.05)*(AK23&lt;0.25),2,IF((AK23&gt;=0.25)*(AK23&lt;0.5),3,IF((AK23&gt;=0.5)*(AK23&lt;0.75),4,5))))&amp;"  ВЛИЯНИЕ  "&amp;IF(AL23&gt;-200,1,IF((AL23&lt;=-200)*(AL23&gt;-500),2,IF((AL23&lt;=-500)*(AL23&gt;-1000),3,IF((AL23&lt;=-1000)*(AL23&gt;-3000),4,5))))</f>
        <v>ВЕРОЯТНОСТЬ  3  ВЛИЯНИЕ  1</v>
      </c>
      <c r="AK23" s="309">
        <f ca="1">IF($B$5=2021,SUMIF('РЕЕСТР РИСКОВ_2023'!$K$40:$AC$248,AI23,'РЕЕСТР РИСКОВ_2023'!$AC$40:$AC$248),IF($B$5=2022,SUMIF(#REF!,AI23,#REF!),IF($B$5=2023,SUMIF(#REF!,AI23,#REF!),IF($B$5=2024,SUMIF(#REF!,AI23,#REF!),SUMIF(#REF!,AI23,#REF!)))))</f>
        <v>0.25</v>
      </c>
      <c r="AL23" s="310">
        <f ca="1">IF($B$5=2021,SUMIF('РЕЕСТР РИСКОВ_2023'!$K$40:$AD$248,AI23,'РЕЕСТР РИСКОВ_2023'!$AD$40:$AD$248),IF($B$5=2022,SUMIF(#REF!,AI23,#REF!),IF($B$5=2023,SUMIF(#REF!,AI23,#REF!),IF($B$5=2024,SUMIF(#REF!,AI23,#REF!),IF($B$5=2025,SUMIF(#REF!,AI23,#REF!))))))</f>
        <v>0</v>
      </c>
      <c r="AM23" s="311">
        <f ca="1">AK23*AL23</f>
        <v>0</v>
      </c>
    </row>
    <row r="24" spans="2:39" ht="73.5" customHeight="1">
      <c r="B24" s="1638"/>
      <c r="C24" s="1596" t="s">
        <v>330</v>
      </c>
      <c r="D24" s="1577"/>
      <c r="E24" s="1577"/>
      <c r="F24" s="1580"/>
      <c r="G24" s="1580"/>
      <c r="H24" s="1580"/>
      <c r="I24"/>
      <c r="K24" s="59"/>
      <c r="L24" s="481" t="s">
        <v>184</v>
      </c>
      <c r="M24" s="499" t="s">
        <v>576</v>
      </c>
      <c r="N24" s="312" t="str">
        <f ca="1">"ВЕРОЯТНОСТЬ  "&amp;IF(O24&lt;0.05,1,IF((O24&gt;=0.05)*(O24&lt;0.25),2,IF((O24&gt;=0.25)*(O24&lt;0.5),3,IF((O24&gt;=0.5)*(O24&lt;0.75),4,5))))&amp;"  ВЛИЯНИЕ  "&amp;IF(P24&gt;-200,1,IF((P24&lt;=-200)*(P24&gt;-500),2,IF((P24&lt;=-500)*(P24&gt;-1000),3,IF((P24&lt;=-1000)*(P24&gt;-3000),4,5))))</f>
        <v>ВЕРОЯТНОСТЬ  2  ВЛИЯНИЕ  5</v>
      </c>
      <c r="O24" s="507">
        <f ca="1">IF($B$5=2021,SUMIF('РЕЕСТР РИСКОВ_2023'!$K$40:$AC$248,M24,'РЕЕСТР РИСКОВ_2023'!$Y$40:$Y$248),IF($B$5=2022,SUMIF(#REF!,M24,#REF!),IF($B$5=2023,SUMIF(#REF!,M24,#REF!),IF($B$5=2024,SUMIF(#REF!,M24,#REF!),SUMIF(#REF!,M24,#REF!)))))</f>
        <v>0.05</v>
      </c>
      <c r="P24" s="508">
        <f ca="1">IF($B$5=2021,SUMIF('РЕЕСТР РИСКОВ_2023'!$K$40:$AD$248,M24,'РЕЕСТР РИСКОВ_2023'!$Z$40:$Z$248),IF($B$5=2022,SUMIF(#REF!,M24,#REF!),IF($B$5=2023,SUMIF(#REF!,M24,#REF!),IF($B$5=2024,SUMIF(#REF!,M24,#REF!),IF($B$5=2025,SUMIF(#REF!,M24,#REF!))))))</f>
        <v>-12650</v>
      </c>
      <c r="Q24" s="509">
        <f ca="1">O24*P24</f>
        <v>-632.5</v>
      </c>
      <c r="R24" s="463"/>
      <c r="S24" s="1589" t="s">
        <v>128</v>
      </c>
      <c r="T24" s="1590"/>
      <c r="U24" s="511" t="s">
        <v>382</v>
      </c>
      <c r="V24" s="505" t="s">
        <v>100</v>
      </c>
      <c r="W24" s="505" t="s">
        <v>167</v>
      </c>
      <c r="X24" s="506" t="s">
        <v>311</v>
      </c>
      <c r="Y24" s="462"/>
      <c r="Z24" s="462"/>
      <c r="AA24" s="479" t="s">
        <v>812</v>
      </c>
      <c r="AB24" s="513" t="s">
        <v>831</v>
      </c>
      <c r="AC24" s="312" t="str">
        <f t="shared" ca="1" si="6"/>
        <v>ВЕРОЯТНОСТЬ  1  ВЛИЯНИЕ  1</v>
      </c>
      <c r="AD24" s="309">
        <f ca="1">IF($B$5=2021,SUMIF('РЕЕСТР РИСКОВ_2023'!$K$40:$AC$248,AB24,'РЕЕСТР РИСКОВ_2023'!$AC$40:$AC$248),IF($B$5=2022,SUMIF(#REF!,AB24,#REF!),IF($B$5=2023,SUMIF(#REF!,AB24,#REF!),IF($B$5=2024,SUMIF(#REF!,AB24,#REF!),SUMIF(#REF!,AB24,#REF!)))))</f>
        <v>0</v>
      </c>
      <c r="AE24" s="310">
        <f ca="1">IF($B$5=2021,SUMIF('РЕЕСТР РИСКОВ_2023'!$K$40:$AD$248,AB24,'РЕЕСТР РИСКОВ_2023'!$AD$40:$AD$248),IF($B$5=2022,SUMIF(#REF!,AB24,#REF!),IF($B$5=2023,SUMIF(#REF!,AB24,#REF!),IF($B$5=2024,SUMIF(#REF!,AB24,#REF!),IF($B$5=2025,SUMIF(#REF!,AB24,#REF!))))))</f>
        <v>0</v>
      </c>
      <c r="AF24" s="311">
        <f t="shared" ca="1" si="7"/>
        <v>0</v>
      </c>
      <c r="AH24" s="485" t="s">
        <v>1006</v>
      </c>
      <c r="AI24" s="504" t="s">
        <v>1007</v>
      </c>
      <c r="AJ24" s="312" t="str">
        <f ca="1">"ВЕРОЯТНОСТЬ  "&amp;IF(AK24&lt;0.05,1,IF((AK24&gt;=0.05)*(AK24&lt;0.25),2,IF((AK24&gt;=0.25)*(AK24&lt;0.5),3,IF((AK24&gt;=0.5)*(AK24&lt;0.75),4,5))))&amp;"  ВЛИЯНИЕ  "&amp;IF(AL24&gt;-200,1,IF((AL24&lt;=-200)*(AL24&gt;-500),2,IF((AL24&lt;=-500)*(AL24&gt;-1000),3,IF((AL24&lt;=-1000)*(AL24&gt;-3000),4,5))))</f>
        <v>ВЕРОЯТНОСТЬ  3  ВЛИЯНИЕ  1</v>
      </c>
      <c r="AK24" s="309">
        <f ca="1">IF($B$5=2021,SUMIF('РЕЕСТР РИСКОВ_2023'!$K$40:$AC$279,AI24,'РЕЕСТР РИСКОВ_2023'!$AC$40:$AC$279),IF($B$5=2022,SUMIF(#REF!,AI24,#REF!),IF($B$5=2023,SUMIF(#REF!,AI24,#REF!),IF($B$5=2024,SUMIF(#REF!,AI24,#REF!),SUMIF(#REF!,AI24,#REF!)))))</f>
        <v>0.25</v>
      </c>
      <c r="AL24" s="310">
        <f ca="1">IF($B$5=2021,SUMIF('РЕЕСТР РИСКОВ_2023'!$K$40:$AD$279,AI24,'РЕЕСТР РИСКОВ_2023'!$AD$40:$AD$279),IF($B$5=2022,SUMIF(#REF!,AI24,#REF!),IF($B$5=2023,SUMIF(#REF!,AI24,#REF!),IF($B$5=2024,SUMIF(#REF!,AI24,#REF!),IF($B$5=2025,SUMIF(#REF!,AI24,#REF!))))))</f>
        <v>0</v>
      </c>
      <c r="AM24" s="311">
        <f ca="1">AK24*AL24</f>
        <v>0</v>
      </c>
    </row>
    <row r="25" spans="2:39" ht="70.5" customHeight="1">
      <c r="B25" s="1638"/>
      <c r="C25" s="1597"/>
      <c r="D25" s="1577"/>
      <c r="E25" s="1577"/>
      <c r="F25" s="1580"/>
      <c r="G25" s="1580"/>
      <c r="H25" s="1580"/>
      <c r="I25"/>
      <c r="K25" s="59"/>
      <c r="L25" s="481" t="s">
        <v>185</v>
      </c>
      <c r="M25" s="499" t="s">
        <v>1003</v>
      </c>
      <c r="N25" s="312" t="str">
        <f ca="1">"ВЕРОЯТНОСТЬ  "&amp;IF(O25&lt;0.05,1,IF((O25&gt;=0.05)*(O25&lt;0.25),2,IF((O25&gt;=0.25)*(O25&lt;0.5),3,IF((O25&gt;=0.5)*(O25&lt;0.75),4,5))))&amp;"  ВЛИЯНИЕ  "&amp;IF(P25&gt;-200,1,IF((P25&lt;=-200)*(P25&gt;-500),2,IF((P25&lt;=-500)*(P25&gt;-1000),3,IF((P25&lt;=-1000)*(P25&gt;-3000),4,5))))</f>
        <v>ВЕРОЯТНОСТЬ  3  ВЛИЯНИЕ  5</v>
      </c>
      <c r="O25" s="507">
        <f ca="1">IF($B$5=2021,SUMIF('РЕЕСТР РИСКОВ_2023'!$K$40:$AC$248,M25,'РЕЕСТР РИСКОВ_2023'!$Y$40:$Y$248),IF($B$5=2022,SUMIF(#REF!,M25,#REF!),IF($B$5=2023,SUMIF(#REF!,M25,#REF!),IF($B$5=2024,SUMIF(#REF!,M25,#REF!),SUMIF(#REF!,M25,#REF!)))))</f>
        <v>0.3</v>
      </c>
      <c r="P25" s="508">
        <f ca="1">IF($B$5=2021,SUMIF('РЕЕСТР РИСКОВ_2023'!$K$40:$AD$248,M25,'РЕЕСТР РИСКОВ_2023'!$Z$40:$Z$248),IF($B$5=2022,SUMIF(#REF!,M25,#REF!),IF($B$5=2023,SUMIF(#REF!,M25,#REF!),IF($B$5=2024,SUMIF(#REF!,M25,#REF!),IF($B$5=2025,SUMIF(#REF!,M25,#REF!))))))</f>
        <v>-4848</v>
      </c>
      <c r="Q25" s="509">
        <f ca="1">O25*P25</f>
        <v>-1454.3999999999999</v>
      </c>
      <c r="R25" s="463"/>
      <c r="S25" s="471" t="s">
        <v>227</v>
      </c>
      <c r="T25" s="502" t="s">
        <v>162</v>
      </c>
      <c r="U25" s="498" t="str">
        <f t="shared" ref="U25:U32" ca="1" si="8">"ВЕРОЯТНОСТЬ  "&amp;IF(V25&lt;0.05,1,IF((V25&gt;=0.05)*(V25&lt;0.25),2,IF((V25&gt;=0.25)*(V25&lt;0.5),3,IF((V25&gt;=0.5)*(V25&lt;0.75),4,5))))&amp;"  ВЛИЯНИЕ  "&amp;IF(W25&gt;-200,1,IF((W25&lt;=-200)*(W25&gt;-500),2,IF((W25&lt;=-500)*(W25&gt;-1000),3,IF((W25&lt;=-1000)*(W25&gt;-3000),4,5))))</f>
        <v>ВЕРОЯТНОСТЬ  4  ВЛИЯНИЕ  5</v>
      </c>
      <c r="V25" s="507">
        <f ca="1">IF($B$5=2021,SUMIF('РЕЕСТР РИСКОВ_2023'!$K$40:$AC$248,T25,'РЕЕСТР РИСКОВ_2023'!$AC$40:$AC$248),IF($B$5=2022,SUMIF(#REF!,T25,#REF!),IF($B$5=2023,SUMIF(#REF!,T25,#REF!),IF($B$5=2024,SUMIF(#REF!,T25,#REF!),SUMIF(#REF!,T25,#REF!)))))</f>
        <v>0.53775113536229191</v>
      </c>
      <c r="W25" s="508">
        <v>-21548</v>
      </c>
      <c r="X25" s="509">
        <f t="shared" ref="X25:X32" ca="1" si="9">V25*W25</f>
        <v>-11587.461464786666</v>
      </c>
      <c r="Y25" s="462"/>
      <c r="Z25" s="462"/>
      <c r="AA25" s="479" t="s">
        <v>813</v>
      </c>
      <c r="AB25" s="513" t="s">
        <v>832</v>
      </c>
      <c r="AC25" s="312" t="str">
        <f t="shared" ca="1" si="6"/>
        <v>ВЕРОЯТНОСТЬ  1  ВЛИЯНИЕ  1</v>
      </c>
      <c r="AD25" s="309">
        <f ca="1">IF($B$5=2021,SUMIF('РЕЕСТР РИСКОВ_2023'!$K$40:$AC$248,AB25,'РЕЕСТР РИСКОВ_2023'!$AC$40:$AC$248),IF($B$5=2022,SUMIF(#REF!,AB25,#REF!),IF($B$5=2023,SUMIF(#REF!,AB25,#REF!),IF($B$5=2024,SUMIF(#REF!,AB25,#REF!),SUMIF(#REF!,AB25,#REF!)))))</f>
        <v>0</v>
      </c>
      <c r="AE25" s="310">
        <f ca="1">IF($B$5=2021,SUMIF('РЕЕСТР РИСКОВ_2023'!$K$40:$AD$248,AB25,'РЕЕСТР РИСКОВ_2023'!$AD$40:$AD$248),IF($B$5=2022,SUMIF(#REF!,AB25,#REF!),IF($B$5=2023,SUMIF(#REF!,AB25,#REF!),IF($B$5=2024,SUMIF(#REF!,AB25,#REF!),IF($B$5=2025,SUMIF(#REF!,AB25,#REF!))))))</f>
        <v>0</v>
      </c>
      <c r="AF25" s="311">
        <f t="shared" ca="1" si="7"/>
        <v>0</v>
      </c>
      <c r="AH25" s="485" t="s">
        <v>1010</v>
      </c>
      <c r="AI25" s="504" t="s">
        <v>1175</v>
      </c>
      <c r="AJ25" s="312"/>
      <c r="AK25" s="309"/>
      <c r="AL25" s="310"/>
      <c r="AM25" s="311"/>
    </row>
    <row r="26" spans="2:39" ht="71.25" customHeight="1">
      <c r="B26" s="1638"/>
      <c r="C26" s="1598"/>
      <c r="D26" s="1599"/>
      <c r="E26" s="1599"/>
      <c r="F26" s="1580"/>
      <c r="G26" s="1580"/>
      <c r="H26" s="1580"/>
      <c r="I26"/>
      <c r="K26" s="59"/>
      <c r="L26" s="1604" t="s">
        <v>312</v>
      </c>
      <c r="M26" s="1604"/>
      <c r="N26" s="312"/>
      <c r="O26" s="507"/>
      <c r="P26" s="508"/>
      <c r="Q26" s="509"/>
      <c r="R26" s="463"/>
      <c r="S26" s="474" t="s">
        <v>228</v>
      </c>
      <c r="T26" s="502" t="s">
        <v>1208</v>
      </c>
      <c r="U26" s="498" t="str">
        <f t="shared" ca="1" si="8"/>
        <v>ВЕРОЯТНОСТЬ  1  ВЛИЯНИЕ  1</v>
      </c>
      <c r="V26" s="507">
        <f ca="1">IF($B$5=2021,SUMIF('РЕЕСТР РИСКОВ_2023'!$K$40:$AC$248,T26,'РЕЕСТР РИСКОВ_2023'!$AC$40:$AC$248),IF($B$5=2022,SUMIF(#REF!,T26,#REF!),IF($B$5=2023,SUMIF(#REF!,T26,#REF!),IF($B$5=2024,SUMIF(#REF!,T26,#REF!),SUMIF(#REF!,T26,#REF!)))))</f>
        <v>0</v>
      </c>
      <c r="W26" s="508">
        <f ca="1">IF($B$5=2021,SUMIF('РЕЕСТР РИСКОВ_2023'!$K$40:$AD$248,T26,'РЕЕСТР РИСКОВ_2023'!$AD$40:$AD$248),IF($B$5=2022,SUMIF(#REF!,T26,#REF!),IF($B$5=2023,SUMIF(#REF!,T26,#REF!),IF($B$5=2024,SUMIF(#REF!,T26,#REF!),IF($B$5=2025,SUMIF(#REF!,T26,#REF!))))))</f>
        <v>0</v>
      </c>
      <c r="X26" s="509">
        <f t="shared" ca="1" si="9"/>
        <v>0</v>
      </c>
      <c r="Y26" s="462"/>
      <c r="Z26" s="462"/>
      <c r="AA26" s="479" t="s">
        <v>814</v>
      </c>
      <c r="AB26" s="513" t="s">
        <v>833</v>
      </c>
      <c r="AC26" s="312" t="str">
        <f t="shared" ca="1" si="6"/>
        <v>ВЕРОЯТНОСТЬ  1  ВЛИЯНИЕ  1</v>
      </c>
      <c r="AD26" s="309">
        <f ca="1">IF($B$5=2021,SUMIF('РЕЕСТР РИСКОВ_2023'!$K$40:$AC$248,AB26,'РЕЕСТР РИСКОВ_2023'!$AC$40:$AC$248),IF($B$5=2022,SUMIF(#REF!,AB26,#REF!),IF($B$5=2023,SUMIF(#REF!,AB26,#REF!),IF($B$5=2024,SUMIF(#REF!,AB26,#REF!),SUMIF(#REF!,AB26,#REF!)))))</f>
        <v>0</v>
      </c>
      <c r="AE26" s="310">
        <f ca="1">IF($B$5=2021,SUMIF('РЕЕСТР РИСКОВ_2023'!$K$40:$AD$248,AB26,'РЕЕСТР РИСКОВ_2023'!$AD$40:$AD$248),IF($B$5=2022,SUMIF(#REF!,AB26,#REF!),IF($B$5=2023,SUMIF(#REF!,AB26,#REF!),IF($B$5=2024,SUMIF(#REF!,AB26,#REF!),IF($B$5=2025,SUMIF(#REF!,AB26,#REF!))))))</f>
        <v>0</v>
      </c>
      <c r="AF26" s="311">
        <f t="shared" ca="1" si="7"/>
        <v>0</v>
      </c>
      <c r="AH26" s="485" t="s">
        <v>1173</v>
      </c>
      <c r="AI26" s="504" t="s">
        <v>1011</v>
      </c>
      <c r="AJ26" s="312" t="str">
        <f ca="1">"ВЕРОЯТНОСТЬ  "&amp;IF(AK26&lt;0.05,1,IF((AK26&gt;=0.05)*(AK26&lt;0.25),2,IF((AK26&gt;=0.25)*(AK26&lt;0.5),3,IF((AK26&gt;=0.5)*(AK26&lt;0.75),4,5))))&amp;"  ВЛИЯНИЕ  "&amp;IF(AL26&gt;-200,1,IF((AL26&lt;=-200)*(AL26&gt;-500),2,IF((AL26&lt;=-500)*(AL26&gt;-1000),3,IF((AL26&lt;=-1000)*(AL26&gt;-3000),4,5))))</f>
        <v>ВЕРОЯТНОСТЬ  1  ВЛИЯНИЕ  1</v>
      </c>
      <c r="AK26" s="309">
        <f ca="1">IF($B$5=2021,SUMIF('РЕЕСТР РИСКОВ_2023'!$K$40:$AC$279,AI26,'РЕЕСТР РИСКОВ_2023'!$AC$40:$AC$279),IF($B$5=2022,SUMIF(#REF!,AI26,#REF!),IF($B$5=2023,SUMIF(#REF!,AI26,#REF!),IF($B$5=2024,SUMIF(#REF!,AI26,#REF!),SUMIF(#REF!,AI26,#REF!)))))</f>
        <v>0.01</v>
      </c>
      <c r="AL26" s="310">
        <f ca="1">IF($B$5=2021,SUMIF('РЕЕСТР РИСКОВ_2023'!$K$40:$AD$279,AI26,'РЕЕСТР РИСКОВ_2023'!$AD$40:$AD$279),IF($B$5=2022,SUMIF(#REF!,AI26,#REF!),IF($B$5=2023,SUMIF(#REF!,AI26,#REF!),IF($B$5=2024,SUMIF(#REF!,AI26,#REF!),IF($B$5=2025,SUMIF(#REF!,AI26,#REF!))))))</f>
        <v>1.3</v>
      </c>
      <c r="AM26" s="311">
        <f t="shared" ref="AM26:AM38" ca="1" si="10">AK26*AL26</f>
        <v>1.3000000000000001E-2</v>
      </c>
    </row>
    <row r="27" spans="2:39" ht="78.599999999999994" customHeight="1">
      <c r="B27" s="1638"/>
      <c r="C27" s="58"/>
      <c r="D27" s="110" t="s">
        <v>331</v>
      </c>
      <c r="E27" s="111" t="s">
        <v>332</v>
      </c>
      <c r="F27" s="112" t="s">
        <v>333</v>
      </c>
      <c r="G27" s="113" t="s">
        <v>334</v>
      </c>
      <c r="H27" s="114" t="s">
        <v>335</v>
      </c>
      <c r="I27"/>
      <c r="K27" s="59"/>
      <c r="L27" s="481" t="s">
        <v>318</v>
      </c>
      <c r="M27" s="499" t="s">
        <v>314</v>
      </c>
      <c r="N27" s="312" t="str">
        <f ca="1">"ВЕРОЯТНОСТЬ  "&amp;IF(O27&lt;0.05,1,IF((O27&gt;=0.05)*(O27&lt;0.25),2,IF((O27&gt;=0.25)*(O27&lt;0.5),3,IF((O27&gt;=0.5)*(O27&lt;0.75),4,5))))&amp;"  ВЛИЯНИЕ  "&amp;IF(P27&gt;-200,1,IF((P27&lt;=-200)*(P27&gt;-500),2,IF((P27&lt;=-500)*(P27&gt;-1000),3,IF((P27&lt;=-1000)*(P27&gt;-3000),4,5))))</f>
        <v>ВЕРОЯТНОСТЬ  2  ВЛИЯНИЕ  5</v>
      </c>
      <c r="O27" s="507">
        <f ca="1">IF($B$5=2021,SUMIF('РЕЕСТР РИСКОВ_2023'!$K$40:$AC$248,M27,'РЕЕСТР РИСКОВ_2023'!$Y$40:$Y$248),IF($B$5=2022,SUMIF(#REF!,M27,#REF!),IF($B$5=2023,SUMIF(#REF!,M27,#REF!),IF($B$5=2024,SUMIF(#REF!,M27,#REF!),SUMIF(#REF!,M27,#REF!)))))</f>
        <v>0.2</v>
      </c>
      <c r="P27" s="508">
        <f ca="1">IF($B$5=2021,SUMIF('РЕЕСТР РИСКОВ_2023'!$K$40:$AD$248,M27,'РЕЕСТР РИСКОВ_2023'!$Z$40:$Z$248),IF($B$5=2022,SUMIF(#REF!,M27,#REF!),IF($B$5=2023,SUMIF(#REF!,M27,#REF!),IF($B$5=2024,SUMIF(#REF!,M27,#REF!),IF($B$5=2025,SUMIF(#REF!,M27,#REF!))))))</f>
        <v>-7200</v>
      </c>
      <c r="Q27" s="509">
        <f ca="1">O27*P27</f>
        <v>-1440</v>
      </c>
      <c r="R27" s="462"/>
      <c r="S27" s="474" t="s">
        <v>229</v>
      </c>
      <c r="T27" s="502" t="s">
        <v>34</v>
      </c>
      <c r="U27" s="498" t="str">
        <f t="shared" ca="1" si="8"/>
        <v>ВЕРОЯТНОСТЬ  3  ВЛИЯНИЕ  5</v>
      </c>
      <c r="V27" s="507">
        <f ca="1">IF($B$5=2021,SUMIF('РЕЕСТР РИСКОВ_2023'!$K$40:$AC$248,T27,'РЕЕСТР РИСКОВ_2023'!$AC$40:$AC$248),IF($B$5=2022,SUMIF(#REF!,T27,#REF!),IF($B$5=2023,SUMIF(#REF!,T27,#REF!),IF($B$5=2024,SUMIF(#REF!,T27,#REF!),SUMIF(#REF!,T27,#REF!)))))</f>
        <v>0.25</v>
      </c>
      <c r="W27" s="508">
        <f ca="1">IF($B$5=2021,SUMIF('РЕЕСТР РИСКОВ_2023'!$K$40:$AD$248,T27,'РЕЕСТР РИСКОВ_2023'!$AD$40:$AD$248),IF($B$5=2022,SUMIF(#REF!,T27,#REF!),IF($B$5=2023,SUMIF(#REF!,T27,#REF!),IF($B$5=2024,SUMIF(#REF!,T27,#REF!),IF($B$5=2025,SUMIF(#REF!,T27,#REF!))))))</f>
        <v>-8907.4</v>
      </c>
      <c r="X27" s="509">
        <f t="shared" ca="1" si="9"/>
        <v>-2226.85</v>
      </c>
      <c r="Y27" s="462"/>
      <c r="Z27" s="462"/>
      <c r="AA27" s="479" t="s">
        <v>815</v>
      </c>
      <c r="AB27" s="513" t="s">
        <v>834</v>
      </c>
      <c r="AC27" s="312" t="str">
        <f t="shared" ca="1" si="6"/>
        <v>ВЕРОЯТНОСТЬ  1  ВЛИЯНИЕ  1</v>
      </c>
      <c r="AD27" s="309">
        <f ca="1">IF($B$5=2021,SUMIF('РЕЕСТР РИСКОВ_2023'!$K$40:$AC$248,AB27,'РЕЕСТР РИСКОВ_2023'!$AC$40:$AC$248),IF($B$5=2022,SUMIF(#REF!,AB27,#REF!),IF($B$5=2023,SUMIF(#REF!,AB27,#REF!),IF($B$5=2024,SUMIF(#REF!,AB27,#REF!),SUMIF(#REF!,AB27,#REF!)))))</f>
        <v>0</v>
      </c>
      <c r="AE27" s="310">
        <f ca="1">IF($B$5=2021,SUMIF('РЕЕСТР РИСКОВ_2023'!$K$40:$AD$248,AB27,'РЕЕСТР РИСКОВ_2023'!$AD$40:$AD$248),IF($B$5=2022,SUMIF(#REF!,AB27,#REF!),IF($B$5=2023,SUMIF(#REF!,AB27,#REF!),IF($B$5=2024,SUMIF(#REF!,AB27,#REF!),IF($B$5=2025,SUMIF(#REF!,AB27,#REF!))))))</f>
        <v>0</v>
      </c>
      <c r="AF27" s="311">
        <f t="shared" ca="1" si="7"/>
        <v>0</v>
      </c>
      <c r="AH27" s="1567" t="s">
        <v>838</v>
      </c>
      <c r="AI27" s="1568"/>
      <c r="AK27" s="309"/>
      <c r="AL27" s="310"/>
      <c r="AM27" s="311"/>
    </row>
    <row r="28" spans="2:39" ht="75.75" customHeight="1">
      <c r="B28" s="1639"/>
      <c r="C28" s="1593" t="s">
        <v>282</v>
      </c>
      <c r="D28" s="1594"/>
      <c r="E28" s="1594"/>
      <c r="F28" s="1594"/>
      <c r="G28" s="1594"/>
      <c r="H28" s="1595"/>
      <c r="I28"/>
      <c r="K28" s="59"/>
      <c r="L28" s="481" t="s">
        <v>938</v>
      </c>
      <c r="M28" s="499" t="s">
        <v>937</v>
      </c>
      <c r="N28" s="312" t="str">
        <f ca="1">"ВЕРОЯТНОСТЬ  "&amp;IF(O28&lt;0.05,1,IF((O28&gt;=0.05)*(O28&lt;0.25),2,IF((O28&gt;=0.25)*(O28&lt;0.5),3,IF((O28&gt;=0.5)*(O28&lt;0.75),4,5))))&amp;"  ВЛИЯНИЕ  "&amp;IF(P28&gt;-200,1,IF((P28&lt;=-200)*(P28&gt;-500),2,IF((P28&lt;=-500)*(P28&gt;-1000),3,IF((P28&lt;=-1000)*(P28&gt;-3000),4,5))))</f>
        <v>ВЕРОЯТНОСТЬ  5  ВЛИЯНИЕ  1</v>
      </c>
      <c r="O28" s="507">
        <f ca="1">IF($B$5=2021,SUMIF('РЕЕСТР РИСКОВ_2023'!$K$40:$AC$248,M28,'РЕЕСТР РИСКОВ_2023'!$Y$40:$Y$248),IF($B$5=2022,SUMIF(#REF!,M28,#REF!),IF($B$5=2023,SUMIF(#REF!,M28,#REF!),IF($B$5=2024,SUMIF(#REF!,M28,#REF!),SUMIF(#REF!,M28,#REF!)))))</f>
        <v>1</v>
      </c>
      <c r="P28" s="508">
        <f ca="1">IF($B$5=2021,SUMIF('РЕЕСТР РИСКОВ_2023'!$K$40:$AD$248,M28,'РЕЕСТР РИСКОВ_2023'!$Z$40:$Z$248),IF($B$5=2022,SUMIF(#REF!,M28,#REF!),IF($B$5=2023,SUMIF(#REF!,M28,#REF!),IF($B$5=2024,SUMIF(#REF!,M28,#REF!),IF($B$5=2025,SUMIF(#REF!,M28,#REF!))))))</f>
        <v>0</v>
      </c>
      <c r="Q28" s="509">
        <f ca="1">O28*P28</f>
        <v>0</v>
      </c>
      <c r="R28" s="462"/>
      <c r="S28" s="482" t="s">
        <v>230</v>
      </c>
      <c r="T28" s="502" t="s">
        <v>388</v>
      </c>
      <c r="U28" s="498" t="str">
        <f t="shared" ca="1" si="8"/>
        <v>ВЕРОЯТНОСТЬ  3  ВЛИЯНИЕ  5</v>
      </c>
      <c r="V28" s="507">
        <f ca="1">IF($B$5=2021,SUMIF('РЕЕСТР РИСКОВ_2023'!$K$40:$AC$248,T28,'РЕЕСТР РИСКОВ_2023'!$AC$40:$AC$248),IF($B$5=2022,SUMIF(#REF!,T28,#REF!),IF($B$5=2023,SUMIF(#REF!,T28,#REF!),IF($B$5=2024,SUMIF(#REF!,T28,#REF!),SUMIF(#REF!,T28,#REF!)))))</f>
        <v>0.4</v>
      </c>
      <c r="W28" s="508">
        <f ca="1">IF($B$5=2021,SUMIF('РЕЕСТР РИСКОВ_2023'!$K$40:$AD$248,T28,'РЕЕСТР РИСКОВ_2023'!$AD$40:$AD$248),IF($B$5=2022,SUMIF(#REF!,T28,#REF!),IF($B$5=2023,SUMIF(#REF!,T28,#REF!),IF($B$5=2024,SUMIF(#REF!,T28,#REF!),IF($B$5=2025,SUMIF(#REF!,T28,#REF!))))))</f>
        <v>-34211.478000000003</v>
      </c>
      <c r="X28" s="509">
        <f t="shared" ca="1" si="9"/>
        <v>-13684.591200000003</v>
      </c>
      <c r="Y28" s="462"/>
      <c r="Z28" s="462"/>
      <c r="AA28" s="479" t="s">
        <v>816</v>
      </c>
      <c r="AB28" s="513" t="s">
        <v>835</v>
      </c>
      <c r="AC28" s="312" t="str">
        <f t="shared" ca="1" si="6"/>
        <v>ВЕРОЯТНОСТЬ  1  ВЛИЯНИЕ  1</v>
      </c>
      <c r="AD28" s="309">
        <f ca="1">IF($B$5=2021,SUMIF('РЕЕСТР РИСКОВ_2023'!$K$40:$AC$248,AB28,'РЕЕСТР РИСКОВ_2023'!$AC$40:$AC$248),IF($B$5=2022,SUMIF(#REF!,AB28,#REF!),IF($B$5=2023,SUMIF(#REF!,AB28,#REF!),IF($B$5=2024,SUMIF(#REF!,AB28,#REF!),SUMIF(#REF!,AB28,#REF!)))))</f>
        <v>0</v>
      </c>
      <c r="AE28" s="310">
        <f ca="1">IF($B$5=2021,SUMIF('РЕЕСТР РИСКОВ_2023'!$K$40:$AD$248,AB28,'РЕЕСТР РИСКОВ_2023'!$AD$40:$AD$248),IF($B$5=2022,SUMIF(#REF!,AB28,#REF!),IF($B$5=2023,SUMIF(#REF!,AB28,#REF!),IF($B$5=2024,SUMIF(#REF!,AB28,#REF!),IF($B$5=2025,SUMIF(#REF!,AB28,#REF!))))))</f>
        <v>0</v>
      </c>
      <c r="AF28" s="311">
        <f t="shared" ca="1" si="7"/>
        <v>0</v>
      </c>
      <c r="AH28" s="485" t="s">
        <v>1137</v>
      </c>
      <c r="AI28" s="503" t="s">
        <v>1026</v>
      </c>
      <c r="AJ28" s="312" t="str">
        <f ca="1">"ВЕРОЯТНОСТЬ  "&amp;IF(AK28&lt;0.05,1,IF((AK28&gt;=0.05)*(AK28&lt;0.25),2,IF((AK28&gt;=0.25)*(AK28&lt;0.5),3,IF((AK28&gt;=0.5)*(AK28&lt;0.75),4,5))))&amp;"  ВЛИЯНИЕ  "&amp;IF(AL28&gt;-200,1,IF((AL28&lt;=-200)*(AL28&gt;-500),2,IF((AL28&lt;=-500)*(AL28&gt;-1000),3,IF((AL28&lt;=-1000)*(AL28&gt;-3000),4,5))))</f>
        <v>ВЕРОЯТНОСТЬ  3  ВЛИЯНИЕ  1</v>
      </c>
      <c r="AK28" s="309">
        <f ca="1">IF($B$5=2021,SUMIF('РЕЕСТР РИСКОВ_2023'!$K$40:$AC$279,AI28,'РЕЕСТР РИСКОВ_2023'!$AC$40:$AC$279),IF($B$5=2022,SUMIF(#REF!,AI28,#REF!),IF($B$5=2023,SUMIF(#REF!,AI28,#REF!),IF($B$5=2024,SUMIF(#REF!,AI28,#REF!),SUMIF(#REF!,AI28,#REF!)))))</f>
        <v>0.4</v>
      </c>
      <c r="AL28" s="310">
        <f ca="1">IF($B$5=2021,SUMIF('РЕЕСТР РИСКОВ_2023'!$K$40:$AD$279,AI28,'РЕЕСТР РИСКОВ_2023'!$AD$40:$AD$279),IF($B$5=2022,SUMIF(#REF!,AI28,#REF!),IF($B$5=2023,SUMIF(#REF!,AI28,#REF!),IF($B$5=2024,SUMIF(#REF!,AI28,#REF!),IF($B$5=2025,SUMIF(#REF!,AI28,#REF!))))))</f>
        <v>0</v>
      </c>
      <c r="AM28" s="311">
        <f t="shared" ca="1" si="10"/>
        <v>0</v>
      </c>
    </row>
    <row r="29" spans="2:39" ht="73.5" customHeight="1">
      <c r="B29" s="60"/>
      <c r="C29" s="61"/>
      <c r="D29" s="63"/>
      <c r="E29" s="64"/>
      <c r="F29" s="62"/>
      <c r="G29" s="65"/>
      <c r="H29" s="66"/>
      <c r="I29"/>
      <c r="K29" s="59"/>
      <c r="L29" s="1604" t="s">
        <v>295</v>
      </c>
      <c r="M29" s="1604"/>
      <c r="N29" s="312"/>
      <c r="O29" s="507"/>
      <c r="P29" s="508"/>
      <c r="Q29" s="509"/>
      <c r="R29" s="462"/>
      <c r="S29" s="482" t="s">
        <v>231</v>
      </c>
      <c r="T29" s="502" t="s">
        <v>319</v>
      </c>
      <c r="U29" s="498" t="str">
        <f t="shared" ca="1" si="8"/>
        <v>ВЕРОЯТНОСТЬ  2  ВЛИЯНИЕ  5</v>
      </c>
      <c r="V29" s="507">
        <f ca="1">IF($B$5=2021,SUMIF('РЕЕСТР РИСКОВ_2023'!$K$40:$AC$248,T29,'РЕЕСТР РИСКОВ_2023'!$AC$40:$AC$248),IF($B$5=2022,SUMIF(#REF!,T29,#REF!),IF($B$5=2023,SUMIF(#REF!,T29,#REF!),IF($B$5=2024,SUMIF(#REF!,T29,#REF!),SUMIF(#REF!,T29,#REF!)))))</f>
        <v>0.2</v>
      </c>
      <c r="W29" s="508">
        <f ca="1">IF($B$5=2021,SUMIF('РЕЕСТР РИСКОВ_2023'!$K$40:$AD$248,T29,'РЕЕСТР РИСКОВ_2023'!$AD$40:$AD$248),IF($B$5=2022,SUMIF(#REF!,T29,#REF!),IF($B$5=2023,SUMIF(#REF!,T29,#REF!),IF($B$5=2024,SUMIF(#REF!,T29,#REF!),IF($B$5=2025,SUMIF(#REF!,T29,#REF!))))))</f>
        <v>-231750</v>
      </c>
      <c r="X29" s="509">
        <f t="shared" ca="1" si="9"/>
        <v>-46350</v>
      </c>
      <c r="Y29" s="462"/>
      <c r="Z29" s="462"/>
      <c r="AA29" s="1567" t="s">
        <v>66</v>
      </c>
      <c r="AB29" s="1568"/>
      <c r="AC29" s="312"/>
      <c r="AD29" s="309"/>
      <c r="AE29" s="310"/>
      <c r="AF29" s="311"/>
      <c r="AH29" s="1567" t="s">
        <v>844</v>
      </c>
      <c r="AI29" s="1568"/>
      <c r="AK29" s="309"/>
      <c r="AL29" s="310"/>
      <c r="AM29" s="311"/>
    </row>
    <row r="30" spans="2:39" ht="99" customHeight="1">
      <c r="B30" s="60"/>
      <c r="C30" s="61"/>
      <c r="D30" s="1582" t="s">
        <v>282</v>
      </c>
      <c r="E30" s="1583"/>
      <c r="F30" s="1584" t="s">
        <v>283</v>
      </c>
      <c r="G30" s="1584"/>
      <c r="H30" s="1583"/>
      <c r="I30"/>
      <c r="K30" s="59"/>
      <c r="L30" s="465" t="s">
        <v>224</v>
      </c>
      <c r="M30" s="499" t="s">
        <v>454</v>
      </c>
      <c r="N30" s="312" t="str">
        <f ca="1">"ВЕРОЯТНОСТЬ  "&amp;IF(O30&lt;0.05,1,IF((O30&gt;=0.05)*(O30&lt;0.25),2,IF((O30&gt;=0.25)*(O30&lt;0.5),3,IF((O30&gt;=0.5)*(O30&lt;0.75),4,5))))&amp;"  ВЛИЯНИЕ  "&amp;IF(P30&gt;-200,1,IF((P30&lt;=-200)*(P30&gt;-500),2,IF((P30&lt;=-500)*(P30&gt;-1000),3,IF((P30&lt;=-1000)*(P30&gt;-3000),4,5))))</f>
        <v>ВЕРОЯТНОСТЬ  5  ВЛИЯНИЕ  5</v>
      </c>
      <c r="O30" s="507">
        <f ca="1">IF($B$5=2021,SUMIF('РЕЕСТР РИСКОВ_2023'!$K$40:$AC$248,M30,'РЕЕСТР РИСКОВ_2023'!$AC$40:$AC$248),IF($B$5=2022,SUMIF(#REF!,M30,#REF!),IF($B$5=2023,SUMIF(#REF!,M30,#REF!),IF($B$5=2024,SUMIF(#REF!,M30,#REF!),SUMIF(#REF!,M30,#REF!)))))</f>
        <v>0.79098794711789855</v>
      </c>
      <c r="P30" s="508">
        <f ca="1">IF($B$5=2021,SUMIF('РЕЕСТР РИСКОВ_2023'!$K$40:$AD$248,M30,'РЕЕСТР РИСКОВ_2023'!$AD$40:$AD$248),IF($B$5=2022,SUMIF(#REF!,M30,#REF!),IF($B$5=2023,SUMIF(#REF!,M30,#REF!),IF($B$5=2024,SUMIF(#REF!,M30,#REF!),IF($B$5=2025,SUMIF(#REF!,M30,#REF!))))))</f>
        <v>-58443.916999999994</v>
      </c>
      <c r="Q30" s="509">
        <f ca="1">O30*P30</f>
        <v>-46228.433929358849</v>
      </c>
      <c r="R30" s="462"/>
      <c r="S30" s="483" t="s">
        <v>232</v>
      </c>
      <c r="T30" s="502" t="s">
        <v>64</v>
      </c>
      <c r="U30" s="498" t="str">
        <f t="shared" ca="1" si="8"/>
        <v>ВЕРОЯТНОСТЬ  2  ВЛИЯНИЕ  1</v>
      </c>
      <c r="V30" s="507">
        <f ca="1">IF($B$5=2021,SUMIF('РЕЕСТР РИСКОВ_2023'!$K$40:$AC$248,T30,'РЕЕСТР РИСКОВ_2023'!$AC$40:$AC$248),IF($B$5=2022,SUMIF(#REF!,T30,#REF!),IF($B$5=2023,SUMIF(#REF!,T30,#REF!),IF($B$5=2024,SUMIF(#REF!,T30,#REF!),SUMIF(#REF!,T30,#REF!)))))</f>
        <v>0.05</v>
      </c>
      <c r="W30" s="508">
        <f ca="1">IF($B$5=2021,SUMIF('РЕЕСТР РИСКОВ_2023'!$K$40:$AD$248,T30,'РЕЕСТР РИСКОВ_2023'!$AD$40:$AD$248),IF($B$5=2022,SUMIF(#REF!,T30,#REF!),IF($B$5=2023,SUMIF(#REF!,T30,#REF!),IF($B$5=2024,SUMIF(#REF!,T30,#REF!),IF($B$5=2025,SUMIF(#REF!,T30,#REF!))))))</f>
        <v>0</v>
      </c>
      <c r="X30" s="509">
        <f t="shared" ca="1" si="9"/>
        <v>0</v>
      </c>
      <c r="Y30" s="462"/>
      <c r="Z30" s="462"/>
      <c r="AA30" s="484" t="s">
        <v>205</v>
      </c>
      <c r="AB30" s="504" t="s">
        <v>40</v>
      </c>
      <c r="AC30" s="312" t="str">
        <f ca="1">"ВЕРОЯТНОСТЬ  "&amp;IF(AD30&lt;0.05,1,IF((AD30&gt;=0.05)*(AD30&lt;0.25),2,IF((AD30&gt;=0.25)*(AD30&lt;0.5),3,IF((AD30&gt;=0.5)*(AD30&lt;0.75),4,5))))&amp;"  ВЛИЯНИЕ  "&amp;IF(AE30&gt;-200,1,IF((AE30&lt;=-200)*(AE30&gt;-500),2,IF((AE30&lt;=-500)*(AE30&gt;-1000),3,IF((AE30&lt;=-1000)*(AE30&gt;-3000),4,5))))</f>
        <v>ВЕРОЯТНОСТЬ  3  ВЛИЯНИЕ  1</v>
      </c>
      <c r="AD30" s="309">
        <f ca="1">IF($B$5=2021,SUMIF('РЕЕСТР РИСКОВ_2023'!$K$40:$AC$248,AB30,'РЕЕСТР РИСКОВ_2023'!$AC$40:$AC$248),IF($B$5=2022,SUMIF(#REF!,AB30,#REF!),IF($B$5=2023,SUMIF(#REF!,AB30,#REF!),IF($B$5=2024,SUMIF(#REF!,AB30,#REF!),SUMIF(#REF!,AB30,#REF!)))))</f>
        <v>0.4</v>
      </c>
      <c r="AE30" s="310">
        <f ca="1">IF($B$5=2021,SUMIF('РЕЕСТР РИСКОВ_2023'!$K$40:$AD$248,AB30,'РЕЕСТР РИСКОВ_2023'!$AD$40:$AD$248),IF($B$5=2022,SUMIF(#REF!,AB30,#REF!),IF($B$5=2023,SUMIF(#REF!,AB30,#REF!),IF($B$5=2024,SUMIF(#REF!,AB30,#REF!),IF($B$5=2025,SUMIF(#REF!,AB30,#REF!))))))</f>
        <v>0</v>
      </c>
      <c r="AF30" s="311">
        <f ca="1">AD30*AE30</f>
        <v>0</v>
      </c>
      <c r="AH30" s="485" t="s">
        <v>1131</v>
      </c>
      <c r="AI30" s="504" t="s">
        <v>606</v>
      </c>
      <c r="AJ30" s="312" t="str">
        <f ca="1">"ВЕРОЯТНОСТЬ  "&amp;IF(AK30&lt;0.05,1,IF((AK30&gt;=0.05)*(AK30&lt;0.25),2,IF((AK30&gt;=0.25)*(AK30&lt;0.5),3,IF((AK30&gt;=0.5)*(AK30&lt;0.75),4,5))))&amp;"  ВЛИЯНИЕ  "&amp;IF(AL30&gt;-200,1,IF((AL30&lt;=-200)*(AL30&gt;-500),2,IF((AL30&lt;=-500)*(AL30&gt;-1000),3,IF((AL30&lt;=-1000)*(AL30&gt;-3000),4,5))))</f>
        <v>ВЕРОЯТНОСТЬ  1  ВЛИЯНИЕ  1</v>
      </c>
      <c r="AK30" s="309">
        <f ca="1">IF($B$5=2021,SUMIF('РЕЕСТР РИСКОВ_2023'!$K$40:$AC$279,AI30,'РЕЕСТР РИСКОВ_2023'!$AC$40:$AC$279),IF($B$5=2022,SUMIF(#REF!,AI30,#REF!),IF($B$5=2023,SUMIF(#REF!,AI30,#REF!),IF($B$5=2024,SUMIF(#REF!,AI30,#REF!),SUMIF(#REF!,AI30,#REF!)))))</f>
        <v>0</v>
      </c>
      <c r="AL30" s="310">
        <f ca="1">IF($B$5=2021,SUMIF('РЕЕСТР РИСКОВ_2023'!$K$40:$AD$279,AI30,'РЕЕСТР РИСКОВ_2023'!$AD$40:$AD$279),IF($B$5=2022,SUMIF(#REF!,AI30,#REF!),IF($B$5=2023,SUMIF(#REF!,AI30,#REF!),IF($B$5=2024,SUMIF(#REF!,AI30,#REF!),IF($B$5=2025,SUMIF(#REF!,AI30,#REF!))))))</f>
        <v>0</v>
      </c>
      <c r="AM30" s="311">
        <f t="shared" ca="1" si="10"/>
        <v>0</v>
      </c>
    </row>
    <row r="31" spans="2:39" ht="66" customHeight="1">
      <c r="B31" s="60"/>
      <c r="C31" s="61"/>
      <c r="D31" s="95" t="s">
        <v>274</v>
      </c>
      <c r="E31" s="96">
        <v>0</v>
      </c>
      <c r="F31" s="97" t="s">
        <v>273</v>
      </c>
      <c r="G31" s="1569" t="s">
        <v>286</v>
      </c>
      <c r="H31" s="1570"/>
      <c r="I31"/>
      <c r="K31" s="59"/>
      <c r="L31" s="471" t="s">
        <v>225</v>
      </c>
      <c r="M31" s="501" t="s">
        <v>1032</v>
      </c>
      <c r="N31" s="312" t="str">
        <f ca="1">"ВЕРОЯТНОСТЬ  "&amp;IF(O31&lt;0.05,1,IF((O31&gt;=0.05)*(O31&lt;0.25),2,IF((O31&gt;=0.25)*(O31&lt;0.5),3,IF((O31&gt;=0.5)*(O31&lt;0.75),4,5))))&amp;"  ВЛИЯНИЕ  "&amp;IF(P31&gt;-200,1,IF((P31&lt;=-200)*(P31&gt;-500),2,IF((P31&lt;=-500)*(P31&gt;-1000),3,IF((P31&lt;=-1000)*(P31&gt;-3000),4,5))))</f>
        <v>ВЕРОЯТНОСТЬ  5  ВЛИЯНИЕ  5</v>
      </c>
      <c r="O31" s="507">
        <f ca="1">IF($B$5=2021,SUMIF('РЕЕСТР РИСКОВ_2023'!$K$40:$AC$248,M31,'РЕЕСТР РИСКОВ_2023'!$AC$40:$AC$248),IF($B$5=2022,SUMIF(#REF!,M31,#REF!),IF($B$5=2023,SUMIF(#REF!,M31,#REF!),IF($B$5=2024,SUMIF(#REF!,M31,#REF!),SUMIF(#REF!,M31,#REF!)))))</f>
        <v>0.8</v>
      </c>
      <c r="P31" s="508">
        <f ca="1">IF($B$5=2021,SUMIF('РЕЕСТР РИСКОВ_2023'!$K$40:$AD$248,M31,'РЕЕСТР РИСКОВ_2023'!$AD$40:$AD$248),IF($B$5=2022,SUMIF(#REF!,M31,#REF!),IF($B$5=2023,SUMIF(#REF!,M31,#REF!),IF($B$5=2024,SUMIF(#REF!,M31,#REF!),IF($B$5=2025,SUMIF(#REF!,M31,#REF!))))))</f>
        <v>-50644.1</v>
      </c>
      <c r="Q31" s="509">
        <f ca="1">O31*P31</f>
        <v>-40515.279999999999</v>
      </c>
      <c r="R31" s="462"/>
      <c r="S31" s="474" t="s">
        <v>233</v>
      </c>
      <c r="T31" s="502" t="s">
        <v>38</v>
      </c>
      <c r="U31" s="498" t="str">
        <f t="shared" ca="1" si="8"/>
        <v>ВЕРОЯТНОСТЬ  3  ВЛИЯНИЕ  5</v>
      </c>
      <c r="V31" s="507">
        <f ca="1">IF($B$5=2021,SUMIF('РЕЕСТР РИСКОВ_2023'!$K$40:$AC$248,T31,'РЕЕСТР РИСКОВ_2023'!$AC$40:$AC$248),IF($B$5=2022,SUMIF(#REF!,T31,#REF!),IF($B$5=2023,SUMIF(#REF!,T31,#REF!),IF($B$5=2024,SUMIF(#REF!,T31,#REF!),SUMIF(#REF!,T31,#REF!)))))</f>
        <v>0.25</v>
      </c>
      <c r="W31" s="508">
        <f ca="1">IF($B$5=2021,SUMIF('РЕЕСТР РИСКОВ_2023'!$K$40:$AD$248,T31,'РЕЕСТР РИСКОВ_2023'!$AD$40:$AD$248),IF($B$5=2022,SUMIF(#REF!,T31,#REF!),IF($B$5=2023,SUMIF(#REF!,T31,#REF!),IF($B$5=2024,SUMIF(#REF!,T31,#REF!),IF($B$5=2025,SUMIF(#REF!,T31,#REF!))))))</f>
        <v>-3100</v>
      </c>
      <c r="X31" s="509">
        <f t="shared" ca="1" si="9"/>
        <v>-775</v>
      </c>
      <c r="Y31" s="462"/>
      <c r="Z31" s="462"/>
      <c r="AA31" s="485" t="s">
        <v>206</v>
      </c>
      <c r="AB31" s="504" t="s">
        <v>55</v>
      </c>
      <c r="AC31" s="312" t="str">
        <f ca="1">"ВЕРОЯТНОСТЬ  "&amp;IF(AD31&lt;0.05,1,IF((AD31&gt;=0.05)*(AD31&lt;0.25),2,IF((AD31&gt;=0.25)*(AD31&lt;0.5),3,IF((AD31&gt;=0.5)*(AD31&lt;0.75),4,5))))&amp;"  ВЛИЯНИЕ  "&amp;IF(AE31&gt;-200,1,IF((AE31&lt;=-200)*(AE31&gt;-500),2,IF((AE31&lt;=-500)*(AE31&gt;-1000),3,IF((AE31&lt;=-1000)*(AE31&gt;-3000),4,5))))</f>
        <v>ВЕРОЯТНОСТЬ  3  ВЛИЯНИЕ  1</v>
      </c>
      <c r="AD31" s="309">
        <f ca="1">IF($B$5=2021,SUMIF('РЕЕСТР РИСКОВ_2023'!$K$40:$AC$248,AB31,'РЕЕСТР РИСКОВ_2023'!$AC$40:$AC$248),IF($B$5=2022,SUMIF(#REF!,AB31,#REF!),IF($B$5=2023,SUMIF(#REF!,AB31,#REF!),IF($B$5=2024,SUMIF(#REF!,AB31,#REF!),SUMIF(#REF!,AB31,#REF!)))))</f>
        <v>0.25</v>
      </c>
      <c r="AE31" s="310">
        <f ca="1">IF($B$5=2021,SUMIF('РЕЕСТР РИСКОВ_2023'!$K$40:$AD$248,AB31,'РЕЕСТР РИСКОВ_2023'!$AD$40:$AD$248),IF($B$5=2022,SUMIF(#REF!,AB31,#REF!),IF($B$5=2023,SUMIF(#REF!,AB31,#REF!),IF($B$5=2024,SUMIF(#REF!,AB31,#REF!),IF($B$5=2025,SUMIF(#REF!,AB31,#REF!))))))</f>
        <v>0</v>
      </c>
      <c r="AF31" s="311">
        <f ca="1">AD31*AE31</f>
        <v>0</v>
      </c>
      <c r="AH31" s="485" t="s">
        <v>1132</v>
      </c>
      <c r="AI31" s="504" t="s">
        <v>856</v>
      </c>
      <c r="AJ31" s="312" t="str">
        <f ca="1">"ВЕРОЯТНОСТЬ  "&amp;IF(AK31&lt;0.05,1,IF((AK31&gt;=0.05)*(AK31&lt;0.25),2,IF((AK31&gt;=0.25)*(AK31&lt;0.5),3,IF((AK31&gt;=0.5)*(AK31&lt;0.75),4,5))))&amp;"  ВЛИЯНИЕ  "&amp;IF(AL31&gt;-200,1,IF((AL31&lt;=-200)*(AL31&gt;-500),2,IF((AL31&lt;=-500)*(AL31&gt;-1000),3,IF((AL31&lt;=-1000)*(AL31&gt;-3000),4,5))))</f>
        <v>ВЕРОЯТНОСТЬ  3  ВЛИЯНИЕ  1</v>
      </c>
      <c r="AK31" s="309">
        <f ca="1">IF($B$5=2021,SUMIF('РЕЕСТР РИСКОВ_2023'!$K$40:$AC$279,AI31,'РЕЕСТР РИСКОВ_2023'!$AC$40:$AC$279),IF($B$5=2022,SUMIF(#REF!,AI31,#REF!),IF($B$5=2023,SUMIF(#REF!,AI31,#REF!),IF($B$5=2024,SUMIF(#REF!,AI31,#REF!),SUMIF(#REF!,AI31,#REF!)))))</f>
        <v>0.25</v>
      </c>
      <c r="AL31" s="310">
        <f ca="1">IF($B$5=2021,SUMIF('РЕЕСТР РИСКОВ_2023'!$K$40:$AD$279,AI31,'РЕЕСТР РИСКОВ_2023'!$AD$40:$AD$279),IF($B$5=2022,SUMIF(#REF!,AI31,#REF!),IF($B$5=2023,SUMIF(#REF!,AI31,#REF!),IF($B$5=2024,SUMIF(#REF!,AI31,#REF!),IF($B$5=2025,SUMIF(#REF!,AI31,#REF!))))))</f>
        <v>0</v>
      </c>
      <c r="AM31" s="311">
        <f t="shared" ca="1" si="10"/>
        <v>0</v>
      </c>
    </row>
    <row r="32" spans="2:39" ht="64.5" customHeight="1">
      <c r="B32" s="60"/>
      <c r="C32" s="61"/>
      <c r="D32" s="98" t="s">
        <v>275</v>
      </c>
      <c r="E32" s="99">
        <v>0.25</v>
      </c>
      <c r="F32" s="100" t="s">
        <v>272</v>
      </c>
      <c r="G32" s="1575" t="s">
        <v>285</v>
      </c>
      <c r="H32" s="1576"/>
      <c r="I32"/>
      <c r="K32" s="59"/>
      <c r="L32" s="466" t="s">
        <v>226</v>
      </c>
      <c r="M32" s="502" t="s">
        <v>456</v>
      </c>
      <c r="N32" s="312" t="str">
        <f ca="1">"ВЕРОЯТНОСТЬ  "&amp;IF(O32&lt;0.05,1,IF((O32&gt;=0.05)*(O32&lt;0.25),2,IF((O32&gt;=0.25)*(O32&lt;0.5),3,IF((O32&gt;=0.5)*(O32&lt;0.75),4,5))))&amp;"  ВЛИЯНИЕ  "&amp;IF(P32&gt;-200,1,IF((P32&lt;=-200)*(P32&gt;-500),2,IF((P32&lt;=-500)*(P32&gt;-1000),3,IF((P32&lt;=-1000)*(P32&gt;-3000),4,5))))</f>
        <v>ВЕРОЯТНОСТЬ  5  ВЛИЯНИЕ  1</v>
      </c>
      <c r="O32" s="507">
        <f ca="1">IF($B$5=2021,SUMIF('РЕЕСТР РИСКОВ_2023'!$K$40:$AC$248,M32,'РЕЕСТР РИСКОВ_2023'!$AC$40:$AC$248),IF($B$5=2022,SUMIF(#REF!,M32,#REF!),IF($B$5=2023,SUMIF(#REF!,M32,#REF!),IF($B$5=2024,SUMIF(#REF!,M32,#REF!),SUMIF(#REF!,M32,#REF!)))))</f>
        <v>0.8</v>
      </c>
      <c r="P32" s="508">
        <f ca="1">IF($B$5=2021,SUMIF('РЕЕСТР РИСКОВ_2023'!$K$40:$AD$248,M32,'РЕЕСТР РИСКОВ_2023'!$AD$40:$AD$248),IF($B$5=2022,SUMIF(#REF!,M32,#REF!),IF($B$5=2023,SUMIF(#REF!,M32,#REF!),IF($B$5=2024,SUMIF(#REF!,M32,#REF!),IF($B$5=2025,SUMIF(#REF!,M32,#REF!))))))</f>
        <v>4079.9831719453787</v>
      </c>
      <c r="Q32" s="509">
        <f ca="1">O32*P32</f>
        <v>3263.9865375563031</v>
      </c>
      <c r="R32" s="462"/>
      <c r="S32" s="471" t="s">
        <v>234</v>
      </c>
      <c r="T32" s="502" t="s">
        <v>918</v>
      </c>
      <c r="U32" s="498" t="str">
        <f t="shared" ca="1" si="8"/>
        <v>ВЕРОЯТНОСТЬ  3  ВЛИЯНИЕ  5</v>
      </c>
      <c r="V32" s="507">
        <f ca="1">IF($B$5=2021,SUMIF('РЕЕСТР РИСКОВ_2023'!$K$40:$AC$248,T32,'РЕЕСТР РИСКОВ_2023'!$AC$40:$AC$248),IF($B$5=2022,SUMIF(#REF!,T32,#REF!),IF($B$5=2023,SUMIF(#REF!,T32,#REF!),IF($B$5=2024,SUMIF(#REF!,T32,#REF!),SUMIF(#REF!,T32,#REF!)))))</f>
        <v>0.4</v>
      </c>
      <c r="W32" s="508">
        <f ca="1">IF($B$5=2021,SUMIF('РЕЕСТР РИСКОВ_2023'!$K$40:$AD$248,T32,'РЕЕСТР РИСКОВ_2023'!$AD$40:$AD$248),IF($B$5=2022,SUMIF(#REF!,T32,#REF!),IF($B$5=2023,SUMIF(#REF!,T32,#REF!),IF($B$5=2024,SUMIF(#REF!,T32,#REF!),IF($B$5=2025,SUMIF(#REF!,T32,#REF!))))))</f>
        <v>-5003</v>
      </c>
      <c r="X32" s="509">
        <f t="shared" ca="1" si="9"/>
        <v>-2001.2</v>
      </c>
      <c r="Y32" s="462"/>
      <c r="Z32" s="462"/>
      <c r="AA32" s="485" t="s">
        <v>1006</v>
      </c>
      <c r="AB32" s="504" t="s">
        <v>1007</v>
      </c>
      <c r="AC32" s="312" t="str">
        <f ca="1">"ВЕРОЯТНОСТЬ  "&amp;IF(AD32&lt;0.05,1,IF((AD32&gt;=0.05)*(AD32&lt;0.25),2,IF((AD32&gt;=0.25)*(AD32&lt;0.5),3,IF((AD32&gt;=0.5)*(AD32&lt;0.75),4,5))))&amp;"  ВЛИЯНИЕ  "&amp;IF(AE32&gt;-200,1,IF((AE32&lt;=-200)*(AE32&gt;-500),2,IF((AE32&lt;=-500)*(AE32&gt;-1000),3,IF((AE32&lt;=-1000)*(AE32&gt;-3000),4,5))))</f>
        <v>ВЕРОЯТНОСТЬ  3  ВЛИЯНИЕ  1</v>
      </c>
      <c r="AD32" s="309">
        <f ca="1">IF($B$5=2021,SUMIF('РЕЕСТР РИСКОВ_2023'!$K$40:$AC$279,AB32,'РЕЕСТР РИСКОВ_2023'!$AC$40:$AC$279),IF($B$5=2022,SUMIF(#REF!,AB32,#REF!),IF($B$5=2023,SUMIF(#REF!,AB32,#REF!),IF($B$5=2024,SUMIF(#REF!,AB32,#REF!),SUMIF(#REF!,AB32,#REF!)))))</f>
        <v>0.25</v>
      </c>
      <c r="AE32" s="310">
        <f ca="1">IF($B$5=2021,SUMIF('РЕЕСТР РИСКОВ_2023'!$K$40:$AD$279,AB32,'РЕЕСТР РИСКОВ_2023'!$AD$40:$AD$279),IF($B$5=2022,SUMIF(#REF!,AB32,#REF!),IF($B$5=2023,SUMIF(#REF!,AB32,#REF!),IF($B$5=2024,SUMIF(#REF!,AB32,#REF!),IF($B$5=2025,SUMIF(#REF!,AB32,#REF!))))))</f>
        <v>0</v>
      </c>
      <c r="AF32" s="311">
        <f ca="1">AD32*AE32</f>
        <v>0</v>
      </c>
      <c r="AH32" s="485" t="s">
        <v>1133</v>
      </c>
      <c r="AI32" s="504" t="s">
        <v>1036</v>
      </c>
      <c r="AJ32" s="312" t="str">
        <f ca="1">"ВЕРОЯТНОСТЬ  "&amp;IF(AK32&lt;0.05,1,IF((AK32&gt;=0.05)*(AK32&lt;0.25),2,IF((AK32&gt;=0.25)*(AK32&lt;0.5),3,IF((AK32&gt;=0.5)*(AK32&lt;0.75),4,5))))&amp;"  ВЛИЯНИЕ  "&amp;IF(AL32&gt;-200,1,IF((AL32&lt;=-200)*(AL32&gt;-500),2,IF((AL32&lt;=-500)*(AL32&gt;-1000),3,IF((AL32&lt;=-1000)*(AL32&gt;-3000),4,5))))</f>
        <v>ВЕРОЯТНОСТЬ  2  ВЛИЯНИЕ  5</v>
      </c>
      <c r="AK32" s="309">
        <f ca="1">IF($B$5=2021,SUMIF('РЕЕСТР РИСКОВ_2023'!$K$40:$AC$279,AI32,'РЕЕСТР РИСКОВ_2023'!$AC$40:$AC$279),IF($B$5=2022,SUMIF(#REF!,AI32,#REF!),IF($B$5=2023,SUMIF(#REF!,AI32,#REF!),IF($B$5=2024,SUMIF(#REF!,AI32,#REF!),SUMIF(#REF!,AI32,#REF!)))))</f>
        <v>0.05</v>
      </c>
      <c r="AL32" s="310">
        <f ca="1">IF($B$5=2021,SUMIF('РЕЕСТР РИСКОВ_2023'!$K$40:$AD$279,AI32,'РЕЕСТР РИСКОВ_2023'!$AD$40:$AD$279),IF($B$5=2022,SUMIF(#REF!,AI32,#REF!),IF($B$5=2023,SUMIF(#REF!,AI32,#REF!),IF($B$5=2024,SUMIF(#REF!,AI32,#REF!),IF($B$5=2025,SUMIF(#REF!,AI32,#REF!))))))</f>
        <v>-50000</v>
      </c>
      <c r="AM32" s="311">
        <f t="shared" ca="1" si="10"/>
        <v>-2500</v>
      </c>
    </row>
    <row r="33" spans="2:39" ht="58.5" customHeight="1">
      <c r="B33" s="60"/>
      <c r="C33" s="61"/>
      <c r="D33" s="101" t="s">
        <v>284</v>
      </c>
      <c r="E33" s="102">
        <v>0.5</v>
      </c>
      <c r="F33" s="103" t="s">
        <v>271</v>
      </c>
      <c r="G33" s="1573" t="s">
        <v>287</v>
      </c>
      <c r="H33" s="1574"/>
      <c r="I33"/>
      <c r="K33" s="59"/>
      <c r="L33" s="1589" t="s">
        <v>76</v>
      </c>
      <c r="M33" s="1590"/>
      <c r="N33" s="312"/>
      <c r="O33" s="507"/>
      <c r="P33" s="508"/>
      <c r="Q33" s="509"/>
      <c r="R33" s="462"/>
      <c r="S33" s="477" t="s">
        <v>235</v>
      </c>
      <c r="T33" s="504" t="s">
        <v>849</v>
      </c>
      <c r="U33" s="498" t="str">
        <f ca="1">"ВЕРОЯТНОСТЬ  "&amp;IF(V33&lt;0.05,1,IF((V33&gt;=0.05)*(V33&lt;0.25),2,IF((V33&gt;=0.25)*(V33&lt;0.5),3,IF((V33&gt;=0.5)*(V33&lt;0.75),4,5))))&amp;"  ВЛИЯНИЕ  "&amp;IF(W33&gt;-200,1,IF((W33&lt;=-200)*(W33&gt;-500),2,IF((W33&lt;=-500)*(W33&gt;-1000),3,IF((W33&lt;=-1000)*(W33&gt;-3000),4,5))))</f>
        <v>ВЕРОЯТНОСТЬ  1  ВЛИЯНИЕ  1</v>
      </c>
      <c r="V33" s="507">
        <f ca="1">IF($B$5=2021,SUMIF('РЕЕСТР РИСКОВ_2023'!$K$40:$AC$279,T33,'РЕЕСТР РИСКОВ_2023'!$AC$40:$AC$279),IF($B$5=2022,SUMIF(#REF!,T33,#REF!),IF($B$5=2023,SUMIF(#REF!,T33,#REF!),IF($B$5=2024,SUMIF(#REF!,T33,#REF!),SUMIF(#REF!,T33,#REF!)))))</f>
        <v>0</v>
      </c>
      <c r="W33" s="508">
        <f ca="1">IF($B$5=2021,SUMIF('РЕЕСТР РИСКОВ_2023'!$K$40:$AD$279,T33,'РЕЕСТР РИСКОВ_2023'!$AD$40:$AD$279),IF($B$5=2022,SUMIF(#REF!,T33,#REF!),IF($B$5=2023,SUMIF(#REF!,T33,#REF!),IF($B$5=2024,SUMIF(#REF!,T33,#REF!),IF($B$5=2025,SUMIF(#REF!,T33,#REF!))))))</f>
        <v>0</v>
      </c>
      <c r="X33" s="509">
        <f ca="1">V33*W33</f>
        <v>0</v>
      </c>
      <c r="Y33" s="462"/>
      <c r="Z33" s="462"/>
      <c r="AA33" s="485" t="s">
        <v>1010</v>
      </c>
      <c r="AB33" s="504" t="s">
        <v>1175</v>
      </c>
      <c r="AC33" s="312"/>
      <c r="AD33" s="309"/>
      <c r="AE33" s="310"/>
      <c r="AF33" s="311"/>
      <c r="AH33" s="485" t="s">
        <v>1179</v>
      </c>
      <c r="AI33" s="504" t="s">
        <v>1180</v>
      </c>
      <c r="AJ33" s="312" t="str">
        <f ca="1">"ВЕРОЯТНОСТЬ  "&amp;IF(AK33&lt;0.05,1,IF((AK33&gt;=0.05)*(AK33&lt;0.25),2,IF((AK33&gt;=0.25)*(AK33&lt;0.5),3,IF((AK33&gt;=0.5)*(AK33&lt;0.75),4,5))))&amp;"  ВЛИЯНИЕ  "&amp;IF(AL33&gt;-200,1,IF((AL33&lt;=-200)*(AL33&gt;-500),2,IF((AL33&lt;=-500)*(AL33&gt;-1000),3,IF((AL33&lt;=-1000)*(AL33&gt;-3000),4,5))))</f>
        <v>ВЕРОЯТНОСТЬ  1  ВЛИЯНИЕ  1</v>
      </c>
      <c r="AK33" s="309">
        <f ca="1">IF($B$5=2021,SUMIF('РЕЕСТР РИСКОВ_2023'!$K$40:$AC$279,AI33,'РЕЕСТР РИСКОВ_2023'!$AC$40:$AC$279),IF($B$5=2022,SUMIF(#REF!,AI33,#REF!),IF($B$5=2023,SUMIF(#REF!,AI33,#REF!),IF($B$5=2024,SUMIF(#REF!,AI33,#REF!),SUMIF(#REF!,AI33,#REF!)))))</f>
        <v>0</v>
      </c>
      <c r="AL33" s="310">
        <f ca="1">IF($B$5=2021,SUMIF('РЕЕСТР РИСКОВ_2023'!$K$40:$AD$279,AI33,'РЕЕСТР РИСКОВ_2023'!$AD$40:$AD$279),IF($B$5=2022,SUMIF(#REF!,AI33,#REF!),IF($B$5=2023,SUMIF(#REF!,AI33,#REF!),IF($B$5=2024,SUMIF(#REF!,AI33,#REF!),IF($B$5=2025,SUMIF(#REF!,AI33,#REF!))))))</f>
        <v>0</v>
      </c>
      <c r="AM33" s="311">
        <f ca="1">AK33*AL33</f>
        <v>0</v>
      </c>
    </row>
    <row r="34" spans="2:39" ht="90" customHeight="1">
      <c r="B34" s="60"/>
      <c r="C34" s="61"/>
      <c r="D34" s="104" t="s">
        <v>276</v>
      </c>
      <c r="E34" s="105">
        <v>0.75</v>
      </c>
      <c r="F34" s="106" t="s">
        <v>270</v>
      </c>
      <c r="G34" s="1585" t="s">
        <v>288</v>
      </c>
      <c r="H34" s="1586"/>
      <c r="I34"/>
      <c r="K34" s="59"/>
      <c r="L34" s="474" t="s">
        <v>186</v>
      </c>
      <c r="M34" s="502" t="s">
        <v>123</v>
      </c>
      <c r="N34" s="312" t="str">
        <f ca="1">"ВЕРОЯТНОСТЬ  "&amp;IF(O34&lt;0.05,1,IF((O34&gt;=0.05)*(O34&lt;0.25),2,IF((O34&gt;=0.25)*(O34&lt;0.5),3,IF((O34&gt;=0.5)*(O34&lt;0.75),4,5))))&amp;"  ВЛИЯНИЕ  "&amp;IF(P34&gt;-200,1,IF((P34&lt;=-200)*(P34&gt;-500),2,IF((P34&lt;=-500)*(P34&gt;-1000),3,IF((P34&lt;=-1000)*(P34&gt;-3000),4,5))))</f>
        <v>ВЕРОЯТНОСТЬ  4  ВЛИЯНИЕ  5</v>
      </c>
      <c r="O34" s="507">
        <f ca="1">IF($B$5=2021,SUMIF('РЕЕСТР РИСКОВ_2023'!$K$40:$AC$248,M34,'РЕЕСТР РИСКОВ_2023'!$Y$40:$Y$248),IF($B$5=2022,SUMIF(#REF!,M34,#REF!),IF($B$5=2023,SUMIF(#REF!,M34,#REF!),IF($B$5=2024,SUMIF(#REF!,M34,#REF!),SUMIF(#REF!,M34,#REF!)))))</f>
        <v>0.6</v>
      </c>
      <c r="P34" s="508">
        <f ca="1">IF($B$5=2021,SUMIF('РЕЕСТР РИСКОВ_2023'!$K$40:$AD$248,M34,'РЕЕСТР РИСКОВ_2023'!$Z$40:$Z$248),IF($B$5=2022,SUMIF(#REF!,M34,#REF!),IF($B$5=2023,SUMIF(#REF!,M34,#REF!),IF($B$5=2024,SUMIF(#REF!,M34,#REF!),IF($B$5=2025,SUMIF(#REF!,M34,#REF!))))))</f>
        <v>-62269.400000000023</v>
      </c>
      <c r="Q34" s="509">
        <f ca="1">O34*P34</f>
        <v>-37361.640000000014</v>
      </c>
      <c r="R34" s="462"/>
      <c r="S34" s="474" t="s">
        <v>1182</v>
      </c>
      <c r="T34" s="502" t="s">
        <v>1181</v>
      </c>
      <c r="U34" s="498" t="str">
        <f ca="1">"ВЕРОЯТНОСТЬ  "&amp;IF(V34&lt;0.05,1,IF((V34&gt;=0.05)*(V34&lt;0.25),2,IF((V34&gt;=0.25)*(V34&lt;0.5),3,IF((V34&gt;=0.5)*(V34&lt;0.75),4,5))))&amp;"  ВЛИЯНИЕ  "&amp;IF(W34&gt;-200,1,IF((W34&lt;=-200)*(W34&gt;-500),2,IF((W34&lt;=-500)*(W34&gt;-1000),3,IF((W34&lt;=-1000)*(W34&gt;-3000),4,5))))</f>
        <v>ВЕРОЯТНОСТЬ  1  ВЛИЯНИЕ  1</v>
      </c>
      <c r="V34" s="507">
        <f ca="1">IF($B$5=2021,SUMIF('РЕЕСТР РИСКОВ_2023'!$K$40:$AC$248,T34,'РЕЕСТР РИСКОВ_2023'!$AC$40:$AC$248),IF($B$5=2022,SUMIF(#REF!,T34,#REF!),IF($B$5=2023,SUMIF(#REF!,T34,#REF!),IF($B$5=2024,SUMIF(#REF!,T34,#REF!),SUMIF(#REF!,T34,#REF!)))))</f>
        <v>0</v>
      </c>
      <c r="W34" s="508">
        <f ca="1">IF($B$5=2021,SUMIF('РЕЕСТР РИСКОВ_2023'!$K$40:$AD$248,T34,'РЕЕСТР РИСКОВ_2023'!$AD$40:$AD$248),IF($B$5=2022,SUMIF(#REF!,T34,#REF!),IF($B$5=2023,SUMIF(#REF!,T34,#REF!),IF($B$5=2024,SUMIF(#REF!,T34,#REF!),IF($B$5=2025,SUMIF(#REF!,T34,#REF!))))))</f>
        <v>0</v>
      </c>
      <c r="X34" s="509">
        <f ca="1">V34*W34</f>
        <v>0</v>
      </c>
      <c r="Y34" s="462"/>
      <c r="Z34" s="462"/>
      <c r="AA34" s="485" t="s">
        <v>1173</v>
      </c>
      <c r="AB34" s="504" t="s">
        <v>1011</v>
      </c>
      <c r="AC34" s="312" t="str">
        <f ca="1">"ВЕРОЯТНОСТЬ  "&amp;IF(AD34&lt;0.05,1,IF((AD34&gt;=0.05)*(AD34&lt;0.25),2,IF((AD34&gt;=0.25)*(AD34&lt;0.5),3,IF((AD34&gt;=0.5)*(AD34&lt;0.75),4,5))))&amp;"  ВЛИЯНИЕ  "&amp;IF(AE34&gt;-200,1,IF((AE34&lt;=-200)*(AE34&gt;-500),2,IF((AE34&lt;=-500)*(AE34&gt;-1000),3,IF((AE34&lt;=-1000)*(AE34&gt;-3000),4,5))))</f>
        <v>ВЕРОЯТНОСТЬ  1  ВЛИЯНИЕ  1</v>
      </c>
      <c r="AD34" s="309">
        <f ca="1">IF($B$5=2021,SUMIF('РЕЕСТР РИСКОВ_2023'!$K$40:$AC$279,AB34,'РЕЕСТР РИСКОВ_2023'!$AC$40:$AC$279),IF($B$5=2022,SUMIF(#REF!,AB34,#REF!),IF($B$5=2023,SUMIF(#REF!,AB34,#REF!),IF($B$5=2024,SUMIF(#REF!,AB34,#REF!),SUMIF(#REF!,AB34,#REF!)))))</f>
        <v>0.01</v>
      </c>
      <c r="AE34" s="310">
        <f ca="1">IF($B$5=2021,SUMIF('РЕЕСТР РИСКОВ_2023'!$K$40:$AD$279,AB34,'РЕЕСТР РИСКОВ_2023'!$AD$40:$AD$279),IF($B$5=2022,SUMIF(#REF!,AB34,#REF!),IF($B$5=2023,SUMIF(#REF!,AB34,#REF!),IF($B$5=2024,SUMIF(#REF!,AB34,#REF!),IF($B$5=2025,SUMIF(#REF!,AB34,#REF!))))))</f>
        <v>1.3</v>
      </c>
      <c r="AF34" s="311">
        <f ca="1">AD34*AE34</f>
        <v>1.3000000000000001E-2</v>
      </c>
      <c r="AH34" s="1567" t="s">
        <v>859</v>
      </c>
      <c r="AI34" s="1568"/>
      <c r="AJ34" s="312"/>
      <c r="AK34" s="309"/>
      <c r="AL34" s="310"/>
      <c r="AM34" s="311"/>
    </row>
    <row r="35" spans="2:39" ht="71.25" customHeight="1">
      <c r="B35" s="60"/>
      <c r="C35" s="61"/>
      <c r="D35" s="107" t="s">
        <v>277</v>
      </c>
      <c r="E35" s="108">
        <v>1</v>
      </c>
      <c r="F35" s="109" t="s">
        <v>269</v>
      </c>
      <c r="G35" s="1571" t="s">
        <v>289</v>
      </c>
      <c r="H35" s="1572"/>
      <c r="I35"/>
      <c r="K35" s="59"/>
      <c r="L35" s="474" t="s">
        <v>628</v>
      </c>
      <c r="M35" s="502" t="s">
        <v>629</v>
      </c>
      <c r="N35" s="312" t="str">
        <f ca="1">"ВЕРОЯТНОСТЬ  "&amp;IF(O35&lt;0.05,1,IF((O35&gt;=0.05)*(O35&lt;0.25),2,IF((O35&gt;=0.25)*(O35&lt;0.5),3,IF((O35&gt;=0.5)*(O35&lt;0.75),4,5))))&amp;"  ВЛИЯНИЕ  "&amp;IF(P35&gt;-200,1,IF((P35&lt;=-200)*(P35&gt;-500),2,IF((P35&lt;=-500)*(P35&gt;-1000),3,IF((P35&lt;=-1000)*(P35&gt;-3000),4,5))))</f>
        <v>ВЕРОЯТНОСТЬ  1  ВЛИЯНИЕ  5</v>
      </c>
      <c r="O35" s="507">
        <f ca="1">IF($B$5=2021,SUMIF('РЕЕСТР РИСКОВ_2023'!$K$40:$AC$248,M35,'РЕЕСТР РИСКОВ_2023'!$Y$40:$Y$248),IF($B$5=2022,SUMIF(#REF!,M35,#REF!),IF($B$5=2023,SUMIF(#REF!,M35,#REF!),IF($B$5=2024,SUMIF(#REF!,M35,#REF!),SUMIF(#REF!,M35,#REF!)))))</f>
        <v>0</v>
      </c>
      <c r="P35" s="508">
        <v>-37848</v>
      </c>
      <c r="Q35" s="509">
        <f ca="1">O35*P35</f>
        <v>0</v>
      </c>
      <c r="R35" s="462"/>
      <c r="S35" s="1589" t="s">
        <v>302</v>
      </c>
      <c r="T35" s="1590"/>
      <c r="U35" s="498"/>
      <c r="V35" s="507"/>
      <c r="W35" s="508"/>
      <c r="X35" s="509"/>
      <c r="Y35" s="462"/>
      <c r="Z35" s="462"/>
      <c r="AA35" s="1567" t="s">
        <v>838</v>
      </c>
      <c r="AB35" s="1568"/>
      <c r="AC35" s="2"/>
      <c r="AD35" s="309"/>
      <c r="AE35" s="310"/>
      <c r="AF35" s="311"/>
      <c r="AH35" s="484" t="s">
        <v>1135</v>
      </c>
      <c r="AI35" s="504" t="s">
        <v>1065</v>
      </c>
      <c r="AJ35" s="312" t="str">
        <f ca="1">"ВЕРОЯТНОСТЬ  "&amp;IF(AK35&lt;0.05,1,IF((AK35&gt;=0.05)*(AK35&lt;0.25),2,IF((AK35&gt;=0.25)*(AK35&lt;0.5),3,IF((AK35&gt;=0.5)*(AK35&lt;0.75),4,5))))&amp;"  ВЛИЯНИЕ  "&amp;IF(AL35&gt;-200,1,IF((AL35&lt;=-200)*(AL35&gt;-500),2,IF((AL35&lt;=-500)*(AL35&gt;-1000),3,IF((AL35&lt;=-1000)*(AL35&gt;-3000),4,5))))</f>
        <v>ВЕРОЯТНОСТЬ  3  ВЛИЯНИЕ  5</v>
      </c>
      <c r="AK35" s="309">
        <f ca="1">IF($B$5=2021,SUMIF('РЕЕСТР РИСКОВ_2023'!$K$40:$AC$279,AI35,'РЕЕСТР РИСКОВ_2023'!$AC$40:$AC$279),IF($B$5=2022,SUMIF(#REF!,AI35,#REF!),IF($B$5=2023,SUMIF(#REF!,AI35,#REF!),IF($B$5=2024,SUMIF(#REF!,AI35,#REF!),SUMIF(#REF!,AI35,#REF!)))))</f>
        <v>0.4</v>
      </c>
      <c r="AL35" s="310">
        <f ca="1">IF($B$5=2021,SUMIF('РЕЕСТР РИСКОВ_2023'!$K$40:$AD$279,AI35,'РЕЕСТР РИСКОВ_2023'!$AD$40:$AD$279),IF($B$5=2022,SUMIF(#REF!,AI35,#REF!),IF($B$5=2023,SUMIF(#REF!,AI35,#REF!),IF($B$5=2024,SUMIF(#REF!,AI35,#REF!),IF($B$5=2025,SUMIF(#REF!,AI35,#REF!))))))</f>
        <v>-13600</v>
      </c>
      <c r="AM35" s="311">
        <f t="shared" ca="1" si="10"/>
        <v>-5440</v>
      </c>
    </row>
    <row r="36" spans="2:39" ht="87.75" customHeight="1">
      <c r="B36" s="60"/>
      <c r="C36" s="61"/>
      <c r="G36" s="65"/>
      <c r="H36" s="66"/>
      <c r="I36"/>
      <c r="K36" s="59"/>
      <c r="L36" s="1589" t="s">
        <v>71</v>
      </c>
      <c r="M36" s="1590"/>
      <c r="N36" s="312"/>
      <c r="O36" s="507"/>
      <c r="P36" s="508"/>
      <c r="Q36" s="509"/>
      <c r="R36" s="462"/>
      <c r="S36" s="480" t="s">
        <v>193</v>
      </c>
      <c r="T36" s="502" t="s">
        <v>341</v>
      </c>
      <c r="U36" s="498" t="str">
        <f ca="1">"ВЕРОЯТНОСТЬ  "&amp;IF(V36&lt;0.05,1,IF((V36&gt;=0.05)*(V36&lt;0.25),2,IF((V36&gt;=0.25)*(V36&lt;0.5),3,IF((V36&gt;=0.5)*(V36&lt;0.75),4,5))))&amp;"  ВЛИЯНИЕ  "&amp;IF(W36&gt;-200,1,IF((W36&lt;=-200)*(W36&gt;-500),2,IF((W36&lt;=-500)*(W36&gt;-1000),3,IF((W36&lt;=-1000)*(W36&gt;-3000),4,5))))</f>
        <v>ВЕРОЯТНОСТЬ  1  ВЛИЯНИЕ  1</v>
      </c>
      <c r="V36" s="507">
        <f ca="1">IF($B$5=2021,SUMIF('РЕЕСТР РИСКОВ_2023'!$K$40:$AC$248,T36,'РЕЕСТР РИСКОВ_2023'!$AC$40:$AC$248),IF($B$5=2022,SUMIF(#REF!,T36,#REF!),IF($B$5=2023,SUMIF(#REF!,T36,#REF!),IF($B$5=2024,SUMIF(#REF!,T36,#REF!),SUMIF(#REF!,T36,#REF!)))))</f>
        <v>0</v>
      </c>
      <c r="W36" s="508">
        <f ca="1">IF($B$5=2021,SUMIF('РЕЕСТР РИСКОВ_2023'!$K$40:$AD$248,T36,'РЕЕСТР РИСКОВ_2023'!$AD$40:$AD$248),IF($B$5=2022,SUMIF(#REF!,T36,#REF!),IF($B$5=2023,SUMIF(#REF!,T36,#REF!),IF($B$5=2024,SUMIF(#REF!,T36,#REF!),IF($B$5=2025,SUMIF(#REF!,T36,#REF!))))))</f>
        <v>0</v>
      </c>
      <c r="X36" s="509">
        <f ca="1">V36*W36</f>
        <v>0</v>
      </c>
      <c r="Y36" s="462"/>
      <c r="Z36" s="462"/>
      <c r="AA36" s="485" t="s">
        <v>1137</v>
      </c>
      <c r="AB36" s="504" t="s">
        <v>1026</v>
      </c>
      <c r="AC36" s="312" t="str">
        <f ca="1">"ВЕРОЯТНОСТЬ  "&amp;IF(AD36&lt;0.05,1,IF((AD36&gt;=0.05)*(AD36&lt;0.25),2,IF((AD36&gt;=0.25)*(AD36&lt;0.5),3,IF((AD36&gt;=0.5)*(AD36&lt;0.75),4,5))))&amp;"  ВЛИЯНИЕ  "&amp;IF(AE36&gt;-200,1,IF((AE36&lt;=-200)*(AE36&gt;-500),2,IF((AE36&lt;=-500)*(AE36&gt;-1000),3,IF((AE36&lt;=-1000)*(AE36&gt;-3000),4,5))))</f>
        <v>ВЕРОЯТНОСТЬ  3  ВЛИЯНИЕ  1</v>
      </c>
      <c r="AD36" s="309">
        <f ca="1">IF($B$5=2021,SUMIF('РЕЕСТР РИСКОВ_2023'!$K$40:$AC$279,AB36,'РЕЕСТР РИСКОВ_2023'!$AC$40:$AC$279),IF($B$5=2022,SUMIF(#REF!,AB36,#REF!),IF($B$5=2023,SUMIF(#REF!,AB36,#REF!),IF($B$5=2024,SUMIF(#REF!,AB36,#REF!),SUMIF(#REF!,AB36,#REF!)))))</f>
        <v>0.4</v>
      </c>
      <c r="AE36" s="310">
        <f ca="1">IF($B$5=2021,SUMIF('РЕЕСТР РИСКОВ_2023'!$K$40:$AD$279,AB36,'РЕЕСТР РИСКОВ_2023'!$AD$40:$AD$279),IF($B$5=2022,SUMIF(#REF!,AB36,#REF!),IF($B$5=2023,SUMIF(#REF!,AB36,#REF!),IF($B$5=2024,SUMIF(#REF!,AB36,#REF!),IF($B$5=2025,SUMIF(#REF!,AB36,#REF!))))))</f>
        <v>0</v>
      </c>
      <c r="AF36" s="311">
        <f ca="1">AD36*AE36</f>
        <v>0</v>
      </c>
      <c r="AH36" s="485" t="s">
        <v>1136</v>
      </c>
      <c r="AI36" s="504" t="s">
        <v>857</v>
      </c>
      <c r="AJ36" s="312" t="str">
        <f ca="1">"ВЕРОЯТНОСТЬ  "&amp;IF(AK36&lt;0.05,1,IF((AK36&gt;=0.05)*(AK36&lt;0.25),2,IF((AK36&gt;=0.25)*(AK36&lt;0.5),3,IF((AK36&gt;=0.5)*(AK36&lt;0.75),4,5))))&amp;"  ВЛИЯНИЕ  "&amp;IF(AL36&gt;-200,1,IF((AL36&lt;=-200)*(AL36&gt;-500),2,IF((AL36&lt;=-500)*(AL36&gt;-1000),3,IF((AL36&lt;=-1000)*(AL36&gt;-3000),4,5))))</f>
        <v>ВЕРОЯТНОСТЬ  3  ВЛИЯНИЕ  1</v>
      </c>
      <c r="AK36" s="309">
        <f ca="1">IF($B$5=2021,SUMIF('РЕЕСТР РИСКОВ_2023'!$K$40:$AC$279,AI36,'РЕЕСТР РИСКОВ_2023'!$AC$40:$AC$279),IF($B$5=2022,SUMIF(#REF!,AI36,#REF!),IF($B$5=2023,SUMIF(#REF!,AI36,#REF!),IF($B$5=2024,SUMIF(#REF!,AI36,#REF!),SUMIF(#REF!,AI36,#REF!)))))</f>
        <v>0.25</v>
      </c>
      <c r="AL36" s="310">
        <f ca="1">IF($B$5=2021,SUMIF('РЕЕСТР РИСКОВ_2023'!$K$40:$AD$279,AI36,'РЕЕСТР РИСКОВ_2023'!$AD$40:$AD$279),IF($B$5=2022,SUMIF(#REF!,AI36,#REF!),IF($B$5=2023,SUMIF(#REF!,AI36,#REF!),IF($B$5=2024,SUMIF(#REF!,AI36,#REF!),IF($B$5=2025,SUMIF(#REF!,AI36,#REF!))))))</f>
        <v>0</v>
      </c>
      <c r="AM36" s="311">
        <f t="shared" ca="1" si="10"/>
        <v>0</v>
      </c>
    </row>
    <row r="37" spans="2:39" ht="75.75" customHeight="1">
      <c r="B37" s="60"/>
      <c r="C37" s="61"/>
      <c r="G37" s="65"/>
      <c r="H37" s="66"/>
      <c r="I37"/>
      <c r="K37" s="59"/>
      <c r="L37" s="487" t="s">
        <v>187</v>
      </c>
      <c r="M37" s="502" t="s">
        <v>124</v>
      </c>
      <c r="N37" s="312" t="str">
        <f t="shared" ref="N37:N46" ca="1" si="11">"ВЕРОЯТНОСТЬ  "&amp;IF(O37&lt;0.05,1,IF((O37&gt;=0.05)*(O37&lt;0.25),2,IF((O37&gt;=0.25)*(O37&lt;0.5),3,IF((O37&gt;=0.5)*(O37&lt;0.75),4,5))))&amp;"  ВЛИЯНИЕ  "&amp;IF(P37&gt;-200,1,IF((P37&lt;=-200)*(P37&gt;-500),2,IF((P37&lt;=-500)*(P37&gt;-1000),3,IF((P37&lt;=-1000)*(P37&gt;-3000),4,5))))</f>
        <v>ВЕРОЯТНОСТЬ  5  ВЛИЯНИЕ  1</v>
      </c>
      <c r="O37" s="507">
        <f ca="1">IF($B$5=2021,SUMIF('РЕЕСТР РИСКОВ_2023'!$K$40:$AC$248,M37,'РЕЕСТР РИСКОВ_2023'!$Y$40:$Y$248),IF($B$5=2022,SUMIF(#REF!,M37,#REF!),IF($B$5=2023,SUMIF(#REF!,M37,#REF!),IF($B$5=2024,SUMIF(#REF!,M37,#REF!),SUMIF(#REF!,M37,#REF!)))))</f>
        <v>0.8</v>
      </c>
      <c r="P37" s="508">
        <f ca="1">IF($B$5=2021,SUMIF('РЕЕСТР РИСКОВ_2023'!$K$40:$AD$248,M37,'РЕЕСТР РИСКОВ_2023'!$Z$40:$Z$248),IF($B$5=2022,SUMIF(#REF!,M37,#REF!),IF($B$5=2023,SUMIF(#REF!,M37,#REF!),IF($B$5=2024,SUMIF(#REF!,M37,#REF!),IF($B$5=2025,SUMIF(#REF!,M37,#REF!))))))</f>
        <v>0</v>
      </c>
      <c r="Q37" s="509">
        <f t="shared" ref="Q37:Q46" ca="1" si="12">O37*P37</f>
        <v>0</v>
      </c>
      <c r="R37" s="462"/>
      <c r="S37" s="486" t="s">
        <v>194</v>
      </c>
      <c r="T37" s="499" t="s">
        <v>489</v>
      </c>
      <c r="U37" s="498" t="str">
        <f ca="1">"ВЕРОЯТНОСТЬ  "&amp;IF(V37&lt;0.05,1,IF((V37&gt;=0.05)*(V37&lt;0.25),2,IF((V37&gt;=0.25)*(V37&lt;0.5),3,IF((V37&gt;=0.5)*(V37&lt;0.75),4,5))))&amp;"  ВЛИЯНИЕ  "&amp;IF(W37&gt;-200,1,IF((W37&lt;=-200)*(W37&gt;-500),2,IF((W37&lt;=-500)*(W37&gt;-1000),3,IF((W37&lt;=-1000)*(W37&gt;-3000),4,5))))</f>
        <v>ВЕРОЯТНОСТЬ  4  ВЛИЯНИЕ  1</v>
      </c>
      <c r="V37" s="507">
        <f ca="1">IF($B$5=2021,SUMIF('РЕЕСТР РИСКОВ_2023'!$K$40:$AC$248,T37,'РЕЕСТР РИСКОВ_2023'!$AC$40:$AC$248),IF($B$5=2022,SUMIF(#REF!,T37,#REF!),IF($B$5=2023,SUMIF(#REF!,T37,#REF!),IF($B$5=2024,SUMIF(#REF!,T37,#REF!),SUMIF(#REF!,T37,#REF!)))))</f>
        <v>0.5</v>
      </c>
      <c r="W37" s="508">
        <f ca="1">IF($B$5=2021,SUMIF('РЕЕСТР РИСКОВ_2023'!$K$40:$AD$248,T37,'РЕЕСТР РИСКОВ_2023'!$AD$40:$AD$248),IF($B$5=2022,SUMIF(#REF!,T37,#REF!),IF($B$5=2023,SUMIF(#REF!,T37,#REF!),IF($B$5=2024,SUMIF(#REF!,T37,#REF!),IF($B$5=2025,SUMIF(#REF!,T37,#REF!))))))</f>
        <v>0</v>
      </c>
      <c r="X37" s="509">
        <f ca="1">V37*W37</f>
        <v>0</v>
      </c>
      <c r="Y37" s="462"/>
      <c r="Z37" s="462"/>
      <c r="AA37" s="1567" t="s">
        <v>844</v>
      </c>
      <c r="AB37" s="1568"/>
      <c r="AC37" s="2"/>
      <c r="AD37" s="309"/>
      <c r="AE37" s="310"/>
      <c r="AF37" s="311"/>
      <c r="AH37" s="1567" t="s">
        <v>848</v>
      </c>
      <c r="AI37" s="1568"/>
      <c r="AJ37" s="312"/>
      <c r="AK37" s="309"/>
      <c r="AL37" s="310"/>
      <c r="AM37" s="311"/>
    </row>
    <row r="38" spans="2:39" ht="114.75" customHeight="1">
      <c r="B38" s="60"/>
      <c r="C38" s="61"/>
      <c r="G38" s="65"/>
      <c r="H38" s="66"/>
      <c r="I38"/>
      <c r="K38" s="59"/>
      <c r="L38" s="483" t="s">
        <v>188</v>
      </c>
      <c r="M38" s="502" t="s">
        <v>605</v>
      </c>
      <c r="N38" s="312" t="str">
        <f t="shared" ca="1" si="11"/>
        <v>ВЕРОЯТНОСТЬ  2  ВЛИЯНИЕ  1</v>
      </c>
      <c r="O38" s="507">
        <f ca="1">IF($B$5=2021,SUMIF('РЕЕСТР РИСКОВ_2023'!$K$40:$AC$248,M38,'РЕЕСТР РИСКОВ_2023'!$Y$40:$Y$248),IF($B$5=2022,SUMIF(#REF!,M38,#REF!),IF($B$5=2023,SUMIF(#REF!,M38,#REF!),IF($B$5=2024,SUMIF(#REF!,M38,#REF!),SUMIF(#REF!,M38,#REF!)))))</f>
        <v>0.05</v>
      </c>
      <c r="P38" s="508">
        <f ca="1">IF($B$5=2021,SUMIF('РЕЕСТР РИСКОВ_2023'!$K$40:$AD$248,M38,'РЕЕСТР РИСКОВ_2023'!$Z$40:$Z$248),IF($B$5=2022,SUMIF(#REF!,M38,#REF!),IF($B$5=2023,SUMIF(#REF!,M38,#REF!),IF($B$5=2024,SUMIF(#REF!,M38,#REF!),IF($B$5=2025,SUMIF(#REF!,M38,#REF!))))))</f>
        <v>0</v>
      </c>
      <c r="Q38" s="509">
        <f t="shared" ca="1" si="12"/>
        <v>0</v>
      </c>
      <c r="R38" s="462"/>
      <c r="S38" s="488" t="s">
        <v>195</v>
      </c>
      <c r="T38" s="499" t="s">
        <v>939</v>
      </c>
      <c r="U38" s="498" t="str">
        <f ca="1">"ВЕРОЯТНОСТЬ  "&amp;IF(V38&lt;0.05,1,IF((V38&gt;=0.05)*(V38&lt;0.25),2,IF((V38&gt;=0.25)*(V38&lt;0.5),3,IF((V38&gt;=0.5)*(V38&lt;0.75),4,5))))&amp;"  ВЛИЯНИЕ  "&amp;IF(W38&gt;-200,1,IF((W38&lt;=-200)*(W38&gt;-500),2,IF((W38&lt;=-500)*(W38&gt;-1000),3,IF((W38&lt;=-1000)*(W38&gt;-3000),4,5))))</f>
        <v>ВЕРОЯТНОСТЬ  1  ВЛИЯНИЕ  1</v>
      </c>
      <c r="V38" s="507">
        <f ca="1">IF($B$5=2021,SUMIF('РЕЕСТР РИСКОВ_2023'!$K$40:$AC$248,T38,'РЕЕСТР РИСКОВ_2023'!$AC$40:$AC$248),IF($B$5=2022,SUMIF(#REF!,T38,#REF!),IF($B$5=2023,SUMIF(#REF!,T38,#REF!),IF($B$5=2024,SUMIF(#REF!,T38,#REF!),SUMIF(#REF!,T38,#REF!)))))</f>
        <v>0</v>
      </c>
      <c r="W38" s="508">
        <f ca="1">IF($B$5=2021,SUMIF('РЕЕСТР РИСКОВ_2023'!$K$40:$AD$248,T38,'РЕЕСТР РИСКОВ_2023'!$AD$40:$AD$248),IF($B$5=2022,SUMIF(#REF!,T38,#REF!),IF($B$5=2023,SUMIF(#REF!,T38,#REF!),IF($B$5=2024,SUMIF(#REF!,T38,#REF!),IF($B$5=2025,SUMIF(#REF!,T38,#REF!))))))</f>
        <v>0</v>
      </c>
      <c r="X38" s="509">
        <f ca="1">V38*W38</f>
        <v>0</v>
      </c>
      <c r="Y38" s="462"/>
      <c r="Z38" s="462"/>
      <c r="AA38" s="485" t="s">
        <v>1131</v>
      </c>
      <c r="AB38" s="504" t="s">
        <v>606</v>
      </c>
      <c r="AC38" s="312" t="str">
        <f ca="1">"ВЕРОЯТНОСТЬ  "&amp;IF(AD38&lt;0.05,1,IF((AD38&gt;=0.05)*(AD38&lt;0.25),2,IF((AD38&gt;=0.25)*(AD38&lt;0.5),3,IF((AD38&gt;=0.5)*(AD38&lt;0.75),4,5))))&amp;"  ВЛИЯНИЕ  "&amp;IF(AE38&gt;-200,1,IF((AE38&lt;=-200)*(AE38&gt;-500),2,IF((AE38&lt;=-500)*(AE38&gt;-1000),3,IF((AE38&lt;=-1000)*(AE38&gt;-3000),4,5))))</f>
        <v>ВЕРОЯТНОСТЬ  1  ВЛИЯНИЕ  1</v>
      </c>
      <c r="AD38" s="309">
        <f ca="1">IF($B$5=2021,SUMIF('РЕЕСТР РИСКОВ_2023'!$K$40:$AC$279,AB38,'РЕЕСТР РИСКОВ_2023'!$AC$40:$AC$279),IF($B$5=2022,SUMIF(#REF!,AB38,#REF!),IF($B$5=2023,SUMIF(#REF!,AB38,#REF!),IF($B$5=2024,SUMIF(#REF!,AB38,#REF!),SUMIF(#REF!,AB38,#REF!)))))</f>
        <v>0</v>
      </c>
      <c r="AE38" s="310">
        <f ca="1">IF($B$5=2021,SUMIF('РЕЕСТР РИСКОВ_2023'!$K$40:$AD$279,AB38,'РЕЕСТР РИСКОВ_2023'!$AD$40:$AD$279),IF($B$5=2022,SUMIF(#REF!,AB38,#REF!),IF($B$5=2023,SUMIF(#REF!,AB38,#REF!),IF($B$5=2024,SUMIF(#REF!,AB38,#REF!),IF($B$5=2025,SUMIF(#REF!,AB38,#REF!))))))</f>
        <v>0</v>
      </c>
      <c r="AF38" s="311">
        <f ca="1">AD38*AE38</f>
        <v>0</v>
      </c>
      <c r="AH38" s="485" t="s">
        <v>1134</v>
      </c>
      <c r="AI38" s="504" t="s">
        <v>1054</v>
      </c>
      <c r="AJ38" s="312" t="str">
        <f ca="1">"ВЕРОЯТНОСТЬ  "&amp;IF(AK38&lt;0.05,1,IF((AK38&gt;=0.05)*(AK38&lt;0.25),2,IF((AK38&gt;=0.25)*(AK38&lt;0.5),3,IF((AK38&gt;=0.5)*(AK38&lt;0.75),4,5))))&amp;"  ВЛИЯНИЕ  "&amp;IF(AL38&gt;-200,1,IF((AL38&lt;=-200)*(AL38&gt;-500),2,IF((AL38&lt;=-500)*(AL38&gt;-1000),3,IF((AL38&lt;=-1000)*(AL38&gt;-3000),4,5))))</f>
        <v>ВЕРОЯТНОСТЬ  2  ВЛИЯНИЕ  1</v>
      </c>
      <c r="AK38" s="309">
        <f ca="1">IF($B$5=2021,SUMIF('РЕЕСТР РИСКОВ_2023'!$K$40:$AC$279,AI38,'РЕЕСТР РИСКОВ_2023'!$AC$40:$AC$279),IF($B$5=2022,SUMIF(#REF!,AI38,#REF!),IF($B$5=2023,SUMIF(#REF!,AI38,#REF!),IF($B$5=2024,SUMIF(#REF!,AI38,#REF!),SUMIF(#REF!,AI38,#REF!)))))</f>
        <v>0.05</v>
      </c>
      <c r="AL38" s="310">
        <f ca="1">IF($B$5=2021,SUMIF('РЕЕСТР РИСКОВ_2023'!$K$40:$AD$279,AI38,'РЕЕСТР РИСКОВ_2023'!$AD$40:$AD$279),IF($B$5=2022,SUMIF(#REF!,AI38,#REF!),IF($B$5=2023,SUMIF(#REF!,AI38,#REF!),IF($B$5=2024,SUMIF(#REF!,AI38,#REF!),IF($B$5=2025,SUMIF(#REF!,AI38,#REF!))))))</f>
        <v>0</v>
      </c>
      <c r="AM38" s="311">
        <f t="shared" ca="1" si="10"/>
        <v>0</v>
      </c>
    </row>
    <row r="39" spans="2:39" ht="66.75" customHeight="1">
      <c r="B39" s="60"/>
      <c r="C39" s="61"/>
      <c r="F39" s="87"/>
      <c r="G39" s="65"/>
      <c r="H39" s="66"/>
      <c r="I39"/>
      <c r="K39" s="59"/>
      <c r="L39" s="471" t="s">
        <v>189</v>
      </c>
      <c r="M39" s="502" t="s">
        <v>630</v>
      </c>
      <c r="N39" s="312" t="str">
        <f t="shared" ca="1" si="11"/>
        <v>ВЕРОЯТНОСТЬ  5  ВЛИЯНИЕ  1</v>
      </c>
      <c r="O39" s="507">
        <f ca="1">IF($B$5=2021,SUMIF('РЕЕСТР РИСКОВ_2023'!$K$40:$AC$248,M39,'РЕЕСТР РИСКОВ_2023'!$Y$40:$Y$248),IF($B$5=2022,SUMIF(#REF!,M39,#REF!),IF($B$5=2023,SUMIF(#REF!,M39,#REF!),IF($B$5=2024,SUMIF(#REF!,M39,#REF!),SUMIF(#REF!,M39,#REF!)))))</f>
        <v>0.95</v>
      </c>
      <c r="P39" s="508">
        <f ca="1">IF($B$5=2021,SUMIF('РЕЕСТР РИСКОВ_2023'!$K$40:$AD$248,M39,'РЕЕСТР РИСКОВ_2023'!$Z$40:$Z$248),IF($B$5=2022,SUMIF(#REF!,M39,#REF!),IF($B$5=2023,SUMIF(#REF!,M39,#REF!),IF($B$5=2024,SUMIF(#REF!,M39,#REF!),IF($B$5=2025,SUMIF(#REF!,M39,#REF!))))))</f>
        <v>0</v>
      </c>
      <c r="Q39" s="509">
        <f t="shared" ca="1" si="12"/>
        <v>0</v>
      </c>
      <c r="R39" s="462"/>
      <c r="S39" s="488" t="s">
        <v>196</v>
      </c>
      <c r="T39" s="499" t="s">
        <v>1005</v>
      </c>
      <c r="U39" s="498" t="str">
        <f ca="1">"ВЕРОЯТНОСТЬ  "&amp;IF(V39&lt;0.05,1,IF((V39&gt;=0.05)*(V39&lt;0.25),2,IF((V39&gt;=0.25)*(V39&lt;0.5),3,IF((V39&gt;=0.5)*(V39&lt;0.75),4,5))))&amp;"  ВЛИЯНИЕ  "&amp;IF(W39&gt;-200,1,IF((W39&lt;=-200)*(W39&gt;-500),2,IF((W39&lt;=-500)*(W39&gt;-1000),3,IF((W39&lt;=-1000)*(W39&gt;-3000),4,5))))</f>
        <v>ВЕРОЯТНОСТЬ  4  ВЛИЯНИЕ  1</v>
      </c>
      <c r="V39" s="507">
        <f ca="1">IF($B$5=2021,SUMIF('РЕЕСТР РИСКОВ_2023'!$K$40:$AC$248,T39,'РЕЕСТР РИСКОВ_2023'!$AC$40:$AC$248),IF($B$5=2022,SUMIF(#REF!,T39,#REF!),IF($B$5=2023,SUMIF(#REF!,T39,#REF!),IF($B$5=2024,SUMIF(#REF!,T39,#REF!),SUMIF(#REF!,T39,#REF!)))))</f>
        <v>0.5</v>
      </c>
      <c r="W39" s="508">
        <f ca="1">IF($B$5=2021,SUMIF('РЕЕСТР РИСКОВ_2023'!$K$40:$AD$248,T39,'РЕЕСТР РИСКОВ_2023'!$AD$40:$AD$248),IF($B$5=2022,SUMIF(#REF!,T39,#REF!),IF($B$5=2023,SUMIF(#REF!,T39,#REF!),IF($B$5=2024,SUMIF(#REF!,T39,#REF!),IF($B$5=2025,SUMIF(#REF!,T39,#REF!))))))</f>
        <v>0</v>
      </c>
      <c r="X39" s="509">
        <f ca="1">V39*W39</f>
        <v>0</v>
      </c>
      <c r="Y39" s="462"/>
      <c r="Z39" s="462"/>
      <c r="AA39" s="485" t="s">
        <v>1132</v>
      </c>
      <c r="AB39" s="504" t="s">
        <v>856</v>
      </c>
      <c r="AC39" s="312" t="str">
        <f ca="1">"ВЕРОЯТНОСТЬ  "&amp;IF(AD39&lt;0.05,1,IF((AD39&gt;=0.05)*(AD39&lt;0.25),2,IF((AD39&gt;=0.25)*(AD39&lt;0.5),3,IF((AD39&gt;=0.5)*(AD39&lt;0.75),4,5))))&amp;"  ВЛИЯНИЕ  "&amp;IF(AE39&gt;-200,1,IF((AE39&lt;=-200)*(AE39&gt;-500),2,IF((AE39&lt;=-500)*(AE39&gt;-1000),3,IF((AE39&lt;=-1000)*(AE39&gt;-3000),4,5))))</f>
        <v>ВЕРОЯТНОСТЬ  3  ВЛИЯНИЕ  1</v>
      </c>
      <c r="AD39" s="309">
        <f ca="1">IF($B$5=2021,SUMIF('РЕЕСТР РИСКОВ_2023'!$K$40:$AC$279,AB39,'РЕЕСТР РИСКОВ_2023'!$AC$40:$AC$279),IF($B$5=2022,SUMIF(#REF!,AB39,#REF!),IF($B$5=2023,SUMIF(#REF!,AB39,#REF!),IF($B$5=2024,SUMIF(#REF!,AB39,#REF!),SUMIF(#REF!,AB39,#REF!)))))</f>
        <v>0.25</v>
      </c>
      <c r="AE39" s="310">
        <f ca="1">IF($B$5=2021,SUMIF('РЕЕСТР РИСКОВ_2023'!$K$40:$AD$279,AB39,'РЕЕСТР РИСКОВ_2023'!$AD$40:$AD$279),IF($B$5=2022,SUMIF(#REF!,AB39,#REF!),IF($B$5=2023,SUMIF(#REF!,AB39,#REF!),IF($B$5=2024,SUMIF(#REF!,AB39,#REF!),IF($B$5=2025,SUMIF(#REF!,AB39,#REF!))))))</f>
        <v>0</v>
      </c>
      <c r="AF39" s="311">
        <f ca="1">AD39*AE39</f>
        <v>0</v>
      </c>
    </row>
    <row r="40" spans="2:39" ht="63.75" customHeight="1">
      <c r="B40" s="60"/>
      <c r="C40" s="61"/>
      <c r="F40" s="87"/>
      <c r="G40" s="65"/>
      <c r="H40" s="66"/>
      <c r="I40"/>
      <c r="K40" s="59"/>
      <c r="L40" s="487" t="s">
        <v>198</v>
      </c>
      <c r="M40" s="502" t="s">
        <v>631</v>
      </c>
      <c r="N40" s="312" t="str">
        <f t="shared" ca="1" si="11"/>
        <v>ВЕРОЯТНОСТЬ  5  ВЛИЯНИЕ  1</v>
      </c>
      <c r="O40" s="507">
        <f ca="1">IF($B$5=2021,SUMIF('РЕЕСТР РИСКОВ_2023'!$K$40:$AC$248,M40,'РЕЕСТР РИСКОВ_2023'!$Y$40:$Y$248),IF($B$5=2022,SUMIF(#REF!,M40,#REF!),IF($B$5=2023,SUMIF(#REF!,M40,#REF!),IF($B$5=2024,SUMIF(#REF!,M40,#REF!),SUMIF(#REF!,M40,#REF!)))))</f>
        <v>0.8</v>
      </c>
      <c r="P40" s="508">
        <f ca="1">IF($B$5=2021,SUMIF('РЕЕСТР РИСКОВ_2023'!$K$40:$AD$248,M40,'РЕЕСТР РИСКОВ_2023'!$Z$40:$Z$248),IF($B$5=2022,SUMIF(#REF!,M40,#REF!),IF($B$5=2023,SUMIF(#REF!,M40,#REF!),IF($B$5=2024,SUMIF(#REF!,M40,#REF!),IF($B$5=2025,SUMIF(#REF!,M40,#REF!))))))</f>
        <v>0</v>
      </c>
      <c r="Q40" s="509">
        <f t="shared" ca="1" si="12"/>
        <v>0</v>
      </c>
      <c r="R40" s="462"/>
      <c r="S40" s="488" t="s">
        <v>196</v>
      </c>
      <c r="T40" s="499" t="s">
        <v>156</v>
      </c>
      <c r="U40" s="498" t="str">
        <f ca="1">"ВЕРОЯТНОСТЬ  "&amp;IF(V40&lt;0.05,1,IF((V40&gt;=0.05)*(V40&lt;0.25),2,IF((V40&gt;=0.25)*(V40&lt;0.5),3,IF((V40&gt;=0.5)*(V40&lt;0.75),4,5))))&amp;"  ВЛИЯНИЕ  "&amp;IF(W40&gt;-200,1,IF((W40&lt;=-200)*(W40&gt;-500),2,IF((W40&lt;=-500)*(W40&gt;-1000),3,IF((W40&lt;=-1000)*(W40&gt;-3000),4,5))))</f>
        <v>ВЕРОЯТНОСТЬ  3  ВЛИЯНИЕ  1</v>
      </c>
      <c r="V40" s="507">
        <f ca="1">IF($B$5=2021,SUMIF('РЕЕСТР РИСКОВ_2023'!$K$40:$AC$248,T40,'РЕЕСТР РИСКОВ_2023'!$AC$40:$AC$248),IF($B$5=2022,SUMIF(#REF!,T40,#REF!),IF($B$5=2023,SUMIF(#REF!,T40,#REF!),IF($B$5=2024,SUMIF(#REF!,T40,#REF!),SUMIF(#REF!,T40,#REF!)))))</f>
        <v>0.4</v>
      </c>
      <c r="W40" s="508">
        <f ca="1">IF($B$5=2021,SUMIF('РЕЕСТР РИСКОВ_2023'!$K$40:$AD$248,T40,'РЕЕСТР РИСКОВ_2023'!$AD$40:$AD$248),IF($B$5=2022,SUMIF(#REF!,T40,#REF!),IF($B$5=2023,SUMIF(#REF!,T40,#REF!),IF($B$5=2024,SUMIF(#REF!,T40,#REF!),IF($B$5=2025,SUMIF(#REF!,T40,#REF!))))))</f>
        <v>0</v>
      </c>
      <c r="X40" s="509">
        <f ca="1">V40*W40</f>
        <v>0</v>
      </c>
      <c r="Y40" s="462"/>
      <c r="Z40" s="462"/>
      <c r="AA40" s="485" t="s">
        <v>1133</v>
      </c>
      <c r="AB40" s="504" t="s">
        <v>1036</v>
      </c>
      <c r="AC40" s="312" t="str">
        <f ca="1">"ВЕРОЯТНОСТЬ  "&amp;IF(AD40&lt;0.05,1,IF((AD40&gt;=0.05)*(AD40&lt;0.25),2,IF((AD40&gt;=0.25)*(AD40&lt;0.5),3,IF((AD40&gt;=0.5)*(AD40&lt;0.75),4,5))))&amp;"  ВЛИЯНИЕ  "&amp;IF(AE40&gt;-200,1,IF((AE40&lt;=-200)*(AE40&gt;-500),2,IF((AE40&lt;=-500)*(AE40&gt;-1000),3,IF((AE40&lt;=-1000)*(AE40&gt;-3000),4,5))))</f>
        <v>ВЕРОЯТНОСТЬ  2  ВЛИЯНИЕ  5</v>
      </c>
      <c r="AD40" s="309">
        <f ca="1">IF($B$5=2021,SUMIF('РЕЕСТР РИСКОВ_2023'!$K$40:$AC$279,AB40,'РЕЕСТР РИСКОВ_2023'!$AC$40:$AC$279),IF($B$5=2022,SUMIF(#REF!,AB40,#REF!),IF($B$5=2023,SUMIF(#REF!,AB40,#REF!),IF($B$5=2024,SUMIF(#REF!,AB40,#REF!),SUMIF(#REF!,AB40,#REF!)))))</f>
        <v>0.05</v>
      </c>
      <c r="AE40" s="310">
        <f ca="1">IF($B$5=2021,SUMIF('РЕЕСТР РИСКОВ_2023'!$K$40:$AD$279,AB40,'РЕЕСТР РИСКОВ_2023'!$AD$40:$AD$279),IF($B$5=2022,SUMIF(#REF!,AB40,#REF!),IF($B$5=2023,SUMIF(#REF!,AB40,#REF!),IF($B$5=2024,SUMIF(#REF!,AB40,#REF!),IF($B$5=2025,SUMIF(#REF!,AB40,#REF!))))))</f>
        <v>-50000</v>
      </c>
      <c r="AF40" s="311">
        <f ca="1">AD40*AE40</f>
        <v>-2500</v>
      </c>
    </row>
    <row r="41" spans="2:39" ht="63.75" customHeight="1">
      <c r="B41" s="60"/>
      <c r="C41" s="61"/>
      <c r="F41" s="87"/>
      <c r="G41" s="65"/>
      <c r="H41" s="66"/>
      <c r="I41" s="66"/>
      <c r="K41" s="59"/>
      <c r="L41" s="466" t="s">
        <v>199</v>
      </c>
      <c r="M41" s="502" t="s">
        <v>44</v>
      </c>
      <c r="N41" s="312" t="str">
        <f t="shared" ca="1" si="11"/>
        <v>ВЕРОЯТНОСТЬ  5  ВЛИЯНИЕ  1</v>
      </c>
      <c r="O41" s="507">
        <f ca="1">IF($B$5=2021,SUMIF('РЕЕСТР РИСКОВ_2023'!$K$40:$AC$248,M41,'РЕЕСТР РИСКОВ_2023'!$Y$40:$Y$248),IF($B$5=2022,SUMIF(#REF!,M41,#REF!),IF($B$5=2023,SUMIF(#REF!,M41,#REF!),IF($B$5=2024,SUMIF(#REF!,M41,#REF!),SUMIF(#REF!,M41,#REF!)))))</f>
        <v>0.8</v>
      </c>
      <c r="P41" s="508">
        <f ca="1">IF($B$5=2021,SUMIF('РЕЕСТР РИСКОВ_2023'!$K$40:$AD$248,M41,'РЕЕСТР РИСКОВ_2023'!$Z$40:$Z$248),IF($B$5=2022,SUMIF(#REF!,M41,#REF!),IF($B$5=2023,SUMIF(#REF!,M41,#REF!),IF($B$5=2024,SUMIF(#REF!,M41,#REF!),IF($B$5=2025,SUMIF(#REF!,M41,#REF!))))))</f>
        <v>-65</v>
      </c>
      <c r="Q41" s="509">
        <f t="shared" ca="1" si="12"/>
        <v>-52</v>
      </c>
      <c r="R41" s="462"/>
      <c r="S41" s="1589" t="s">
        <v>83</v>
      </c>
      <c r="T41" s="1590"/>
      <c r="U41" s="498"/>
      <c r="V41" s="507"/>
      <c r="W41" s="508"/>
      <c r="X41" s="509"/>
      <c r="Y41" s="462"/>
      <c r="Z41" s="462"/>
      <c r="AA41" s="485" t="s">
        <v>1179</v>
      </c>
      <c r="AB41" s="504" t="s">
        <v>1180</v>
      </c>
      <c r="AC41" s="312" t="str">
        <f ca="1">"ВЕРОЯТНОСТЬ  "&amp;IF(AD41&lt;0.05,1,IF((AD41&gt;=0.05)*(AD41&lt;0.25),2,IF((AD41&gt;=0.25)*(AD41&lt;0.5),3,IF((AD41&gt;=0.5)*(AD41&lt;0.75),4,5))))&amp;"  ВЛИЯНИЕ  "&amp;IF(AE41&gt;-200,1,IF((AE41&lt;=-200)*(AE41&gt;-500),2,IF((AE41&lt;=-500)*(AE41&gt;-1000),3,IF((AE41&lt;=-1000)*(AE41&gt;-3000),4,5))))</f>
        <v>ВЕРОЯТНОСТЬ  1  ВЛИЯНИЕ  1</v>
      </c>
      <c r="AD41" s="309">
        <f ca="1">IF($B$5=2021,SUMIF('РЕЕСТР РИСКОВ_2023'!$K$40:$AC$279,AB41,'РЕЕСТР РИСКОВ_2023'!$AC$40:$AC$279),IF($B$5=2022,SUMIF(#REF!,AB41,#REF!),IF($B$5=2023,SUMIF(#REF!,AB41,#REF!),IF($B$5=2024,SUMIF(#REF!,AB41,#REF!),SUMIF(#REF!,AB41,#REF!)))))</f>
        <v>0</v>
      </c>
      <c r="AE41" s="310">
        <f ca="1">IF($B$5=2021,SUMIF('РЕЕСТР РИСКОВ_2023'!$K$40:$AD$279,AB41,'РЕЕСТР РИСКОВ_2023'!$AD$40:$AD$279),IF($B$5=2022,SUMIF(#REF!,AB41,#REF!),IF($B$5=2023,SUMIF(#REF!,AB41,#REF!),IF($B$5=2024,SUMIF(#REF!,AB41,#REF!),IF($B$5=2025,SUMIF(#REF!,AB41,#REF!))))))</f>
        <v>0</v>
      </c>
      <c r="AF41" s="311">
        <f ca="1">AD41*AE41</f>
        <v>0</v>
      </c>
    </row>
    <row r="42" spans="2:39" ht="71.099999999999994" customHeight="1">
      <c r="B42" s="60"/>
      <c r="C42" s="61"/>
      <c r="F42" s="87"/>
      <c r="G42" s="65"/>
      <c r="H42" s="66"/>
      <c r="I42" s="66"/>
      <c r="K42" s="59"/>
      <c r="L42" s="466" t="s">
        <v>200</v>
      </c>
      <c r="M42" s="502" t="s">
        <v>54</v>
      </c>
      <c r="N42" s="312" t="str">
        <f t="shared" ca="1" si="11"/>
        <v>ВЕРОЯТНОСТЬ  5  ВЛИЯНИЕ  1</v>
      </c>
      <c r="O42" s="507">
        <f ca="1">IF($B$5=2021,SUMIF('РЕЕСТР РИСКОВ_2023'!$K$40:$AC$248,M42,'РЕЕСТР РИСКОВ_2023'!$Y$40:$Y$248),IF($B$5=2022,SUMIF(#REF!,M42,#REF!),IF($B$5=2023,SUMIF(#REF!,M42,#REF!),IF($B$5=2024,SUMIF(#REF!,M42,#REF!),SUMIF(#REF!,M42,#REF!)))))</f>
        <v>0.8</v>
      </c>
      <c r="P42" s="508">
        <f ca="1">IF($B$5=2021,SUMIF('РЕЕСТР РИСКОВ_2023'!$K$40:$AD$248,M42,'РЕЕСТР РИСКОВ_2023'!$Z$40:$Z$248),IF($B$5=2022,SUMIF(#REF!,M42,#REF!),IF($B$5=2023,SUMIF(#REF!,M42,#REF!),IF($B$5=2024,SUMIF(#REF!,M42,#REF!),IF($B$5=2025,SUMIF(#REF!,M42,#REF!))))))</f>
        <v>0</v>
      </c>
      <c r="Q42" s="509">
        <f t="shared" ca="1" si="12"/>
        <v>0</v>
      </c>
      <c r="R42" s="462"/>
      <c r="S42" s="466" t="s">
        <v>190</v>
      </c>
      <c r="T42" s="502" t="s">
        <v>3</v>
      </c>
      <c r="U42" s="498" t="str">
        <f ca="1">"ВЕРОЯТНОСТЬ  "&amp;IF(V42&lt;0.05,1,IF((V42&gt;=0.05)*(V42&lt;0.25),2,IF((V42&gt;=0.25)*(V42&lt;0.5),3,IF((V42&gt;=0.5)*(V42&lt;0.75),4,5))))&amp;"  ВЛИЯНИЕ  "&amp;IF(W42&gt;-200,1,IF((W42&lt;=-200)*(W42&gt;-500),2,IF((W42&lt;=-500)*(W42&gt;-1000),3,IF((W42&lt;=-1000)*(W42&gt;-3000),4,5))))</f>
        <v>ВЕРОЯТНОСТЬ  3  ВЛИЯНИЕ  2</v>
      </c>
      <c r="V42" s="507">
        <f ca="1">IF($B$5=2021,SUMIF('РЕЕСТР РИСКОВ_2023'!$K$40:$AC$248,T42,'РЕЕСТР РИСКОВ_2023'!$AC$40:$AC$248),IF($B$5=2022,SUMIF(#REF!,T42,#REF!),IF($B$5=2023,SUMIF(#REF!,T42,#REF!),IF($B$5=2024,SUMIF(#REF!,T42,#REF!),SUMIF(#REF!,T42,#REF!)))))</f>
        <v>0.25</v>
      </c>
      <c r="W42" s="508">
        <f ca="1">IF($B$5=2021,SUMIF('РЕЕСТР РИСКОВ_2023'!$K$40:$AD$248,T42,'РЕЕСТР РИСКОВ_2023'!$AD$40:$AD$248),IF($B$5=2022,SUMIF(#REF!,T42,#REF!),IF($B$5=2023,SUMIF(#REF!,T42,#REF!),IF($B$5=2024,SUMIF(#REF!,T42,#REF!),IF($B$5=2025,SUMIF(#REF!,T42,#REF!))))))</f>
        <v>-269.72699999999998</v>
      </c>
      <c r="X42" s="509">
        <f ca="1">V42*W42</f>
        <v>-67.431749999999994</v>
      </c>
      <c r="Y42" s="462"/>
      <c r="Z42" s="462"/>
      <c r="AA42" s="1567" t="s">
        <v>859</v>
      </c>
      <c r="AB42" s="1568"/>
      <c r="AC42" s="312"/>
      <c r="AD42" s="309"/>
      <c r="AE42" s="310"/>
      <c r="AF42" s="311"/>
    </row>
    <row r="43" spans="2:39" ht="65.25" customHeight="1">
      <c r="B43" s="60"/>
      <c r="C43" s="61"/>
      <c r="D43" s="63"/>
      <c r="E43" s="64"/>
      <c r="F43" s="62"/>
      <c r="G43" s="65"/>
      <c r="H43" s="66"/>
      <c r="I43" s="66"/>
      <c r="K43" s="59"/>
      <c r="L43" s="474" t="s">
        <v>309</v>
      </c>
      <c r="M43" s="502" t="s">
        <v>56</v>
      </c>
      <c r="N43" s="312" t="str">
        <f t="shared" ca="1" si="11"/>
        <v>ВЕРОЯТНОСТЬ  5  ВЛИЯНИЕ  1</v>
      </c>
      <c r="O43" s="507">
        <f ca="1">IF($B$5=2021,SUMIF('РЕЕСТР РИСКОВ_2023'!$K$40:$AC$248,M43,'РЕЕСТР РИСКОВ_2023'!$Y$40:$Y$248),IF($B$5=2022,SUMIF(#REF!,M43,#REF!),IF($B$5=2023,SUMIF(#REF!,M43,#REF!),IF($B$5=2024,SUMIF(#REF!,M43,#REF!),SUMIF(#REF!,M43,#REF!)))))</f>
        <v>0.95</v>
      </c>
      <c r="P43" s="508">
        <f ca="1">IF($B$5=2021,SUMIF('РЕЕСТР РИСКОВ_2023'!$K$40:$AD$248,M43,'РЕЕСТР РИСКОВ_2023'!$Z$40:$Z$248),IF($B$5=2022,SUMIF(#REF!,M43,#REF!),IF($B$5=2023,SUMIF(#REF!,M43,#REF!),IF($B$5=2024,SUMIF(#REF!,M43,#REF!),IF($B$5=2025,SUMIF(#REF!,M43,#REF!))))))</f>
        <v>-23.292999999999999</v>
      </c>
      <c r="Q43" s="509">
        <f t="shared" ca="1" si="12"/>
        <v>-22.128349999999998</v>
      </c>
      <c r="R43" s="462"/>
      <c r="S43" s="1589" t="s">
        <v>85</v>
      </c>
      <c r="T43" s="1590"/>
      <c r="U43" s="498"/>
      <c r="V43" s="507"/>
      <c r="W43" s="508"/>
      <c r="X43" s="509"/>
      <c r="Y43" s="462"/>
      <c r="Z43" s="462"/>
      <c r="AA43" s="484" t="s">
        <v>1135</v>
      </c>
      <c r="AB43" s="504" t="s">
        <v>1065</v>
      </c>
      <c r="AC43" s="312" t="str">
        <f ca="1">"ВЕРОЯТНОСТЬ  "&amp;IF(AD43&lt;0.05,1,IF((AD43&gt;=0.05)*(AD43&lt;0.25),2,IF((AD43&gt;=0.25)*(AD43&lt;0.5),3,IF((AD43&gt;=0.5)*(AD43&lt;0.75),4,5))))&amp;"  ВЛИЯНИЕ  "&amp;IF(AE43&gt;-200,1,IF((AE43&lt;=-200)*(AE43&gt;-500),2,IF((AE43&lt;=-500)*(AE43&gt;-1000),3,IF((AE43&lt;=-1000)*(AE43&gt;-3000),4,5))))</f>
        <v>ВЕРОЯТНОСТЬ  3  ВЛИЯНИЕ  5</v>
      </c>
      <c r="AD43" s="309">
        <f ca="1">IF($B$5=2021,SUMIF('РЕЕСТР РИСКОВ_2023'!$K$40:$AC$279,AB43,'РЕЕСТР РИСКОВ_2023'!$AC$40:$AC$279),IF($B$5=2022,SUMIF(#REF!,AB43,#REF!),IF($B$5=2023,SUMIF(#REF!,AB43,#REF!),IF($B$5=2024,SUMIF(#REF!,AB43,#REF!),SUMIF(#REF!,AB43,#REF!)))))</f>
        <v>0.4</v>
      </c>
      <c r="AE43" s="310">
        <f ca="1">IF($B$5=2021,SUMIF('РЕЕСТР РИСКОВ_2023'!$K$40:$AD$279,AB43,'РЕЕСТР РИСКОВ_2023'!$AD$40:$AD$279),IF($B$5=2022,SUMIF(#REF!,AB43,#REF!),IF($B$5=2023,SUMIF(#REF!,AB43,#REF!),IF($B$5=2024,SUMIF(#REF!,AB43,#REF!),IF($B$5=2025,SUMIF(#REF!,AB43,#REF!))))))</f>
        <v>-13600</v>
      </c>
      <c r="AF43" s="311">
        <f ca="1">AD43*AE43</f>
        <v>-5440</v>
      </c>
    </row>
    <row r="44" spans="2:39" ht="98.25" customHeight="1">
      <c r="B44" s="60"/>
      <c r="C44" s="61"/>
      <c r="D44" s="63"/>
      <c r="E44" s="64"/>
      <c r="F44" s="62"/>
      <c r="G44" s="65"/>
      <c r="H44" s="66"/>
      <c r="I44" s="66"/>
      <c r="K44" s="59"/>
      <c r="L44" s="466" t="s">
        <v>599</v>
      </c>
      <c r="M44" s="504" t="s">
        <v>45</v>
      </c>
      <c r="N44" s="312" t="str">
        <f t="shared" ca="1" si="11"/>
        <v>ВЕРОЯТНОСТЬ  1  ВЛИЯНИЕ  1</v>
      </c>
      <c r="O44" s="507">
        <f ca="1">IF($B$5=2021,SUMIF('РЕЕСТР РИСКОВ_2023'!$K$40:$AC$248,M44,'РЕЕСТР РИСКОВ_2023'!$Y$40:$Y$248),IF($B$5=2022,SUMIF(#REF!,M44,#REF!),IF($B$5=2023,SUMIF(#REF!,M44,#REF!),IF($B$5=2024,SUMIF(#REF!,M44,#REF!),SUMIF(#REF!,M44,#REF!)))))</f>
        <v>0</v>
      </c>
      <c r="P44" s="508">
        <f ca="1">IF($B$5=2021,SUMIF('РЕЕСТР РИСКОВ_2023'!$K$40:$AD$248,M44,'РЕЕСТР РИСКОВ_2023'!$Z$40:$Z$248),IF($B$5=2022,SUMIF(#REF!,M44,#REF!),IF($B$5=2023,SUMIF(#REF!,M44,#REF!),IF($B$5=2024,SUMIF(#REF!,M44,#REF!),IF($B$5=2025,SUMIF(#REF!,M44,#REF!))))))</f>
        <v>0</v>
      </c>
      <c r="Q44" s="509">
        <f t="shared" ca="1" si="12"/>
        <v>0</v>
      </c>
      <c r="R44" s="462"/>
      <c r="S44" s="474" t="s">
        <v>191</v>
      </c>
      <c r="T44" s="502" t="s">
        <v>37</v>
      </c>
      <c r="U44" s="498" t="str">
        <f ca="1">"ВЕРОЯТНОСТЬ  "&amp;IF(V44&lt;0.05,1,IF((V44&gt;=0.05)*(V44&lt;0.25),2,IF((V44&gt;=0.25)*(V44&lt;0.5),3,IF((V44&gt;=0.5)*(V44&lt;0.75),4,5))))&amp;"  ВЛИЯНИЕ  "&amp;IF(W44&gt;-200,1,IF((W44&lt;=-200)*(W44&gt;-500),2,IF((W44&lt;=-500)*(W44&gt;-1000),3,IF((W44&lt;=-1000)*(W44&gt;-3000),4,5))))</f>
        <v>ВЕРОЯТНОСТЬ  2  ВЛИЯНИЕ  5</v>
      </c>
      <c r="V44" s="507">
        <f ca="1">IF($B$5=2021,SUMIF('РЕЕСТР РИСКОВ_2023'!$K$40:$AC$248,T44,'РЕЕСТР РИСКОВ_2023'!$Y$40:$Y$248),IF($B$5=2022,SUMIF(#REF!,T44,#REF!),IF($B$5=2023,SUMIF(#REF!,T44,#REF!),IF($B$5=2024,SUMIF(#REF!,T44,#REF!),SUMIF(#REF!,T44,#REF!)))))</f>
        <v>0.05</v>
      </c>
      <c r="W44" s="508">
        <f ca="1">IF($B$5=2021,SUMIF('РЕЕСТР РИСКОВ_2023'!$K$40:$AD$248,T44,'РЕЕСТР РИСКОВ_2023'!$Z$40:$Z$248),IF($B$5=2022,SUMIF(#REF!,T44,#REF!),IF($B$5=2023,SUMIF(#REF!,T44,#REF!),IF($B$5=2024,SUMIF(#REF!,T44,#REF!),IF($B$5=2025,SUMIF(#REF!,T44,#REF!))))))</f>
        <v>-4332.5230000000001</v>
      </c>
      <c r="X44" s="509">
        <f ca="1">V44*W44</f>
        <v>-216.62615000000002</v>
      </c>
      <c r="Y44" s="462"/>
      <c r="Z44" s="462"/>
      <c r="AA44" s="485" t="s">
        <v>1136</v>
      </c>
      <c r="AB44" s="504" t="s">
        <v>857</v>
      </c>
      <c r="AC44" s="312" t="str">
        <f ca="1">"ВЕРОЯТНОСТЬ  "&amp;IF(AD44&lt;0.05,1,IF((AD44&gt;=0.05)*(AD44&lt;0.25),2,IF((AD44&gt;=0.25)*(AD44&lt;0.5),3,IF((AD44&gt;=0.5)*(AD44&lt;0.75),4,5))))&amp;"  ВЛИЯНИЕ  "&amp;IF(AE44&gt;-200,1,IF((AE44&lt;=-200)*(AE44&gt;-500),2,IF((AE44&lt;=-500)*(AE44&gt;-1000),3,IF((AE44&lt;=-1000)*(AE44&gt;-3000),4,5))))</f>
        <v>ВЕРОЯТНОСТЬ  3  ВЛИЯНИЕ  1</v>
      </c>
      <c r="AD44" s="309">
        <f ca="1">IF($B$5=2021,SUMIF('РЕЕСТР РИСКОВ_2023'!$K$40:$AC$279,AB44,'РЕЕСТР РИСКОВ_2023'!$AC$40:$AC$279),IF($B$5=2022,SUMIF(#REF!,AB44,#REF!),IF($B$5=2023,SUMIF(#REF!,AB44,#REF!),IF($B$5=2024,SUMIF(#REF!,AB44,#REF!),SUMIF(#REF!,AB44,#REF!)))))</f>
        <v>0.25</v>
      </c>
      <c r="AE44" s="310">
        <f ca="1">IF($B$5=2021,SUMIF('РЕЕСТР РИСКОВ_2023'!$K$40:$AD$279,AB44,'РЕЕСТР РИСКОВ_2023'!$AD$40:$AD$279),IF($B$5=2022,SUMIF(#REF!,AB44,#REF!),IF($B$5=2023,SUMIF(#REF!,AB44,#REF!),IF($B$5=2024,SUMIF(#REF!,AB44,#REF!),IF($B$5=2025,SUMIF(#REF!,AB44,#REF!))))))</f>
        <v>0</v>
      </c>
      <c r="AF44" s="311">
        <f ca="1">AD44*AE44</f>
        <v>0</v>
      </c>
    </row>
    <row r="45" spans="2:39" ht="98.25" customHeight="1">
      <c r="B45" s="60"/>
      <c r="C45" s="61"/>
      <c r="D45" s="63"/>
      <c r="E45" s="64"/>
      <c r="F45" s="62"/>
      <c r="G45" s="65"/>
      <c r="H45" s="66"/>
      <c r="I45" s="66"/>
      <c r="K45" s="59"/>
      <c r="L45" s="487" t="s">
        <v>632</v>
      </c>
      <c r="M45" s="502" t="s">
        <v>39</v>
      </c>
      <c r="N45" s="312" t="str">
        <f t="shared" ca="1" si="11"/>
        <v>ВЕРОЯТНОСТЬ  5  ВЛИЯНИЕ  1</v>
      </c>
      <c r="O45" s="507">
        <f ca="1">IF($B$5=2021,SUMIF('РЕЕСТР РИСКОВ_2023'!$K$40:$AC$248,M45,'РЕЕСТР РИСКОВ_2023'!$Y$40:$Y$248),IF($B$5=2022,SUMIF(#REF!,M45,#REF!),IF($B$5=2023,SUMIF(#REF!,M45,#REF!),IF($B$5=2024,SUMIF(#REF!,M45,#REF!),SUMIF(#REF!,M45,#REF!)))))</f>
        <v>0.8</v>
      </c>
      <c r="P45" s="508">
        <f ca="1">IF($B$5=2021,SUMIF('РЕЕСТР РИСКОВ_2023'!$K$40:$AD$248,M45,'РЕЕСТР РИСКОВ_2023'!$Z$40:$Z$248),IF($B$5=2022,SUMIF(#REF!,M45,#REF!),IF($B$5=2023,SUMIF(#REF!,M45,#REF!),IF($B$5=2024,SUMIF(#REF!,M45,#REF!),IF($B$5=2025,SUMIF(#REF!,M45,#REF!))))))</f>
        <v>0</v>
      </c>
      <c r="Q45" s="509">
        <f t="shared" ca="1" si="12"/>
        <v>0</v>
      </c>
      <c r="R45" s="462"/>
      <c r="S45" s="474" t="s">
        <v>192</v>
      </c>
      <c r="T45" s="502" t="s">
        <v>390</v>
      </c>
      <c r="U45" s="498" t="str">
        <f ca="1">"ВЕРОЯТНОСТЬ  "&amp;IF(V45&lt;0.05,1,IF((V45&gt;=0.05)*(V45&lt;0.25),2,IF((V45&gt;=0.25)*(V45&lt;0.5),3,IF((V45&gt;=0.5)*(V45&lt;0.75),4,5))))&amp;"  ВЛИЯНИЕ  "&amp;IF(W45&gt;-200,1,IF((W45&lt;=-200)*(W45&gt;-500),2,IF((W45&lt;=-500)*(W45&gt;-1000),3,IF((W45&lt;=-1000)*(W45&gt;-3000),4,5))))</f>
        <v>ВЕРОЯТНОСТЬ  3  ВЛИЯНИЕ  5</v>
      </c>
      <c r="V45" s="507">
        <f ca="1">IF($B$5=2021,SUMIF('РЕЕСТР РИСКОВ_2023'!$K$40:$AC$248,T45,'РЕЕСТР РИСКОВ_2023'!$Y$40:$Y$248),IF($B$5=2022,SUMIF(#REF!,T45,#REF!),IF($B$5=2023,SUMIF(#REF!,T45,#REF!),IF($B$5=2024,SUMIF(#REF!,T45,#REF!),SUMIF(#REF!,T45,#REF!)))))</f>
        <v>0.4</v>
      </c>
      <c r="W45" s="508">
        <f ca="1">IF($B$5=2021,SUMIF('РЕЕСТР РИСКОВ_2023'!$K$40:$AD$248,T45,'РЕЕСТР РИСКОВ_2023'!$Z$40:$Z$248),IF($B$5=2022,SUMIF(#REF!,T45,#REF!),IF($B$5=2023,SUMIF(#REF!,T45,#REF!),IF($B$5=2024,SUMIF(#REF!,T45,#REF!),IF($B$5=2025,SUMIF(#REF!,T45,#REF!))))))</f>
        <v>-16003</v>
      </c>
      <c r="X45" s="509">
        <f ca="1">V45*W45</f>
        <v>-6401.2000000000007</v>
      </c>
      <c r="Y45" s="462"/>
      <c r="Z45" s="462"/>
      <c r="AA45" s="1567" t="s">
        <v>848</v>
      </c>
      <c r="AB45" s="1568"/>
      <c r="AC45" s="312"/>
      <c r="AD45" s="309"/>
      <c r="AE45" s="310"/>
      <c r="AF45" s="311"/>
    </row>
    <row r="46" spans="2:39" ht="72" customHeight="1">
      <c r="B46" s="60"/>
      <c r="C46" s="61"/>
      <c r="D46" s="63"/>
      <c r="E46" s="64"/>
      <c r="F46" s="62"/>
      <c r="G46" s="65"/>
      <c r="H46" s="66"/>
      <c r="I46" s="66"/>
      <c r="K46" s="59"/>
      <c r="L46" s="471" t="s">
        <v>862</v>
      </c>
      <c r="M46" s="502" t="s">
        <v>861</v>
      </c>
      <c r="N46" s="312" t="str">
        <f t="shared" ca="1" si="11"/>
        <v>ВЕРОЯТНОСТЬ  1  ВЛИЯНИЕ  1</v>
      </c>
      <c r="O46" s="507">
        <f ca="1">IF($B$5=2021,SUMIF('РЕЕСТР РИСКОВ_2023'!$K$40:$AC$248,M46,'РЕЕСТР РИСКОВ_2023'!$Y$40:$Y$248),IF($B$5=2022,SUMIF(#REF!,M46,#REF!),IF($B$5=2023,SUMIF(#REF!,M46,#REF!),IF($B$5=2024,SUMIF(#REF!,M46,#REF!),SUMIF(#REF!,M46,#REF!)))))</f>
        <v>0</v>
      </c>
      <c r="P46" s="508">
        <f ca="1">IF($B$5=2021,SUMIF('РЕЕСТР РИСКОВ_2023'!$K$40:$AD$248,M46,'РЕЕСТР РИСКОВ_2023'!$Z$40:$Z$248),IF($B$5=2022,SUMIF(#REF!,M46,#REF!),IF($B$5=2023,SUMIF(#REF!,M46,#REF!),IF($B$5=2024,SUMIF(#REF!,M46,#REF!),IF($B$5=2025,SUMIF(#REF!,M46,#REF!))))))</f>
        <v>0</v>
      </c>
      <c r="Q46" s="509">
        <f t="shared" ca="1" si="12"/>
        <v>0</v>
      </c>
      <c r="R46" s="462"/>
      <c r="S46" s="474" t="s">
        <v>301</v>
      </c>
      <c r="T46" s="502" t="s">
        <v>391</v>
      </c>
      <c r="U46" s="498" t="str">
        <f ca="1">"ВЕРОЯТНОСТЬ  "&amp;IF(V46&lt;0.05,1,IF((V46&gt;=0.05)*(V46&lt;0.25),2,IF((V46&gt;=0.25)*(V46&lt;0.5),3,IF((V46&gt;=0.5)*(V46&lt;0.75),4,5))))&amp;"  ВЛИЯНИЕ  "&amp;IF(W46&gt;-200,1,IF((W46&lt;=-200)*(W46&gt;-500),2,IF((W46&lt;=-500)*(W46&gt;-1000),3,IF((W46&lt;=-1000)*(W46&gt;-3000),4,5))))</f>
        <v>ВЕРОЯТНОСТЬ  3  ВЛИЯНИЕ  5</v>
      </c>
      <c r="V46" s="507">
        <f ca="1">IF($B$5=2021,SUMIF('РЕЕСТР РИСКОВ_2023'!$K$40:$AC$248,T46,'РЕЕСТР РИСКОВ_2023'!$Y$40:$Y$248),IF($B$5=2022,SUMIF(#REF!,T46,#REF!),IF($B$5=2023,SUMIF(#REF!,T46,#REF!),IF($B$5=2024,SUMIF(#REF!,T46,#REF!),SUMIF(#REF!,T46,#REF!)))))</f>
        <v>0.47</v>
      </c>
      <c r="W46" s="508">
        <f ca="1">IF($B$5=2021,SUMIF('РЕЕСТР РИСКОВ_2023'!$K$40:$AD$248,T46,'РЕЕСТР РИСКОВ_2023'!$Z$40:$Z$248),IF($B$5=2022,SUMIF(#REF!,T46,#REF!),IF($B$5=2023,SUMIF(#REF!,T46,#REF!),IF($B$5=2024,SUMIF(#REF!,T46,#REF!),IF($B$5=2025,SUMIF(#REF!,T46,#REF!))))))</f>
        <v>-48905</v>
      </c>
      <c r="X46" s="509">
        <f ca="1">V46*W46</f>
        <v>-22985.35</v>
      </c>
      <c r="Y46" s="462"/>
      <c r="Z46" s="462"/>
      <c r="AA46" s="485" t="s">
        <v>1134</v>
      </c>
      <c r="AB46" s="504" t="s">
        <v>1054</v>
      </c>
      <c r="AC46" s="312" t="str">
        <f ca="1">"ВЕРОЯТНОСТЬ  "&amp;IF(AD46&lt;0.05,1,IF((AD46&gt;=0.05)*(AD46&lt;0.25),2,IF((AD46&gt;=0.25)*(AD46&lt;0.5),3,IF((AD46&gt;=0.5)*(AD46&lt;0.75),4,5))))&amp;"  ВЛИЯНИЕ  "&amp;IF(AE46&gt;-200,1,IF((AE46&lt;=-200)*(AE46&gt;-500),2,IF((AE46&lt;=-500)*(AE46&gt;-1000),3,IF((AE46&lt;=-1000)*(AE46&gt;-3000),4,5))))</f>
        <v>ВЕРОЯТНОСТЬ  2  ВЛИЯНИЕ  1</v>
      </c>
      <c r="AD46" s="309">
        <f ca="1">IF($B$5=2021,SUMIF('РЕЕСТР РИСКОВ_2023'!$K$40:$AC$279,AB46,'РЕЕСТР РИСКОВ_2023'!$AC$40:$AC$279),IF($B$5=2022,SUMIF(#REF!,AB46,#REF!),IF($B$5=2023,SUMIF(#REF!,AB46,#REF!),IF($B$5=2024,SUMIF(#REF!,AB46,#REF!),SUMIF(#REF!,AB46,#REF!)))))</f>
        <v>0.05</v>
      </c>
      <c r="AE46" s="310">
        <f ca="1">IF($B$5=2021,SUMIF('РЕЕСТР РИСКОВ_2023'!$K$40:$AD$279,AB46,'РЕЕСТР РИСКОВ_2023'!$AD$40:$AD$279),IF($B$5=2022,SUMIF(#REF!,AB46,#REF!),IF($B$5=2023,SUMIF(#REF!,AB46,#REF!),IF($B$5=2024,SUMIF(#REF!,AB46,#REF!),IF($B$5=2025,SUMIF(#REF!,AB46,#REF!))))))</f>
        <v>0</v>
      </c>
      <c r="AF46" s="311">
        <f ca="1">AD46*AE46</f>
        <v>0</v>
      </c>
    </row>
    <row r="47" spans="2:39" ht="64.5" customHeight="1">
      <c r="B47" s="60"/>
      <c r="C47" s="61"/>
      <c r="D47" s="63"/>
      <c r="E47" s="64"/>
      <c r="F47" s="62"/>
      <c r="G47" s="65"/>
      <c r="H47" s="66"/>
      <c r="I47" s="66"/>
      <c r="K47" s="59"/>
      <c r="R47" s="462"/>
      <c r="S47" s="462"/>
      <c r="T47" s="462"/>
      <c r="U47" s="462"/>
      <c r="V47" s="462"/>
      <c r="W47" s="462"/>
      <c r="X47" s="462"/>
      <c r="Y47" s="462"/>
      <c r="Z47" s="462"/>
      <c r="AA47" s="462"/>
      <c r="AB47" s="462"/>
    </row>
    <row r="48" spans="2:39" ht="82.35" customHeight="1">
      <c r="B48" s="60"/>
      <c r="C48" s="61"/>
      <c r="D48" s="63"/>
      <c r="E48" s="64"/>
      <c r="F48" s="62"/>
      <c r="G48" s="65"/>
      <c r="H48" s="66"/>
      <c r="I48" s="66"/>
      <c r="K48" s="59"/>
    </row>
    <row r="49" spans="2:26" ht="64.5" customHeight="1">
      <c r="K49" s="189"/>
    </row>
    <row r="50" spans="2:26" ht="62.25" customHeight="1">
      <c r="K50" s="190"/>
    </row>
    <row r="51" spans="2:26" ht="77.25" customHeight="1">
      <c r="K51" s="213"/>
    </row>
    <row r="52" spans="2:26" ht="67.5" customHeight="1">
      <c r="K52" s="220"/>
    </row>
    <row r="53" spans="2:26" ht="67.5" customHeight="1">
      <c r="B53" s="60"/>
      <c r="C53" s="61"/>
      <c r="D53" s="63"/>
      <c r="E53" s="64"/>
      <c r="F53" s="62"/>
      <c r="G53" s="65"/>
      <c r="H53" s="66"/>
      <c r="I53" s="66"/>
      <c r="K53" s="59"/>
    </row>
    <row r="54" spans="2:26" ht="67.5" customHeight="1">
      <c r="B54" s="60"/>
      <c r="C54" s="61"/>
      <c r="D54" s="63"/>
      <c r="E54" s="64"/>
      <c r="F54" s="62"/>
      <c r="G54" s="65"/>
      <c r="H54" s="66"/>
      <c r="I54" s="66"/>
      <c r="K54" s="1611"/>
    </row>
    <row r="55" spans="2:26" ht="58.5" customHeight="1">
      <c r="K55" s="1611"/>
      <c r="R55"/>
      <c r="Z55"/>
    </row>
    <row r="56" spans="2:26" ht="61.5" customHeight="1">
      <c r="K56" s="1601"/>
      <c r="R56"/>
      <c r="Z56"/>
    </row>
    <row r="57" spans="2:26" ht="65.25" customHeight="1">
      <c r="B57" s="60"/>
      <c r="C57" s="61"/>
      <c r="D57" s="66"/>
      <c r="E57" s="64"/>
      <c r="F57" s="62"/>
      <c r="G57" s="65"/>
      <c r="H57" s="66"/>
      <c r="I57" s="66"/>
      <c r="K57" s="25">
        <v>9</v>
      </c>
      <c r="R57" s="218"/>
      <c r="Z57"/>
    </row>
    <row r="58" spans="2:26" ht="54.6" customHeight="1">
      <c r="B58" s="212"/>
      <c r="C58" s="213"/>
      <c r="D58" s="214"/>
      <c r="E58" s="215"/>
      <c r="F58" s="216"/>
      <c r="G58" s="217"/>
      <c r="H58" s="218"/>
      <c r="I58" s="218"/>
      <c r="J58" s="212"/>
      <c r="K58" s="26">
        <v>10</v>
      </c>
      <c r="R58" s="225"/>
      <c r="Z58"/>
    </row>
    <row r="59" spans="2:26" ht="54.6" customHeight="1">
      <c r="B59" s="219"/>
      <c r="C59" s="220"/>
      <c r="D59" s="221"/>
      <c r="E59" s="222"/>
      <c r="F59" s="223"/>
      <c r="G59" s="224"/>
      <c r="H59" s="225"/>
      <c r="I59" s="225"/>
      <c r="J59" s="219"/>
      <c r="K59" s="1600">
        <v>12</v>
      </c>
      <c r="R59"/>
      <c r="Z59"/>
    </row>
    <row r="60" spans="2:26" ht="47.25" customHeight="1">
      <c r="B60" s="67"/>
      <c r="C60" s="67"/>
      <c r="D60" s="70"/>
      <c r="E60" s="70"/>
      <c r="F60" s="70"/>
      <c r="G60" s="68"/>
      <c r="H60" s="69"/>
      <c r="I60" s="69"/>
      <c r="K60" s="1601"/>
      <c r="R60"/>
      <c r="Z60"/>
    </row>
    <row r="61" spans="2:26" ht="60" customHeight="1">
      <c r="B61" s="29"/>
      <c r="G61" s="70"/>
      <c r="H61" s="70"/>
      <c r="I61" s="70"/>
      <c r="K61" s="30">
        <v>13</v>
      </c>
    </row>
    <row r="62" spans="2:26" ht="54" customHeight="1">
      <c r="B62" s="29"/>
      <c r="K62" s="1605">
        <v>14</v>
      </c>
    </row>
    <row r="63" spans="2:26" ht="66.599999999999994" customHeight="1">
      <c r="B63" s="29"/>
      <c r="K63" s="1606"/>
    </row>
    <row r="64" spans="2:26" ht="66.75" customHeight="1">
      <c r="B64" s="29"/>
      <c r="K64" s="1607"/>
    </row>
    <row r="65" spans="6:11" ht="64.5" customHeight="1">
      <c r="G65" s="31"/>
      <c r="H65" s="32"/>
      <c r="I65" s="32"/>
      <c r="K65" s="33">
        <v>15</v>
      </c>
    </row>
    <row r="66" spans="6:11" ht="57.75" customHeight="1">
      <c r="G66" s="31"/>
      <c r="H66" s="32"/>
      <c r="I66" s="32"/>
      <c r="K66" s="35"/>
    </row>
    <row r="67" spans="6:11" ht="56.25" customHeight="1">
      <c r="G67" s="34"/>
      <c r="H67" s="32"/>
      <c r="I67" s="32"/>
      <c r="K67" s="35"/>
    </row>
    <row r="68" spans="6:11" ht="90" customHeight="1">
      <c r="G68" s="34"/>
      <c r="H68" s="32"/>
      <c r="I68" s="32"/>
      <c r="K68" s="35"/>
    </row>
    <row r="69" spans="6:11" ht="54" customHeight="1">
      <c r="G69" s="34"/>
      <c r="H69" s="32"/>
      <c r="I69" s="32"/>
      <c r="K69" s="35">
        <v>16</v>
      </c>
    </row>
    <row r="70" spans="6:11" ht="53.25" customHeight="1">
      <c r="G70" s="57"/>
      <c r="H70" s="37"/>
      <c r="I70" s="37"/>
      <c r="K70" s="36"/>
    </row>
    <row r="71" spans="6:11" ht="60.6" customHeight="1">
      <c r="G71" s="57"/>
    </row>
    <row r="72" spans="6:11" ht="46.5" customHeight="1">
      <c r="G72" s="57"/>
    </row>
    <row r="73" spans="6:11" ht="46.5" customHeight="1">
      <c r="G73" s="57"/>
    </row>
    <row r="74" spans="6:11" ht="41.25" customHeight="1">
      <c r="G74" s="57"/>
    </row>
    <row r="75" spans="6:11" ht="64.5" customHeight="1">
      <c r="G75"/>
    </row>
    <row r="76" spans="6:11" ht="42" customHeight="1"/>
    <row r="77" spans="6:11" ht="50.25" customHeight="1">
      <c r="F77" s="4"/>
      <c r="G77" s="38"/>
      <c r="J77" s="19"/>
      <c r="K77" s="39"/>
    </row>
    <row r="78" spans="6:11" ht="52.5" customHeight="1">
      <c r="F78" s="4"/>
      <c r="K78" s="2"/>
    </row>
    <row r="79" spans="6:11" ht="68.25" customHeight="1">
      <c r="K79" s="2"/>
    </row>
    <row r="80" spans="6:11" ht="47.25" customHeight="1"/>
    <row r="81" ht="51" customHeight="1"/>
    <row r="82" ht="48" customHeight="1"/>
    <row r="83" ht="56.25" customHeight="1"/>
    <row r="84" ht="47.25" customHeight="1"/>
    <row r="85" ht="48" customHeight="1"/>
    <row r="86" ht="48" customHeight="1"/>
    <row r="92" ht="81" customHeight="1"/>
    <row r="96" ht="108" customHeight="1"/>
    <row r="103" spans="25:25">
      <c r="Y103"/>
    </row>
    <row r="104" spans="25:25">
      <c r="Y104"/>
    </row>
    <row r="105" spans="25:25">
      <c r="Y105"/>
    </row>
    <row r="106" spans="25:25">
      <c r="Y106"/>
    </row>
    <row r="107" spans="25:25" ht="81" customHeight="1">
      <c r="Y107"/>
    </row>
    <row r="108" spans="25:25">
      <c r="Y108"/>
    </row>
    <row r="117" ht="108" customHeight="1"/>
    <row r="119" ht="81" customHeight="1"/>
    <row r="123" ht="42" customHeight="1"/>
    <row r="125" ht="48" customHeight="1"/>
    <row r="131" ht="81" customHeight="1"/>
    <row r="133" ht="69" customHeight="1"/>
  </sheetData>
  <mergeCells count="78">
    <mergeCell ref="S9:T9"/>
    <mergeCell ref="AA9:AB9"/>
    <mergeCell ref="AH9:AI9"/>
    <mergeCell ref="K10:K11"/>
    <mergeCell ref="B1:N1"/>
    <mergeCell ref="T1:W1"/>
    <mergeCell ref="C3:L3"/>
    <mergeCell ref="B4:L4"/>
    <mergeCell ref="G6:H6"/>
    <mergeCell ref="B8:B28"/>
    <mergeCell ref="C8:C11"/>
    <mergeCell ref="D8:D11"/>
    <mergeCell ref="E8:E11"/>
    <mergeCell ref="F8:F11"/>
    <mergeCell ref="G12:G16"/>
    <mergeCell ref="H12:H16"/>
    <mergeCell ref="G8:G11"/>
    <mergeCell ref="H8:H11"/>
    <mergeCell ref="L9:M9"/>
    <mergeCell ref="G20:G23"/>
    <mergeCell ref="H20:H23"/>
    <mergeCell ref="S13:T13"/>
    <mergeCell ref="AA13:AB13"/>
    <mergeCell ref="C17:C19"/>
    <mergeCell ref="D17:D19"/>
    <mergeCell ref="E17:E19"/>
    <mergeCell ref="F17:F19"/>
    <mergeCell ref="G17:G19"/>
    <mergeCell ref="H17:H19"/>
    <mergeCell ref="K17:K18"/>
    <mergeCell ref="AA17:AB17"/>
    <mergeCell ref="C12:C16"/>
    <mergeCell ref="D12:D16"/>
    <mergeCell ref="E12:E16"/>
    <mergeCell ref="F12:F16"/>
    <mergeCell ref="S20:T20"/>
    <mergeCell ref="AH21:AI21"/>
    <mergeCell ref="L22:M22"/>
    <mergeCell ref="C24:C26"/>
    <mergeCell ref="D24:D26"/>
    <mergeCell ref="E24:E26"/>
    <mergeCell ref="F24:F26"/>
    <mergeCell ref="G24:G26"/>
    <mergeCell ref="H24:H26"/>
    <mergeCell ref="S24:T24"/>
    <mergeCell ref="K19:K23"/>
    <mergeCell ref="L19:M19"/>
    <mergeCell ref="C20:C23"/>
    <mergeCell ref="D20:D23"/>
    <mergeCell ref="E20:E23"/>
    <mergeCell ref="F20:F23"/>
    <mergeCell ref="L33:M33"/>
    <mergeCell ref="G34:H34"/>
    <mergeCell ref="L26:M26"/>
    <mergeCell ref="AH27:AI27"/>
    <mergeCell ref="C28:H28"/>
    <mergeCell ref="L29:M29"/>
    <mergeCell ref="AA29:AB29"/>
    <mergeCell ref="AH29:AI29"/>
    <mergeCell ref="D30:E30"/>
    <mergeCell ref="F30:H30"/>
    <mergeCell ref="G31:H31"/>
    <mergeCell ref="G32:H32"/>
    <mergeCell ref="G33:H33"/>
    <mergeCell ref="AH34:AI34"/>
    <mergeCell ref="G35:H35"/>
    <mergeCell ref="S35:T35"/>
    <mergeCell ref="AA35:AB35"/>
    <mergeCell ref="K54:K56"/>
    <mergeCell ref="L36:M36"/>
    <mergeCell ref="K59:K60"/>
    <mergeCell ref="K62:K64"/>
    <mergeCell ref="AA37:AB37"/>
    <mergeCell ref="AH37:AI37"/>
    <mergeCell ref="S41:T41"/>
    <mergeCell ref="AA42:AB42"/>
    <mergeCell ref="S43:T43"/>
    <mergeCell ref="AA45:AB45"/>
  </mergeCells>
  <conditionalFormatting sqref="Q36:Q38 X25:X31 Q22:Q26 X14:X19 X33 Q10:Q19 AM9:AM38 X9:X12 Q40:Q46 X35:X43 Q28:Q33">
    <cfRule type="cellIs" dxfId="249" priority="18" operator="lessThan">
      <formula>0</formula>
    </cfRule>
    <cfRule type="cellIs" dxfId="248" priority="19" operator="greaterThan">
      <formula>0</formula>
    </cfRule>
  </conditionalFormatting>
  <conditionalFormatting sqref="P36:P38 W25:W31 P22:P26 W14:W19 W33 P10:P19 AL9:AL38 W9 P40:P46 W35:W43 P28:P33">
    <cfRule type="cellIs" dxfId="247" priority="25" operator="lessThan">
      <formula>-3000</formula>
    </cfRule>
    <cfRule type="cellIs" dxfId="246" priority="26" operator="between">
      <formula>-1001</formula>
      <formula>-3000</formula>
    </cfRule>
    <cfRule type="cellIs" dxfId="245" priority="27" operator="between">
      <formula>-501</formula>
      <formula>-1000</formula>
    </cfRule>
    <cfRule type="cellIs" dxfId="244" priority="28" operator="between">
      <formula>-201</formula>
      <formula>-500</formula>
    </cfRule>
    <cfRule type="cellIs" dxfId="243" priority="29" operator="between">
      <formula>0</formula>
      <formula>-200</formula>
    </cfRule>
  </conditionalFormatting>
  <conditionalFormatting sqref="O36:O38 V25:V31 O22:O26 V14:V19 V33 O10:O19 AK9:AK38 V9 O40:O46 V35:V43 O28:O33">
    <cfRule type="cellIs" dxfId="242" priority="20" operator="between">
      <formula>0.76</formula>
      <formula>1</formula>
    </cfRule>
    <cfRule type="cellIs" dxfId="241" priority="21" operator="between">
      <formula>0.51</formula>
      <formula>0.75</formula>
    </cfRule>
    <cfRule type="cellIs" dxfId="240" priority="22" operator="between">
      <formula>0.26</formula>
      <formula>0.5</formula>
    </cfRule>
    <cfRule type="cellIs" dxfId="239" priority="23" operator="between">
      <formula>0.05</formula>
      <formula>0.25</formula>
    </cfRule>
    <cfRule type="cellIs" dxfId="238" priority="24" operator="between">
      <formula>0</formula>
      <formula>0.05</formula>
    </cfRule>
  </conditionalFormatting>
  <conditionalFormatting sqref="D5">
    <cfRule type="cellIs" dxfId="237" priority="17" operator="equal">
      <formula>$B$5</formula>
    </cfRule>
  </conditionalFormatting>
  <conditionalFormatting sqref="E5">
    <cfRule type="cellIs" dxfId="236" priority="16" operator="equal">
      <formula>$B$5</formula>
    </cfRule>
  </conditionalFormatting>
  <conditionalFormatting sqref="F5">
    <cfRule type="cellIs" dxfId="235" priority="15" operator="equal">
      <formula>$B$5</formula>
    </cfRule>
  </conditionalFormatting>
  <conditionalFormatting sqref="G5">
    <cfRule type="cellIs" dxfId="234" priority="14" operator="equal">
      <formula>$B$5</formula>
    </cfRule>
  </conditionalFormatting>
  <conditionalFormatting sqref="H5">
    <cfRule type="cellIs" dxfId="233" priority="13" operator="equal">
      <formula>$B$5</formula>
    </cfRule>
  </conditionalFormatting>
  <conditionalFormatting sqref="AF17:AF46">
    <cfRule type="cellIs" dxfId="232" priority="1" operator="lessThan">
      <formula>0</formula>
    </cfRule>
    <cfRule type="cellIs" dxfId="231" priority="2" operator="greaterThan">
      <formula>0</formula>
    </cfRule>
  </conditionalFormatting>
  <conditionalFormatting sqref="AE17:AE46">
    <cfRule type="cellIs" dxfId="230" priority="8" operator="lessThan">
      <formula>-3000</formula>
    </cfRule>
    <cfRule type="cellIs" dxfId="229" priority="9" operator="between">
      <formula>-1001</formula>
      <formula>-3000</formula>
    </cfRule>
    <cfRule type="cellIs" dxfId="228" priority="10" operator="between">
      <formula>-501</formula>
      <formula>-1000</formula>
    </cfRule>
    <cfRule type="cellIs" dxfId="227" priority="11" operator="between">
      <formula>-201</formula>
      <formula>-500</formula>
    </cfRule>
    <cfRule type="cellIs" dxfId="226" priority="12" operator="between">
      <formula>0</formula>
      <formula>-200</formula>
    </cfRule>
  </conditionalFormatting>
  <conditionalFormatting sqref="AD17:AD46">
    <cfRule type="cellIs" dxfId="225" priority="3" operator="between">
      <formula>0.76</formula>
      <formula>1</formula>
    </cfRule>
    <cfRule type="cellIs" dxfId="224" priority="4" operator="between">
      <formula>0.51</formula>
      <formula>0.75</formula>
    </cfRule>
    <cfRule type="cellIs" dxfId="223" priority="5" operator="between">
      <formula>0.26</formula>
      <formula>0.5</formula>
    </cfRule>
    <cfRule type="cellIs" dxfId="222" priority="6" operator="between">
      <formula>0.05</formula>
      <formula>0.25</formula>
    </cfRule>
    <cfRule type="cellIs" dxfId="221" priority="7" operator="between">
      <formula>0</formula>
      <formula>0.05</formula>
    </cfRule>
  </conditionalFormatting>
  <dataValidations count="1">
    <dataValidation type="list" allowBlank="1" showInputMessage="1" showErrorMessage="1" sqref="WVD983024:WVG983026 WLH983024:WLK983026 WBL983024:WBO983026 VRP983024:VRS983026 VHT983024:VHW983026 UXX983024:UYA983026 UOB983024:UOE983026 UEF983024:UEI983026 TUJ983024:TUM983026 TKN983024:TKQ983026 TAR983024:TAU983026 SQV983024:SQY983026 SGZ983024:SHC983026 RXD983024:RXG983026 RNH983024:RNK983026 RDL983024:RDO983026 QTP983024:QTS983026 QJT983024:QJW983026 PZX983024:QAA983026 PQB983024:PQE983026 PGF983024:PGI983026 OWJ983024:OWM983026 OMN983024:OMQ983026 OCR983024:OCU983026 NSV983024:NSY983026 NIZ983024:NJC983026 MZD983024:MZG983026 MPH983024:MPK983026 MFL983024:MFO983026 LVP983024:LVS983026 LLT983024:LLW983026 LBX983024:LCA983026 KSB983024:KSE983026 KIF983024:KII983026 JYJ983024:JYM983026 JON983024:JOQ983026 JER983024:JEU983026 IUV983024:IUY983026 IKZ983024:ILC983026 IBD983024:IBG983026 HRH983024:HRK983026 HHL983024:HHO983026 GXP983024:GXS983026 GNT983024:GNW983026 GDX983024:GEA983026 FUB983024:FUE983026 FKF983024:FKI983026 FAJ983024:FAM983026 EQN983024:EQQ983026 EGR983024:EGU983026 DWV983024:DWY983026 DMZ983024:DNC983026 DDD983024:DDG983026 CTH983024:CTK983026 CJL983024:CJO983026 BZP983024:BZS983026 BPT983024:BPW983026 BFX983024:BGA983026 AWB983024:AWE983026 AMF983024:AMI983026 ACJ983024:ACM983026 SN983024:SQ983026 IR983024:IU983026 WVD917488:WVG917490 WLH917488:WLK917490 WBL917488:WBO917490 VRP917488:VRS917490 VHT917488:VHW917490 UXX917488:UYA917490 UOB917488:UOE917490 UEF917488:UEI917490 TUJ917488:TUM917490 TKN917488:TKQ917490 TAR917488:TAU917490 SQV917488:SQY917490 SGZ917488:SHC917490 RXD917488:RXG917490 RNH917488:RNK917490 RDL917488:RDO917490 QTP917488:QTS917490 QJT917488:QJW917490 PZX917488:QAA917490 PQB917488:PQE917490 PGF917488:PGI917490 OWJ917488:OWM917490 OMN917488:OMQ917490 OCR917488:OCU917490 NSV917488:NSY917490 NIZ917488:NJC917490 MZD917488:MZG917490 MPH917488:MPK917490 MFL917488:MFO917490 LVP917488:LVS917490 LLT917488:LLW917490 LBX917488:LCA917490 KSB917488:KSE917490 KIF917488:KII917490 JYJ917488:JYM917490 JON917488:JOQ917490 JER917488:JEU917490 IUV917488:IUY917490 IKZ917488:ILC917490 IBD917488:IBG917490 HRH917488:HRK917490 HHL917488:HHO917490 GXP917488:GXS917490 GNT917488:GNW917490 GDX917488:GEA917490 FUB917488:FUE917490 FKF917488:FKI917490 FAJ917488:FAM917490 EQN917488:EQQ917490 EGR917488:EGU917490 DWV917488:DWY917490 DMZ917488:DNC917490 DDD917488:DDG917490 CTH917488:CTK917490 CJL917488:CJO917490 BZP917488:BZS917490 BPT917488:BPW917490 BFX917488:BGA917490 AWB917488:AWE917490 AMF917488:AMI917490 ACJ917488:ACM917490 SN917488:SQ917490 IR917488:IU917490 WVD851952:WVG851954 WLH851952:WLK851954 WBL851952:WBO851954 VRP851952:VRS851954 VHT851952:VHW851954 UXX851952:UYA851954 UOB851952:UOE851954 UEF851952:UEI851954 TUJ851952:TUM851954 TKN851952:TKQ851954 TAR851952:TAU851954 SQV851952:SQY851954 SGZ851952:SHC851954 RXD851952:RXG851954 RNH851952:RNK851954 RDL851952:RDO851954 QTP851952:QTS851954 QJT851952:QJW851954 PZX851952:QAA851954 PQB851952:PQE851954 PGF851952:PGI851954 OWJ851952:OWM851954 OMN851952:OMQ851954 OCR851952:OCU851954 NSV851952:NSY851954 NIZ851952:NJC851954 MZD851952:MZG851954 MPH851952:MPK851954 MFL851952:MFO851954 LVP851952:LVS851954 LLT851952:LLW851954 LBX851952:LCA851954 KSB851952:KSE851954 KIF851952:KII851954 JYJ851952:JYM851954 JON851952:JOQ851954 JER851952:JEU851954 IUV851952:IUY851954 IKZ851952:ILC851954 IBD851952:IBG851954 HRH851952:HRK851954 HHL851952:HHO851954 GXP851952:GXS851954 GNT851952:GNW851954 GDX851952:GEA851954 FUB851952:FUE851954 FKF851952:FKI851954 FAJ851952:FAM851954 EQN851952:EQQ851954 EGR851952:EGU851954 DWV851952:DWY851954 DMZ851952:DNC851954 DDD851952:DDG851954 CTH851952:CTK851954 CJL851952:CJO851954 BZP851952:BZS851954 BPT851952:BPW851954 BFX851952:BGA851954 AWB851952:AWE851954 AMF851952:AMI851954 ACJ851952:ACM851954 SN851952:SQ851954 IR851952:IU851954 WVD786416:WVG786418 WLH786416:WLK786418 WBL786416:WBO786418 VRP786416:VRS786418 VHT786416:VHW786418 UXX786416:UYA786418 UOB786416:UOE786418 UEF786416:UEI786418 TUJ786416:TUM786418 TKN786416:TKQ786418 TAR786416:TAU786418 SQV786416:SQY786418 SGZ786416:SHC786418 RXD786416:RXG786418 RNH786416:RNK786418 RDL786416:RDO786418 QTP786416:QTS786418 QJT786416:QJW786418 PZX786416:QAA786418 PQB786416:PQE786418 PGF786416:PGI786418 OWJ786416:OWM786418 OMN786416:OMQ786418 OCR786416:OCU786418 NSV786416:NSY786418 NIZ786416:NJC786418 MZD786416:MZG786418 MPH786416:MPK786418 MFL786416:MFO786418 LVP786416:LVS786418 LLT786416:LLW786418 LBX786416:LCA786418 KSB786416:KSE786418 KIF786416:KII786418 JYJ786416:JYM786418 JON786416:JOQ786418 JER786416:JEU786418 IUV786416:IUY786418 IKZ786416:ILC786418 IBD786416:IBG786418 HRH786416:HRK786418 HHL786416:HHO786418 GXP786416:GXS786418 GNT786416:GNW786418 GDX786416:GEA786418 FUB786416:FUE786418 FKF786416:FKI786418 FAJ786416:FAM786418 EQN786416:EQQ786418 EGR786416:EGU786418 DWV786416:DWY786418 DMZ786416:DNC786418 DDD786416:DDG786418 CTH786416:CTK786418 CJL786416:CJO786418 BZP786416:BZS786418 BPT786416:BPW786418 BFX786416:BGA786418 AWB786416:AWE786418 AMF786416:AMI786418 ACJ786416:ACM786418 SN786416:SQ786418 IR786416:IU786418 WVD720880:WVG720882 WLH720880:WLK720882 WBL720880:WBO720882 VRP720880:VRS720882 VHT720880:VHW720882 UXX720880:UYA720882 UOB720880:UOE720882 UEF720880:UEI720882 TUJ720880:TUM720882 TKN720880:TKQ720882 TAR720880:TAU720882 SQV720880:SQY720882 SGZ720880:SHC720882 RXD720880:RXG720882 RNH720880:RNK720882 RDL720880:RDO720882 QTP720880:QTS720882 QJT720880:QJW720882 PZX720880:QAA720882 PQB720880:PQE720882 PGF720880:PGI720882 OWJ720880:OWM720882 OMN720880:OMQ720882 OCR720880:OCU720882 NSV720880:NSY720882 NIZ720880:NJC720882 MZD720880:MZG720882 MPH720880:MPK720882 MFL720880:MFO720882 LVP720880:LVS720882 LLT720880:LLW720882 LBX720880:LCA720882 KSB720880:KSE720882 KIF720880:KII720882 JYJ720880:JYM720882 JON720880:JOQ720882 JER720880:JEU720882 IUV720880:IUY720882 IKZ720880:ILC720882 IBD720880:IBG720882 HRH720880:HRK720882 HHL720880:HHO720882 GXP720880:GXS720882 GNT720880:GNW720882 GDX720880:GEA720882 FUB720880:FUE720882 FKF720880:FKI720882 FAJ720880:FAM720882 EQN720880:EQQ720882 EGR720880:EGU720882 DWV720880:DWY720882 DMZ720880:DNC720882 DDD720880:DDG720882 CTH720880:CTK720882 CJL720880:CJO720882 BZP720880:BZS720882 BPT720880:BPW720882 BFX720880:BGA720882 AWB720880:AWE720882 AMF720880:AMI720882 ACJ720880:ACM720882 SN720880:SQ720882 IR720880:IU720882 WVD655344:WVG655346 WLH655344:WLK655346 WBL655344:WBO655346 VRP655344:VRS655346 VHT655344:VHW655346 UXX655344:UYA655346 UOB655344:UOE655346 UEF655344:UEI655346 TUJ655344:TUM655346 TKN655344:TKQ655346 TAR655344:TAU655346 SQV655344:SQY655346 SGZ655344:SHC655346 RXD655344:RXG655346 RNH655344:RNK655346 RDL655344:RDO655346 QTP655344:QTS655346 QJT655344:QJW655346 PZX655344:QAA655346 PQB655344:PQE655346 PGF655344:PGI655346 OWJ655344:OWM655346 OMN655344:OMQ655346 OCR655344:OCU655346 NSV655344:NSY655346 NIZ655344:NJC655346 MZD655344:MZG655346 MPH655344:MPK655346 MFL655344:MFO655346 LVP655344:LVS655346 LLT655344:LLW655346 LBX655344:LCA655346 KSB655344:KSE655346 KIF655344:KII655346 JYJ655344:JYM655346 JON655344:JOQ655346 JER655344:JEU655346 IUV655344:IUY655346 IKZ655344:ILC655346 IBD655344:IBG655346 HRH655344:HRK655346 HHL655344:HHO655346 GXP655344:GXS655346 GNT655344:GNW655346 GDX655344:GEA655346 FUB655344:FUE655346 FKF655344:FKI655346 FAJ655344:FAM655346 EQN655344:EQQ655346 EGR655344:EGU655346 DWV655344:DWY655346 DMZ655344:DNC655346 DDD655344:DDG655346 CTH655344:CTK655346 CJL655344:CJO655346 BZP655344:BZS655346 BPT655344:BPW655346 BFX655344:BGA655346 AWB655344:AWE655346 AMF655344:AMI655346 ACJ655344:ACM655346 SN655344:SQ655346 IR655344:IU655346 WVD589808:WVG589810 WLH589808:WLK589810 WBL589808:WBO589810 VRP589808:VRS589810 VHT589808:VHW589810 UXX589808:UYA589810 UOB589808:UOE589810 UEF589808:UEI589810 TUJ589808:TUM589810 TKN589808:TKQ589810 TAR589808:TAU589810 SQV589808:SQY589810 SGZ589808:SHC589810 RXD589808:RXG589810 RNH589808:RNK589810 RDL589808:RDO589810 QTP589808:QTS589810 QJT589808:QJW589810 PZX589808:QAA589810 PQB589808:PQE589810 PGF589808:PGI589810 OWJ589808:OWM589810 OMN589808:OMQ589810 OCR589808:OCU589810 NSV589808:NSY589810 NIZ589808:NJC589810 MZD589808:MZG589810 MPH589808:MPK589810 MFL589808:MFO589810 LVP589808:LVS589810 LLT589808:LLW589810 LBX589808:LCA589810 KSB589808:KSE589810 KIF589808:KII589810 JYJ589808:JYM589810 JON589808:JOQ589810 JER589808:JEU589810 IUV589808:IUY589810 IKZ589808:ILC589810 IBD589808:IBG589810 HRH589808:HRK589810 HHL589808:HHO589810 GXP589808:GXS589810 GNT589808:GNW589810 GDX589808:GEA589810 FUB589808:FUE589810 FKF589808:FKI589810 FAJ589808:FAM589810 EQN589808:EQQ589810 EGR589808:EGU589810 DWV589808:DWY589810 DMZ589808:DNC589810 DDD589808:DDG589810 CTH589808:CTK589810 CJL589808:CJO589810 BZP589808:BZS589810 BPT589808:BPW589810 BFX589808:BGA589810 AWB589808:AWE589810 AMF589808:AMI589810 ACJ589808:ACM589810 SN589808:SQ589810 IR589808:IU589810 WVD524272:WVG524274 WLH524272:WLK524274 WBL524272:WBO524274 VRP524272:VRS524274 VHT524272:VHW524274 UXX524272:UYA524274 UOB524272:UOE524274 UEF524272:UEI524274 TUJ524272:TUM524274 TKN524272:TKQ524274 TAR524272:TAU524274 SQV524272:SQY524274 SGZ524272:SHC524274 RXD524272:RXG524274 RNH524272:RNK524274 RDL524272:RDO524274 QTP524272:QTS524274 QJT524272:QJW524274 PZX524272:QAA524274 PQB524272:PQE524274 PGF524272:PGI524274 OWJ524272:OWM524274 OMN524272:OMQ524274 OCR524272:OCU524274 NSV524272:NSY524274 NIZ524272:NJC524274 MZD524272:MZG524274 MPH524272:MPK524274 MFL524272:MFO524274 LVP524272:LVS524274 LLT524272:LLW524274 LBX524272:LCA524274 KSB524272:KSE524274 KIF524272:KII524274 JYJ524272:JYM524274 JON524272:JOQ524274 JER524272:JEU524274 IUV524272:IUY524274 IKZ524272:ILC524274 IBD524272:IBG524274 HRH524272:HRK524274 HHL524272:HHO524274 GXP524272:GXS524274 GNT524272:GNW524274 GDX524272:GEA524274 FUB524272:FUE524274 FKF524272:FKI524274 FAJ524272:FAM524274 EQN524272:EQQ524274 EGR524272:EGU524274 DWV524272:DWY524274 DMZ524272:DNC524274 DDD524272:DDG524274 CTH524272:CTK524274 CJL524272:CJO524274 BZP524272:BZS524274 BPT524272:BPW524274 BFX524272:BGA524274 AWB524272:AWE524274 AMF524272:AMI524274 ACJ524272:ACM524274 SN524272:SQ524274 IR524272:IU524274 WVD458736:WVG458738 WLH458736:WLK458738 WBL458736:WBO458738 VRP458736:VRS458738 VHT458736:VHW458738 UXX458736:UYA458738 UOB458736:UOE458738 UEF458736:UEI458738 TUJ458736:TUM458738 TKN458736:TKQ458738 TAR458736:TAU458738 SQV458736:SQY458738 SGZ458736:SHC458738 RXD458736:RXG458738 RNH458736:RNK458738 RDL458736:RDO458738 QTP458736:QTS458738 QJT458736:QJW458738 PZX458736:QAA458738 PQB458736:PQE458738 PGF458736:PGI458738 OWJ458736:OWM458738 OMN458736:OMQ458738 OCR458736:OCU458738 NSV458736:NSY458738 NIZ458736:NJC458738 MZD458736:MZG458738 MPH458736:MPK458738 MFL458736:MFO458738 LVP458736:LVS458738 LLT458736:LLW458738 LBX458736:LCA458738 KSB458736:KSE458738 KIF458736:KII458738 JYJ458736:JYM458738 JON458736:JOQ458738 JER458736:JEU458738 IUV458736:IUY458738 IKZ458736:ILC458738 IBD458736:IBG458738 HRH458736:HRK458738 HHL458736:HHO458738 GXP458736:GXS458738 GNT458736:GNW458738 GDX458736:GEA458738 FUB458736:FUE458738 FKF458736:FKI458738 FAJ458736:FAM458738 EQN458736:EQQ458738 EGR458736:EGU458738 DWV458736:DWY458738 DMZ458736:DNC458738 DDD458736:DDG458738 CTH458736:CTK458738 CJL458736:CJO458738 BZP458736:BZS458738 BPT458736:BPW458738 BFX458736:BGA458738 AWB458736:AWE458738 AMF458736:AMI458738 ACJ458736:ACM458738 SN458736:SQ458738 IR458736:IU458738 WVD393200:WVG393202 WLH393200:WLK393202 WBL393200:WBO393202 VRP393200:VRS393202 VHT393200:VHW393202 UXX393200:UYA393202 UOB393200:UOE393202 UEF393200:UEI393202 TUJ393200:TUM393202 TKN393200:TKQ393202 TAR393200:TAU393202 SQV393200:SQY393202 SGZ393200:SHC393202 RXD393200:RXG393202 RNH393200:RNK393202 RDL393200:RDO393202 QTP393200:QTS393202 QJT393200:QJW393202 PZX393200:QAA393202 PQB393200:PQE393202 PGF393200:PGI393202 OWJ393200:OWM393202 OMN393200:OMQ393202 OCR393200:OCU393202 NSV393200:NSY393202 NIZ393200:NJC393202 MZD393200:MZG393202 MPH393200:MPK393202 MFL393200:MFO393202 LVP393200:LVS393202 LLT393200:LLW393202 LBX393200:LCA393202 KSB393200:KSE393202 KIF393200:KII393202 JYJ393200:JYM393202 JON393200:JOQ393202 JER393200:JEU393202 IUV393200:IUY393202 IKZ393200:ILC393202 IBD393200:IBG393202 HRH393200:HRK393202 HHL393200:HHO393202 GXP393200:GXS393202 GNT393200:GNW393202 GDX393200:GEA393202 FUB393200:FUE393202 FKF393200:FKI393202 FAJ393200:FAM393202 EQN393200:EQQ393202 EGR393200:EGU393202 DWV393200:DWY393202 DMZ393200:DNC393202 DDD393200:DDG393202 CTH393200:CTK393202 CJL393200:CJO393202 BZP393200:BZS393202 BPT393200:BPW393202 BFX393200:BGA393202 AWB393200:AWE393202 AMF393200:AMI393202 ACJ393200:ACM393202 SN393200:SQ393202 IR393200:IU393202 WVD327664:WVG327666 WLH327664:WLK327666 WBL327664:WBO327666 VRP327664:VRS327666 VHT327664:VHW327666 UXX327664:UYA327666 UOB327664:UOE327666 UEF327664:UEI327666 TUJ327664:TUM327666 TKN327664:TKQ327666 TAR327664:TAU327666 SQV327664:SQY327666 SGZ327664:SHC327666 RXD327664:RXG327666 RNH327664:RNK327666 RDL327664:RDO327666 QTP327664:QTS327666 QJT327664:QJW327666 PZX327664:QAA327666 PQB327664:PQE327666 PGF327664:PGI327666 OWJ327664:OWM327666 OMN327664:OMQ327666 OCR327664:OCU327666 NSV327664:NSY327666 NIZ327664:NJC327666 MZD327664:MZG327666 MPH327664:MPK327666 MFL327664:MFO327666 LVP327664:LVS327666 LLT327664:LLW327666 LBX327664:LCA327666 KSB327664:KSE327666 KIF327664:KII327666 JYJ327664:JYM327666 JON327664:JOQ327666 JER327664:JEU327666 IUV327664:IUY327666 IKZ327664:ILC327666 IBD327664:IBG327666 HRH327664:HRK327666 HHL327664:HHO327666 GXP327664:GXS327666 GNT327664:GNW327666 GDX327664:GEA327666 FUB327664:FUE327666 FKF327664:FKI327666 FAJ327664:FAM327666 EQN327664:EQQ327666 EGR327664:EGU327666 DWV327664:DWY327666 DMZ327664:DNC327666 DDD327664:DDG327666 CTH327664:CTK327666 CJL327664:CJO327666 BZP327664:BZS327666 BPT327664:BPW327666 BFX327664:BGA327666 AWB327664:AWE327666 AMF327664:AMI327666 ACJ327664:ACM327666 SN327664:SQ327666 IR327664:IU327666 WVD262128:WVG262130 WLH262128:WLK262130 WBL262128:WBO262130 VRP262128:VRS262130 VHT262128:VHW262130 UXX262128:UYA262130 UOB262128:UOE262130 UEF262128:UEI262130 TUJ262128:TUM262130 TKN262128:TKQ262130 TAR262128:TAU262130 SQV262128:SQY262130 SGZ262128:SHC262130 RXD262128:RXG262130 RNH262128:RNK262130 RDL262128:RDO262130 QTP262128:QTS262130 QJT262128:QJW262130 PZX262128:QAA262130 PQB262128:PQE262130 PGF262128:PGI262130 OWJ262128:OWM262130 OMN262128:OMQ262130 OCR262128:OCU262130 NSV262128:NSY262130 NIZ262128:NJC262130 MZD262128:MZG262130 MPH262128:MPK262130 MFL262128:MFO262130 LVP262128:LVS262130 LLT262128:LLW262130 LBX262128:LCA262130 KSB262128:KSE262130 KIF262128:KII262130 JYJ262128:JYM262130 JON262128:JOQ262130 JER262128:JEU262130 IUV262128:IUY262130 IKZ262128:ILC262130 IBD262128:IBG262130 HRH262128:HRK262130 HHL262128:HHO262130 GXP262128:GXS262130 GNT262128:GNW262130 GDX262128:GEA262130 FUB262128:FUE262130 FKF262128:FKI262130 FAJ262128:FAM262130 EQN262128:EQQ262130 EGR262128:EGU262130 DWV262128:DWY262130 DMZ262128:DNC262130 DDD262128:DDG262130 CTH262128:CTK262130 CJL262128:CJO262130 BZP262128:BZS262130 BPT262128:BPW262130 BFX262128:BGA262130 AWB262128:AWE262130 AMF262128:AMI262130 ACJ262128:ACM262130 SN262128:SQ262130 IR262128:IU262130 WVD196592:WVG196594 WLH196592:WLK196594 WBL196592:WBO196594 VRP196592:VRS196594 VHT196592:VHW196594 UXX196592:UYA196594 UOB196592:UOE196594 UEF196592:UEI196594 TUJ196592:TUM196594 TKN196592:TKQ196594 TAR196592:TAU196594 SQV196592:SQY196594 SGZ196592:SHC196594 RXD196592:RXG196594 RNH196592:RNK196594 RDL196592:RDO196594 QTP196592:QTS196594 QJT196592:QJW196594 PZX196592:QAA196594 PQB196592:PQE196594 PGF196592:PGI196594 OWJ196592:OWM196594 OMN196592:OMQ196594 OCR196592:OCU196594 NSV196592:NSY196594 NIZ196592:NJC196594 MZD196592:MZG196594 MPH196592:MPK196594 MFL196592:MFO196594 LVP196592:LVS196594 LLT196592:LLW196594 LBX196592:LCA196594 KSB196592:KSE196594 KIF196592:KII196594 JYJ196592:JYM196594 JON196592:JOQ196594 JER196592:JEU196594 IUV196592:IUY196594 IKZ196592:ILC196594 IBD196592:IBG196594 HRH196592:HRK196594 HHL196592:HHO196594 GXP196592:GXS196594 GNT196592:GNW196594 GDX196592:GEA196594 FUB196592:FUE196594 FKF196592:FKI196594 FAJ196592:FAM196594 EQN196592:EQQ196594 EGR196592:EGU196594 DWV196592:DWY196594 DMZ196592:DNC196594 DDD196592:DDG196594 CTH196592:CTK196594 CJL196592:CJO196594 BZP196592:BZS196594 BPT196592:BPW196594 BFX196592:BGA196594 AWB196592:AWE196594 AMF196592:AMI196594 ACJ196592:ACM196594 SN196592:SQ196594 IR196592:IU196594 WVD131056:WVG131058 WLH131056:WLK131058 WBL131056:WBO131058 VRP131056:VRS131058 VHT131056:VHW131058 UXX131056:UYA131058 UOB131056:UOE131058 UEF131056:UEI131058 TUJ131056:TUM131058 TKN131056:TKQ131058 TAR131056:TAU131058 SQV131056:SQY131058 SGZ131056:SHC131058 RXD131056:RXG131058 RNH131056:RNK131058 RDL131056:RDO131058 QTP131056:QTS131058 QJT131056:QJW131058 PZX131056:QAA131058 PQB131056:PQE131058 PGF131056:PGI131058 OWJ131056:OWM131058 OMN131056:OMQ131058 OCR131056:OCU131058 NSV131056:NSY131058 NIZ131056:NJC131058 MZD131056:MZG131058 MPH131056:MPK131058 MFL131056:MFO131058 LVP131056:LVS131058 LLT131056:LLW131058 LBX131056:LCA131058 KSB131056:KSE131058 KIF131056:KII131058 JYJ131056:JYM131058 JON131056:JOQ131058 JER131056:JEU131058 IUV131056:IUY131058 IKZ131056:ILC131058 IBD131056:IBG131058 HRH131056:HRK131058 HHL131056:HHO131058 GXP131056:GXS131058 GNT131056:GNW131058 GDX131056:GEA131058 FUB131056:FUE131058 FKF131056:FKI131058 FAJ131056:FAM131058 EQN131056:EQQ131058 EGR131056:EGU131058 DWV131056:DWY131058 DMZ131056:DNC131058 DDD131056:DDG131058 CTH131056:CTK131058 CJL131056:CJO131058 BZP131056:BZS131058 BPT131056:BPW131058 BFX131056:BGA131058 AWB131056:AWE131058 AMF131056:AMI131058 ACJ131056:ACM131058 SN131056:SQ131058 IR131056:IU131058 WVD65520:WVG65522 WLH65520:WLK65522 WBL65520:WBO65522 VRP65520:VRS65522 VHT65520:VHW65522 UXX65520:UYA65522 UOB65520:UOE65522 UEF65520:UEI65522 TUJ65520:TUM65522 TKN65520:TKQ65522 TAR65520:TAU65522 SQV65520:SQY65522 SGZ65520:SHC65522 RXD65520:RXG65522 RNH65520:RNK65522 RDL65520:RDO65522 QTP65520:QTS65522 QJT65520:QJW65522 PZX65520:QAA65522 PQB65520:PQE65522 PGF65520:PGI65522 OWJ65520:OWM65522 OMN65520:OMQ65522 OCR65520:OCU65522 NSV65520:NSY65522 NIZ65520:NJC65522 MZD65520:MZG65522 MPH65520:MPK65522 MFL65520:MFO65522 LVP65520:LVS65522 LLT65520:LLW65522 LBX65520:LCA65522 KSB65520:KSE65522 KIF65520:KII65522 JYJ65520:JYM65522 JON65520:JOQ65522 JER65520:JEU65522 IUV65520:IUY65522 IKZ65520:ILC65522 IBD65520:IBG65522 HRH65520:HRK65522 HHL65520:HHO65522 GXP65520:GXS65522 GNT65520:GNW65522 GDX65520:GEA65522 FUB65520:FUE65522 FKF65520:FKI65522 FAJ65520:FAM65522 EQN65520:EQQ65522 EGR65520:EGU65522 DWV65520:DWY65522 DMZ65520:DNC65522 DDD65520:DDG65522 CTH65520:CTK65522 CJL65520:CJO65522 BZP65520:BZS65522 BPT65520:BPW65522 BFX65520:BGA65522 AWB65520:AWE65522 AMF65520:AMI65522 ACJ65520:ACM65522 SN65520:SQ65522 IR65520:IU65522">
      <formula1>$M$8:$M$9</formula1>
    </dataValidation>
  </dataValidations>
  <pageMargins left="0.70866141732283472" right="0.70866141732283472" top="0.74803149606299213" bottom="0.74803149606299213" header="0.31496062992125984" footer="0.31496062992125984"/>
  <pageSetup paperSize="8" scale="1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21" r:id="rId4" name="Button 1">
              <controlPr defaultSize="0" print="0" autoFill="0" autoPict="0" macro="[0]!КартаРисков" altText="ОБНОВИТЬ КАРТУ">
                <anchor moveWithCells="1" sizeWithCells="1">
                  <from>
                    <xdr:col>18</xdr:col>
                    <xdr:colOff>297180</xdr:colOff>
                    <xdr:row>1</xdr:row>
                    <xdr:rowOff>45720</xdr:rowOff>
                  </from>
                  <to>
                    <xdr:col>19</xdr:col>
                    <xdr:colOff>3421380</xdr:colOff>
                    <xdr:row>4</xdr:row>
                    <xdr:rowOff>647700</xdr:rowOff>
                  </to>
                </anchor>
              </controlPr>
            </control>
          </mc:Choice>
        </mc:AlternateContent>
        <mc:AlternateContent xmlns:mc="http://schemas.openxmlformats.org/markup-compatibility/2006">
          <mc:Choice Requires="x14">
            <control shapeId="81922" r:id="rId5" name="Scroll Bar 2">
              <controlPr defaultSize="0" autoPict="0">
                <anchor moveWithCells="1">
                  <from>
                    <xdr:col>8</xdr:col>
                    <xdr:colOff>45720</xdr:colOff>
                    <xdr:row>3</xdr:row>
                    <xdr:rowOff>617220</xdr:rowOff>
                  </from>
                  <to>
                    <xdr:col>11</xdr:col>
                    <xdr:colOff>1531620</xdr:colOff>
                    <xdr:row>7</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0"/>
  <dimension ref="B1:AF168"/>
  <sheetViews>
    <sheetView topLeftCell="C117" zoomScale="60" zoomScaleNormal="60" zoomScaleSheetLayoutView="80" workbookViewId="0">
      <selection activeCell="H115" sqref="H115:M124"/>
    </sheetView>
  </sheetViews>
  <sheetFormatPr defaultRowHeight="14.4"/>
  <cols>
    <col min="2" max="2" width="41.88671875" customWidth="1"/>
    <col min="3" max="3" width="13.88671875" customWidth="1"/>
    <col min="4" max="4" width="12.6640625" customWidth="1"/>
    <col min="5" max="5" width="14.109375" customWidth="1"/>
    <col min="6" max="6" width="14" customWidth="1"/>
    <col min="7" max="7" width="12" customWidth="1"/>
    <col min="8" max="8" width="46.5546875" customWidth="1"/>
    <col min="9" max="9" width="15.5546875" customWidth="1"/>
    <col min="10" max="10" width="10.88671875" customWidth="1"/>
    <col min="11" max="12" width="13" customWidth="1"/>
    <col min="13" max="13" width="103.6640625" customWidth="1"/>
    <col min="14" max="14" width="118.33203125" customWidth="1"/>
    <col min="15" max="15" width="14.109375" bestFit="1" customWidth="1"/>
    <col min="16" max="17" width="9.33203125" bestFit="1" customWidth="1"/>
    <col min="26" max="26" width="37.33203125" customWidth="1"/>
    <col min="27" max="27" width="14.33203125" customWidth="1"/>
    <col min="28" max="28" width="13" customWidth="1"/>
    <col min="29" max="29" width="11.44140625" customWidth="1"/>
    <col min="30" max="30" width="12.5546875" customWidth="1"/>
    <col min="31" max="31" width="12.88671875" customWidth="1"/>
    <col min="32" max="32" width="13.44140625" customWidth="1"/>
  </cols>
  <sheetData>
    <row r="1" spans="2:32" ht="6.75" customHeight="1"/>
    <row r="2" spans="2:32" ht="43.5" customHeight="1">
      <c r="B2" s="348" t="s">
        <v>570</v>
      </c>
      <c r="C2" s="349" t="s">
        <v>100</v>
      </c>
      <c r="D2" s="349" t="s">
        <v>167</v>
      </c>
      <c r="E2" s="349" t="s">
        <v>370</v>
      </c>
      <c r="F2" s="349" t="s">
        <v>446</v>
      </c>
      <c r="G2" s="349" t="s">
        <v>580</v>
      </c>
      <c r="Z2" s="857" t="s">
        <v>570</v>
      </c>
      <c r="AA2" s="857" t="s">
        <v>100</v>
      </c>
      <c r="AB2" s="857" t="s">
        <v>167</v>
      </c>
      <c r="AC2" s="857" t="s">
        <v>370</v>
      </c>
      <c r="AD2" s="857" t="s">
        <v>446</v>
      </c>
      <c r="AE2" s="857" t="s">
        <v>580</v>
      </c>
    </row>
    <row r="3" spans="2:32">
      <c r="B3" s="342" t="s">
        <v>73</v>
      </c>
      <c r="C3" s="343">
        <v>0.85132884275553411</v>
      </c>
      <c r="D3" s="352">
        <v>-88517.482960435722</v>
      </c>
      <c r="E3" s="352">
        <v>-75357.486332340457</v>
      </c>
      <c r="F3" s="352">
        <v>-58265.446866889557</v>
      </c>
      <c r="G3" s="353">
        <v>0</v>
      </c>
      <c r="J3">
        <f>SUM(K3:K20)</f>
        <v>367993.11541285744</v>
      </c>
      <c r="K3">
        <f t="shared" ref="K3:K20" si="0">IF(E3&lt;0,E3*(-1),E3)</f>
        <v>75357.486332340457</v>
      </c>
      <c r="M3" t="s">
        <v>583</v>
      </c>
      <c r="Z3" s="857" t="s">
        <v>1256</v>
      </c>
      <c r="AA3" s="857" t="s">
        <v>282</v>
      </c>
      <c r="AB3" s="857" t="s">
        <v>283</v>
      </c>
      <c r="AC3" s="857" t="s">
        <v>311</v>
      </c>
      <c r="AD3" s="857" t="s">
        <v>1698</v>
      </c>
      <c r="AE3" s="857" t="s">
        <v>1259</v>
      </c>
    </row>
    <row r="4" spans="2:32" ht="34.5" customHeight="1">
      <c r="B4" s="342" t="s">
        <v>1015</v>
      </c>
      <c r="C4" s="343">
        <v>0.67719394122134746</v>
      </c>
      <c r="D4" s="352">
        <v>-14233.101850229999</v>
      </c>
      <c r="E4" s="352">
        <v>-9638.5703377621066</v>
      </c>
      <c r="F4" s="352">
        <v>0</v>
      </c>
      <c r="G4" s="353">
        <v>0</v>
      </c>
      <c r="K4">
        <f t="shared" si="0"/>
        <v>9638.5703377621066</v>
      </c>
      <c r="M4" t="s">
        <v>584</v>
      </c>
      <c r="Z4" s="348" t="s">
        <v>1256</v>
      </c>
      <c r="AA4" s="349" t="s">
        <v>282</v>
      </c>
      <c r="AB4" s="349" t="s">
        <v>283</v>
      </c>
      <c r="AC4" s="349" t="s">
        <v>311</v>
      </c>
      <c r="AD4" s="349" t="s">
        <v>1698</v>
      </c>
      <c r="AE4" s="349" t="s">
        <v>1259</v>
      </c>
      <c r="AF4" s="77">
        <f>SUM(AC5:AC35)</f>
        <v>-362765.78484541294</v>
      </c>
    </row>
    <row r="5" spans="2:32" ht="37.5" customHeight="1">
      <c r="B5" s="350" t="s">
        <v>342</v>
      </c>
      <c r="C5" s="343">
        <v>0.56798036839499755</v>
      </c>
      <c r="D5" s="351">
        <v>-47443</v>
      </c>
      <c r="E5" s="351">
        <v>-26946.692617763867</v>
      </c>
      <c r="F5" s="351">
        <v>0</v>
      </c>
      <c r="G5" s="353">
        <v>0.32768938304169126</v>
      </c>
      <c r="K5">
        <f t="shared" si="0"/>
        <v>26946.692617763867</v>
      </c>
      <c r="M5" t="s">
        <v>585</v>
      </c>
      <c r="W5" t="s">
        <v>73</v>
      </c>
      <c r="X5" t="s">
        <v>583</v>
      </c>
      <c r="Z5" s="350" t="s">
        <v>592</v>
      </c>
      <c r="AA5" s="343">
        <v>0.27941512636635041</v>
      </c>
      <c r="AB5" s="351">
        <v>-341233.14299999998</v>
      </c>
      <c r="AC5" s="351">
        <v>-95345.70177173191</v>
      </c>
      <c r="AD5" s="351">
        <v>-5557.1555749999998</v>
      </c>
      <c r="AE5" s="353">
        <v>0.26282991879281559</v>
      </c>
      <c r="AF5">
        <f t="shared" ref="AF5:AF34" si="1">IF(AC5&lt;0,AC5*(-1),AC5)</f>
        <v>95345.70177173191</v>
      </c>
    </row>
    <row r="6" spans="2:32" ht="39.75" customHeight="1">
      <c r="B6" s="356" t="s">
        <v>379</v>
      </c>
      <c r="C6" s="343">
        <v>0.505</v>
      </c>
      <c r="D6" s="351">
        <v>0</v>
      </c>
      <c r="E6" s="351">
        <v>0</v>
      </c>
      <c r="F6" s="351">
        <v>0</v>
      </c>
      <c r="G6" s="353">
        <v>5.9595753498315203E-2</v>
      </c>
      <c r="K6">
        <f t="shared" si="0"/>
        <v>0</v>
      </c>
      <c r="M6" t="s">
        <v>586</v>
      </c>
      <c r="W6" t="s">
        <v>1015</v>
      </c>
      <c r="X6" t="s">
        <v>867</v>
      </c>
      <c r="Z6" s="350" t="s">
        <v>942</v>
      </c>
      <c r="AA6" s="343">
        <v>0.7949841964329738</v>
      </c>
      <c r="AB6" s="351">
        <v>-105008.03382805461</v>
      </c>
      <c r="AC6" s="351">
        <v>-83479.727391802531</v>
      </c>
      <c r="AD6" s="351">
        <v>-81515.830965372996</v>
      </c>
      <c r="AE6" s="353">
        <v>0.23012017913259411</v>
      </c>
      <c r="AF6">
        <f t="shared" si="1"/>
        <v>83479.727391802531</v>
      </c>
    </row>
    <row r="7" spans="2:32" ht="40.5" customHeight="1">
      <c r="B7" s="342" t="s">
        <v>453</v>
      </c>
      <c r="C7" s="343">
        <v>0.79309614293459341</v>
      </c>
      <c r="D7" s="351">
        <v>-104116.46109624092</v>
      </c>
      <c r="E7" s="351">
        <v>-82574.363711428319</v>
      </c>
      <c r="F7" s="351">
        <v>-88375.571226976375</v>
      </c>
      <c r="G7" s="353">
        <v>1.1986620975779009E-3</v>
      </c>
      <c r="K7">
        <f t="shared" si="0"/>
        <v>82574.363711428319</v>
      </c>
      <c r="M7" t="s">
        <v>587</v>
      </c>
      <c r="W7" t="s">
        <v>342</v>
      </c>
      <c r="X7" t="s">
        <v>941</v>
      </c>
      <c r="Z7" s="356" t="s">
        <v>1700</v>
      </c>
      <c r="AA7" s="343">
        <v>0.7</v>
      </c>
      <c r="AB7" s="351">
        <v>-88000</v>
      </c>
      <c r="AC7" s="351">
        <v>-61599.999999999993</v>
      </c>
      <c r="AD7" s="351">
        <v>-43119.999999999993</v>
      </c>
      <c r="AE7" s="353">
        <v>0.16980653240561228</v>
      </c>
      <c r="AF7">
        <f t="shared" si="1"/>
        <v>61599.999999999993</v>
      </c>
    </row>
    <row r="8" spans="2:32" ht="35.25" customHeight="1">
      <c r="B8" s="350" t="s">
        <v>76</v>
      </c>
      <c r="C8" s="343">
        <v>0.53646249633225018</v>
      </c>
      <c r="D8" s="351">
        <v>-123421.30132046729</v>
      </c>
      <c r="E8" s="351">
        <v>-66210.899406952725</v>
      </c>
      <c r="F8" s="351">
        <v>-19000</v>
      </c>
      <c r="G8" s="353">
        <v>0.17268423165385516</v>
      </c>
      <c r="K8">
        <f t="shared" si="0"/>
        <v>66210.899406952725</v>
      </c>
      <c r="M8" t="s">
        <v>588</v>
      </c>
      <c r="W8" t="s">
        <v>379</v>
      </c>
      <c r="X8" s="357" t="s">
        <v>398</v>
      </c>
      <c r="Z8" s="350" t="s">
        <v>583</v>
      </c>
      <c r="AA8" s="343">
        <v>0.72021590109278355</v>
      </c>
      <c r="AB8" s="352">
        <v>-64897.071819128585</v>
      </c>
      <c r="AC8" s="351">
        <v>-46739.903058496784</v>
      </c>
      <c r="AD8" s="351">
        <v>-13338.641693468657</v>
      </c>
      <c r="AE8" s="353">
        <v>0.12884319583340603</v>
      </c>
      <c r="AF8">
        <f t="shared" si="1"/>
        <v>46739.903058496784</v>
      </c>
    </row>
    <row r="9" spans="2:32" ht="44.25" customHeight="1">
      <c r="B9" s="342" t="s">
        <v>71</v>
      </c>
      <c r="C9" s="343">
        <v>0.93334377610693386</v>
      </c>
      <c r="D9" s="351">
        <v>-478.79999999999995</v>
      </c>
      <c r="E9" s="351">
        <v>-446.88499999999988</v>
      </c>
      <c r="F9" s="351">
        <v>-410.43031249999996</v>
      </c>
      <c r="G9" s="353">
        <v>1.5020828290449888E-4</v>
      </c>
      <c r="K9">
        <f t="shared" si="0"/>
        <v>446.88499999999988</v>
      </c>
      <c r="M9" t="s">
        <v>399</v>
      </c>
      <c r="W9" t="s">
        <v>453</v>
      </c>
      <c r="X9" t="s">
        <v>942</v>
      </c>
      <c r="Z9" s="350" t="s">
        <v>588</v>
      </c>
      <c r="AA9" s="343">
        <v>0.6</v>
      </c>
      <c r="AB9" s="351">
        <v>-49815.520000000019</v>
      </c>
      <c r="AC9" s="351">
        <v>-29889.312000000009</v>
      </c>
      <c r="AD9" s="351">
        <v>-18680.820000000007</v>
      </c>
      <c r="AE9" s="353">
        <v>8.2392864069958729E-2</v>
      </c>
      <c r="AF9">
        <f t="shared" si="1"/>
        <v>29889.312000000009</v>
      </c>
    </row>
    <row r="10" spans="2:32" ht="34.5" customHeight="1">
      <c r="B10" s="350" t="s">
        <v>69</v>
      </c>
      <c r="C10" s="343">
        <v>0.52011976876437549</v>
      </c>
      <c r="D10" s="351">
        <v>-13960.951210629632</v>
      </c>
      <c r="E10" s="351">
        <v>-7261.3667154034119</v>
      </c>
      <c r="F10" s="351">
        <v>-109.33043216841833</v>
      </c>
      <c r="G10" s="353">
        <v>1.0227855092741623E-2</v>
      </c>
      <c r="K10">
        <f t="shared" si="0"/>
        <v>7261.3667154034119</v>
      </c>
      <c r="M10" t="s">
        <v>589</v>
      </c>
      <c r="W10" t="s">
        <v>76</v>
      </c>
      <c r="X10" t="s">
        <v>588</v>
      </c>
      <c r="Z10" s="350" t="s">
        <v>944</v>
      </c>
      <c r="AA10" s="343">
        <v>0.40042880727257135</v>
      </c>
      <c r="AB10" s="351">
        <v>-69961.5</v>
      </c>
      <c r="AC10" s="351">
        <v>-28014.600000000002</v>
      </c>
      <c r="AD10" s="351">
        <v>-14025.300000000001</v>
      </c>
      <c r="AE10" s="353">
        <v>7.7225033810556273E-2</v>
      </c>
      <c r="AF10">
        <f t="shared" si="1"/>
        <v>28014.600000000002</v>
      </c>
    </row>
    <row r="11" spans="2:32" ht="21" customHeight="1">
      <c r="B11" s="342" t="s">
        <v>79</v>
      </c>
      <c r="C11" s="343">
        <v>0.59445833526945069</v>
      </c>
      <c r="D11" s="351">
        <v>-9320.2150000000001</v>
      </c>
      <c r="E11" s="351">
        <v>-5540.4794932533632</v>
      </c>
      <c r="F11" s="351">
        <v>0</v>
      </c>
      <c r="G11" s="353">
        <v>9.6313550998364684E-4</v>
      </c>
      <c r="K11">
        <f t="shared" si="0"/>
        <v>5540.4794932533632</v>
      </c>
      <c r="M11" t="s">
        <v>590</v>
      </c>
      <c r="W11" t="s">
        <v>71</v>
      </c>
      <c r="X11" t="s">
        <v>399</v>
      </c>
      <c r="Z11" s="350" t="s">
        <v>867</v>
      </c>
      <c r="AA11" s="343">
        <v>0.65018747104050056</v>
      </c>
      <c r="AB11" s="351">
        <v>-21892.101850229999</v>
      </c>
      <c r="AC11" s="351">
        <v>-14233.970337762106</v>
      </c>
      <c r="AD11" s="351">
        <v>-2374.4891951609998</v>
      </c>
      <c r="AE11" s="353">
        <v>3.9237356256813724E-2</v>
      </c>
      <c r="AF11">
        <f t="shared" si="1"/>
        <v>14233.970337762106</v>
      </c>
    </row>
    <row r="12" spans="2:32" s="357" customFormat="1" ht="39" customHeight="1">
      <c r="B12" s="350" t="s">
        <v>78</v>
      </c>
      <c r="C12" s="343">
        <v>0.25</v>
      </c>
      <c r="D12" s="351">
        <v>0</v>
      </c>
      <c r="E12" s="351">
        <v>0</v>
      </c>
      <c r="F12" s="351">
        <v>-1934.2447916666667</v>
      </c>
      <c r="G12" s="353">
        <v>7.4154814111627068E-2</v>
      </c>
      <c r="K12" s="357">
        <f t="shared" si="0"/>
        <v>0</v>
      </c>
      <c r="M12" s="357" t="s">
        <v>591</v>
      </c>
      <c r="W12" s="357" t="s">
        <v>69</v>
      </c>
      <c r="X12" t="s">
        <v>589</v>
      </c>
      <c r="Z12" s="350" t="s">
        <v>593</v>
      </c>
      <c r="AA12" s="343">
        <v>0.45179023155256937</v>
      </c>
      <c r="AB12" s="351">
        <v>-29603.176149999999</v>
      </c>
      <c r="AC12" s="351">
        <v>-13374.425807499998</v>
      </c>
      <c r="AD12" s="351">
        <v>-14390</v>
      </c>
      <c r="AE12" s="353">
        <v>3.6867936189735481E-2</v>
      </c>
      <c r="AF12">
        <f t="shared" si="1"/>
        <v>13374.425807499998</v>
      </c>
    </row>
    <row r="13" spans="2:32" ht="21" customHeight="1">
      <c r="B13" s="350" t="s">
        <v>128</v>
      </c>
      <c r="C13" s="343">
        <v>0.25615112836208254</v>
      </c>
      <c r="D13" s="351">
        <v>-308951.37551799999</v>
      </c>
      <c r="E13" s="351">
        <v>-79138.24344795318</v>
      </c>
      <c r="F13" s="351">
        <v>-10891.659990932176</v>
      </c>
      <c r="G13" s="353">
        <v>0.27314635925196468</v>
      </c>
      <c r="K13">
        <f t="shared" si="0"/>
        <v>79138.24344795318</v>
      </c>
      <c r="M13" t="s">
        <v>592</v>
      </c>
      <c r="W13" t="s">
        <v>79</v>
      </c>
      <c r="X13" t="s">
        <v>590</v>
      </c>
      <c r="Z13" s="350" t="s">
        <v>941</v>
      </c>
      <c r="AA13" s="343">
        <v>0.22545055529693422</v>
      </c>
      <c r="AB13" s="351">
        <v>-37457</v>
      </c>
      <c r="AC13" s="351">
        <v>-8444.7014497572654</v>
      </c>
      <c r="AD13" s="351">
        <v>-4511.0999999999995</v>
      </c>
      <c r="AE13" s="353">
        <v>2.3278660233505329E-2</v>
      </c>
      <c r="AF13">
        <f t="shared" si="1"/>
        <v>8444.7014497572654</v>
      </c>
    </row>
    <row r="14" spans="2:32" ht="21" customHeight="1">
      <c r="B14" s="350" t="s">
        <v>82</v>
      </c>
      <c r="C14" s="343">
        <v>0.1</v>
      </c>
      <c r="D14" s="351">
        <v>-2930</v>
      </c>
      <c r="E14" s="351">
        <v>-293</v>
      </c>
      <c r="F14" s="351"/>
      <c r="G14" s="353">
        <v>2.753818519915813E-3</v>
      </c>
      <c r="K14">
        <f t="shared" si="0"/>
        <v>293</v>
      </c>
      <c r="M14" t="s">
        <v>409</v>
      </c>
      <c r="W14" t="s">
        <v>78</v>
      </c>
      <c r="X14" t="s">
        <v>591</v>
      </c>
      <c r="Z14" s="350" t="s">
        <v>589</v>
      </c>
      <c r="AA14" s="343">
        <v>0.52850938613764376</v>
      </c>
      <c r="AB14" s="351">
        <v>-13682.081210629633</v>
      </c>
      <c r="AC14" s="351">
        <v>-7231.1083417152568</v>
      </c>
      <c r="AD14" s="351">
        <v>-4187.696824450165</v>
      </c>
      <c r="AE14" s="353">
        <v>1.9933270015518915E-2</v>
      </c>
      <c r="AF14">
        <f t="shared" si="1"/>
        <v>7231.1083417152568</v>
      </c>
    </row>
    <row r="15" spans="2:32" ht="36.75" customHeight="1">
      <c r="B15" s="350" t="s">
        <v>83</v>
      </c>
      <c r="C15" s="343">
        <v>0.25</v>
      </c>
      <c r="D15" s="351">
        <v>-269.72699999999998</v>
      </c>
      <c r="E15" s="351">
        <v>-67.431749999999994</v>
      </c>
      <c r="F15" s="351">
        <v>-3.6625000000000001</v>
      </c>
      <c r="G15" s="353">
        <v>5.2555700168182035E-2</v>
      </c>
      <c r="K15">
        <f t="shared" si="0"/>
        <v>67.431749999999994</v>
      </c>
      <c r="M15" t="s">
        <v>82</v>
      </c>
      <c r="W15" t="s">
        <v>128</v>
      </c>
      <c r="X15" t="s">
        <v>592</v>
      </c>
      <c r="Z15" s="356" t="s">
        <v>1702</v>
      </c>
      <c r="AA15" s="343">
        <v>0.4</v>
      </c>
      <c r="AB15" s="351">
        <v>-13600</v>
      </c>
      <c r="AC15" s="351">
        <v>-5440</v>
      </c>
      <c r="AD15" s="351">
        <v>-1632</v>
      </c>
      <c r="AE15" s="353">
        <v>1.4995901563093033E-2</v>
      </c>
      <c r="AF15">
        <f t="shared" si="1"/>
        <v>5440</v>
      </c>
    </row>
    <row r="16" spans="2:32" ht="21" customHeight="1">
      <c r="B16" s="350" t="s">
        <v>85</v>
      </c>
      <c r="C16" s="343">
        <v>0.45280081232764469</v>
      </c>
      <c r="D16" s="351">
        <v>-31780.28</v>
      </c>
      <c r="E16" s="351">
        <v>-14390.1366</v>
      </c>
      <c r="F16" s="351">
        <v>-33.715874999999997</v>
      </c>
      <c r="G16" s="353">
        <v>4.7641060394543563E-4</v>
      </c>
      <c r="K16">
        <f t="shared" si="0"/>
        <v>14390.1366</v>
      </c>
      <c r="M16" t="s">
        <v>400</v>
      </c>
      <c r="W16" t="s">
        <v>82</v>
      </c>
      <c r="X16" t="s">
        <v>397</v>
      </c>
      <c r="Z16" s="350" t="s">
        <v>590</v>
      </c>
      <c r="AA16" s="343">
        <v>0.59222100961904522</v>
      </c>
      <c r="AB16" s="351">
        <v>-6669</v>
      </c>
      <c r="AC16" s="351">
        <v>-3949.5219131494127</v>
      </c>
      <c r="AD16" s="351">
        <v>-2123.3000000000002</v>
      </c>
      <c r="AE16" s="353">
        <v>1.088725033655652E-2</v>
      </c>
      <c r="AF16">
        <f t="shared" si="1"/>
        <v>3949.5219131494127</v>
      </c>
    </row>
    <row r="17" spans="2:32" ht="21" customHeight="1">
      <c r="B17" s="350" t="s">
        <v>161</v>
      </c>
      <c r="C17" s="343">
        <v>0.4</v>
      </c>
      <c r="D17" s="351">
        <v>-168.9</v>
      </c>
      <c r="E17" s="351">
        <v>-67.56</v>
      </c>
      <c r="F17" s="351">
        <v>-8808.682499999999</v>
      </c>
      <c r="G17" s="353">
        <v>0</v>
      </c>
      <c r="K17">
        <f t="shared" si="0"/>
        <v>67.56</v>
      </c>
      <c r="M17" t="s">
        <v>593</v>
      </c>
      <c r="W17" t="s">
        <v>83</v>
      </c>
      <c r="X17" t="s">
        <v>400</v>
      </c>
      <c r="Z17" s="350" t="s">
        <v>398</v>
      </c>
      <c r="AA17" s="343">
        <v>0.2</v>
      </c>
      <c r="AB17" s="351">
        <v>-7200</v>
      </c>
      <c r="AC17" s="351">
        <v>-1440</v>
      </c>
      <c r="AD17" s="351">
        <v>0</v>
      </c>
      <c r="AE17" s="353">
        <v>3.9695033549363911E-3</v>
      </c>
      <c r="AF17">
        <f t="shared" si="1"/>
        <v>1440</v>
      </c>
    </row>
    <row r="18" spans="2:32" ht="21" customHeight="1">
      <c r="B18" s="350" t="s">
        <v>125</v>
      </c>
      <c r="C18" s="343">
        <v>0.8</v>
      </c>
      <c r="D18" s="351">
        <v>-75</v>
      </c>
      <c r="E18" s="351">
        <v>-60</v>
      </c>
      <c r="F18" s="351">
        <v>-228.71718749999999</v>
      </c>
      <c r="G18" s="353">
        <v>2.3501337596099722E-2</v>
      </c>
      <c r="K18">
        <f t="shared" si="0"/>
        <v>60</v>
      </c>
      <c r="M18" t="s">
        <v>594</v>
      </c>
      <c r="W18" t="s">
        <v>85</v>
      </c>
      <c r="X18" t="s">
        <v>593</v>
      </c>
      <c r="Z18" s="356" t="s">
        <v>1383</v>
      </c>
      <c r="AA18" s="343">
        <v>0.4</v>
      </c>
      <c r="AB18" s="351">
        <v>-1800</v>
      </c>
      <c r="AC18" s="351">
        <v>-720</v>
      </c>
      <c r="AD18" s="351">
        <v>-216</v>
      </c>
      <c r="AE18" s="353">
        <v>1.9847516774681956E-3</v>
      </c>
      <c r="AF18">
        <f t="shared" si="1"/>
        <v>720</v>
      </c>
    </row>
    <row r="19" spans="2:32" ht="21" customHeight="1">
      <c r="B19" s="350" t="s">
        <v>68</v>
      </c>
      <c r="C19" s="343">
        <v>1</v>
      </c>
      <c r="D19" s="351">
        <v>0</v>
      </c>
      <c r="E19" s="351">
        <v>0</v>
      </c>
      <c r="F19" s="351">
        <v>-48</v>
      </c>
      <c r="G19" s="353">
        <v>1.6881345634575735E-4</v>
      </c>
      <c r="K19">
        <f t="shared" si="0"/>
        <v>0</v>
      </c>
      <c r="M19" t="s">
        <v>595</v>
      </c>
      <c r="W19" t="s">
        <v>161</v>
      </c>
      <c r="X19" t="s">
        <v>943</v>
      </c>
      <c r="Z19" s="350" t="s">
        <v>399</v>
      </c>
      <c r="AA19" s="343">
        <v>0.41197943030932727</v>
      </c>
      <c r="AB19" s="351">
        <v>-1043.307</v>
      </c>
      <c r="AC19" s="351">
        <v>-429.82102349773334</v>
      </c>
      <c r="AD19" s="351">
        <v>-19.319438928231531</v>
      </c>
      <c r="AE19" s="353">
        <v>1.1848444408308653E-3</v>
      </c>
      <c r="AF19">
        <f t="shared" si="1"/>
        <v>429.82102349773334</v>
      </c>
    </row>
    <row r="20" spans="2:32" ht="21" customHeight="1">
      <c r="B20" s="350" t="s">
        <v>66</v>
      </c>
      <c r="C20" s="343">
        <v>0.4</v>
      </c>
      <c r="D20" s="351">
        <v>0</v>
      </c>
      <c r="E20" s="351">
        <v>0</v>
      </c>
      <c r="F20" s="351">
        <v>0</v>
      </c>
      <c r="G20" s="353">
        <v>7.3351711485030282E-4</v>
      </c>
      <c r="K20">
        <f t="shared" si="0"/>
        <v>0</v>
      </c>
      <c r="M20" t="s">
        <v>596</v>
      </c>
      <c r="W20" t="s">
        <v>125</v>
      </c>
      <c r="X20" t="s">
        <v>944</v>
      </c>
      <c r="Z20" s="350" t="s">
        <v>943</v>
      </c>
      <c r="AA20" s="343">
        <v>0.4</v>
      </c>
      <c r="AB20" s="351">
        <v>-401.4</v>
      </c>
      <c r="AC20" s="351">
        <v>-160.56</v>
      </c>
      <c r="AD20" s="351">
        <v>-80.28</v>
      </c>
      <c r="AE20" s="353">
        <v>4.4259962407540763E-4</v>
      </c>
      <c r="AF20">
        <f t="shared" si="1"/>
        <v>160.56</v>
      </c>
    </row>
    <row r="21" spans="2:32" ht="21" customHeight="1">
      <c r="B21" s="350" t="s">
        <v>838</v>
      </c>
      <c r="C21" s="343">
        <v>0.4</v>
      </c>
      <c r="D21" s="351">
        <v>0</v>
      </c>
      <c r="E21" s="351">
        <v>0</v>
      </c>
      <c r="F21" s="351" t="s">
        <v>578</v>
      </c>
      <c r="G21" s="353"/>
      <c r="H21" s="345" t="s">
        <v>579</v>
      </c>
      <c r="I21" s="344" t="s">
        <v>100</v>
      </c>
      <c r="J21" s="344" t="s">
        <v>167</v>
      </c>
      <c r="K21" s="344" t="s">
        <v>370</v>
      </c>
      <c r="L21" s="344" t="s">
        <v>446</v>
      </c>
      <c r="M21" s="344" t="s">
        <v>376</v>
      </c>
      <c r="W21" t="s">
        <v>68</v>
      </c>
      <c r="X21" t="s">
        <v>401</v>
      </c>
      <c r="Z21" s="350" t="s">
        <v>400</v>
      </c>
      <c r="AA21" s="343">
        <v>0.25</v>
      </c>
      <c r="AB21" s="351">
        <v>-269.72699999999998</v>
      </c>
      <c r="AC21" s="351">
        <v>-67.431749999999994</v>
      </c>
      <c r="AD21" s="351">
        <v>-33.715874999999997</v>
      </c>
      <c r="AE21" s="353">
        <v>1.8588233184321665E-4</v>
      </c>
      <c r="AF21">
        <f t="shared" si="1"/>
        <v>67.431749999999994</v>
      </c>
    </row>
    <row r="22" spans="2:32" ht="29.25" customHeight="1">
      <c r="B22" t="s">
        <v>844</v>
      </c>
      <c r="C22">
        <v>0.4</v>
      </c>
      <c r="D22">
        <v>0</v>
      </c>
      <c r="E22">
        <v>0</v>
      </c>
      <c r="H22" s="354" t="s">
        <v>384</v>
      </c>
      <c r="I22" s="497">
        <v>0.99084175724693513</v>
      </c>
      <c r="J22" s="352">
        <v>-14586.878000000001</v>
      </c>
      <c r="K22" s="352">
        <v>-14453.28783026666</v>
      </c>
      <c r="L22" s="352">
        <v>-3845.0939000000003</v>
      </c>
      <c r="M22" s="355" t="s">
        <v>1680</v>
      </c>
      <c r="N22" t="s">
        <v>384</v>
      </c>
      <c r="O22">
        <v>0.99084175724693513</v>
      </c>
      <c r="P22">
        <v>-14586.878000000001</v>
      </c>
      <c r="Q22">
        <v>-14453.28783026666</v>
      </c>
      <c r="R22">
        <v>-3845.0939000000003</v>
      </c>
      <c r="W22" t="s">
        <v>66</v>
      </c>
      <c r="X22" t="s">
        <v>945</v>
      </c>
      <c r="Z22" s="356" t="s">
        <v>1699</v>
      </c>
      <c r="AA22" s="343">
        <v>0.5</v>
      </c>
      <c r="AB22" s="351">
        <v>0</v>
      </c>
      <c r="AC22" s="351">
        <v>0</v>
      </c>
      <c r="AD22" s="351">
        <v>0</v>
      </c>
      <c r="AE22" s="353">
        <v>0</v>
      </c>
      <c r="AF22">
        <f t="shared" si="1"/>
        <v>0</v>
      </c>
    </row>
    <row r="23" spans="2:32" ht="21" customHeight="1">
      <c r="B23" t="s">
        <v>845</v>
      </c>
      <c r="C23">
        <v>0.4</v>
      </c>
      <c r="D23">
        <v>0</v>
      </c>
      <c r="E23">
        <v>0</v>
      </c>
      <c r="H23" s="354" t="s">
        <v>304</v>
      </c>
      <c r="I23" s="343">
        <v>0.2</v>
      </c>
      <c r="J23" s="352">
        <v>-7962.3487495075733</v>
      </c>
      <c r="K23" s="352">
        <v>-1592.4697499015147</v>
      </c>
      <c r="L23" s="352">
        <v>1533.5547687573865</v>
      </c>
      <c r="M23" s="355" t="s">
        <v>1220</v>
      </c>
      <c r="N23" t="s">
        <v>320</v>
      </c>
      <c r="O23">
        <v>0.05</v>
      </c>
      <c r="P23">
        <v>1715.1306880989828</v>
      </c>
      <c r="Q23">
        <v>85.75653440494915</v>
      </c>
      <c r="R23">
        <v>85.75653440494915</v>
      </c>
      <c r="W23" t="s">
        <v>838</v>
      </c>
      <c r="X23" t="s">
        <v>1250</v>
      </c>
      <c r="Z23" s="350" t="s">
        <v>945</v>
      </c>
      <c r="AA23" s="343">
        <v>0.4</v>
      </c>
      <c r="AB23" s="351">
        <v>0</v>
      </c>
      <c r="AC23" s="351">
        <v>0</v>
      </c>
      <c r="AD23" s="351">
        <v>0</v>
      </c>
      <c r="AE23" s="353">
        <v>0</v>
      </c>
      <c r="AF23">
        <f t="shared" si="1"/>
        <v>0</v>
      </c>
    </row>
    <row r="24" spans="2:32" ht="21" customHeight="1">
      <c r="B24" t="s">
        <v>846</v>
      </c>
      <c r="C24">
        <v>0.4</v>
      </c>
      <c r="D24">
        <v>0</v>
      </c>
      <c r="E24">
        <v>0</v>
      </c>
      <c r="H24" s="354" t="s">
        <v>151</v>
      </c>
      <c r="I24" s="343">
        <v>0.95</v>
      </c>
      <c r="J24" s="352">
        <v>-26809</v>
      </c>
      <c r="K24" s="352">
        <v>-25469</v>
      </c>
      <c r="L24" s="352">
        <v>-12754</v>
      </c>
      <c r="M24" s="355" t="s">
        <v>1221</v>
      </c>
      <c r="N24" t="s">
        <v>304</v>
      </c>
      <c r="O24">
        <v>0.2</v>
      </c>
      <c r="P24">
        <v>-7962.3487495075733</v>
      </c>
      <c r="Q24">
        <v>-1592.4697499015147</v>
      </c>
      <c r="R24">
        <v>1533.5547687573865</v>
      </c>
      <c r="W24" t="s">
        <v>844</v>
      </c>
      <c r="X24" t="s">
        <v>1251</v>
      </c>
      <c r="Z24" s="350" t="s">
        <v>1254</v>
      </c>
      <c r="AA24" s="343">
        <v>0.4</v>
      </c>
      <c r="AB24" s="351">
        <v>0</v>
      </c>
      <c r="AC24" s="351">
        <v>0</v>
      </c>
      <c r="AD24" s="351">
        <v>0</v>
      </c>
      <c r="AE24" s="353">
        <v>0</v>
      </c>
      <c r="AF24">
        <f t="shared" si="1"/>
        <v>0</v>
      </c>
    </row>
    <row r="25" spans="2:32" ht="21" customHeight="1">
      <c r="B25" t="s">
        <v>859</v>
      </c>
      <c r="C25">
        <v>0.4</v>
      </c>
      <c r="D25">
        <v>-13600</v>
      </c>
      <c r="E25">
        <v>-5440</v>
      </c>
      <c r="H25" s="354" t="s">
        <v>482</v>
      </c>
      <c r="I25" s="343">
        <v>0.76364643470029581</v>
      </c>
      <c r="J25" s="352">
        <v>-3613.0450100000003</v>
      </c>
      <c r="K25" s="352">
        <v>-2759.0889402981948</v>
      </c>
      <c r="L25" s="352">
        <v>-1373.8680037500001</v>
      </c>
      <c r="M25" s="355" t="s">
        <v>1679</v>
      </c>
      <c r="N25" t="s">
        <v>303</v>
      </c>
      <c r="O25">
        <v>9.6875000000000003E-2</v>
      </c>
      <c r="P25">
        <v>-11278.400747719992</v>
      </c>
      <c r="Q25">
        <v>-1092.5950724353743</v>
      </c>
      <c r="R25">
        <v>6125.6071022800079</v>
      </c>
      <c r="W25" t="s">
        <v>845</v>
      </c>
      <c r="X25" t="s">
        <v>1254</v>
      </c>
      <c r="Z25" s="350" t="s">
        <v>1255</v>
      </c>
      <c r="AA25" s="343">
        <v>0.4</v>
      </c>
      <c r="AB25" s="351">
        <v>0</v>
      </c>
      <c r="AC25" s="351">
        <v>0</v>
      </c>
      <c r="AD25" s="351">
        <v>0</v>
      </c>
      <c r="AE25" s="353">
        <v>0</v>
      </c>
      <c r="AF25">
        <f t="shared" si="1"/>
        <v>0</v>
      </c>
    </row>
    <row r="26" spans="2:32" ht="21" customHeight="1">
      <c r="B26" t="s">
        <v>848</v>
      </c>
      <c r="C26">
        <v>0.05</v>
      </c>
      <c r="D26">
        <v>0</v>
      </c>
      <c r="E26">
        <v>0</v>
      </c>
      <c r="H26" s="354" t="s">
        <v>571</v>
      </c>
      <c r="I26" s="343">
        <v>0.72499999999999998</v>
      </c>
      <c r="J26" s="352">
        <v>-502</v>
      </c>
      <c r="K26" s="352">
        <v>-363.95</v>
      </c>
      <c r="L26" s="352">
        <v>-188.25</v>
      </c>
      <c r="M26" s="355" t="s">
        <v>1222</v>
      </c>
      <c r="N26" t="s">
        <v>482</v>
      </c>
      <c r="O26" s="126">
        <v>0.76364643470029581</v>
      </c>
      <c r="P26">
        <v>-3613.0450100000003</v>
      </c>
      <c r="Q26">
        <v>-2759.0889402981948</v>
      </c>
      <c r="R26">
        <v>-1373.8680037500001</v>
      </c>
      <c r="W26" t="s">
        <v>846</v>
      </c>
      <c r="X26" t="s">
        <v>1255</v>
      </c>
      <c r="Z26" s="350" t="s">
        <v>1250</v>
      </c>
      <c r="AA26" s="343">
        <v>0.05</v>
      </c>
      <c r="AB26" s="351">
        <v>0</v>
      </c>
      <c r="AC26" s="351">
        <v>0</v>
      </c>
      <c r="AD26" s="351">
        <v>0</v>
      </c>
      <c r="AE26" s="353">
        <v>0</v>
      </c>
      <c r="AF26">
        <f t="shared" si="1"/>
        <v>0</v>
      </c>
    </row>
    <row r="27" spans="2:32" ht="21" customHeight="1">
      <c r="H27" s="354" t="s">
        <v>606</v>
      </c>
      <c r="I27" s="343">
        <v>0.3</v>
      </c>
      <c r="J27" s="1692" t="s">
        <v>1224</v>
      </c>
      <c r="K27" s="1693"/>
      <c r="L27" s="514"/>
      <c r="M27" s="355" t="s">
        <v>1225</v>
      </c>
      <c r="N27" t="s">
        <v>571</v>
      </c>
      <c r="O27">
        <v>0.72499999999999998</v>
      </c>
      <c r="P27">
        <v>-502</v>
      </c>
      <c r="Q27">
        <v>-363.95</v>
      </c>
      <c r="R27">
        <v>-188.25</v>
      </c>
      <c r="W27" t="s">
        <v>859</v>
      </c>
      <c r="X27" t="s">
        <v>1252</v>
      </c>
      <c r="Z27" s="356" t="s">
        <v>1703</v>
      </c>
      <c r="AA27" s="343">
        <v>0.05</v>
      </c>
      <c r="AB27" s="351">
        <v>0</v>
      </c>
      <c r="AC27" s="351">
        <v>0</v>
      </c>
      <c r="AD27" s="351">
        <v>0</v>
      </c>
      <c r="AE27" s="353">
        <v>0</v>
      </c>
      <c r="AF27">
        <f t="shared" si="1"/>
        <v>0</v>
      </c>
    </row>
    <row r="28" spans="2:32" ht="21" customHeight="1">
      <c r="H28" s="354" t="s">
        <v>1117</v>
      </c>
      <c r="I28" s="343">
        <v>0.6</v>
      </c>
      <c r="J28" s="352">
        <v>-1757.53</v>
      </c>
      <c r="K28" s="352">
        <v>-1054.518</v>
      </c>
      <c r="L28" s="352">
        <v>-527.25900000000001</v>
      </c>
      <c r="M28" s="355" t="s">
        <v>1223</v>
      </c>
      <c r="N28" t="s">
        <v>151</v>
      </c>
      <c r="O28">
        <v>0.95</v>
      </c>
      <c r="P28">
        <v>-26809</v>
      </c>
      <c r="Q28">
        <v>-25468.55</v>
      </c>
      <c r="R28">
        <v>-12754</v>
      </c>
      <c r="W28" t="s">
        <v>848</v>
      </c>
      <c r="X28" t="s">
        <v>1253</v>
      </c>
      <c r="Z28" s="350" t="s">
        <v>397</v>
      </c>
      <c r="AA28" s="343">
        <v>0.02</v>
      </c>
      <c r="AB28" s="351">
        <v>0</v>
      </c>
      <c r="AC28" s="351">
        <v>0</v>
      </c>
      <c r="AD28" s="351">
        <v>0</v>
      </c>
      <c r="AE28" s="353">
        <v>0</v>
      </c>
      <c r="AF28">
        <f t="shared" si="1"/>
        <v>0</v>
      </c>
    </row>
    <row r="29" spans="2:32" ht="21" customHeight="1">
      <c r="H29" s="354" t="s">
        <v>320</v>
      </c>
      <c r="I29" s="343">
        <v>0.05</v>
      </c>
      <c r="J29" s="352">
        <v>1715.1306880989828</v>
      </c>
      <c r="K29" s="352">
        <v>85.75653440494915</v>
      </c>
      <c r="L29" s="352">
        <v>86</v>
      </c>
      <c r="M29" s="355" t="s">
        <v>1293</v>
      </c>
      <c r="N29" t="s">
        <v>998</v>
      </c>
      <c r="O29">
        <v>0.4</v>
      </c>
      <c r="P29">
        <v>-103</v>
      </c>
      <c r="Q29">
        <v>-41.2</v>
      </c>
      <c r="R29">
        <v>-20.6</v>
      </c>
      <c r="Z29" s="350" t="s">
        <v>591</v>
      </c>
      <c r="AA29" s="343">
        <v>0.05</v>
      </c>
      <c r="AB29" s="351">
        <v>0.25</v>
      </c>
      <c r="AC29" s="351">
        <v>0</v>
      </c>
      <c r="AD29" s="351">
        <v>0</v>
      </c>
      <c r="AE29" s="353">
        <v>0</v>
      </c>
      <c r="AF29">
        <f t="shared" si="1"/>
        <v>0</v>
      </c>
    </row>
    <row r="30" spans="2:32" ht="21" customHeight="1">
      <c r="H30" s="354" t="s">
        <v>303</v>
      </c>
      <c r="I30" s="343">
        <v>9.6875000000000003E-2</v>
      </c>
      <c r="J30" s="352">
        <v>-11278.400747719992</v>
      </c>
      <c r="K30" s="352">
        <v>-1092.5950724353743</v>
      </c>
      <c r="L30" s="352">
        <v>6125.6071022800079</v>
      </c>
      <c r="M30" s="355" t="s">
        <v>1294</v>
      </c>
      <c r="N30" t="s">
        <v>1117</v>
      </c>
      <c r="O30">
        <v>0.6</v>
      </c>
      <c r="P30">
        <v>-1757.53</v>
      </c>
      <c r="Q30">
        <v>-1054.518</v>
      </c>
      <c r="R30">
        <v>-527.25900000000001</v>
      </c>
      <c r="Z30" s="350" t="s">
        <v>401</v>
      </c>
      <c r="AA30" s="343">
        <v>0.05</v>
      </c>
      <c r="AB30" s="351">
        <v>0</v>
      </c>
      <c r="AC30" s="351">
        <v>0</v>
      </c>
      <c r="AD30" s="351">
        <v>0</v>
      </c>
      <c r="AE30" s="353">
        <v>0</v>
      </c>
      <c r="AF30">
        <f t="shared" si="1"/>
        <v>0</v>
      </c>
    </row>
    <row r="31" spans="2:32" ht="21" customHeight="1">
      <c r="H31" s="354" t="s">
        <v>998</v>
      </c>
      <c r="I31" s="343">
        <v>0.4</v>
      </c>
      <c r="J31" s="352">
        <v>-103</v>
      </c>
      <c r="K31" s="352">
        <v>-41.2</v>
      </c>
      <c r="L31" s="352">
        <v>-20.6</v>
      </c>
      <c r="M31" s="355" t="s">
        <v>1295</v>
      </c>
      <c r="Z31" s="350" t="s">
        <v>1251</v>
      </c>
      <c r="AA31" s="343">
        <v>0.05</v>
      </c>
      <c r="AB31" s="351">
        <v>0</v>
      </c>
      <c r="AC31" s="351">
        <v>0</v>
      </c>
      <c r="AD31" s="351">
        <v>0</v>
      </c>
      <c r="AE31" s="353">
        <v>0</v>
      </c>
      <c r="AF31">
        <f t="shared" si="1"/>
        <v>0</v>
      </c>
    </row>
    <row r="32" spans="2:32" ht="21" customHeight="1">
      <c r="H32" s="345" t="s">
        <v>579</v>
      </c>
      <c r="I32" s="344" t="s">
        <v>100</v>
      </c>
      <c r="J32" s="344" t="s">
        <v>167</v>
      </c>
      <c r="K32" s="344" t="s">
        <v>370</v>
      </c>
      <c r="L32" s="344" t="s">
        <v>446</v>
      </c>
      <c r="M32" s="344" t="s">
        <v>376</v>
      </c>
      <c r="Z32" s="350" t="s">
        <v>1701</v>
      </c>
      <c r="AA32" s="343">
        <v>0.5</v>
      </c>
      <c r="AB32" s="351">
        <v>75590</v>
      </c>
      <c r="AC32" s="351">
        <v>37795</v>
      </c>
      <c r="AD32" s="351">
        <v>0</v>
      </c>
      <c r="AE32" s="353">
        <v>-0.10418568006932008</v>
      </c>
      <c r="AF32">
        <f t="shared" si="1"/>
        <v>37795</v>
      </c>
    </row>
    <row r="33" spans="2:32" ht="95.25" customHeight="1">
      <c r="H33" s="354" t="s">
        <v>123</v>
      </c>
      <c r="I33" s="343">
        <v>0.6</v>
      </c>
      <c r="J33" s="352">
        <v>-49815.520000000019</v>
      </c>
      <c r="K33" s="352">
        <v>-29889.312000000009</v>
      </c>
      <c r="L33" s="352">
        <v>-18680.820000000007</v>
      </c>
      <c r="M33" s="355" t="s">
        <v>597</v>
      </c>
      <c r="Z33" s="356"/>
      <c r="AA33" s="343"/>
      <c r="AB33" s="351"/>
      <c r="AC33" s="351"/>
      <c r="AD33" s="351"/>
      <c r="AE33" s="353"/>
      <c r="AF33">
        <f t="shared" si="1"/>
        <v>0</v>
      </c>
    </row>
    <row r="34" spans="2:32" ht="22.5" customHeight="1">
      <c r="H34" s="354" t="s">
        <v>629</v>
      </c>
      <c r="I34" s="343">
        <v>0.36</v>
      </c>
      <c r="J34" s="352">
        <f>-60076-J33</f>
        <v>-10260.479999999981</v>
      </c>
      <c r="K34" s="352">
        <f>I34*J34</f>
        <v>-3693.7727999999934</v>
      </c>
      <c r="L34" s="352"/>
      <c r="M34" s="355" t="s">
        <v>1226</v>
      </c>
      <c r="Z34" s="356"/>
      <c r="AA34" s="343"/>
      <c r="AB34" s="351"/>
      <c r="AC34" s="351"/>
      <c r="AD34" s="351"/>
      <c r="AE34" s="353"/>
      <c r="AF34">
        <f t="shared" si="1"/>
        <v>0</v>
      </c>
    </row>
    <row r="35" spans="2:32" ht="36" customHeight="1">
      <c r="H35" s="345" t="s">
        <v>579</v>
      </c>
      <c r="I35" s="344" t="s">
        <v>100</v>
      </c>
      <c r="J35" s="344" t="s">
        <v>167</v>
      </c>
      <c r="K35" s="344" t="s">
        <v>370</v>
      </c>
      <c r="L35" s="344" t="s">
        <v>446</v>
      </c>
      <c r="M35" s="344" t="s">
        <v>376</v>
      </c>
      <c r="Z35" s="356"/>
      <c r="AA35" s="351"/>
      <c r="AB35" s="351"/>
      <c r="AC35" s="351"/>
      <c r="AD35" s="353"/>
      <c r="AE35" s="343"/>
    </row>
    <row r="36" spans="2:32" ht="66.75" customHeight="1">
      <c r="H36" s="354" t="s">
        <v>121</v>
      </c>
      <c r="I36" s="343">
        <v>0.7</v>
      </c>
      <c r="J36" s="352">
        <v>-88000</v>
      </c>
      <c r="K36" s="352">
        <v>-61599.999999999993</v>
      </c>
      <c r="L36" s="352">
        <v>-43119.999999999993</v>
      </c>
      <c r="M36" s="355" t="s">
        <v>1683</v>
      </c>
      <c r="O36">
        <v>0.7</v>
      </c>
      <c r="P36">
        <v>-5705</v>
      </c>
      <c r="Q36">
        <v>-3993.4999999999995</v>
      </c>
    </row>
    <row r="37" spans="2:32" ht="26.25" customHeight="1">
      <c r="H37" s="354" t="s">
        <v>120</v>
      </c>
      <c r="I37" s="343">
        <v>0.7</v>
      </c>
      <c r="J37" s="352">
        <v>-26904</v>
      </c>
      <c r="K37" s="352">
        <v>-19386</v>
      </c>
      <c r="L37" s="352"/>
      <c r="M37" s="355" t="s">
        <v>149</v>
      </c>
      <c r="O37">
        <v>0.7</v>
      </c>
      <c r="P37">
        <v>-12650</v>
      </c>
      <c r="Q37">
        <v>-8855</v>
      </c>
      <c r="Z37" t="s">
        <v>570</v>
      </c>
      <c r="AA37" t="s">
        <v>100</v>
      </c>
      <c r="AB37" t="s">
        <v>167</v>
      </c>
      <c r="AC37" t="s">
        <v>370</v>
      </c>
      <c r="AD37" t="s">
        <v>446</v>
      </c>
      <c r="AE37" t="s">
        <v>580</v>
      </c>
    </row>
    <row r="38" spans="2:32" ht="36" customHeight="1">
      <c r="H38" s="354" t="s">
        <v>1003</v>
      </c>
      <c r="I38" s="343">
        <v>0.75</v>
      </c>
      <c r="J38" s="352">
        <v>-29088</v>
      </c>
      <c r="K38" s="352">
        <v>-21816</v>
      </c>
      <c r="L38" s="352"/>
      <c r="M38" s="355" t="s">
        <v>149</v>
      </c>
      <c r="Z38" t="s">
        <v>1256</v>
      </c>
      <c r="AA38" t="s">
        <v>282</v>
      </c>
      <c r="AB38" t="s">
        <v>1257</v>
      </c>
      <c r="AC38" t="s">
        <v>1258</v>
      </c>
      <c r="AD38" t="s">
        <v>1260</v>
      </c>
      <c r="AE38" t="s">
        <v>1259</v>
      </c>
    </row>
    <row r="39" spans="2:32" ht="39.75" customHeight="1">
      <c r="B39" s="336" t="s">
        <v>384</v>
      </c>
      <c r="C39" s="210">
        <v>0.99805902392242518</v>
      </c>
      <c r="D39" s="264">
        <v>-34165.043899999997</v>
      </c>
      <c r="E39" s="264">
        <v>-34098.730367100805</v>
      </c>
      <c r="H39" s="345" t="s">
        <v>579</v>
      </c>
      <c r="I39" s="344" t="s">
        <v>100</v>
      </c>
      <c r="J39" s="344" t="s">
        <v>167</v>
      </c>
      <c r="K39" s="344" t="s">
        <v>370</v>
      </c>
      <c r="L39" s="344" t="s">
        <v>446</v>
      </c>
      <c r="M39" s="344" t="s">
        <v>376</v>
      </c>
      <c r="O39">
        <v>0.7</v>
      </c>
      <c r="P39">
        <v>-14254</v>
      </c>
      <c r="Q39">
        <v>-9977.7999999999993</v>
      </c>
    </row>
    <row r="40" spans="2:32" ht="114" customHeight="1">
      <c r="B40" s="336" t="s">
        <v>320</v>
      </c>
      <c r="C40" s="210">
        <v>4.9250105618926912E-2</v>
      </c>
      <c r="D40" s="264">
        <v>1657</v>
      </c>
      <c r="E40" s="264">
        <v>81.607425010561897</v>
      </c>
      <c r="H40" s="354" t="s">
        <v>162</v>
      </c>
      <c r="I40" s="343">
        <v>0.53775113536229191</v>
      </c>
      <c r="J40" s="352">
        <v>-15253.264999999999</v>
      </c>
      <c r="K40" s="352">
        <v>-8202.46057173191</v>
      </c>
      <c r="L40" s="352">
        <v>-5557.1555749999998</v>
      </c>
      <c r="M40" s="355" t="s">
        <v>1686</v>
      </c>
      <c r="O40">
        <v>0.53775113536229191</v>
      </c>
      <c r="P40">
        <v>-15253.264999999999</v>
      </c>
      <c r="Q40">
        <v>-8202.46057173191</v>
      </c>
      <c r="Y40" t="s">
        <v>845</v>
      </c>
    </row>
    <row r="41" spans="2:32" ht="43.2">
      <c r="B41" s="337" t="s">
        <v>304</v>
      </c>
      <c r="C41" s="210">
        <v>0.88718149953662817</v>
      </c>
      <c r="D41" s="264">
        <v>19.033600000000035</v>
      </c>
      <c r="E41" s="264">
        <v>16.886257789580398</v>
      </c>
      <c r="H41" s="354" t="s">
        <v>1632</v>
      </c>
      <c r="I41" s="343">
        <v>0.7</v>
      </c>
      <c r="J41" s="352">
        <v>-3008</v>
      </c>
      <c r="K41" s="352">
        <v>-2105.6</v>
      </c>
      <c r="L41" s="352">
        <v>-1052.8</v>
      </c>
      <c r="M41" s="355" t="s">
        <v>1687</v>
      </c>
      <c r="O41">
        <v>0.7</v>
      </c>
      <c r="P41">
        <v>-3008</v>
      </c>
      <c r="Q41">
        <v>-2105.6</v>
      </c>
    </row>
    <row r="42" spans="2:32" ht="48" customHeight="1">
      <c r="B42" s="337" t="s">
        <v>303</v>
      </c>
      <c r="C42" s="210">
        <v>9.6875000000000003E-2</v>
      </c>
      <c r="D42" s="264">
        <v>-11640.221000000001</v>
      </c>
      <c r="E42" s="264">
        <v>-1127.6464093750001</v>
      </c>
      <c r="H42" s="354" t="s">
        <v>34</v>
      </c>
      <c r="I42" s="343">
        <v>0.25</v>
      </c>
      <c r="J42" s="352">
        <v>-8907.4</v>
      </c>
      <c r="K42" s="352">
        <v>-2226.85</v>
      </c>
      <c r="L42" s="352">
        <v>-2226.85</v>
      </c>
      <c r="M42" s="355" t="s">
        <v>1191</v>
      </c>
      <c r="Y42" t="s">
        <v>846</v>
      </c>
    </row>
    <row r="43" spans="2:32" ht="67.5" customHeight="1">
      <c r="B43" s="337" t="s">
        <v>482</v>
      </c>
      <c r="C43" s="210">
        <v>0.82778127954617076</v>
      </c>
      <c r="D43" s="264">
        <v>-4044</v>
      </c>
      <c r="E43" s="264">
        <v>-3347.5474944847147</v>
      </c>
      <c r="H43" s="354" t="s">
        <v>388</v>
      </c>
      <c r="I43" s="343">
        <v>0.4</v>
      </c>
      <c r="J43" s="352">
        <v>-34211.478000000003</v>
      </c>
      <c r="K43" s="352">
        <v>-13684.591200000003</v>
      </c>
      <c r="L43" s="352">
        <v>-6842.2956000000013</v>
      </c>
      <c r="M43" s="355" t="s">
        <v>1688</v>
      </c>
    </row>
    <row r="44" spans="2:32" ht="45.75" customHeight="1">
      <c r="B44" s="336" t="s">
        <v>571</v>
      </c>
      <c r="C44" s="210">
        <v>0.6</v>
      </c>
      <c r="D44" s="264">
        <v>-1.0010000000000001E-5</v>
      </c>
      <c r="E44" s="264">
        <v>-6.0060000000000006E-6</v>
      </c>
      <c r="H44" s="354" t="s">
        <v>319</v>
      </c>
      <c r="I44" s="343">
        <v>0.2</v>
      </c>
      <c r="J44" s="352">
        <v>-231750</v>
      </c>
      <c r="K44" s="352">
        <v>-46350</v>
      </c>
      <c r="L44" s="352">
        <v>-46350</v>
      </c>
      <c r="M44" s="355" t="s">
        <v>300</v>
      </c>
    </row>
    <row r="45" spans="2:32" ht="43.5" customHeight="1">
      <c r="B45" s="336" t="s">
        <v>151</v>
      </c>
      <c r="C45" s="210">
        <v>0.95</v>
      </c>
      <c r="D45" s="264">
        <v>-27156.699999999997</v>
      </c>
      <c r="E45" s="264">
        <v>-25798.864999999994</v>
      </c>
      <c r="H45" s="354" t="s">
        <v>64</v>
      </c>
      <c r="I45" s="343">
        <v>0.05</v>
      </c>
      <c r="J45" s="352">
        <v>0</v>
      </c>
      <c r="K45" s="352">
        <v>0</v>
      </c>
      <c r="L45" s="352">
        <v>0</v>
      </c>
      <c r="M45" s="355" t="s">
        <v>300</v>
      </c>
      <c r="Y45" t="s">
        <v>1252</v>
      </c>
    </row>
    <row r="46" spans="2:32" ht="51.75" customHeight="1">
      <c r="B46" s="336" t="s">
        <v>568</v>
      </c>
      <c r="C46" s="210">
        <v>0.72</v>
      </c>
      <c r="D46" s="264">
        <v>-6475.58</v>
      </c>
      <c r="E46" s="264">
        <v>-4662.4175999999998</v>
      </c>
      <c r="H46" s="354" t="s">
        <v>38</v>
      </c>
      <c r="I46" s="343">
        <v>0.25</v>
      </c>
      <c r="J46" s="352">
        <v>-3100</v>
      </c>
      <c r="K46" s="352">
        <v>-775</v>
      </c>
      <c r="L46" s="352">
        <v>-387.5</v>
      </c>
      <c r="M46" s="355" t="s">
        <v>21</v>
      </c>
    </row>
    <row r="47" spans="2:32" ht="45.75" customHeight="1">
      <c r="B47" s="336"/>
      <c r="C47" s="210"/>
      <c r="D47" s="264"/>
      <c r="E47" s="264"/>
      <c r="H47" s="354" t="s">
        <v>918</v>
      </c>
      <c r="I47" s="343">
        <v>0.4</v>
      </c>
      <c r="J47" s="352">
        <v>-5003</v>
      </c>
      <c r="K47" s="352">
        <v>-2001.2</v>
      </c>
      <c r="L47" s="352">
        <v>-1000.6</v>
      </c>
      <c r="M47" s="355" t="s">
        <v>1689</v>
      </c>
      <c r="Y47" t="s">
        <v>1253</v>
      </c>
    </row>
    <row r="48" spans="2:32" ht="80.25" customHeight="1">
      <c r="B48" s="336"/>
      <c r="C48" s="210"/>
      <c r="D48" s="264"/>
      <c r="E48" s="264"/>
      <c r="H48" s="354" t="s">
        <v>1646</v>
      </c>
      <c r="I48" s="343">
        <v>0.5</v>
      </c>
      <c r="J48" s="352">
        <v>-40000</v>
      </c>
      <c r="K48" s="352">
        <v>-20000</v>
      </c>
      <c r="L48" s="352">
        <v>-10000</v>
      </c>
      <c r="M48" s="355" t="s">
        <v>1685</v>
      </c>
    </row>
    <row r="49" spans="2:16" ht="51" customHeight="1">
      <c r="B49" s="334" t="s">
        <v>557</v>
      </c>
      <c r="C49" s="210">
        <v>0.7</v>
      </c>
      <c r="D49" s="264">
        <v>-120</v>
      </c>
      <c r="E49" s="264">
        <v>-84</v>
      </c>
      <c r="H49" s="345" t="s">
        <v>579</v>
      </c>
      <c r="I49" s="344" t="s">
        <v>100</v>
      </c>
      <c r="J49" s="344" t="s">
        <v>167</v>
      </c>
      <c r="K49" s="344" t="s">
        <v>370</v>
      </c>
      <c r="L49" s="344" t="s">
        <v>446</v>
      </c>
      <c r="M49" s="344" t="s">
        <v>376</v>
      </c>
      <c r="N49">
        <v>0.79098794711789855</v>
      </c>
      <c r="O49">
        <v>-58443.916999999994</v>
      </c>
      <c r="P49">
        <v>-46228.433929358849</v>
      </c>
    </row>
    <row r="50" spans="2:16" ht="132" customHeight="1">
      <c r="B50" s="334" t="s">
        <v>405</v>
      </c>
      <c r="C50" s="210">
        <v>0.8</v>
      </c>
      <c r="D50" s="264">
        <v>-5000</v>
      </c>
      <c r="E50" s="264">
        <v>-4000</v>
      </c>
      <c r="H50" s="354" t="s">
        <v>454</v>
      </c>
      <c r="I50" s="343">
        <v>0.79098794711789855</v>
      </c>
      <c r="J50" s="352">
        <v>-58443.916999999994</v>
      </c>
      <c r="K50" s="352">
        <v>-46228.433929358849</v>
      </c>
      <c r="L50" s="352">
        <v>-40922.550965373004</v>
      </c>
      <c r="M50" s="355" t="s">
        <v>1681</v>
      </c>
    </row>
    <row r="51" spans="2:16" ht="48" customHeight="1">
      <c r="B51" s="338" t="s">
        <v>163</v>
      </c>
      <c r="C51" s="210">
        <v>0.7</v>
      </c>
      <c r="D51" s="264">
        <v>-5705</v>
      </c>
      <c r="E51" s="264">
        <v>-3993.4999999999995</v>
      </c>
      <c r="H51" s="354" t="s">
        <v>1032</v>
      </c>
      <c r="I51" s="343">
        <v>0.8</v>
      </c>
      <c r="J51" s="352">
        <v>-50644.1</v>
      </c>
      <c r="K51" s="352">
        <v>-40515.279999999999</v>
      </c>
      <c r="L51" s="352">
        <v>-40515.279999999999</v>
      </c>
      <c r="M51" s="355" t="s">
        <v>1682</v>
      </c>
    </row>
    <row r="52" spans="2:16" ht="55.5" customHeight="1">
      <c r="B52" s="339" t="s">
        <v>120</v>
      </c>
      <c r="C52" s="210">
        <v>1</v>
      </c>
      <c r="D52" s="264">
        <v>-19386</v>
      </c>
      <c r="E52" s="264">
        <v>-19386</v>
      </c>
      <c r="H52" s="354" t="s">
        <v>456</v>
      </c>
      <c r="I52" s="343">
        <v>0.8</v>
      </c>
      <c r="J52" s="352">
        <v>4079.9831719453787</v>
      </c>
      <c r="K52" s="352">
        <v>3263.9865375563031</v>
      </c>
      <c r="L52" s="352">
        <v>-78</v>
      </c>
      <c r="M52" s="355" t="s">
        <v>582</v>
      </c>
    </row>
    <row r="53" spans="2:16" ht="18.75" customHeight="1">
      <c r="B53" s="341" t="s">
        <v>314</v>
      </c>
      <c r="C53" s="210">
        <v>0.5</v>
      </c>
      <c r="D53" s="264">
        <v>-2200</v>
      </c>
      <c r="E53" s="264">
        <v>-1100</v>
      </c>
      <c r="H53" s="354"/>
      <c r="I53" s="343"/>
      <c r="J53" s="352"/>
      <c r="K53" s="352"/>
      <c r="L53" s="352"/>
      <c r="M53" s="355"/>
      <c r="O53" t="s">
        <v>1141</v>
      </c>
    </row>
    <row r="54" spans="2:16" ht="35.25" customHeight="1">
      <c r="B54" s="335" t="s">
        <v>454</v>
      </c>
      <c r="C54" s="210">
        <v>0.99226740803687563</v>
      </c>
      <c r="D54" s="264">
        <v>-47739.1</v>
      </c>
      <c r="E54" s="264">
        <v>-47369.953019013206</v>
      </c>
      <c r="G54" t="s">
        <v>454</v>
      </c>
      <c r="H54" s="345" t="s">
        <v>579</v>
      </c>
      <c r="I54" s="344" t="s">
        <v>100</v>
      </c>
      <c r="J54" s="344" t="s">
        <v>167</v>
      </c>
      <c r="K54" s="344" t="s">
        <v>370</v>
      </c>
      <c r="L54" s="344" t="s">
        <v>446</v>
      </c>
      <c r="M54" s="344" t="s">
        <v>376</v>
      </c>
    </row>
    <row r="55" spans="2:16" ht="71.25" customHeight="1">
      <c r="B55" s="346" t="s">
        <v>455</v>
      </c>
      <c r="C55" s="210">
        <v>0.96157701167984977</v>
      </c>
      <c r="D55" s="264">
        <v>-97723.615540550003</v>
      </c>
      <c r="E55" s="264">
        <v>-93968.782202032598</v>
      </c>
      <c r="H55" s="354" t="s">
        <v>37</v>
      </c>
      <c r="I55" s="343">
        <v>0.05</v>
      </c>
      <c r="J55" s="352">
        <v>-4332.5230000000001</v>
      </c>
      <c r="K55" s="352">
        <v>-216.62615000000002</v>
      </c>
      <c r="L55" s="352">
        <v>-108.31307500000001</v>
      </c>
      <c r="M55" s="355" t="s">
        <v>1227</v>
      </c>
    </row>
    <row r="56" spans="2:16" ht="48.75" customHeight="1">
      <c r="B56" s="334" t="s">
        <v>456</v>
      </c>
      <c r="C56" s="210">
        <v>0.8</v>
      </c>
      <c r="D56" s="264">
        <v>4079.9831719453787</v>
      </c>
      <c r="E56" s="264">
        <v>3263.9865375563031</v>
      </c>
      <c r="H56" s="354" t="s">
        <v>390</v>
      </c>
      <c r="I56" s="343">
        <v>0.4</v>
      </c>
      <c r="J56" s="352">
        <v>-16003</v>
      </c>
      <c r="K56" s="352">
        <v>-6401.2000000000007</v>
      </c>
      <c r="L56" s="352">
        <v>-6401.2000000000007</v>
      </c>
      <c r="M56" s="355" t="s">
        <v>1228</v>
      </c>
    </row>
    <row r="57" spans="2:16" ht="28.8">
      <c r="B57" s="334" t="s">
        <v>462</v>
      </c>
      <c r="C57" s="210">
        <v>0.6</v>
      </c>
      <c r="D57" s="264">
        <v>-969.42536818628503</v>
      </c>
      <c r="E57" s="264">
        <v>-581.65522091177104</v>
      </c>
      <c r="H57" s="354" t="s">
        <v>391</v>
      </c>
      <c r="I57" s="343">
        <v>0.47</v>
      </c>
      <c r="J57" s="352">
        <v>-48905</v>
      </c>
      <c r="K57" s="352">
        <v>-22985.35</v>
      </c>
      <c r="L57" s="352">
        <v>-11492.674999999999</v>
      </c>
      <c r="M57" s="355" t="s">
        <v>1387</v>
      </c>
    </row>
    <row r="58" spans="2:16" ht="36.75" customHeight="1">
      <c r="B58" s="334" t="s">
        <v>139</v>
      </c>
      <c r="C58" s="210">
        <v>0.65</v>
      </c>
      <c r="D58" s="264">
        <v>7122.1991996999996</v>
      </c>
      <c r="E58" s="264">
        <v>4629.4294798049996</v>
      </c>
      <c r="G58" t="s">
        <v>1032</v>
      </c>
      <c r="H58" s="345" t="s">
        <v>579</v>
      </c>
      <c r="I58" s="344" t="s">
        <v>100</v>
      </c>
      <c r="J58" s="344" t="s">
        <v>167</v>
      </c>
      <c r="K58" s="344" t="s">
        <v>370</v>
      </c>
      <c r="L58" s="344" t="s">
        <v>446</v>
      </c>
      <c r="M58" s="344" t="s">
        <v>376</v>
      </c>
    </row>
    <row r="59" spans="2:16" ht="36.75" customHeight="1">
      <c r="B59" s="347" t="s">
        <v>123</v>
      </c>
      <c r="C59" s="210">
        <v>0.9</v>
      </c>
      <c r="D59" s="264">
        <v>-138529.704</v>
      </c>
      <c r="E59" s="264">
        <v>-124676.73360000001</v>
      </c>
      <c r="G59" t="s">
        <v>456</v>
      </c>
      <c r="H59" s="354" t="s">
        <v>1065</v>
      </c>
      <c r="I59" s="343">
        <v>0.4</v>
      </c>
      <c r="J59" s="352">
        <v>-13600</v>
      </c>
      <c r="K59" s="352">
        <v>-5440</v>
      </c>
      <c r="L59" s="352">
        <v>-1632</v>
      </c>
      <c r="M59" s="355" t="s">
        <v>1066</v>
      </c>
    </row>
    <row r="60" spans="2:16" ht="53.25" customHeight="1">
      <c r="B60" s="336" t="s">
        <v>124</v>
      </c>
      <c r="C60" s="210">
        <v>0.8</v>
      </c>
      <c r="D60" s="264">
        <v>0</v>
      </c>
      <c r="E60" s="264">
        <v>0</v>
      </c>
      <c r="H60" s="354" t="s">
        <v>405</v>
      </c>
      <c r="I60" s="343">
        <v>0.6</v>
      </c>
      <c r="J60" s="352">
        <v>-7659</v>
      </c>
      <c r="K60" s="352">
        <f>I60*J60</f>
        <v>-4595.3999999999996</v>
      </c>
      <c r="L60" s="352"/>
      <c r="M60" s="355" t="s">
        <v>1229</v>
      </c>
    </row>
    <row r="61" spans="2:16">
      <c r="B61" s="336" t="s">
        <v>42</v>
      </c>
      <c r="C61" s="210">
        <v>0.8</v>
      </c>
      <c r="D61" s="264">
        <v>0</v>
      </c>
      <c r="E61" s="264">
        <v>0</v>
      </c>
    </row>
    <row r="62" spans="2:16" ht="28.8">
      <c r="B62" s="336" t="s">
        <v>44</v>
      </c>
      <c r="C62" s="210">
        <v>0.8</v>
      </c>
      <c r="D62" s="264">
        <v>-65</v>
      </c>
      <c r="E62" s="264">
        <v>-52</v>
      </c>
      <c r="H62" s="345" t="s">
        <v>579</v>
      </c>
      <c r="I62" s="344" t="s">
        <v>100</v>
      </c>
      <c r="J62" s="344" t="s">
        <v>167</v>
      </c>
      <c r="K62" s="344" t="s">
        <v>370</v>
      </c>
      <c r="L62" s="344" t="s">
        <v>446</v>
      </c>
      <c r="M62" s="344" t="s">
        <v>376</v>
      </c>
    </row>
    <row r="63" spans="2:16" ht="45" customHeight="1">
      <c r="B63" s="336" t="s">
        <v>54</v>
      </c>
      <c r="C63" s="210">
        <v>0.8</v>
      </c>
      <c r="D63" s="264">
        <v>0</v>
      </c>
      <c r="E63" s="264">
        <v>0</v>
      </c>
      <c r="H63" s="354" t="s">
        <v>41</v>
      </c>
      <c r="I63" s="343">
        <v>0.4</v>
      </c>
      <c r="J63" s="352">
        <v>-69886.5</v>
      </c>
      <c r="K63" s="352">
        <v>-27954.600000000002</v>
      </c>
      <c r="L63" s="352"/>
      <c r="M63" s="355" t="s">
        <v>1684</v>
      </c>
    </row>
    <row r="64" spans="2:16" ht="28.8">
      <c r="B64" s="336" t="s">
        <v>56</v>
      </c>
      <c r="C64" s="210">
        <v>0.95</v>
      </c>
      <c r="D64" s="264">
        <v>-449</v>
      </c>
      <c r="E64" s="264">
        <v>-426.54999999999995</v>
      </c>
      <c r="G64" t="s">
        <v>462</v>
      </c>
      <c r="H64" s="354" t="s">
        <v>869</v>
      </c>
      <c r="I64" s="343">
        <v>0.8</v>
      </c>
      <c r="J64" s="352">
        <v>-75</v>
      </c>
      <c r="K64" s="352">
        <v>-60</v>
      </c>
      <c r="L64" s="352"/>
      <c r="M64" s="355" t="s">
        <v>1311</v>
      </c>
    </row>
    <row r="65" spans="2:14">
      <c r="B65" s="336" t="s">
        <v>45</v>
      </c>
      <c r="C65" s="210">
        <v>0.25</v>
      </c>
      <c r="D65" s="264">
        <v>-1</v>
      </c>
      <c r="E65" s="264">
        <v>-0.25</v>
      </c>
    </row>
    <row r="66" spans="2:14">
      <c r="B66" s="336" t="s">
        <v>39</v>
      </c>
      <c r="C66" s="210">
        <v>0.8</v>
      </c>
      <c r="D66" s="264">
        <v>0</v>
      </c>
      <c r="E66" s="264">
        <v>0</v>
      </c>
    </row>
    <row r="67" spans="2:14" ht="43.5" customHeight="1">
      <c r="B67" s="340" t="s">
        <v>467</v>
      </c>
      <c r="C67" s="210">
        <v>0.55000000000000004</v>
      </c>
      <c r="D67" s="264">
        <v>-346</v>
      </c>
      <c r="E67" s="264">
        <v>-190.3</v>
      </c>
      <c r="H67" s="345" t="s">
        <v>1261</v>
      </c>
      <c r="I67" s="349" t="s">
        <v>282</v>
      </c>
      <c r="J67" s="349" t="s">
        <v>283</v>
      </c>
      <c r="K67" s="349" t="s">
        <v>311</v>
      </c>
      <c r="L67" s="344" t="s">
        <v>1260</v>
      </c>
      <c r="M67" s="344" t="s">
        <v>1262</v>
      </c>
    </row>
    <row r="68" spans="2:14" ht="97.5" customHeight="1">
      <c r="B68" s="340" t="s">
        <v>577</v>
      </c>
      <c r="C68" s="210">
        <v>0.2</v>
      </c>
      <c r="D68" s="264">
        <v>0</v>
      </c>
      <c r="E68" s="264">
        <v>0</v>
      </c>
      <c r="H68" s="354" t="s">
        <v>1263</v>
      </c>
      <c r="I68" s="497">
        <v>0.99084175724693513</v>
      </c>
      <c r="J68" s="352">
        <v>-14586.878000000001</v>
      </c>
      <c r="K68" s="352">
        <v>-14453.28783026666</v>
      </c>
      <c r="L68" s="352">
        <v>-3845.0939000000003</v>
      </c>
      <c r="M68" s="355" t="s">
        <v>1704</v>
      </c>
      <c r="N68" s="126" t="s">
        <v>1680</v>
      </c>
    </row>
    <row r="69" spans="2:14" ht="55.5" customHeight="1">
      <c r="B69" s="340" t="s">
        <v>505</v>
      </c>
      <c r="C69" s="210">
        <v>0.76</v>
      </c>
      <c r="D69" s="264">
        <v>-1</v>
      </c>
      <c r="E69" s="264">
        <v>0</v>
      </c>
      <c r="H69" s="354" t="s">
        <v>1267</v>
      </c>
      <c r="I69" s="343">
        <v>0.2</v>
      </c>
      <c r="J69" s="352">
        <v>-7962.3487495075733</v>
      </c>
      <c r="K69" s="352">
        <v>-1592.4697499015147</v>
      </c>
      <c r="L69" s="352">
        <v>1533.5547687573865</v>
      </c>
      <c r="M69" s="355" t="s">
        <v>1299</v>
      </c>
      <c r="N69" s="126" t="s">
        <v>1220</v>
      </c>
    </row>
    <row r="70" spans="2:14" ht="83.25" customHeight="1">
      <c r="B70" s="340" t="s">
        <v>508</v>
      </c>
      <c r="C70" s="210">
        <v>0.72</v>
      </c>
      <c r="D70" s="264">
        <v>-110</v>
      </c>
      <c r="E70" s="264">
        <v>0</v>
      </c>
      <c r="H70" s="354" t="s">
        <v>1264</v>
      </c>
      <c r="I70" s="343">
        <v>0.95</v>
      </c>
      <c r="J70" s="352">
        <v>-26809</v>
      </c>
      <c r="K70" s="352">
        <v>-25469</v>
      </c>
      <c r="L70" s="352">
        <v>-12754</v>
      </c>
      <c r="M70" s="355" t="s">
        <v>1300</v>
      </c>
      <c r="N70" s="126" t="s">
        <v>1221</v>
      </c>
    </row>
    <row r="71" spans="2:14" ht="72">
      <c r="B71" s="340" t="s">
        <v>506</v>
      </c>
      <c r="C71" s="210">
        <v>0.4</v>
      </c>
      <c r="D71" s="264">
        <v>-4</v>
      </c>
      <c r="E71" s="264">
        <v>0</v>
      </c>
      <c r="H71" s="354" t="s">
        <v>1296</v>
      </c>
      <c r="I71" s="343">
        <v>0.76364643470029581</v>
      </c>
      <c r="J71" s="352">
        <v>-3613.0450100000003</v>
      </c>
      <c r="K71" s="352">
        <v>-2759.0889402981948</v>
      </c>
      <c r="L71" s="352">
        <v>-1373.8680037500001</v>
      </c>
      <c r="M71" s="355" t="s">
        <v>1705</v>
      </c>
      <c r="N71" s="126" t="s">
        <v>1679</v>
      </c>
    </row>
    <row r="72" spans="2:14" ht="42.75" customHeight="1">
      <c r="B72" s="330" t="s">
        <v>306</v>
      </c>
      <c r="C72" s="210">
        <v>1</v>
      </c>
      <c r="D72" s="264">
        <v>0</v>
      </c>
      <c r="E72" s="264">
        <v>0</v>
      </c>
      <c r="H72" s="354" t="s">
        <v>1266</v>
      </c>
      <c r="I72" s="343">
        <v>0.72499999999999998</v>
      </c>
      <c r="J72" s="352">
        <v>-502</v>
      </c>
      <c r="K72" s="352">
        <v>-363.95</v>
      </c>
      <c r="L72" s="352">
        <v>-188.25</v>
      </c>
      <c r="M72" s="355" t="s">
        <v>1706</v>
      </c>
      <c r="N72" s="126" t="s">
        <v>1222</v>
      </c>
    </row>
    <row r="73" spans="2:14" ht="45" customHeight="1">
      <c r="B73" s="338" t="s">
        <v>417</v>
      </c>
      <c r="C73" s="210">
        <v>0.25</v>
      </c>
      <c r="D73" s="264">
        <v>-550</v>
      </c>
      <c r="E73" s="264">
        <v>-137.5</v>
      </c>
      <c r="H73" s="354" t="s">
        <v>1269</v>
      </c>
      <c r="I73" s="343">
        <v>0.3</v>
      </c>
      <c r="J73" s="1692" t="s">
        <v>1224</v>
      </c>
      <c r="K73" s="1693"/>
      <c r="L73" s="514"/>
      <c r="M73" s="355" t="s">
        <v>1270</v>
      </c>
      <c r="N73" s="126" t="s">
        <v>1225</v>
      </c>
    </row>
    <row r="74" spans="2:14" ht="60" customHeight="1">
      <c r="B74" s="338" t="s">
        <v>29</v>
      </c>
      <c r="C74" s="210">
        <v>0.25</v>
      </c>
      <c r="D74" s="264">
        <v>-20000</v>
      </c>
      <c r="E74" s="264">
        <v>-5000</v>
      </c>
      <c r="H74" s="354" t="s">
        <v>1297</v>
      </c>
      <c r="I74" s="343">
        <v>0.6</v>
      </c>
      <c r="J74" s="352">
        <v>-1757.53</v>
      </c>
      <c r="K74" s="352">
        <v>-1054.518</v>
      </c>
      <c r="L74" s="352">
        <v>-527.25900000000001</v>
      </c>
      <c r="M74" s="355" t="s">
        <v>1301</v>
      </c>
      <c r="N74" s="126" t="s">
        <v>1223</v>
      </c>
    </row>
    <row r="75" spans="2:14" ht="43.2">
      <c r="B75" s="338" t="s">
        <v>385</v>
      </c>
      <c r="C75" s="210">
        <v>0.25</v>
      </c>
      <c r="D75" s="264">
        <v>-17000</v>
      </c>
      <c r="E75" s="264">
        <v>-4250</v>
      </c>
      <c r="H75" s="354" t="s">
        <v>1268</v>
      </c>
      <c r="I75" s="343">
        <v>0.05</v>
      </c>
      <c r="J75" s="352">
        <v>1715.1306880989828</v>
      </c>
      <c r="K75" s="352">
        <v>85.75653440494915</v>
      </c>
      <c r="L75" s="352">
        <v>86</v>
      </c>
      <c r="M75" s="355" t="s">
        <v>1302</v>
      </c>
      <c r="N75" s="126" t="s">
        <v>1293</v>
      </c>
    </row>
    <row r="76" spans="2:14" ht="79.5" customHeight="1">
      <c r="B76" s="336" t="s">
        <v>162</v>
      </c>
      <c r="C76" s="210">
        <v>0.71490499469122226</v>
      </c>
      <c r="D76" s="264">
        <v>-21975.921999999999</v>
      </c>
      <c r="E76" s="264">
        <v>-15710.696400744713</v>
      </c>
      <c r="H76" s="354" t="s">
        <v>1265</v>
      </c>
      <c r="I76" s="343">
        <v>9.6875000000000003E-2</v>
      </c>
      <c r="J76" s="352">
        <v>-11278.400747719992</v>
      </c>
      <c r="K76" s="352">
        <v>-1092.5950724353743</v>
      </c>
      <c r="L76" s="352">
        <v>6125.6071022800079</v>
      </c>
      <c r="M76" s="355" t="s">
        <v>1303</v>
      </c>
      <c r="N76" s="126" t="s">
        <v>1294</v>
      </c>
    </row>
    <row r="77" spans="2:14" ht="24" customHeight="1">
      <c r="B77" s="336" t="s">
        <v>386</v>
      </c>
      <c r="C77" s="210">
        <v>0.4</v>
      </c>
      <c r="D77" s="264">
        <v>-3900</v>
      </c>
      <c r="E77" s="264">
        <v>-1560</v>
      </c>
      <c r="H77" s="354" t="s">
        <v>1298</v>
      </c>
      <c r="I77" s="343">
        <v>0.4</v>
      </c>
      <c r="J77" s="352">
        <v>-103</v>
      </c>
      <c r="K77" s="352">
        <v>-41.2</v>
      </c>
      <c r="L77" s="352">
        <v>-20.6</v>
      </c>
      <c r="M77" s="355" t="s">
        <v>1304</v>
      </c>
      <c r="N77" s="126" t="s">
        <v>1295</v>
      </c>
    </row>
    <row r="78" spans="2:14">
      <c r="B78" s="336"/>
      <c r="C78" s="210" t="s">
        <v>578</v>
      </c>
      <c r="D78" s="264" t="s">
        <v>578</v>
      </c>
      <c r="E78" s="264" t="s">
        <v>578</v>
      </c>
      <c r="H78" s="354"/>
      <c r="I78" s="343"/>
      <c r="J78" s="351"/>
      <c r="K78" s="351"/>
      <c r="L78" s="351"/>
      <c r="M78" s="355" t="s">
        <v>1271</v>
      </c>
    </row>
    <row r="79" spans="2:14" ht="48" customHeight="1">
      <c r="B79" s="336" t="s">
        <v>34</v>
      </c>
      <c r="C79" s="210">
        <v>0</v>
      </c>
      <c r="D79" s="264">
        <v>-8811.99</v>
      </c>
      <c r="E79" s="264">
        <v>0</v>
      </c>
      <c r="H79" s="345" t="s">
        <v>1261</v>
      </c>
      <c r="I79" s="349" t="s">
        <v>282</v>
      </c>
      <c r="J79" s="349" t="s">
        <v>283</v>
      </c>
      <c r="K79" s="349" t="s">
        <v>311</v>
      </c>
      <c r="L79" s="344" t="s">
        <v>1260</v>
      </c>
      <c r="M79" s="344" t="s">
        <v>1262</v>
      </c>
    </row>
    <row r="80" spans="2:14" ht="72">
      <c r="B80" s="336" t="s">
        <v>388</v>
      </c>
      <c r="C80" s="210">
        <v>0.6</v>
      </c>
      <c r="D80" s="264">
        <v>-13656</v>
      </c>
      <c r="E80" s="264">
        <v>-8193.6</v>
      </c>
      <c r="H80" s="354" t="s">
        <v>1272</v>
      </c>
      <c r="I80" s="343">
        <v>0.6</v>
      </c>
      <c r="J80" s="352">
        <v>-49815.520000000019</v>
      </c>
      <c r="K80" s="352">
        <v>-29889.312000000009</v>
      </c>
      <c r="L80" s="352">
        <v>-18680.820000000007</v>
      </c>
      <c r="M80" s="355" t="s">
        <v>1273</v>
      </c>
    </row>
    <row r="81" spans="2:13" ht="49.5" customHeight="1">
      <c r="B81" s="336" t="s">
        <v>319</v>
      </c>
      <c r="C81" s="210">
        <v>0.8</v>
      </c>
      <c r="D81" s="264">
        <v>0</v>
      </c>
      <c r="E81" s="264">
        <v>0</v>
      </c>
      <c r="H81" s="354" t="s">
        <v>1307</v>
      </c>
      <c r="I81" s="343">
        <v>0.36</v>
      </c>
      <c r="J81" s="351">
        <v>-432.69000000000233</v>
      </c>
      <c r="K81" s="351">
        <v>-155.76840000000084</v>
      </c>
      <c r="L81" s="351"/>
      <c r="M81" s="355" t="s">
        <v>1306</v>
      </c>
    </row>
    <row r="82" spans="2:13">
      <c r="B82" s="336" t="s">
        <v>64</v>
      </c>
      <c r="C82" s="210">
        <v>0.05</v>
      </c>
      <c r="D82" s="264">
        <v>0</v>
      </c>
      <c r="E82" s="264">
        <v>0</v>
      </c>
    </row>
    <row r="83" spans="2:13" ht="28.8">
      <c r="B83" s="336" t="s">
        <v>520</v>
      </c>
      <c r="C83" s="210">
        <v>0.9</v>
      </c>
      <c r="D83" s="264">
        <v>-3757.2213425399996</v>
      </c>
      <c r="E83" s="264">
        <v>-3381.4992082859999</v>
      </c>
      <c r="H83" s="345" t="s">
        <v>1261</v>
      </c>
      <c r="I83" s="349" t="s">
        <v>282</v>
      </c>
      <c r="J83" s="349" t="s">
        <v>283</v>
      </c>
      <c r="K83" s="349" t="s">
        <v>311</v>
      </c>
      <c r="L83" s="344" t="s">
        <v>1260</v>
      </c>
      <c r="M83" s="344" t="s">
        <v>1262</v>
      </c>
    </row>
    <row r="84" spans="2:13" ht="43.2">
      <c r="B84" s="336" t="s">
        <v>38</v>
      </c>
      <c r="C84" s="210">
        <v>0.25</v>
      </c>
      <c r="D84" s="264">
        <v>-3100</v>
      </c>
      <c r="E84" s="264">
        <v>-775</v>
      </c>
      <c r="H84" s="354" t="s">
        <v>1707</v>
      </c>
      <c r="I84" s="343">
        <v>0.7</v>
      </c>
      <c r="J84" s="352">
        <v>-88000</v>
      </c>
      <c r="K84" s="352">
        <v>-61599.999999999993</v>
      </c>
      <c r="L84" s="352">
        <v>-43119.999999999993</v>
      </c>
      <c r="M84" s="355" t="s">
        <v>1708</v>
      </c>
    </row>
    <row r="85" spans="2:13">
      <c r="B85" s="330" t="s">
        <v>341</v>
      </c>
      <c r="C85" s="210">
        <v>0.02</v>
      </c>
      <c r="D85" s="264">
        <v>0</v>
      </c>
      <c r="E85" s="264">
        <v>0</v>
      </c>
    </row>
    <row r="86" spans="2:13">
      <c r="B86" s="330" t="s">
        <v>489</v>
      </c>
      <c r="C86" s="210">
        <v>0.1</v>
      </c>
      <c r="D86" s="264">
        <v>-2930</v>
      </c>
      <c r="E86" s="264">
        <v>-293</v>
      </c>
    </row>
    <row r="87" spans="2:13">
      <c r="B87" s="330" t="s">
        <v>47</v>
      </c>
      <c r="C87" s="210">
        <v>0.4</v>
      </c>
      <c r="D87" s="264">
        <v>0</v>
      </c>
      <c r="E87" s="264">
        <v>0</v>
      </c>
    </row>
    <row r="88" spans="2:13">
      <c r="B88" s="330" t="s">
        <v>156</v>
      </c>
      <c r="C88" s="210">
        <v>0.15</v>
      </c>
      <c r="D88" s="264">
        <v>0</v>
      </c>
      <c r="E88" s="264">
        <v>0</v>
      </c>
    </row>
    <row r="89" spans="2:13">
      <c r="B89" s="341" t="s">
        <v>3</v>
      </c>
      <c r="C89" s="210">
        <v>0.25</v>
      </c>
      <c r="D89" s="264">
        <v>-269.72699999999998</v>
      </c>
      <c r="E89" s="264">
        <v>-67.431749999999994</v>
      </c>
    </row>
    <row r="90" spans="2:13">
      <c r="B90" s="336" t="s">
        <v>37</v>
      </c>
      <c r="C90" s="210">
        <v>0.05</v>
      </c>
      <c r="D90" s="264">
        <v>-4811</v>
      </c>
      <c r="E90" s="264">
        <v>-240.55</v>
      </c>
    </row>
    <row r="91" spans="2:13">
      <c r="B91" s="336" t="s">
        <v>390</v>
      </c>
      <c r="C91" s="210">
        <v>0.4</v>
      </c>
      <c r="D91" s="264">
        <v>-11868</v>
      </c>
      <c r="E91" s="264">
        <v>-4747.2</v>
      </c>
    </row>
    <row r="92" spans="2:13">
      <c r="B92" s="336" t="s">
        <v>391</v>
      </c>
      <c r="C92" s="210">
        <v>0.47</v>
      </c>
      <c r="D92" s="264">
        <v>-34054</v>
      </c>
      <c r="E92" s="264">
        <v>-16005.38</v>
      </c>
    </row>
    <row r="93" spans="2:13" ht="43.2">
      <c r="B93" s="333" t="s">
        <v>48</v>
      </c>
      <c r="C93" s="210">
        <v>0.4</v>
      </c>
      <c r="D93" s="264">
        <v>-211.2</v>
      </c>
      <c r="E93" s="264">
        <v>-84.48</v>
      </c>
    </row>
    <row r="94" spans="2:13" ht="57.6">
      <c r="B94" s="333" t="s">
        <v>49</v>
      </c>
      <c r="C94" s="210">
        <v>0.45</v>
      </c>
      <c r="D94" s="264">
        <v>-2.2000000000000002</v>
      </c>
      <c r="E94" s="264">
        <v>-0.9900000000000001</v>
      </c>
    </row>
    <row r="95" spans="2:13">
      <c r="B95" s="332" t="s">
        <v>476</v>
      </c>
      <c r="C95" s="210">
        <v>0.75</v>
      </c>
      <c r="D95" s="264">
        <v>-399</v>
      </c>
      <c r="E95" s="264">
        <v>-299.25</v>
      </c>
    </row>
    <row r="96" spans="2:13">
      <c r="B96" s="334" t="s">
        <v>50</v>
      </c>
      <c r="C96" s="210">
        <v>0.8</v>
      </c>
      <c r="D96" s="264">
        <v>-75</v>
      </c>
      <c r="E96" s="264">
        <v>-60</v>
      </c>
    </row>
    <row r="97" spans="2:13">
      <c r="B97" s="334" t="s">
        <v>53</v>
      </c>
      <c r="C97" s="210">
        <v>0.8</v>
      </c>
      <c r="D97" s="264">
        <v>0</v>
      </c>
      <c r="E97" s="264">
        <v>0</v>
      </c>
    </row>
    <row r="98" spans="2:13">
      <c r="B98" s="334" t="s">
        <v>41</v>
      </c>
      <c r="C98" s="210">
        <v>0.4</v>
      </c>
      <c r="D98" s="264">
        <v>0</v>
      </c>
      <c r="E98" s="264">
        <v>0</v>
      </c>
    </row>
    <row r="99" spans="2:13">
      <c r="B99" s="331" t="s">
        <v>169</v>
      </c>
      <c r="C99" s="210">
        <v>1</v>
      </c>
      <c r="D99" s="264">
        <v>0</v>
      </c>
      <c r="E99" s="264">
        <v>0</v>
      </c>
    </row>
    <row r="100" spans="2:13">
      <c r="B100" s="338" t="s">
        <v>40</v>
      </c>
      <c r="C100" s="210">
        <v>0.4</v>
      </c>
      <c r="D100" s="264">
        <v>0</v>
      </c>
      <c r="E100" s="264">
        <v>0</v>
      </c>
    </row>
    <row r="101" spans="2:13">
      <c r="B101" s="338" t="s">
        <v>55</v>
      </c>
      <c r="C101" s="210">
        <v>0.25</v>
      </c>
      <c r="D101" s="264">
        <v>0</v>
      </c>
      <c r="E101" s="264">
        <v>0</v>
      </c>
    </row>
    <row r="112" spans="2:13" ht="28.8">
      <c r="H112" s="345" t="s">
        <v>1261</v>
      </c>
      <c r="I112" s="349" t="s">
        <v>282</v>
      </c>
      <c r="J112" s="349" t="s">
        <v>283</v>
      </c>
      <c r="K112" s="349" t="s">
        <v>311</v>
      </c>
      <c r="L112" s="349"/>
      <c r="M112" s="344" t="s">
        <v>1262</v>
      </c>
    </row>
    <row r="113" spans="8:14">
      <c r="H113" s="354" t="s">
        <v>1274</v>
      </c>
      <c r="I113" s="343">
        <v>0.7</v>
      </c>
      <c r="J113" s="351">
        <v>-5705</v>
      </c>
      <c r="K113" s="351">
        <v>-3993.4999999999995</v>
      </c>
      <c r="L113" s="351"/>
      <c r="M113" s="355" t="s">
        <v>1275</v>
      </c>
    </row>
    <row r="114" spans="8:14">
      <c r="H114" s="354" t="s">
        <v>1276</v>
      </c>
      <c r="I114" s="343">
        <v>1</v>
      </c>
      <c r="J114" s="351">
        <v>-19386</v>
      </c>
      <c r="K114" s="351">
        <v>-19386</v>
      </c>
      <c r="L114" s="351"/>
      <c r="M114" s="355" t="s">
        <v>1275</v>
      </c>
    </row>
    <row r="115" spans="8:14" ht="39" customHeight="1">
      <c r="H115" s="345" t="s">
        <v>1261</v>
      </c>
      <c r="I115" s="349" t="s">
        <v>282</v>
      </c>
      <c r="J115" s="349" t="s">
        <v>283</v>
      </c>
      <c r="K115" s="349" t="s">
        <v>311</v>
      </c>
      <c r="L115" s="349" t="s">
        <v>1722</v>
      </c>
      <c r="M115" s="344" t="s">
        <v>1262</v>
      </c>
    </row>
    <row r="116" spans="8:14" ht="118.5" customHeight="1">
      <c r="H116" s="354" t="s">
        <v>1277</v>
      </c>
      <c r="I116" s="343">
        <v>0.53775113536229191</v>
      </c>
      <c r="J116" s="352">
        <v>-15253.264999999999</v>
      </c>
      <c r="K116" s="352">
        <v>-8202.46057173191</v>
      </c>
      <c r="L116" s="352">
        <v>-5557.1555749999998</v>
      </c>
      <c r="M116" s="355" t="s">
        <v>1718</v>
      </c>
      <c r="N116" s="126" t="s">
        <v>1686</v>
      </c>
    </row>
    <row r="117" spans="8:14" ht="49.5" customHeight="1">
      <c r="H117" s="354" t="s">
        <v>1278</v>
      </c>
      <c r="I117" s="343">
        <v>0.7</v>
      </c>
      <c r="J117" s="352">
        <v>-3008</v>
      </c>
      <c r="K117" s="352">
        <v>-2105.6</v>
      </c>
      <c r="L117" s="352">
        <v>-1052.8</v>
      </c>
      <c r="M117" s="355" t="s">
        <v>1719</v>
      </c>
      <c r="N117" s="126" t="s">
        <v>1687</v>
      </c>
    </row>
    <row r="118" spans="8:14" ht="35.25" customHeight="1">
      <c r="H118" s="354" t="s">
        <v>1279</v>
      </c>
      <c r="I118" s="343">
        <v>0.25</v>
      </c>
      <c r="J118" s="352">
        <v>-8907.4</v>
      </c>
      <c r="K118" s="352">
        <v>-2226.85</v>
      </c>
      <c r="L118" s="352">
        <v>-2226.85</v>
      </c>
      <c r="M118" s="355" t="s">
        <v>1316</v>
      </c>
      <c r="N118" s="126" t="s">
        <v>1191</v>
      </c>
    </row>
    <row r="119" spans="8:14" ht="68.25" customHeight="1">
      <c r="H119" s="354" t="s">
        <v>1280</v>
      </c>
      <c r="I119" s="343">
        <v>0.4</v>
      </c>
      <c r="J119" s="352">
        <v>-34211.478000000003</v>
      </c>
      <c r="K119" s="352">
        <v>-13684.591200000003</v>
      </c>
      <c r="L119" s="352">
        <v>-6842.2956000000013</v>
      </c>
      <c r="M119" s="355" t="s">
        <v>1720</v>
      </c>
      <c r="N119" s="126" t="s">
        <v>1688</v>
      </c>
    </row>
    <row r="120" spans="8:14" ht="57" customHeight="1">
      <c r="H120" s="354" t="s">
        <v>1281</v>
      </c>
      <c r="I120" s="343">
        <v>0.2</v>
      </c>
      <c r="J120" s="352">
        <v>-231750</v>
      </c>
      <c r="K120" s="352">
        <v>-46350</v>
      </c>
      <c r="L120" s="352">
        <v>-46350</v>
      </c>
      <c r="M120" s="355" t="s">
        <v>1317</v>
      </c>
      <c r="N120" s="126" t="s">
        <v>300</v>
      </c>
    </row>
    <row r="121" spans="8:14" ht="46.5" customHeight="1">
      <c r="H121" s="354" t="s">
        <v>1282</v>
      </c>
      <c r="I121" s="343">
        <v>0.05</v>
      </c>
      <c r="J121" s="352">
        <v>0</v>
      </c>
      <c r="K121" s="352">
        <v>0</v>
      </c>
      <c r="L121" s="352">
        <v>0</v>
      </c>
      <c r="M121" s="355" t="s">
        <v>1317</v>
      </c>
      <c r="N121" s="126" t="s">
        <v>300</v>
      </c>
    </row>
    <row r="122" spans="8:14" ht="43.2">
      <c r="H122" s="354" t="s">
        <v>1314</v>
      </c>
      <c r="I122" s="343">
        <v>0.25</v>
      </c>
      <c r="J122" s="352">
        <v>-3100</v>
      </c>
      <c r="K122" s="352">
        <v>-775</v>
      </c>
      <c r="L122" s="352">
        <v>-387.5</v>
      </c>
      <c r="M122" s="355" t="s">
        <v>1318</v>
      </c>
      <c r="N122" s="126" t="s">
        <v>21</v>
      </c>
    </row>
    <row r="123" spans="8:14" ht="45" customHeight="1">
      <c r="H123" s="354" t="s">
        <v>1315</v>
      </c>
      <c r="I123" s="343">
        <v>0.4</v>
      </c>
      <c r="J123" s="352">
        <v>-5003</v>
      </c>
      <c r="K123" s="352">
        <v>-2001.2</v>
      </c>
      <c r="L123" s="352">
        <v>-1000.6</v>
      </c>
      <c r="M123" s="355" t="s">
        <v>1721</v>
      </c>
      <c r="N123" s="126" t="s">
        <v>1689</v>
      </c>
    </row>
    <row r="124" spans="8:14" ht="77.25" customHeight="1">
      <c r="H124" s="354" t="s">
        <v>1716</v>
      </c>
      <c r="I124" s="343">
        <v>0.5</v>
      </c>
      <c r="J124" s="352">
        <v>-40000</v>
      </c>
      <c r="K124" s="352">
        <v>-20000</v>
      </c>
      <c r="L124" s="352">
        <v>-10000</v>
      </c>
      <c r="M124" s="355" t="s">
        <v>1717</v>
      </c>
      <c r="N124" s="126" t="s">
        <v>1685</v>
      </c>
    </row>
    <row r="126" spans="8:14" ht="409.6">
      <c r="H126" t="s">
        <v>1646</v>
      </c>
      <c r="I126" s="126" t="s">
        <v>1685</v>
      </c>
    </row>
    <row r="134" spans="8:14" ht="38.25" customHeight="1">
      <c r="H134" s="345" t="s">
        <v>1261</v>
      </c>
      <c r="I134" s="349" t="s">
        <v>282</v>
      </c>
      <c r="J134" s="349" t="s">
        <v>283</v>
      </c>
      <c r="K134" s="349" t="s">
        <v>311</v>
      </c>
      <c r="L134" s="349" t="s">
        <v>1260</v>
      </c>
      <c r="M134" s="344" t="s">
        <v>1262</v>
      </c>
    </row>
    <row r="135" spans="8:14" ht="44.25" customHeight="1">
      <c r="H135" s="354" t="s">
        <v>1711</v>
      </c>
      <c r="I135" s="343">
        <v>0.4</v>
      </c>
      <c r="J135" s="352">
        <v>-13600</v>
      </c>
      <c r="K135" s="352">
        <v>-5440</v>
      </c>
      <c r="L135" s="352">
        <v>-1632</v>
      </c>
      <c r="M135" s="355" t="s">
        <v>1712</v>
      </c>
    </row>
    <row r="136" spans="8:14">
      <c r="H136" s="354" t="s">
        <v>1291</v>
      </c>
      <c r="I136" s="343">
        <v>0.6</v>
      </c>
      <c r="J136" s="352">
        <v>-7659</v>
      </c>
      <c r="K136" s="352">
        <f>I136*J136</f>
        <v>-4595.3999999999996</v>
      </c>
      <c r="L136" s="352"/>
      <c r="M136" s="355" t="s">
        <v>1713</v>
      </c>
    </row>
    <row r="139" spans="8:14" ht="24.75" customHeight="1"/>
    <row r="140" spans="8:14" ht="33.75" customHeight="1"/>
    <row r="142" spans="8:14" ht="39.75" customHeight="1">
      <c r="H142" s="345" t="s">
        <v>1261</v>
      </c>
      <c r="I142" s="349" t="s">
        <v>282</v>
      </c>
      <c r="J142" s="349" t="s">
        <v>283</v>
      </c>
      <c r="K142" s="349" t="s">
        <v>311</v>
      </c>
      <c r="L142" s="349" t="s">
        <v>1260</v>
      </c>
      <c r="M142" s="344" t="s">
        <v>1262</v>
      </c>
    </row>
    <row r="143" spans="8:14" ht="125.25" customHeight="1">
      <c r="H143" s="354" t="s">
        <v>1283</v>
      </c>
      <c r="I143" s="343">
        <v>0.79098794711789855</v>
      </c>
      <c r="J143" s="352">
        <v>-58443.916999999994</v>
      </c>
      <c r="K143" s="352">
        <v>-46228.433929358849</v>
      </c>
      <c r="L143" s="352">
        <v>-40922.550965373004</v>
      </c>
      <c r="M143" s="355" t="s">
        <v>1709</v>
      </c>
      <c r="N143" s="126" t="s">
        <v>1681</v>
      </c>
    </row>
    <row r="144" spans="8:14" ht="54.75" customHeight="1">
      <c r="H144" s="354" t="s">
        <v>1284</v>
      </c>
      <c r="I144" s="343">
        <v>0.8</v>
      </c>
      <c r="J144" s="352">
        <v>-50644.1</v>
      </c>
      <c r="K144" s="352">
        <v>-40515.279999999999</v>
      </c>
      <c r="L144" s="352">
        <v>-40515.279999999999</v>
      </c>
      <c r="M144" s="355" t="s">
        <v>1710</v>
      </c>
      <c r="N144" s="126" t="s">
        <v>1682</v>
      </c>
    </row>
    <row r="145" spans="8:14" ht="43.2">
      <c r="H145" s="354" t="s">
        <v>1285</v>
      </c>
      <c r="I145" s="343">
        <v>0.8</v>
      </c>
      <c r="J145" s="352">
        <v>4079.9831719453787</v>
      </c>
      <c r="K145" s="352">
        <v>3263.9865375563031</v>
      </c>
      <c r="L145" s="352">
        <v>-78</v>
      </c>
      <c r="M145" s="355" t="s">
        <v>1305</v>
      </c>
      <c r="N145" s="126" t="s">
        <v>582</v>
      </c>
    </row>
    <row r="146" spans="8:14">
      <c r="H146" s="354"/>
      <c r="I146" s="343"/>
      <c r="J146" s="352"/>
      <c r="K146" s="352"/>
      <c r="L146" s="352"/>
      <c r="M146" s="355"/>
    </row>
    <row r="147" spans="8:14">
      <c r="H147" s="354"/>
      <c r="I147" s="343"/>
      <c r="J147" s="352"/>
      <c r="K147" s="352"/>
      <c r="L147" s="352"/>
      <c r="M147" s="355"/>
    </row>
    <row r="148" spans="8:14" ht="39.75" customHeight="1">
      <c r="H148" s="345" t="s">
        <v>1261</v>
      </c>
      <c r="I148" s="349" t="s">
        <v>282</v>
      </c>
      <c r="J148" s="349" t="s">
        <v>283</v>
      </c>
      <c r="K148" s="349" t="s">
        <v>311</v>
      </c>
      <c r="L148" s="349" t="s">
        <v>1260</v>
      </c>
      <c r="M148" s="344" t="s">
        <v>1262</v>
      </c>
    </row>
    <row r="149" spans="8:14" ht="28.8">
      <c r="H149" s="354" t="s">
        <v>1286</v>
      </c>
      <c r="I149" s="343">
        <v>0.05</v>
      </c>
      <c r="J149" s="352">
        <v>-4332.5230000000001</v>
      </c>
      <c r="K149" s="352">
        <v>-216.62615000000002</v>
      </c>
      <c r="L149" s="352">
        <v>-108.31307500000001</v>
      </c>
      <c r="M149" s="355" t="s">
        <v>1308</v>
      </c>
    </row>
    <row r="150" spans="8:14" ht="28.8">
      <c r="H150" s="354" t="s">
        <v>1287</v>
      </c>
      <c r="I150" s="343">
        <v>0.4</v>
      </c>
      <c r="J150" s="352">
        <v>-16003</v>
      </c>
      <c r="K150" s="352">
        <v>-6401.2000000000007</v>
      </c>
      <c r="L150" s="352">
        <v>-6401.2000000000007</v>
      </c>
      <c r="M150" s="355" t="s">
        <v>1309</v>
      </c>
    </row>
    <row r="151" spans="8:14" ht="24.75" customHeight="1">
      <c r="H151" s="354" t="s">
        <v>1288</v>
      </c>
      <c r="I151" s="343">
        <v>0.47</v>
      </c>
      <c r="J151" s="352">
        <v>-48905</v>
      </c>
      <c r="K151" s="352">
        <v>-22985.35</v>
      </c>
      <c r="L151" s="352">
        <v>-11492.674999999999</v>
      </c>
      <c r="M151" s="355" t="s">
        <v>1714</v>
      </c>
    </row>
    <row r="152" spans="8:14" ht="28.8">
      <c r="H152" s="345" t="s">
        <v>1261</v>
      </c>
      <c r="I152" s="349" t="s">
        <v>282</v>
      </c>
      <c r="J152" s="349" t="s">
        <v>283</v>
      </c>
      <c r="K152" s="349" t="s">
        <v>311</v>
      </c>
      <c r="L152" s="349"/>
      <c r="M152" s="344" t="s">
        <v>1262</v>
      </c>
    </row>
    <row r="153" spans="8:14" ht="28.8">
      <c r="H153" s="354" t="s">
        <v>1289</v>
      </c>
      <c r="I153" s="343">
        <v>0.73</v>
      </c>
      <c r="J153" s="352">
        <v>-6574</v>
      </c>
      <c r="K153" s="352">
        <v>-4925</v>
      </c>
      <c r="L153" s="352"/>
      <c r="M153" s="355" t="s">
        <v>1290</v>
      </c>
    </row>
    <row r="154" spans="8:14" ht="43.2">
      <c r="H154" s="354" t="s">
        <v>1291</v>
      </c>
      <c r="I154" s="343">
        <v>0.6</v>
      </c>
      <c r="J154" s="352">
        <v>-7659</v>
      </c>
      <c r="K154" s="352">
        <v>-4595.3999999999996</v>
      </c>
      <c r="L154" s="352"/>
      <c r="M154" s="355" t="s">
        <v>1310</v>
      </c>
    </row>
    <row r="156" spans="8:14">
      <c r="H156" s="126"/>
    </row>
    <row r="157" spans="8:14" ht="28.8">
      <c r="H157" s="345" t="s">
        <v>1261</v>
      </c>
      <c r="I157" s="349" t="s">
        <v>282</v>
      </c>
      <c r="J157" s="349" t="s">
        <v>283</v>
      </c>
      <c r="K157" s="349" t="s">
        <v>311</v>
      </c>
      <c r="L157" s="349"/>
      <c r="M157" s="344" t="s">
        <v>1262</v>
      </c>
    </row>
    <row r="158" spans="8:14" ht="39" customHeight="1">
      <c r="H158" s="354" t="s">
        <v>1292</v>
      </c>
      <c r="I158" s="343">
        <v>0.4</v>
      </c>
      <c r="J158" s="352">
        <v>-69886.5</v>
      </c>
      <c r="K158" s="352">
        <v>-27954.600000000002</v>
      </c>
      <c r="L158" s="352"/>
      <c r="M158" s="355" t="s">
        <v>1715</v>
      </c>
    </row>
    <row r="159" spans="8:14" ht="28.8">
      <c r="H159" s="354" t="s">
        <v>1312</v>
      </c>
      <c r="I159" s="343">
        <v>0.8</v>
      </c>
      <c r="J159" s="352">
        <v>-75</v>
      </c>
      <c r="K159" s="352">
        <v>-60</v>
      </c>
      <c r="L159" s="352"/>
      <c r="M159" s="355" t="s">
        <v>1313</v>
      </c>
    </row>
    <row r="163" spans="2:7">
      <c r="C163" t="str">
        <f>'РЕЕСТР РИСКОВ_2023'!L39</f>
        <v>KPI</v>
      </c>
      <c r="D163">
        <f>'РЕЕСТР РИСКОВ_2023'!M39</f>
        <v>0</v>
      </c>
      <c r="E163">
        <f>'РЕЕСТР РИСКОВ_2023'!N39</f>
        <v>0</v>
      </c>
      <c r="F163">
        <f>'РЕЕСТР РИСКОВ_2023'!O39</f>
        <v>0</v>
      </c>
      <c r="G163">
        <f>'РЕЕСТР РИСКОВ_2023'!P39</f>
        <v>0</v>
      </c>
    </row>
    <row r="164" spans="2:7">
      <c r="C164" t="str">
        <f>'РЕЕСТР РИСКОВ_2023'!L40</f>
        <v>ПЛАН / ЦЕЛЬ</v>
      </c>
      <c r="D164" t="str">
        <f>'РЕЕСТР РИСКОВ_2023'!M40</f>
        <v>ПОРОГ/ТОЛЕРАНТНОСТЬ</v>
      </c>
      <c r="E164" t="str">
        <f>'РЕЕСТР РИСКОВ_2023'!N40</f>
        <v>ФАКТ</v>
      </c>
      <c r="F164" t="str">
        <f>'РЕЕСТР РИСКОВ_2023'!O40</f>
        <v>ОЦЕНКА</v>
      </c>
      <c r="G164" t="str">
        <f>'РЕЕСТР РИСКОВ_2023'!P40</f>
        <v xml:space="preserve"> @Risk</v>
      </c>
    </row>
    <row r="165" spans="2:7">
      <c r="B165" t="str">
        <f>'РЕЕСТР РИСКОВ_2023'!K41</f>
        <v>Объем внутриреспубликанского грузооборота</v>
      </c>
      <c r="C165">
        <f>'РЕЕСТР РИСКОВ_2023'!L41</f>
        <v>354032</v>
      </c>
      <c r="D165">
        <f>'РЕЕСТР РИСКОВ_2023'!M41</f>
        <v>0</v>
      </c>
      <c r="E165">
        <f>'РЕЕСТР РИСКОВ_2023'!N41</f>
        <v>0</v>
      </c>
      <c r="F165">
        <f>'РЕЕСТР РИСКОВ_2023'!O41</f>
        <v>0</v>
      </c>
      <c r="G165">
        <f>'РЕЕСТР РИСКОВ_2023'!P41</f>
        <v>339578.71216973336</v>
      </c>
    </row>
    <row r="166" spans="2:7">
      <c r="B166" t="str">
        <f>'РЕЕСТР РИСКОВ_2023'!K51</f>
        <v>Объем грузооборота от импорта</v>
      </c>
      <c r="C166">
        <f>'РЕЕСТР РИСКОВ_2023'!L51</f>
        <v>267833</v>
      </c>
      <c r="D166">
        <f>'РЕЕСТР РИСКОВ_2023'!M51</f>
        <v>0</v>
      </c>
      <c r="E166">
        <f>'РЕЕСТР РИСКОВ_2023'!N51</f>
        <v>0</v>
      </c>
      <c r="F166">
        <f>'РЕЕСТР РИСКОВ_2023'!O51</f>
        <v>0</v>
      </c>
      <c r="G166">
        <f>'РЕЕСТР РИСКОВ_2023'!P51</f>
        <v>267918.75653440494</v>
      </c>
    </row>
    <row r="167" spans="2:7">
      <c r="B167" t="str">
        <f>'РЕЕСТР РИСКОВ_2023'!K60</f>
        <v>Объем грузооборота от экспорта</v>
      </c>
      <c r="C167">
        <f>'РЕЕСТР РИСКОВ_2023'!L60</f>
        <v>150762</v>
      </c>
      <c r="D167">
        <f>'РЕЕСТР РИСКОВ_2023'!M60</f>
        <v>0</v>
      </c>
      <c r="E167">
        <f>'РЕЕСТР РИСКОВ_2023'!N60</f>
        <v>0</v>
      </c>
      <c r="F167">
        <f>'РЕЕСТР РИСКОВ_2023'!O60</f>
        <v>0</v>
      </c>
      <c r="G167">
        <f>'РЕЕСТР РИСКОВ_2023'!P60</f>
        <v>141369.5302500985</v>
      </c>
    </row>
    <row r="168" spans="2:7">
      <c r="B168" t="str">
        <f>'РЕЕСТР РИСКОВ_2023'!K71</f>
        <v>Объем транзитного грузооборота</v>
      </c>
      <c r="C168">
        <f>'РЕЕСТР РИСКОВ_2023'!L71</f>
        <v>478897</v>
      </c>
      <c r="D168">
        <f>'РЕЕСТР РИСКОВ_2023'!M71</f>
        <v>0</v>
      </c>
      <c r="E168">
        <f>'РЕЕСТР РИСКОВ_2023'!N71</f>
        <v>0</v>
      </c>
      <c r="F168">
        <f>'РЕЕСТР РИСКОВ_2023'!O71</f>
        <v>0</v>
      </c>
      <c r="G168">
        <f>'РЕЕСТР РИСКОВ_2023'!P71</f>
        <v>477804.40492756461</v>
      </c>
    </row>
  </sheetData>
  <sortState ref="Z5:AF34">
    <sortCondition ref="AC5:AC34"/>
  </sortState>
  <mergeCells count="2">
    <mergeCell ref="J27:K27"/>
    <mergeCell ref="J73:K73"/>
  </mergeCells>
  <conditionalFormatting sqref="C3 C6 C9 C12 C15 C18 I22:I26 I59:I60">
    <cfRule type="cellIs" dxfId="220" priority="173" operator="between">
      <formula>0.75</formula>
      <formula>1</formula>
    </cfRule>
    <cfRule type="cellIs" dxfId="219" priority="174" operator="between">
      <formula>0.5</formula>
      <formula>0.74</formula>
    </cfRule>
    <cfRule type="cellIs" dxfId="218" priority="175" operator="between">
      <formula>0.25</formula>
      <formula>0.49</formula>
    </cfRule>
    <cfRule type="cellIs" dxfId="217" priority="176" operator="between">
      <formula>0.01</formula>
      <formula>0.24</formula>
    </cfRule>
  </conditionalFormatting>
  <conditionalFormatting sqref="C4:C5 C7:C8 C10:C11 C13:C14 C16:C17 C19:C20">
    <cfRule type="cellIs" dxfId="216" priority="169" operator="between">
      <formula>0.75</formula>
      <formula>1</formula>
    </cfRule>
    <cfRule type="cellIs" dxfId="215" priority="170" operator="between">
      <formula>0.5</formula>
      <formula>0.74</formula>
    </cfRule>
    <cfRule type="cellIs" dxfId="214" priority="171" operator="between">
      <formula>0.25</formula>
      <formula>0.49</formula>
    </cfRule>
    <cfRule type="cellIs" dxfId="213" priority="172" operator="between">
      <formula>0.01</formula>
      <formula>0.24</formula>
    </cfRule>
  </conditionalFormatting>
  <conditionalFormatting sqref="I33:I34">
    <cfRule type="cellIs" dxfId="212" priority="161" operator="between">
      <formula>0.75</formula>
      <formula>1</formula>
    </cfRule>
    <cfRule type="cellIs" dxfId="211" priority="162" operator="between">
      <formula>0.5</formula>
      <formula>0.74</formula>
    </cfRule>
    <cfRule type="cellIs" dxfId="210" priority="163" operator="between">
      <formula>0.25</formula>
      <formula>0.49</formula>
    </cfRule>
    <cfRule type="cellIs" dxfId="209" priority="164" operator="between">
      <formula>0.01</formula>
      <formula>0.24</formula>
    </cfRule>
  </conditionalFormatting>
  <conditionalFormatting sqref="I36:I38">
    <cfRule type="cellIs" dxfId="208" priority="157" operator="between">
      <formula>0.75</formula>
      <formula>1</formula>
    </cfRule>
    <cfRule type="cellIs" dxfId="207" priority="158" operator="between">
      <formula>0.5</formula>
      <formula>0.74</formula>
    </cfRule>
    <cfRule type="cellIs" dxfId="206" priority="159" operator="between">
      <formula>0.25</formula>
      <formula>0.49</formula>
    </cfRule>
    <cfRule type="cellIs" dxfId="205" priority="160" operator="between">
      <formula>0.01</formula>
      <formula>0.24</formula>
    </cfRule>
  </conditionalFormatting>
  <conditionalFormatting sqref="I40:I46">
    <cfRule type="cellIs" dxfId="204" priority="153" operator="between">
      <formula>0.75</formula>
      <formula>1</formula>
    </cfRule>
    <cfRule type="cellIs" dxfId="203" priority="154" operator="between">
      <formula>0.5</formula>
      <formula>0.74</formula>
    </cfRule>
    <cfRule type="cellIs" dxfId="202" priority="155" operator="between">
      <formula>0.25</formula>
      <formula>0.49</formula>
    </cfRule>
    <cfRule type="cellIs" dxfId="201" priority="156" operator="between">
      <formula>0.01</formula>
      <formula>0.24</formula>
    </cfRule>
  </conditionalFormatting>
  <conditionalFormatting sqref="I50:I53">
    <cfRule type="cellIs" dxfId="200" priority="149" operator="between">
      <formula>0.75</formula>
      <formula>1</formula>
    </cfRule>
    <cfRule type="cellIs" dxfId="199" priority="150" operator="between">
      <formula>0.5</formula>
      <formula>0.74</formula>
    </cfRule>
    <cfRule type="cellIs" dxfId="198" priority="151" operator="between">
      <formula>0.25</formula>
      <formula>0.49</formula>
    </cfRule>
    <cfRule type="cellIs" dxfId="197" priority="152" operator="between">
      <formula>0.01</formula>
      <formula>0.24</formula>
    </cfRule>
  </conditionalFormatting>
  <conditionalFormatting sqref="I55:I57">
    <cfRule type="cellIs" dxfId="196" priority="141" operator="between">
      <formula>0.75</formula>
      <formula>1</formula>
    </cfRule>
    <cfRule type="cellIs" dxfId="195" priority="142" operator="between">
      <formula>0.5</formula>
      <formula>0.74</formula>
    </cfRule>
    <cfRule type="cellIs" dxfId="194" priority="143" operator="between">
      <formula>0.25</formula>
      <formula>0.49</formula>
    </cfRule>
    <cfRule type="cellIs" dxfId="193" priority="144" operator="between">
      <formula>0.01</formula>
      <formula>0.24</formula>
    </cfRule>
  </conditionalFormatting>
  <conditionalFormatting sqref="AA5 AA8 AA11 AA17 AA20">
    <cfRule type="cellIs" dxfId="192" priority="133" operator="between">
      <formula>0.75</formula>
      <formula>1</formula>
    </cfRule>
    <cfRule type="cellIs" dxfId="191" priority="134" operator="between">
      <formula>0.5</formula>
      <formula>0.74</formula>
    </cfRule>
    <cfRule type="cellIs" dxfId="190" priority="135" operator="between">
      <formula>0.25</formula>
      <formula>0.49</formula>
    </cfRule>
    <cfRule type="cellIs" dxfId="189" priority="136" operator="between">
      <formula>0.01</formula>
      <formula>0.24</formula>
    </cfRule>
  </conditionalFormatting>
  <conditionalFormatting sqref="AA6:AA7 AA9:AA10 AA12:AA13 AA15:AA16 AA18:AA19 AA21">
    <cfRule type="cellIs" dxfId="188" priority="129" operator="between">
      <formula>0.75</formula>
      <formula>1</formula>
    </cfRule>
    <cfRule type="cellIs" dxfId="187" priority="130" operator="between">
      <formula>0.5</formula>
      <formula>0.74</formula>
    </cfRule>
    <cfRule type="cellIs" dxfId="186" priority="131" operator="between">
      <formula>0.25</formula>
      <formula>0.49</formula>
    </cfRule>
    <cfRule type="cellIs" dxfId="185" priority="132" operator="between">
      <formula>0.01</formula>
      <formula>0.24</formula>
    </cfRule>
  </conditionalFormatting>
  <conditionalFormatting sqref="C21">
    <cfRule type="cellIs" dxfId="184" priority="125" operator="between">
      <formula>0.75</formula>
      <formula>1</formula>
    </cfRule>
    <cfRule type="cellIs" dxfId="183" priority="126" operator="between">
      <formula>0.5</formula>
      <formula>0.74</formula>
    </cfRule>
    <cfRule type="cellIs" dxfId="182" priority="127" operator="between">
      <formula>0.25</formula>
      <formula>0.49</formula>
    </cfRule>
    <cfRule type="cellIs" dxfId="181" priority="128" operator="between">
      <formula>0.01</formula>
      <formula>0.24</formula>
    </cfRule>
  </conditionalFormatting>
  <conditionalFormatting sqref="AA22">
    <cfRule type="cellIs" dxfId="180" priority="121" operator="between">
      <formula>0.75</formula>
      <formula>1</formula>
    </cfRule>
    <cfRule type="cellIs" dxfId="179" priority="122" operator="between">
      <formula>0.5</formula>
      <formula>0.74</formula>
    </cfRule>
    <cfRule type="cellIs" dxfId="178" priority="123" operator="between">
      <formula>0.25</formula>
      <formula>0.49</formula>
    </cfRule>
    <cfRule type="cellIs" dxfId="177" priority="124" operator="between">
      <formula>0.01</formula>
      <formula>0.24</formula>
    </cfRule>
  </conditionalFormatting>
  <conditionalFormatting sqref="I27:I31">
    <cfRule type="cellIs" dxfId="176" priority="117" operator="between">
      <formula>0.75</formula>
      <formula>1</formula>
    </cfRule>
    <cfRule type="cellIs" dxfId="175" priority="118" operator="between">
      <formula>0.5</formula>
      <formula>0.74</formula>
    </cfRule>
    <cfRule type="cellIs" dxfId="174" priority="119" operator="between">
      <formula>0.25</formula>
      <formula>0.49</formula>
    </cfRule>
    <cfRule type="cellIs" dxfId="173" priority="120" operator="between">
      <formula>0.01</formula>
      <formula>0.24</formula>
    </cfRule>
  </conditionalFormatting>
  <conditionalFormatting sqref="I63:I64">
    <cfRule type="cellIs" dxfId="172" priority="113" operator="between">
      <formula>0.75</formula>
      <formula>1</formula>
    </cfRule>
    <cfRule type="cellIs" dxfId="171" priority="114" operator="between">
      <formula>0.5</formula>
      <formula>0.74</formula>
    </cfRule>
    <cfRule type="cellIs" dxfId="170" priority="115" operator="between">
      <formula>0.25</formula>
      <formula>0.49</formula>
    </cfRule>
    <cfRule type="cellIs" dxfId="169" priority="116" operator="between">
      <formula>0.01</formula>
      <formula>0.24</formula>
    </cfRule>
  </conditionalFormatting>
  <conditionalFormatting sqref="AA14">
    <cfRule type="cellIs" dxfId="168" priority="109" operator="between">
      <formula>0.75</formula>
      <formula>1</formula>
    </cfRule>
    <cfRule type="cellIs" dxfId="167" priority="110" operator="between">
      <formula>0.5</formula>
      <formula>0.74</formula>
    </cfRule>
    <cfRule type="cellIs" dxfId="166" priority="111" operator="between">
      <formula>0.25</formula>
      <formula>0.49</formula>
    </cfRule>
    <cfRule type="cellIs" dxfId="165" priority="112" operator="between">
      <formula>0.01</formula>
      <formula>0.24</formula>
    </cfRule>
  </conditionalFormatting>
  <conditionalFormatting sqref="AA23:AA31">
    <cfRule type="cellIs" dxfId="164" priority="105" operator="between">
      <formula>0.75</formula>
      <formula>1</formula>
    </cfRule>
    <cfRule type="cellIs" dxfId="163" priority="106" operator="between">
      <formula>0.5</formula>
      <formula>0.74</formula>
    </cfRule>
    <cfRule type="cellIs" dxfId="162" priority="107" operator="between">
      <formula>0.25</formula>
      <formula>0.49</formula>
    </cfRule>
    <cfRule type="cellIs" dxfId="161" priority="108" operator="between">
      <formula>0.01</formula>
      <formula>0.24</formula>
    </cfRule>
  </conditionalFormatting>
  <conditionalFormatting sqref="I47:I48">
    <cfRule type="cellIs" dxfId="160" priority="101" operator="between">
      <formula>0.75</formula>
      <formula>1</formula>
    </cfRule>
    <cfRule type="cellIs" dxfId="159" priority="102" operator="between">
      <formula>0.5</formula>
      <formula>0.74</formula>
    </cfRule>
    <cfRule type="cellIs" dxfId="158" priority="103" operator="between">
      <formula>0.25</formula>
      <formula>0.49</formula>
    </cfRule>
    <cfRule type="cellIs" dxfId="157" priority="104" operator="between">
      <formula>0.01</formula>
      <formula>0.24</formula>
    </cfRule>
  </conditionalFormatting>
  <conditionalFormatting sqref="AA32:AA34">
    <cfRule type="cellIs" dxfId="156" priority="97" operator="between">
      <formula>0.75</formula>
      <formula>1</formula>
    </cfRule>
    <cfRule type="cellIs" dxfId="155" priority="98" operator="between">
      <formula>0.5</formula>
      <formula>0.74</formula>
    </cfRule>
    <cfRule type="cellIs" dxfId="154" priority="99" operator="between">
      <formula>0.25</formula>
      <formula>0.49</formula>
    </cfRule>
    <cfRule type="cellIs" dxfId="153" priority="100" operator="between">
      <formula>0.01</formula>
      <formula>0.24</formula>
    </cfRule>
  </conditionalFormatting>
  <conditionalFormatting sqref="AE35">
    <cfRule type="cellIs" dxfId="152" priority="93" operator="between">
      <formula>0.75</formula>
      <formula>1</formula>
    </cfRule>
    <cfRule type="cellIs" dxfId="151" priority="94" operator="between">
      <formula>0.5</formula>
      <formula>0.74</formula>
    </cfRule>
    <cfRule type="cellIs" dxfId="150" priority="95" operator="between">
      <formula>0.25</formula>
      <formula>0.49</formula>
    </cfRule>
    <cfRule type="cellIs" dxfId="149" priority="96" operator="between">
      <formula>0.01</formula>
      <formula>0.24</formula>
    </cfRule>
  </conditionalFormatting>
  <conditionalFormatting sqref="I78">
    <cfRule type="cellIs" dxfId="148" priority="89" operator="between">
      <formula>0.75</formula>
      <formula>1</formula>
    </cfRule>
    <cfRule type="cellIs" dxfId="147" priority="90" operator="between">
      <formula>0.5</formula>
      <formula>0.74</formula>
    </cfRule>
    <cfRule type="cellIs" dxfId="146" priority="91" operator="between">
      <formula>0.25</formula>
      <formula>0.49</formula>
    </cfRule>
    <cfRule type="cellIs" dxfId="145" priority="92" operator="between">
      <formula>0.01</formula>
      <formula>0.24</formula>
    </cfRule>
  </conditionalFormatting>
  <conditionalFormatting sqref="I113:I114">
    <cfRule type="cellIs" dxfId="144" priority="77" operator="between">
      <formula>0.75</formula>
      <formula>1</formula>
    </cfRule>
    <cfRule type="cellIs" dxfId="143" priority="78" operator="between">
      <formula>0.5</formula>
      <formula>0.74</formula>
    </cfRule>
    <cfRule type="cellIs" dxfId="142" priority="79" operator="between">
      <formula>0.25</formula>
      <formula>0.49</formula>
    </cfRule>
    <cfRule type="cellIs" dxfId="141" priority="80" operator="between">
      <formula>0.01</formula>
      <formula>0.24</formula>
    </cfRule>
  </conditionalFormatting>
  <conditionalFormatting sqref="I146">
    <cfRule type="cellIs" dxfId="140" priority="69" operator="between">
      <formula>0.75</formula>
      <formula>1</formula>
    </cfRule>
    <cfRule type="cellIs" dxfId="139" priority="70" operator="between">
      <formula>0.5</formula>
      <formula>0.74</formula>
    </cfRule>
    <cfRule type="cellIs" dxfId="138" priority="71" operator="between">
      <formula>0.25</formula>
      <formula>0.49</formula>
    </cfRule>
    <cfRule type="cellIs" dxfId="137" priority="72" operator="between">
      <formula>0.01</formula>
      <formula>0.24</formula>
    </cfRule>
  </conditionalFormatting>
  <conditionalFormatting sqref="I147">
    <cfRule type="cellIs" dxfId="136" priority="65" operator="between">
      <formula>0.75</formula>
      <formula>1</formula>
    </cfRule>
    <cfRule type="cellIs" dxfId="135" priority="66" operator="between">
      <formula>0.5</formula>
      <formula>0.74</formula>
    </cfRule>
    <cfRule type="cellIs" dxfId="134" priority="67" operator="between">
      <formula>0.25</formula>
      <formula>0.49</formula>
    </cfRule>
    <cfRule type="cellIs" dxfId="133" priority="68" operator="between">
      <formula>0.01</formula>
      <formula>0.24</formula>
    </cfRule>
  </conditionalFormatting>
  <conditionalFormatting sqref="I153:I154">
    <cfRule type="cellIs" dxfId="132" priority="57" operator="between">
      <formula>0.75</formula>
      <formula>1</formula>
    </cfRule>
    <cfRule type="cellIs" dxfId="131" priority="58" operator="between">
      <formula>0.5</formula>
      <formula>0.74</formula>
    </cfRule>
    <cfRule type="cellIs" dxfId="130" priority="59" operator="between">
      <formula>0.25</formula>
      <formula>0.49</formula>
    </cfRule>
    <cfRule type="cellIs" dxfId="129" priority="60" operator="between">
      <formula>0.01</formula>
      <formula>0.24</formula>
    </cfRule>
  </conditionalFormatting>
  <conditionalFormatting sqref="I81">
    <cfRule type="cellIs" dxfId="128" priority="49" operator="between">
      <formula>0.75</formula>
      <formula>1</formula>
    </cfRule>
    <cfRule type="cellIs" dxfId="127" priority="50" operator="between">
      <formula>0.5</formula>
      <formula>0.74</formula>
    </cfRule>
    <cfRule type="cellIs" dxfId="126" priority="51" operator="between">
      <formula>0.25</formula>
      <formula>0.49</formula>
    </cfRule>
    <cfRule type="cellIs" dxfId="125" priority="52" operator="between">
      <formula>0.01</formula>
      <formula>0.24</formula>
    </cfRule>
  </conditionalFormatting>
  <conditionalFormatting sqref="I68:I72">
    <cfRule type="cellIs" dxfId="124" priority="37" operator="between">
      <formula>0.75</formula>
      <formula>1</formula>
    </cfRule>
    <cfRule type="cellIs" dxfId="123" priority="38" operator="between">
      <formula>0.5</formula>
      <formula>0.74</formula>
    </cfRule>
    <cfRule type="cellIs" dxfId="122" priority="39" operator="between">
      <formula>0.25</formula>
      <formula>0.49</formula>
    </cfRule>
    <cfRule type="cellIs" dxfId="121" priority="40" operator="between">
      <formula>0.01</formula>
      <formula>0.24</formula>
    </cfRule>
  </conditionalFormatting>
  <conditionalFormatting sqref="I73:I77">
    <cfRule type="cellIs" dxfId="120" priority="33" operator="between">
      <formula>0.75</formula>
      <formula>1</formula>
    </cfRule>
    <cfRule type="cellIs" dxfId="119" priority="34" operator="between">
      <formula>0.5</formula>
      <formula>0.74</formula>
    </cfRule>
    <cfRule type="cellIs" dxfId="118" priority="35" operator="between">
      <formula>0.25</formula>
      <formula>0.49</formula>
    </cfRule>
    <cfRule type="cellIs" dxfId="117" priority="36" operator="between">
      <formula>0.01</formula>
      <formula>0.24</formula>
    </cfRule>
  </conditionalFormatting>
  <conditionalFormatting sqref="I80">
    <cfRule type="cellIs" dxfId="116" priority="29" operator="between">
      <formula>0.75</formula>
      <formula>1</formula>
    </cfRule>
    <cfRule type="cellIs" dxfId="115" priority="30" operator="between">
      <formula>0.5</formula>
      <formula>0.74</formula>
    </cfRule>
    <cfRule type="cellIs" dxfId="114" priority="31" operator="between">
      <formula>0.25</formula>
      <formula>0.49</formula>
    </cfRule>
    <cfRule type="cellIs" dxfId="113" priority="32" operator="between">
      <formula>0.01</formula>
      <formula>0.24</formula>
    </cfRule>
  </conditionalFormatting>
  <conditionalFormatting sqref="I84">
    <cfRule type="cellIs" dxfId="112" priority="25" operator="between">
      <formula>0.75</formula>
      <formula>1</formula>
    </cfRule>
    <cfRule type="cellIs" dxfId="111" priority="26" operator="between">
      <formula>0.5</formula>
      <formula>0.74</formula>
    </cfRule>
    <cfRule type="cellIs" dxfId="110" priority="27" operator="between">
      <formula>0.25</formula>
      <formula>0.49</formula>
    </cfRule>
    <cfRule type="cellIs" dxfId="109" priority="28" operator="between">
      <formula>0.01</formula>
      <formula>0.24</formula>
    </cfRule>
  </conditionalFormatting>
  <conditionalFormatting sqref="I143:I145">
    <cfRule type="cellIs" dxfId="108" priority="21" operator="between">
      <formula>0.75</formula>
      <formula>1</formula>
    </cfRule>
    <cfRule type="cellIs" dxfId="107" priority="22" operator="between">
      <formula>0.5</formula>
      <formula>0.74</formula>
    </cfRule>
    <cfRule type="cellIs" dxfId="106" priority="23" operator="between">
      <formula>0.25</formula>
      <formula>0.49</formula>
    </cfRule>
    <cfRule type="cellIs" dxfId="105" priority="24" operator="between">
      <formula>0.01</formula>
      <formula>0.24</formula>
    </cfRule>
  </conditionalFormatting>
  <conditionalFormatting sqref="I135:I136">
    <cfRule type="cellIs" dxfId="104" priority="17" operator="between">
      <formula>0.75</formula>
      <formula>1</formula>
    </cfRule>
    <cfRule type="cellIs" dxfId="103" priority="18" operator="between">
      <formula>0.5</formula>
      <formula>0.74</formula>
    </cfRule>
    <cfRule type="cellIs" dxfId="102" priority="19" operator="between">
      <formula>0.25</formula>
      <formula>0.49</formula>
    </cfRule>
    <cfRule type="cellIs" dxfId="101" priority="20" operator="between">
      <formula>0.01</formula>
      <formula>0.24</formula>
    </cfRule>
  </conditionalFormatting>
  <conditionalFormatting sqref="I149:I151">
    <cfRule type="cellIs" dxfId="100" priority="13" operator="between">
      <formula>0.75</formula>
      <formula>1</formula>
    </cfRule>
    <cfRule type="cellIs" dxfId="99" priority="14" operator="between">
      <formula>0.5</formula>
      <formula>0.74</formula>
    </cfRule>
    <cfRule type="cellIs" dxfId="98" priority="15" operator="between">
      <formula>0.25</formula>
      <formula>0.49</formula>
    </cfRule>
    <cfRule type="cellIs" dxfId="97" priority="16" operator="between">
      <formula>0.01</formula>
      <formula>0.24</formula>
    </cfRule>
  </conditionalFormatting>
  <conditionalFormatting sqref="I158:I159">
    <cfRule type="cellIs" dxfId="96" priority="9" operator="between">
      <formula>0.75</formula>
      <formula>1</formula>
    </cfRule>
    <cfRule type="cellIs" dxfId="95" priority="10" operator="between">
      <formula>0.5</formula>
      <formula>0.74</formula>
    </cfRule>
    <cfRule type="cellIs" dxfId="94" priority="11" operator="between">
      <formula>0.25</formula>
      <formula>0.49</formula>
    </cfRule>
    <cfRule type="cellIs" dxfId="93" priority="12" operator="between">
      <formula>0.01</formula>
      <formula>0.24</formula>
    </cfRule>
  </conditionalFormatting>
  <conditionalFormatting sqref="I116:I122">
    <cfRule type="cellIs" dxfId="92" priority="5" operator="between">
      <formula>0.75</formula>
      <formula>1</formula>
    </cfRule>
    <cfRule type="cellIs" dxfId="91" priority="6" operator="between">
      <formula>0.5</formula>
      <formula>0.74</formula>
    </cfRule>
    <cfRule type="cellIs" dxfId="90" priority="7" operator="between">
      <formula>0.25</formula>
      <formula>0.49</formula>
    </cfRule>
    <cfRule type="cellIs" dxfId="89" priority="8" operator="between">
      <formula>0.01</formula>
      <formula>0.24</formula>
    </cfRule>
  </conditionalFormatting>
  <conditionalFormatting sqref="I123:I124">
    <cfRule type="cellIs" dxfId="88" priority="1" operator="between">
      <formula>0.75</formula>
      <formula>1</formula>
    </cfRule>
    <cfRule type="cellIs" dxfId="87" priority="2" operator="between">
      <formula>0.5</formula>
      <formula>0.74</formula>
    </cfRule>
    <cfRule type="cellIs" dxfId="86" priority="3" operator="between">
      <formula>0.25</formula>
      <formula>0.49</formula>
    </cfRule>
    <cfRule type="cellIs" dxfId="85" priority="4" operator="between">
      <formula>0.01</formula>
      <formula>0.24</formula>
    </cfRule>
  </conditionalFormatting>
  <pageMargins left="0.7" right="0.7" top="0.75" bottom="0.75" header="0.3" footer="0.3"/>
  <pageSetup paperSize="9" orientation="portrait" horizontalDpi="4294967293" verticalDpi="4294967293"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8"/>
  <dimension ref="A1:AJ87"/>
  <sheetViews>
    <sheetView zoomScale="80" zoomScaleNormal="80" workbookViewId="0">
      <selection activeCell="S20" sqref="S20"/>
    </sheetView>
  </sheetViews>
  <sheetFormatPr defaultRowHeight="14.4"/>
  <cols>
    <col min="2" max="2" width="32" customWidth="1"/>
    <col min="3" max="3" width="37.109375" customWidth="1"/>
    <col min="4" max="4" width="37.88671875" customWidth="1"/>
    <col min="5" max="5" width="9.5546875" customWidth="1"/>
    <col min="6" max="6" width="13.33203125" customWidth="1"/>
    <col min="7" max="7" width="12.88671875" customWidth="1"/>
    <col min="8" max="8" width="13.88671875" customWidth="1"/>
    <col min="9" max="9" width="11.5546875" customWidth="1"/>
    <col min="10" max="12" width="9.109375" customWidth="1"/>
    <col min="13" max="13" width="14.44140625" bestFit="1" customWidth="1"/>
    <col min="14" max="14" width="14.44140625" customWidth="1"/>
    <col min="15" max="15" width="11.88671875" customWidth="1"/>
    <col min="16" max="16" width="12.44140625" customWidth="1"/>
    <col min="17" max="17" width="21.44140625" customWidth="1"/>
    <col min="18" max="36" width="10.6640625" customWidth="1"/>
  </cols>
  <sheetData>
    <row r="1" spans="2:28" ht="45" customHeight="1" thickBot="1">
      <c r="B1" s="1696" t="s">
        <v>1357</v>
      </c>
      <c r="C1" s="1697"/>
      <c r="D1" s="537" t="b">
        <v>1</v>
      </c>
      <c r="M1" s="551" t="s">
        <v>633</v>
      </c>
      <c r="N1" s="551" t="s">
        <v>946</v>
      </c>
      <c r="O1" s="551" t="s">
        <v>947</v>
      </c>
      <c r="P1" s="551" t="s">
        <v>917</v>
      </c>
    </row>
    <row r="2" spans="2:28" ht="40.5" customHeight="1">
      <c r="B2" s="536" t="s">
        <v>1353</v>
      </c>
      <c r="C2" s="536" t="s">
        <v>1354</v>
      </c>
      <c r="D2" s="533" t="s">
        <v>1355</v>
      </c>
      <c r="E2" s="533"/>
      <c r="F2" s="533" t="str">
        <f>IF($D$1=TRUE,M1,M2)</f>
        <v>PLAN 2021</v>
      </c>
      <c r="G2" s="533" t="str">
        <f>IF($D$1=TRUE,N1,N2)</f>
        <v>PLAN 6mnth</v>
      </c>
      <c r="H2" s="533" t="str">
        <f>IF($D$1=TRUE,O1,O2)</f>
        <v>FACT 6 mnth</v>
      </c>
      <c r="I2" s="533" t="str">
        <f>IF($D$1=TRUE,P1,P2)</f>
        <v>PLAN 2021 @RISK</v>
      </c>
      <c r="J2" s="533" t="s">
        <v>1368</v>
      </c>
      <c r="K2" s="533" t="s">
        <v>1369</v>
      </c>
      <c r="L2" s="533"/>
      <c r="M2" s="538" t="s">
        <v>915</v>
      </c>
      <c r="N2" s="538" t="s">
        <v>920</v>
      </c>
      <c r="O2" s="538" t="s">
        <v>921</v>
      </c>
      <c r="P2" s="538" t="s">
        <v>916</v>
      </c>
    </row>
    <row r="3" spans="2:28" ht="17.25" customHeight="1">
      <c r="B3" s="535" t="s">
        <v>583</v>
      </c>
      <c r="C3" s="534" t="s">
        <v>912</v>
      </c>
      <c r="D3" s="552" t="str">
        <f>IF($D$1=TRUE,B3,C3)</f>
        <v>RISK OF CARGO TURNOVER</v>
      </c>
      <c r="F3" s="553">
        <f>SUM(F7:F10)</f>
        <v>1029110.581809653</v>
      </c>
      <c r="G3" s="553">
        <f>SUM(G7:G10)</f>
        <v>502176.28646188835</v>
      </c>
      <c r="H3" s="553">
        <f>SUM(H7:H10)</f>
        <v>500708.23774836562</v>
      </c>
      <c r="I3" s="553">
        <v>987703</v>
      </c>
      <c r="J3" s="555">
        <f>H3/$G$3</f>
        <v>0.99707662676812969</v>
      </c>
      <c r="K3" s="555">
        <f>I3/$F$3</f>
        <v>0.95976371971917807</v>
      </c>
      <c r="N3" s="94"/>
      <c r="O3" s="94"/>
    </row>
    <row r="4" spans="2:28" ht="17.25" customHeight="1">
      <c r="B4" s="535" t="s">
        <v>867</v>
      </c>
      <c r="C4" s="534" t="s">
        <v>914</v>
      </c>
      <c r="D4" s="552" t="str">
        <f t="shared" ref="D4:D10" si="0">IF($D$1=TRUE,B4,C4)</f>
        <v>RISK OF PASSENGER TURNOVER</v>
      </c>
      <c r="F4" s="553">
        <v>83401.476185171938</v>
      </c>
      <c r="G4" s="553">
        <v>32523.247627060737</v>
      </c>
      <c r="H4" s="553">
        <v>35167.364999999998</v>
      </c>
      <c r="I4" s="553">
        <f>'РЕЕСТР РИСКОВ_2023'!P93</f>
        <v>102177.1</v>
      </c>
      <c r="J4" s="555">
        <f>H4/$G$4</f>
        <v>1.0812993032940303</v>
      </c>
      <c r="K4" s="555">
        <f>I4/$F$4</f>
        <v>1.225123399172714</v>
      </c>
      <c r="N4" s="94"/>
      <c r="O4" s="263"/>
      <c r="P4" s="263"/>
    </row>
    <row r="5" spans="2:28" ht="17.25" customHeight="1">
      <c r="B5" s="461" t="s">
        <v>868</v>
      </c>
      <c r="C5" s="534" t="s">
        <v>913</v>
      </c>
      <c r="D5" s="552" t="str">
        <f t="shared" si="0"/>
        <v>WAGON OPERATING</v>
      </c>
      <c r="F5" s="553">
        <v>161879.965329097</v>
      </c>
      <c r="G5" s="553">
        <v>74495.270242732789</v>
      </c>
      <c r="H5" s="553">
        <v>71926.399233279997</v>
      </c>
      <c r="I5" s="553">
        <f>'РЕЕСТР РИСКОВ_2023'!P84</f>
        <v>-25468.55</v>
      </c>
      <c r="J5" s="555">
        <f>H5/$G$5</f>
        <v>0.96551632068609894</v>
      </c>
      <c r="K5" s="555">
        <f>I5/$F$5</f>
        <v>-0.15732984590293936</v>
      </c>
      <c r="N5" s="94"/>
      <c r="O5" s="94"/>
    </row>
    <row r="6" spans="2:28" ht="29.25" customHeight="1">
      <c r="B6" s="533"/>
      <c r="C6" s="533"/>
      <c r="D6" s="533"/>
      <c r="E6" s="533"/>
      <c r="F6" s="533" t="str">
        <f>IF($D$1=TRUE,M1,M2)</f>
        <v>PLAN 2021</v>
      </c>
      <c r="G6" s="533" t="str">
        <f>IF($D$1=TRUE,N1,N2)</f>
        <v>PLAN 6mnth</v>
      </c>
      <c r="H6" s="533" t="str">
        <f>IF($D$1=TRUE,O1,O2)</f>
        <v>FACT 6 mnth</v>
      </c>
      <c r="I6" s="533" t="str">
        <f>IF($D$1=TRUE,P1,P2)</f>
        <v>PLAN 2021 @RISK</v>
      </c>
      <c r="J6" s="533" t="s">
        <v>1358</v>
      </c>
      <c r="K6" s="533" t="s">
        <v>1359</v>
      </c>
      <c r="L6" s="533"/>
    </row>
    <row r="7" spans="2:28" ht="17.25" customHeight="1">
      <c r="B7" s="532" t="s">
        <v>863</v>
      </c>
      <c r="C7" s="534" t="s">
        <v>1360</v>
      </c>
      <c r="D7" s="552" t="str">
        <f t="shared" si="0"/>
        <v>Income of intra-republican cargo turnover</v>
      </c>
      <c r="F7" s="553">
        <v>288059.25174154597</v>
      </c>
      <c r="G7" s="553">
        <v>140760.77955850679</v>
      </c>
      <c r="H7" s="554">
        <v>126414.25486376556</v>
      </c>
      <c r="I7" s="553">
        <f>'РЕЕСТР РИСКОВ_2023'!P41</f>
        <v>339578.71216973336</v>
      </c>
      <c r="J7" s="555">
        <f>H7/G7</f>
        <v>0.89807867830983312</v>
      </c>
      <c r="K7" s="555">
        <f>I7/F7</f>
        <v>1.1788502195875032</v>
      </c>
      <c r="L7" s="94"/>
      <c r="Z7" s="93"/>
      <c r="AA7" s="93"/>
      <c r="AB7" s="94"/>
    </row>
    <row r="8" spans="2:28" ht="17.25" customHeight="1">
      <c r="B8" s="532" t="s">
        <v>864</v>
      </c>
      <c r="C8" s="534" t="s">
        <v>1361</v>
      </c>
      <c r="D8" s="552" t="str">
        <f t="shared" si="0"/>
        <v>Income of freight turnover from exports</v>
      </c>
      <c r="F8" s="553">
        <v>187524.44197122741</v>
      </c>
      <c r="G8" s="553">
        <v>92406.414373516905</v>
      </c>
      <c r="H8" s="554">
        <v>97675.154960150016</v>
      </c>
      <c r="I8" s="553">
        <f>'РЕЕСТР РИСКОВ_2023'!P60</f>
        <v>141369.5302500985</v>
      </c>
      <c r="J8" s="555">
        <f>H8/G8</f>
        <v>1.0570170439179285</v>
      </c>
      <c r="K8" s="555">
        <f>I8/F8</f>
        <v>0.75387255530022779</v>
      </c>
      <c r="L8" s="94"/>
      <c r="Z8" s="93"/>
      <c r="AA8" s="93"/>
      <c r="AB8" s="94"/>
    </row>
    <row r="9" spans="2:28" ht="17.25" customHeight="1">
      <c r="B9" s="532" t="s">
        <v>865</v>
      </c>
      <c r="C9" s="534" t="s">
        <v>1362</v>
      </c>
      <c r="D9" s="552" t="str">
        <f t="shared" si="0"/>
        <v>Income of freight turnover from imports</v>
      </c>
      <c r="F9" s="553">
        <v>123185.71367862579</v>
      </c>
      <c r="G9" s="553">
        <v>61802.816531905519</v>
      </c>
      <c r="H9" s="554">
        <v>66096.671018110006</v>
      </c>
      <c r="I9" s="553">
        <f>'РЕЕСТР РИСКОВ_2023'!P51</f>
        <v>267918.75653440494</v>
      </c>
      <c r="J9" s="555">
        <f>H9/G9</f>
        <v>1.0694766796588921</v>
      </c>
      <c r="K9" s="555">
        <f>I9/F9</f>
        <v>2.1749174359079277</v>
      </c>
      <c r="L9" s="94"/>
      <c r="Z9" s="93"/>
      <c r="AA9" s="93"/>
      <c r="AB9" s="94"/>
    </row>
    <row r="10" spans="2:28" ht="17.25" customHeight="1">
      <c r="B10" s="532" t="s">
        <v>866</v>
      </c>
      <c r="C10" s="534" t="s">
        <v>1363</v>
      </c>
      <c r="D10" s="552" t="str">
        <f t="shared" si="0"/>
        <v>Income of transit cargo turnover</v>
      </c>
      <c r="F10" s="553">
        <v>430341.17441825388</v>
      </c>
      <c r="G10" s="553">
        <v>207206.27599795914</v>
      </c>
      <c r="H10" s="554">
        <v>210522.15690634001</v>
      </c>
      <c r="I10" s="553">
        <f>'РЕЕСТР РИСКОВ_2023'!P71</f>
        <v>477804.40492756461</v>
      </c>
      <c r="J10" s="555">
        <f>H10/G10</f>
        <v>1.0160028015194555</v>
      </c>
      <c r="K10" s="555">
        <f>I10/F10</f>
        <v>1.1102920969007271</v>
      </c>
      <c r="L10" s="94"/>
      <c r="Z10" s="93"/>
      <c r="AA10" s="93"/>
      <c r="AB10" s="94"/>
    </row>
    <row r="11" spans="2:28" ht="17.25" customHeight="1">
      <c r="B11" s="532" t="s">
        <v>1372</v>
      </c>
      <c r="C11" s="534" t="s">
        <v>1364</v>
      </c>
      <c r="F11" s="93"/>
      <c r="G11" s="93"/>
      <c r="H11" s="93"/>
      <c r="I11" s="93"/>
      <c r="J11" s="94"/>
      <c r="K11" s="94"/>
      <c r="L11" s="94"/>
      <c r="M11" s="263"/>
      <c r="N11" s="263"/>
      <c r="O11" s="363"/>
      <c r="P11" s="263"/>
      <c r="Z11" s="93"/>
      <c r="AA11" s="93"/>
      <c r="AB11" s="94"/>
    </row>
    <row r="12" spans="2:28" ht="17.25" customHeight="1">
      <c r="B12" s="532" t="s">
        <v>1373</v>
      </c>
      <c r="C12" s="534" t="s">
        <v>1365</v>
      </c>
      <c r="F12" s="93"/>
      <c r="G12" s="93"/>
      <c r="H12" s="93"/>
      <c r="I12" s="93"/>
      <c r="J12" s="94"/>
      <c r="K12" s="94"/>
      <c r="L12" s="94"/>
      <c r="M12" s="263"/>
      <c r="N12" s="263"/>
      <c r="O12" s="363"/>
      <c r="P12" s="263"/>
      <c r="Z12" s="93"/>
      <c r="AA12" s="93"/>
      <c r="AB12" s="94"/>
    </row>
    <row r="13" spans="2:28" ht="17.25" customHeight="1">
      <c r="B13" s="532" t="s">
        <v>1374</v>
      </c>
      <c r="C13" s="534" t="s">
        <v>1366</v>
      </c>
      <c r="F13" s="93"/>
      <c r="G13" s="93"/>
      <c r="H13" s="93"/>
      <c r="I13" s="93"/>
      <c r="J13" s="94"/>
      <c r="K13" s="94"/>
      <c r="L13" s="94"/>
      <c r="M13" s="263"/>
      <c r="N13" s="263"/>
      <c r="O13" s="363"/>
      <c r="P13" s="263"/>
      <c r="Z13" s="93"/>
      <c r="AA13" s="93"/>
      <c r="AB13" s="94"/>
    </row>
    <row r="14" spans="2:28" ht="17.25" customHeight="1">
      <c r="B14" s="532" t="s">
        <v>1375</v>
      </c>
      <c r="C14" s="534" t="s">
        <v>1370</v>
      </c>
      <c r="F14" s="93"/>
      <c r="G14" s="93"/>
      <c r="H14" s="93"/>
      <c r="I14" s="93"/>
      <c r="J14" s="94"/>
      <c r="K14" s="94"/>
      <c r="L14" s="94"/>
      <c r="M14" s="263"/>
      <c r="N14" s="263"/>
      <c r="O14" s="363"/>
      <c r="P14" s="263"/>
      <c r="Z14" s="93"/>
      <c r="AA14" s="93"/>
      <c r="AB14" s="94"/>
    </row>
    <row r="15" spans="2:28" ht="17.25" customHeight="1">
      <c r="B15" s="532" t="s">
        <v>1376</v>
      </c>
      <c r="C15" s="534" t="s">
        <v>1371</v>
      </c>
      <c r="F15" s="93"/>
      <c r="G15" s="93"/>
      <c r="H15" s="93"/>
      <c r="I15" s="93"/>
      <c r="J15" s="94"/>
      <c r="K15" s="94"/>
      <c r="L15" s="94"/>
      <c r="M15" s="263"/>
      <c r="N15" s="263"/>
      <c r="O15" s="363"/>
      <c r="P15" s="263"/>
      <c r="Z15" s="93"/>
      <c r="AA15" s="93"/>
      <c r="AB15" s="94"/>
    </row>
    <row r="16" spans="2:28" ht="35.25" customHeight="1">
      <c r="B16" s="1695" t="s">
        <v>1356</v>
      </c>
      <c r="C16" s="1695"/>
      <c r="D16" s="1695"/>
      <c r="E16" s="1695"/>
      <c r="F16" s="1695"/>
      <c r="G16" s="1695"/>
      <c r="H16" s="1695"/>
      <c r="I16" s="1695"/>
      <c r="J16" s="1695"/>
      <c r="K16" s="1695"/>
      <c r="L16" s="1695"/>
      <c r="M16" s="1695"/>
      <c r="N16" s="1695"/>
      <c r="O16" s="1695"/>
      <c r="P16" s="1695"/>
    </row>
    <row r="17" spans="2:36" ht="35.25" customHeight="1">
      <c r="B17" s="540" t="s">
        <v>948</v>
      </c>
      <c r="C17" s="539" t="s">
        <v>1343</v>
      </c>
      <c r="D17" s="541"/>
      <c r="E17" s="541"/>
      <c r="F17" s="541"/>
      <c r="G17" s="541"/>
      <c r="H17" s="541"/>
      <c r="I17" s="541"/>
      <c r="J17" s="541"/>
      <c r="K17" s="541"/>
      <c r="L17" s="541"/>
      <c r="M17" s="541"/>
      <c r="N17" s="541"/>
      <c r="O17" s="541"/>
      <c r="P17" s="542"/>
    </row>
    <row r="18" spans="2:36" ht="35.25" customHeight="1">
      <c r="B18" s="543"/>
      <c r="C18" s="43"/>
      <c r="D18" s="43"/>
      <c r="E18" s="43"/>
      <c r="F18" s="43"/>
      <c r="G18" s="43"/>
      <c r="H18" s="43"/>
      <c r="I18" s="43"/>
      <c r="J18" s="43"/>
      <c r="K18" s="43"/>
      <c r="L18" s="43"/>
      <c r="M18" s="43"/>
      <c r="N18" s="43"/>
      <c r="O18" s="43"/>
      <c r="P18" s="544"/>
    </row>
    <row r="19" spans="2:36" ht="35.25" customHeight="1">
      <c r="B19" s="543"/>
      <c r="C19" s="43"/>
      <c r="D19" s="43"/>
      <c r="E19" s="43"/>
      <c r="F19" s="43"/>
      <c r="G19" s="43"/>
      <c r="H19" s="43"/>
      <c r="I19" s="43"/>
      <c r="J19" s="43"/>
      <c r="K19" s="43"/>
      <c r="L19" s="43"/>
      <c r="M19" s="43"/>
      <c r="N19" s="43"/>
      <c r="O19" s="43"/>
      <c r="P19" s="544"/>
    </row>
    <row r="20" spans="2:36" ht="35.25" customHeight="1">
      <c r="B20" s="543"/>
      <c r="C20" s="43"/>
      <c r="D20" s="43"/>
      <c r="E20" s="43"/>
      <c r="F20" s="43"/>
      <c r="G20" s="43"/>
      <c r="H20" s="43"/>
      <c r="I20" s="43"/>
      <c r="J20" s="43"/>
      <c r="K20" s="43"/>
      <c r="L20" s="43"/>
      <c r="M20" s="43"/>
      <c r="N20" s="43"/>
      <c r="O20" s="43"/>
      <c r="P20" s="544"/>
    </row>
    <row r="21" spans="2:36" ht="35.25" customHeight="1">
      <c r="B21" s="543"/>
      <c r="C21" s="43"/>
      <c r="D21" s="43"/>
      <c r="E21" s="43"/>
      <c r="F21" s="43"/>
      <c r="G21" s="43"/>
      <c r="H21" s="43"/>
      <c r="I21" s="43"/>
      <c r="J21" s="43"/>
      <c r="K21" s="43"/>
      <c r="L21" s="43"/>
      <c r="M21" s="43"/>
      <c r="N21" s="43"/>
      <c r="O21" s="43"/>
      <c r="P21" s="544"/>
    </row>
    <row r="22" spans="2:36" ht="35.25" customHeight="1">
      <c r="B22" s="543"/>
      <c r="C22" s="43"/>
      <c r="D22" s="43"/>
      <c r="E22" s="43"/>
      <c r="F22" s="43"/>
      <c r="G22" s="43"/>
      <c r="H22" s="43"/>
      <c r="I22" s="43"/>
      <c r="J22" s="43"/>
      <c r="K22" s="43"/>
      <c r="L22" s="43"/>
      <c r="M22" s="43"/>
      <c r="N22" s="43"/>
      <c r="O22" s="43"/>
      <c r="P22" s="544"/>
    </row>
    <row r="23" spans="2:36" ht="35.25" customHeight="1">
      <c r="B23" s="545"/>
      <c r="C23" s="546"/>
      <c r="D23" s="546"/>
      <c r="E23" s="546"/>
      <c r="F23" s="546"/>
      <c r="G23" s="546"/>
      <c r="H23" s="546"/>
      <c r="I23" s="546"/>
      <c r="J23" s="546"/>
      <c r="K23" s="546"/>
      <c r="L23" s="546"/>
      <c r="M23" s="546"/>
      <c r="N23" s="546"/>
      <c r="O23" s="546"/>
      <c r="P23" s="547"/>
    </row>
    <row r="24" spans="2:36" ht="35.25" customHeight="1">
      <c r="B24" s="540" t="s">
        <v>1331</v>
      </c>
      <c r="C24" s="556" t="s">
        <v>1340</v>
      </c>
      <c r="D24" s="541"/>
      <c r="E24" s="541"/>
      <c r="F24" s="541"/>
      <c r="G24" s="541"/>
      <c r="H24" s="541"/>
      <c r="I24" s="541"/>
      <c r="J24" s="541"/>
      <c r="K24" s="541"/>
      <c r="L24" s="541"/>
      <c r="M24" s="541"/>
      <c r="N24" s="541"/>
      <c r="O24" s="541"/>
      <c r="P24" s="542"/>
    </row>
    <row r="25" spans="2:36" ht="35.25" customHeight="1">
      <c r="B25" s="548" t="s">
        <v>1332</v>
      </c>
      <c r="C25" s="557" t="s">
        <v>1341</v>
      </c>
      <c r="D25" s="43"/>
      <c r="E25" s="43"/>
      <c r="F25" s="43"/>
      <c r="G25" s="43"/>
      <c r="H25" s="43"/>
      <c r="I25" s="43"/>
      <c r="J25" s="43"/>
      <c r="K25" s="43"/>
      <c r="L25" s="43"/>
      <c r="M25" s="43"/>
      <c r="N25" s="43"/>
      <c r="O25" s="43"/>
      <c r="P25" s="544"/>
    </row>
    <row r="26" spans="2:36" ht="35.25" customHeight="1">
      <c r="B26" s="548" t="s">
        <v>1333</v>
      </c>
      <c r="C26" s="557" t="s">
        <v>1342</v>
      </c>
      <c r="D26" s="43"/>
      <c r="E26" s="43"/>
      <c r="F26" s="43"/>
      <c r="G26" s="43"/>
      <c r="H26" s="43"/>
      <c r="I26" s="43"/>
      <c r="J26" s="43"/>
      <c r="K26" s="43"/>
      <c r="L26" s="43"/>
      <c r="M26" s="43"/>
      <c r="N26" s="43"/>
      <c r="O26" s="43"/>
      <c r="P26" s="544"/>
    </row>
    <row r="27" spans="2:36" ht="35.25" customHeight="1">
      <c r="B27" s="543"/>
      <c r="C27" s="544"/>
      <c r="D27" s="43"/>
      <c r="E27" s="43"/>
      <c r="F27" s="43"/>
      <c r="G27" s="43"/>
      <c r="H27" s="43"/>
      <c r="I27" s="43"/>
      <c r="J27" s="43"/>
      <c r="K27" s="43"/>
      <c r="L27" s="43"/>
      <c r="M27" s="43"/>
      <c r="N27" s="43"/>
      <c r="O27" s="43"/>
      <c r="P27" s="544"/>
    </row>
    <row r="28" spans="2:36" ht="35.25" customHeight="1">
      <c r="B28" s="545"/>
      <c r="C28" s="547"/>
      <c r="D28" s="546"/>
      <c r="E28" s="546"/>
      <c r="F28" s="546"/>
      <c r="G28" s="546"/>
      <c r="H28" s="546"/>
      <c r="I28" s="546"/>
      <c r="J28" s="546"/>
      <c r="K28" s="546"/>
      <c r="L28" s="546"/>
      <c r="M28" s="546"/>
      <c r="N28" s="546"/>
      <c r="O28" s="546"/>
      <c r="P28" s="547"/>
    </row>
    <row r="29" spans="2:36" ht="35.25" customHeight="1">
      <c r="B29" s="540" t="s">
        <v>908</v>
      </c>
      <c r="C29" s="556" t="s">
        <v>909</v>
      </c>
      <c r="D29" s="541"/>
      <c r="E29" s="541"/>
      <c r="F29" s="541"/>
      <c r="G29" s="541"/>
      <c r="H29" s="541"/>
      <c r="I29" s="541"/>
      <c r="J29" s="541"/>
      <c r="K29" s="541"/>
      <c r="L29" s="541"/>
      <c r="M29" s="541"/>
      <c r="N29" s="541"/>
      <c r="O29" s="541"/>
      <c r="P29" s="542"/>
    </row>
    <row r="30" spans="2:36" ht="35.25" customHeight="1">
      <c r="B30" s="543"/>
      <c r="C30" s="544"/>
      <c r="D30" s="43"/>
      <c r="E30" s="43"/>
      <c r="F30" s="43"/>
      <c r="G30" s="43"/>
      <c r="H30" s="43"/>
      <c r="I30" s="43"/>
      <c r="J30" s="43"/>
      <c r="K30" s="43"/>
      <c r="L30" s="43"/>
      <c r="M30" s="43"/>
      <c r="N30" s="43"/>
      <c r="O30" s="43"/>
      <c r="P30" s="544"/>
    </row>
    <row r="31" spans="2:36" ht="35.25" customHeight="1">
      <c r="B31" s="543"/>
      <c r="C31" s="544"/>
      <c r="D31" s="43"/>
      <c r="E31" s="43"/>
      <c r="F31" s="43"/>
      <c r="G31" s="43"/>
      <c r="H31" s="43"/>
      <c r="I31" s="43"/>
      <c r="J31" s="43"/>
      <c r="K31" s="43"/>
      <c r="L31" s="43"/>
      <c r="M31" s="43"/>
      <c r="N31" s="43"/>
      <c r="O31" s="43"/>
      <c r="P31" s="544"/>
      <c r="R31" s="1694" t="s">
        <v>73</v>
      </c>
      <c r="S31" s="1694" t="s">
        <v>89</v>
      </c>
      <c r="T31" s="1694" t="s">
        <v>342</v>
      </c>
      <c r="U31" s="1694" t="s">
        <v>379</v>
      </c>
      <c r="V31" s="1694" t="s">
        <v>453</v>
      </c>
      <c r="W31" s="1694" t="s">
        <v>76</v>
      </c>
      <c r="X31" s="1694" t="s">
        <v>71</v>
      </c>
      <c r="Y31" s="1694" t="s">
        <v>69</v>
      </c>
      <c r="Z31" s="1694" t="s">
        <v>79</v>
      </c>
      <c r="AA31" s="1694" t="s">
        <v>78</v>
      </c>
      <c r="AB31" s="1694" t="s">
        <v>128</v>
      </c>
      <c r="AC31" s="1694" t="s">
        <v>409</v>
      </c>
      <c r="AD31" s="1694" t="s">
        <v>82</v>
      </c>
      <c r="AE31" s="1694" t="s">
        <v>83</v>
      </c>
      <c r="AF31" s="1694" t="s">
        <v>85</v>
      </c>
      <c r="AG31" s="1694" t="s">
        <v>161</v>
      </c>
      <c r="AH31" s="1694" t="s">
        <v>125</v>
      </c>
      <c r="AI31" s="1694" t="s">
        <v>68</v>
      </c>
      <c r="AJ31" s="1694" t="s">
        <v>66</v>
      </c>
    </row>
    <row r="32" spans="2:36" ht="35.25" customHeight="1">
      <c r="B32" s="543"/>
      <c r="C32" s="544"/>
      <c r="D32" s="43"/>
      <c r="E32" s="43"/>
      <c r="F32" s="43"/>
      <c r="G32" s="43"/>
      <c r="H32" s="43"/>
      <c r="I32" s="43"/>
      <c r="J32" s="43"/>
      <c r="K32" s="43"/>
      <c r="L32" s="43"/>
      <c r="M32" s="43"/>
      <c r="N32" s="43"/>
      <c r="O32" s="43"/>
      <c r="P32" s="544"/>
      <c r="R32" s="1694"/>
      <c r="S32" s="1694"/>
      <c r="T32" s="1694"/>
      <c r="U32" s="1694"/>
      <c r="V32" s="1694"/>
      <c r="W32" s="1694"/>
      <c r="X32" s="1694"/>
      <c r="Y32" s="1694"/>
      <c r="Z32" s="1694"/>
      <c r="AA32" s="1694"/>
      <c r="AB32" s="1694"/>
      <c r="AC32" s="1694"/>
      <c r="AD32" s="1694"/>
      <c r="AE32" s="1694"/>
      <c r="AF32" s="1694"/>
      <c r="AG32" s="1694"/>
      <c r="AH32" s="1694"/>
      <c r="AI32" s="1694"/>
      <c r="AJ32" s="1694"/>
    </row>
    <row r="33" spans="2:36" ht="35.25" customHeight="1">
      <c r="B33" s="543"/>
      <c r="C33" s="544"/>
      <c r="D33" s="43"/>
      <c r="E33" s="43"/>
      <c r="F33" s="43"/>
      <c r="G33" s="43"/>
      <c r="H33" s="43"/>
      <c r="I33" s="43"/>
      <c r="J33" s="43"/>
      <c r="K33" s="43"/>
      <c r="L33" s="43"/>
      <c r="M33" s="43"/>
      <c r="N33" s="43"/>
      <c r="O33" s="43"/>
      <c r="P33" s="544"/>
      <c r="R33" s="1694"/>
      <c r="S33" s="1694"/>
      <c r="T33" s="1694"/>
      <c r="U33" s="1694"/>
      <c r="V33" s="1694"/>
      <c r="W33" s="1694"/>
      <c r="X33" s="1694"/>
      <c r="Y33" s="1694"/>
      <c r="Z33" s="1694"/>
      <c r="AA33" s="1694"/>
      <c r="AB33" s="1694"/>
      <c r="AC33" s="1694"/>
      <c r="AD33" s="1694"/>
      <c r="AE33" s="1694"/>
      <c r="AF33" s="1694"/>
      <c r="AG33" s="1694"/>
      <c r="AH33" s="1694"/>
      <c r="AI33" s="1694"/>
      <c r="AJ33" s="1694"/>
    </row>
    <row r="34" spans="2:36" ht="35.25" customHeight="1">
      <c r="B34" s="543"/>
      <c r="C34" s="544"/>
      <c r="D34" s="43"/>
      <c r="E34" s="43"/>
      <c r="F34" s="43"/>
      <c r="G34" s="43"/>
      <c r="H34" s="43"/>
      <c r="I34" s="43"/>
      <c r="J34" s="43"/>
      <c r="K34" s="43"/>
      <c r="L34" s="43"/>
      <c r="M34" s="43"/>
      <c r="N34" s="43"/>
      <c r="O34" s="43"/>
      <c r="P34" s="544"/>
      <c r="R34" s="1694"/>
      <c r="S34" s="1694"/>
      <c r="T34" s="1694"/>
      <c r="U34" s="1694"/>
      <c r="V34" s="1694"/>
      <c r="W34" s="1694"/>
      <c r="X34" s="1694"/>
      <c r="Y34" s="1694"/>
      <c r="Z34" s="1694"/>
      <c r="AA34" s="1694"/>
      <c r="AB34" s="1694"/>
      <c r="AC34" s="1694"/>
      <c r="AD34" s="1694"/>
      <c r="AE34" s="1694"/>
      <c r="AF34" s="1694"/>
      <c r="AG34" s="1694"/>
      <c r="AH34" s="1694"/>
      <c r="AI34" s="1694"/>
      <c r="AJ34" s="1694"/>
    </row>
    <row r="35" spans="2:36" ht="35.25" customHeight="1">
      <c r="B35" s="543"/>
      <c r="C35" s="544"/>
      <c r="D35" s="43"/>
      <c r="E35" s="43"/>
      <c r="F35" s="43"/>
      <c r="G35" s="43"/>
      <c r="H35" s="43"/>
      <c r="I35" s="43"/>
      <c r="J35" s="43"/>
      <c r="K35" s="43"/>
      <c r="L35" s="43"/>
      <c r="M35" s="43"/>
      <c r="N35" s="43"/>
      <c r="O35" s="43"/>
      <c r="P35" s="544"/>
      <c r="R35" s="1694"/>
      <c r="S35" s="1694"/>
      <c r="T35" s="1694"/>
      <c r="U35" s="1694"/>
      <c r="V35" s="1694"/>
      <c r="W35" s="1694"/>
      <c r="X35" s="1694"/>
      <c r="Y35" s="1694"/>
      <c r="Z35" s="1694"/>
      <c r="AA35" s="1694"/>
      <c r="AB35" s="1694"/>
      <c r="AC35" s="1694"/>
      <c r="AD35" s="1694"/>
      <c r="AE35" s="1694"/>
      <c r="AF35" s="1694"/>
      <c r="AG35" s="1694"/>
      <c r="AH35" s="1694"/>
      <c r="AI35" s="1694"/>
      <c r="AJ35" s="1694"/>
    </row>
    <row r="36" spans="2:36" ht="35.25" customHeight="1">
      <c r="B36" s="540" t="s">
        <v>911</v>
      </c>
      <c r="C36" s="556" t="s">
        <v>910</v>
      </c>
      <c r="D36" s="541"/>
      <c r="E36" s="541"/>
      <c r="F36" s="541"/>
      <c r="G36" s="541"/>
      <c r="H36" s="541"/>
      <c r="I36" s="541"/>
      <c r="J36" s="541"/>
      <c r="K36" s="541"/>
      <c r="L36" s="541"/>
      <c r="M36" s="541"/>
      <c r="N36" s="541"/>
      <c r="O36" s="541"/>
      <c r="P36" s="542"/>
    </row>
    <row r="37" spans="2:36" ht="35.25" customHeight="1">
      <c r="B37" s="543"/>
      <c r="C37" s="544"/>
      <c r="D37" s="43"/>
      <c r="E37" s="43"/>
      <c r="F37" s="43"/>
      <c r="G37" s="43"/>
      <c r="H37" s="43"/>
      <c r="I37" s="43"/>
      <c r="J37" s="43"/>
      <c r="K37" s="43"/>
      <c r="L37" s="43"/>
      <c r="M37" s="43"/>
      <c r="N37" s="43"/>
      <c r="O37" s="43"/>
      <c r="P37" s="544"/>
    </row>
    <row r="38" spans="2:36" ht="35.25" customHeight="1">
      <c r="B38" s="543"/>
      <c r="C38" s="544"/>
      <c r="D38" s="43"/>
      <c r="E38" s="43"/>
      <c r="F38" s="43"/>
      <c r="G38" s="43"/>
      <c r="H38" s="43"/>
      <c r="I38" s="43"/>
      <c r="J38" s="43"/>
      <c r="K38" s="43"/>
      <c r="L38" s="43"/>
      <c r="M38" s="43"/>
      <c r="N38" s="43"/>
      <c r="O38" s="43"/>
      <c r="P38" s="544"/>
    </row>
    <row r="39" spans="2:36" ht="35.25" customHeight="1">
      <c r="B39" s="543"/>
      <c r="C39" s="544"/>
      <c r="D39" s="43"/>
      <c r="E39" s="43"/>
      <c r="F39" s="43"/>
      <c r="G39" s="43"/>
      <c r="H39" s="43"/>
      <c r="I39" s="43"/>
      <c r="J39" s="43"/>
      <c r="K39" s="43"/>
      <c r="L39" s="43"/>
      <c r="M39" s="43"/>
      <c r="N39" s="43"/>
      <c r="O39" s="43"/>
      <c r="P39" s="544"/>
    </row>
    <row r="40" spans="2:36" ht="35.25" customHeight="1">
      <c r="B40" s="543"/>
      <c r="C40" s="544"/>
      <c r="D40" s="43"/>
      <c r="E40" s="43"/>
      <c r="F40" s="43"/>
      <c r="G40" s="43"/>
      <c r="H40" s="43"/>
      <c r="I40" s="43"/>
      <c r="J40" s="43"/>
      <c r="K40" s="43"/>
      <c r="L40" s="43"/>
      <c r="M40" s="43"/>
      <c r="N40" s="43"/>
      <c r="O40" s="43"/>
      <c r="P40" s="544"/>
    </row>
    <row r="41" spans="2:36" ht="35.25" customHeight="1">
      <c r="B41" s="543"/>
      <c r="C41" s="544"/>
      <c r="D41" s="43"/>
      <c r="E41" s="43"/>
      <c r="F41" s="43"/>
      <c r="G41" s="43"/>
      <c r="H41" s="43"/>
      <c r="I41" s="43"/>
      <c r="J41" s="43"/>
      <c r="K41" s="43"/>
      <c r="L41" s="43"/>
      <c r="M41" s="43"/>
      <c r="N41" s="43"/>
      <c r="O41" s="43"/>
      <c r="P41" s="544"/>
    </row>
    <row r="42" spans="2:36" ht="35.25" customHeight="1">
      <c r="B42" s="545"/>
      <c r="C42" s="547"/>
      <c r="D42" s="546"/>
      <c r="E42" s="546"/>
      <c r="F42" s="546"/>
      <c r="G42" s="546"/>
      <c r="H42" s="546"/>
      <c r="I42" s="546"/>
      <c r="J42" s="546"/>
      <c r="K42" s="546"/>
      <c r="L42" s="546"/>
      <c r="M42" s="546"/>
      <c r="N42" s="546"/>
      <c r="O42" s="546"/>
      <c r="P42" s="547"/>
    </row>
    <row r="43" spans="2:36" ht="35.25" customHeight="1">
      <c r="B43" s="540" t="s">
        <v>905</v>
      </c>
      <c r="C43" s="556" t="s">
        <v>899</v>
      </c>
      <c r="D43" s="541"/>
      <c r="E43" s="541"/>
      <c r="F43" s="541"/>
      <c r="G43" s="541"/>
      <c r="H43" s="541"/>
      <c r="I43" s="541"/>
      <c r="J43" s="541"/>
      <c r="K43" s="541"/>
      <c r="L43" s="541"/>
      <c r="M43" s="541"/>
      <c r="N43" s="541"/>
      <c r="O43" s="541"/>
      <c r="P43" s="542"/>
    </row>
    <row r="44" spans="2:36" ht="35.25" customHeight="1">
      <c r="B44" s="543"/>
      <c r="C44" s="544"/>
      <c r="D44" s="43"/>
      <c r="E44" s="43"/>
      <c r="F44" s="43"/>
      <c r="G44" s="43"/>
      <c r="H44" s="43"/>
      <c r="I44" s="43"/>
      <c r="J44" s="43"/>
      <c r="K44" s="43"/>
      <c r="L44" s="43"/>
      <c r="M44" s="43"/>
      <c r="N44" s="43"/>
      <c r="O44" s="43"/>
      <c r="P44" s="544"/>
    </row>
    <row r="45" spans="2:36" ht="35.25" customHeight="1">
      <c r="B45" s="543"/>
      <c r="C45" s="544"/>
      <c r="D45" s="43"/>
      <c r="E45" s="43"/>
      <c r="F45" s="43"/>
      <c r="G45" s="43"/>
      <c r="H45" s="43"/>
      <c r="I45" s="43"/>
      <c r="J45" s="43"/>
      <c r="K45" s="43"/>
      <c r="L45" s="43"/>
      <c r="M45" s="43"/>
      <c r="N45" s="43"/>
      <c r="O45" s="43"/>
      <c r="P45" s="544"/>
    </row>
    <row r="46" spans="2:36" ht="35.25" customHeight="1">
      <c r="B46" s="543"/>
      <c r="C46" s="544"/>
      <c r="D46" s="43"/>
      <c r="E46" s="43"/>
      <c r="F46" s="43"/>
      <c r="G46" s="43"/>
      <c r="H46" s="43"/>
      <c r="I46" s="43"/>
      <c r="J46" s="43"/>
      <c r="K46" s="43"/>
      <c r="L46" s="43"/>
      <c r="M46" s="43"/>
      <c r="N46" s="43"/>
      <c r="O46" s="43"/>
      <c r="P46" s="544"/>
    </row>
    <row r="47" spans="2:36" ht="35.25" customHeight="1">
      <c r="B47" s="543"/>
      <c r="C47" s="544"/>
      <c r="D47" s="43"/>
      <c r="E47" s="43"/>
      <c r="F47" s="43"/>
      <c r="G47" s="43"/>
      <c r="H47" s="43"/>
      <c r="I47" s="43"/>
      <c r="J47" s="43"/>
      <c r="K47" s="43"/>
      <c r="L47" s="43"/>
      <c r="M47" s="43"/>
      <c r="N47" s="43"/>
      <c r="O47" s="43"/>
      <c r="P47" s="544"/>
    </row>
    <row r="48" spans="2:36" ht="35.25" customHeight="1">
      <c r="B48" s="543"/>
      <c r="C48" s="544"/>
      <c r="D48" s="43"/>
      <c r="E48" s="43"/>
      <c r="F48" s="43"/>
      <c r="G48" s="43"/>
      <c r="H48" s="43"/>
      <c r="I48" s="43"/>
      <c r="J48" s="43"/>
      <c r="K48" s="43"/>
      <c r="L48" s="43"/>
      <c r="M48" s="43"/>
      <c r="N48" s="43"/>
      <c r="O48" s="43"/>
      <c r="P48" s="544"/>
    </row>
    <row r="49" spans="2:16" ht="35.25" customHeight="1">
      <c r="B49" s="543"/>
      <c r="C49" s="544"/>
      <c r="D49" s="43"/>
      <c r="E49" s="43"/>
      <c r="F49" s="43"/>
      <c r="G49" s="43"/>
      <c r="H49" s="43"/>
      <c r="I49" s="43"/>
      <c r="J49" s="43"/>
      <c r="K49" s="43"/>
      <c r="L49" s="43"/>
      <c r="M49" s="43"/>
      <c r="N49" s="43"/>
      <c r="O49" s="43"/>
      <c r="P49" s="544"/>
    </row>
    <row r="50" spans="2:16" ht="35.25" customHeight="1">
      <c r="B50" s="543"/>
      <c r="C50" s="544"/>
      <c r="D50" s="43"/>
      <c r="E50" s="43"/>
      <c r="F50" s="43"/>
      <c r="G50" s="43"/>
      <c r="H50" s="43"/>
      <c r="I50" s="43"/>
      <c r="J50" s="43"/>
      <c r="K50" s="43"/>
      <c r="L50" s="43"/>
      <c r="M50" s="43"/>
      <c r="N50" s="43"/>
      <c r="O50" s="43"/>
      <c r="P50" s="544"/>
    </row>
    <row r="51" spans="2:16" ht="35.25" customHeight="1">
      <c r="B51" s="545"/>
      <c r="C51" s="547"/>
      <c r="D51" s="546"/>
      <c r="E51" s="546"/>
      <c r="F51" s="546"/>
      <c r="G51" s="546"/>
      <c r="H51" s="546"/>
      <c r="I51" s="546"/>
      <c r="J51" s="546"/>
      <c r="K51" s="546"/>
      <c r="L51" s="546"/>
      <c r="M51" s="546"/>
      <c r="N51" s="546"/>
      <c r="O51" s="546"/>
      <c r="P51" s="547"/>
    </row>
    <row r="52" spans="2:16" ht="35.25" customHeight="1">
      <c r="B52" s="540" t="s">
        <v>906</v>
      </c>
      <c r="C52" s="556" t="s">
        <v>900</v>
      </c>
      <c r="D52" s="541"/>
      <c r="E52" s="541"/>
      <c r="F52" s="541"/>
      <c r="G52" s="541"/>
      <c r="H52" s="541"/>
      <c r="I52" s="541"/>
      <c r="J52" s="541"/>
      <c r="K52" s="541"/>
      <c r="L52" s="541"/>
      <c r="M52" s="541"/>
      <c r="N52" s="541"/>
      <c r="O52" s="541"/>
      <c r="P52" s="542"/>
    </row>
    <row r="53" spans="2:16" ht="35.25" customHeight="1">
      <c r="B53" s="543"/>
      <c r="C53" s="544"/>
      <c r="D53" s="43"/>
      <c r="E53" s="43"/>
      <c r="F53" s="43"/>
      <c r="G53" s="43"/>
      <c r="H53" s="43"/>
      <c r="I53" s="43"/>
      <c r="J53" s="43"/>
      <c r="K53" s="43"/>
      <c r="L53" s="43"/>
      <c r="M53" s="43"/>
      <c r="N53" s="43"/>
      <c r="O53" s="43"/>
      <c r="P53" s="544"/>
    </row>
    <row r="54" spans="2:16" ht="35.25" customHeight="1">
      <c r="B54" s="543"/>
      <c r="C54" s="544"/>
      <c r="D54" s="43"/>
      <c r="E54" s="43"/>
      <c r="F54" s="43"/>
      <c r="G54" s="43"/>
      <c r="H54" s="43"/>
      <c r="I54" s="43"/>
      <c r="J54" s="43"/>
      <c r="K54" s="43"/>
      <c r="L54" s="43"/>
      <c r="M54" s="43"/>
      <c r="N54" s="43"/>
      <c r="O54" s="43"/>
      <c r="P54" s="544"/>
    </row>
    <row r="55" spans="2:16" ht="35.25" customHeight="1">
      <c r="B55" s="543"/>
      <c r="C55" s="544"/>
      <c r="D55" s="43"/>
      <c r="E55" s="43"/>
      <c r="F55" s="43"/>
      <c r="G55" s="43"/>
      <c r="H55" s="43"/>
      <c r="I55" s="43"/>
      <c r="J55" s="43"/>
      <c r="K55" s="43"/>
      <c r="L55" s="43"/>
      <c r="M55" s="43"/>
      <c r="N55" s="43"/>
      <c r="O55" s="43"/>
      <c r="P55" s="544"/>
    </row>
    <row r="56" spans="2:16" ht="35.25" customHeight="1">
      <c r="B56" s="543"/>
      <c r="C56" s="544"/>
      <c r="D56" s="43"/>
      <c r="E56" s="43"/>
      <c r="F56" s="43"/>
      <c r="G56" s="43"/>
      <c r="H56" s="43"/>
      <c r="I56" s="43"/>
      <c r="J56" s="43"/>
      <c r="K56" s="43"/>
      <c r="L56" s="43"/>
      <c r="M56" s="43"/>
      <c r="N56" s="43"/>
      <c r="O56" s="43"/>
      <c r="P56" s="544"/>
    </row>
    <row r="57" spans="2:16" ht="35.25" customHeight="1">
      <c r="B57" s="543"/>
      <c r="C57" s="544"/>
      <c r="D57" s="43"/>
      <c r="E57" s="43"/>
      <c r="F57" s="43"/>
      <c r="G57" s="43"/>
      <c r="H57" s="43"/>
      <c r="I57" s="43"/>
      <c r="J57" s="43"/>
      <c r="K57" s="43"/>
      <c r="L57" s="43"/>
      <c r="M57" s="43"/>
      <c r="N57" s="43"/>
      <c r="O57" s="43"/>
      <c r="P57" s="544"/>
    </row>
    <row r="58" spans="2:16" ht="35.25" customHeight="1">
      <c r="B58" s="543"/>
      <c r="C58" s="544"/>
      <c r="D58" s="43"/>
      <c r="E58" s="43"/>
      <c r="F58" s="43"/>
      <c r="G58" s="43"/>
      <c r="H58" s="43"/>
      <c r="I58" s="43"/>
      <c r="J58" s="43"/>
      <c r="K58" s="43"/>
      <c r="L58" s="43"/>
      <c r="M58" s="43"/>
      <c r="N58" s="43"/>
      <c r="O58" s="43"/>
      <c r="P58" s="544"/>
    </row>
    <row r="59" spans="2:16" ht="35.25" customHeight="1">
      <c r="B59" s="543"/>
      <c r="C59" s="544"/>
      <c r="D59" s="43"/>
      <c r="E59" s="43"/>
      <c r="F59" s="43"/>
      <c r="G59" s="43"/>
      <c r="H59" s="43"/>
      <c r="I59" s="43"/>
      <c r="J59" s="43"/>
      <c r="K59" s="43"/>
      <c r="L59" s="43"/>
      <c r="M59" s="43"/>
      <c r="N59" s="43"/>
      <c r="O59" s="43"/>
      <c r="P59" s="544"/>
    </row>
    <row r="60" spans="2:16" ht="35.25" customHeight="1">
      <c r="B60" s="545"/>
      <c r="C60" s="547"/>
      <c r="D60" s="546"/>
      <c r="E60" s="546"/>
      <c r="F60" s="546"/>
      <c r="G60" s="546"/>
      <c r="H60" s="546"/>
      <c r="I60" s="546"/>
      <c r="J60" s="546"/>
      <c r="K60" s="546"/>
      <c r="L60" s="546"/>
      <c r="M60" s="546"/>
      <c r="N60" s="546"/>
      <c r="O60" s="546"/>
      <c r="P60" s="547"/>
    </row>
    <row r="61" spans="2:16" ht="35.25" customHeight="1">
      <c r="B61" s="540" t="s">
        <v>904</v>
      </c>
      <c r="C61" s="556" t="s">
        <v>901</v>
      </c>
      <c r="D61" s="541"/>
      <c r="E61" s="541"/>
      <c r="F61" s="541"/>
      <c r="G61" s="541"/>
      <c r="H61" s="541"/>
      <c r="I61" s="541"/>
      <c r="J61" s="541"/>
      <c r="K61" s="541"/>
      <c r="L61" s="541"/>
      <c r="M61" s="541"/>
      <c r="N61" s="541"/>
      <c r="O61" s="541"/>
      <c r="P61" s="542"/>
    </row>
    <row r="62" spans="2:16" ht="35.25" customHeight="1">
      <c r="B62" s="543"/>
      <c r="C62" s="544"/>
      <c r="D62" s="43"/>
      <c r="E62" s="43"/>
      <c r="F62" s="43"/>
      <c r="G62" s="43"/>
      <c r="H62" s="43"/>
      <c r="I62" s="43"/>
      <c r="J62" s="43"/>
      <c r="K62" s="43"/>
      <c r="L62" s="43"/>
      <c r="M62" s="43"/>
      <c r="N62" s="43"/>
      <c r="O62" s="43"/>
      <c r="P62" s="544"/>
    </row>
    <row r="63" spans="2:16" ht="35.25" customHeight="1">
      <c r="B63" s="543"/>
      <c r="C63" s="544"/>
      <c r="D63" s="43"/>
      <c r="E63" s="43"/>
      <c r="F63" s="43"/>
      <c r="G63" s="43"/>
      <c r="H63" s="43"/>
      <c r="I63" s="43"/>
      <c r="J63" s="43"/>
      <c r="K63" s="43"/>
      <c r="L63" s="43"/>
      <c r="M63" s="43"/>
      <c r="N63" s="43"/>
      <c r="O63" s="43"/>
      <c r="P63" s="544"/>
    </row>
    <row r="64" spans="2:16" ht="35.25" customHeight="1">
      <c r="B64" s="543"/>
      <c r="C64" s="544"/>
      <c r="D64" s="43"/>
      <c r="E64" s="43"/>
      <c r="F64" s="43"/>
      <c r="G64" s="43"/>
      <c r="H64" s="43"/>
      <c r="I64" s="43"/>
      <c r="J64" s="43"/>
      <c r="K64" s="43"/>
      <c r="L64" s="43"/>
      <c r="M64" s="43"/>
      <c r="N64" s="43"/>
      <c r="O64" s="43"/>
      <c r="P64" s="544"/>
    </row>
    <row r="65" spans="1:16" ht="35.25" customHeight="1">
      <c r="B65" s="543"/>
      <c r="C65" s="544"/>
      <c r="D65" s="43"/>
      <c r="E65" s="43"/>
      <c r="F65" s="43"/>
      <c r="G65" s="43"/>
      <c r="H65" s="43"/>
      <c r="I65" s="43"/>
      <c r="J65" s="43"/>
      <c r="K65" s="43"/>
      <c r="L65" s="43"/>
      <c r="M65" s="43"/>
      <c r="N65" s="43"/>
      <c r="O65" s="43"/>
      <c r="P65" s="544"/>
    </row>
    <row r="66" spans="1:16" ht="35.25" customHeight="1">
      <c r="B66" s="543"/>
      <c r="C66" s="544"/>
      <c r="D66" s="43"/>
      <c r="E66" s="43"/>
      <c r="F66" s="43"/>
      <c r="G66" s="43"/>
      <c r="H66" s="43"/>
      <c r="I66" s="43"/>
      <c r="J66" s="43"/>
      <c r="K66" s="43"/>
      <c r="L66" s="43"/>
      <c r="M66" s="43"/>
      <c r="N66" s="43"/>
      <c r="O66" s="43"/>
      <c r="P66" s="544"/>
    </row>
    <row r="67" spans="1:16" ht="35.25" customHeight="1">
      <c r="B67" s="543"/>
      <c r="C67" s="544"/>
      <c r="D67" s="43"/>
      <c r="E67" s="43"/>
      <c r="F67" s="43"/>
      <c r="G67" s="43"/>
      <c r="H67" s="43"/>
      <c r="I67" s="43"/>
      <c r="J67" s="43"/>
      <c r="K67" s="43"/>
      <c r="L67" s="43"/>
      <c r="M67" s="43"/>
      <c r="N67" s="43"/>
      <c r="O67" s="43"/>
      <c r="P67" s="544"/>
    </row>
    <row r="68" spans="1:16" ht="35.25" customHeight="1">
      <c r="B68" s="543"/>
      <c r="C68" s="544"/>
      <c r="D68" s="43"/>
      <c r="E68" s="43"/>
      <c r="F68" s="43"/>
      <c r="G68" s="43"/>
      <c r="H68" s="43"/>
      <c r="I68" s="43"/>
      <c r="J68" s="43"/>
      <c r="K68" s="43"/>
      <c r="L68" s="43"/>
      <c r="M68" s="43"/>
      <c r="N68" s="43"/>
      <c r="O68" s="43"/>
      <c r="P68" s="544"/>
    </row>
    <row r="69" spans="1:16" ht="35.25" customHeight="1">
      <c r="B69" s="545"/>
      <c r="C69" s="547"/>
      <c r="D69" s="546"/>
      <c r="E69" s="546"/>
      <c r="F69" s="546"/>
      <c r="G69" s="546"/>
      <c r="H69" s="546"/>
      <c r="I69" s="546"/>
      <c r="J69" s="546"/>
      <c r="K69" s="546"/>
      <c r="L69" s="546"/>
      <c r="M69" s="546"/>
      <c r="N69" s="546"/>
      <c r="O69" s="546"/>
      <c r="P69" s="547"/>
    </row>
    <row r="70" spans="1:16" ht="35.25" customHeight="1">
      <c r="B70" s="540" t="s">
        <v>907</v>
      </c>
      <c r="C70" s="556" t="s">
        <v>902</v>
      </c>
      <c r="D70" s="541"/>
      <c r="E70" s="541"/>
      <c r="F70" s="541"/>
      <c r="G70" s="541"/>
      <c r="H70" s="541"/>
      <c r="I70" s="541"/>
      <c r="J70" s="541"/>
      <c r="K70" s="541"/>
      <c r="L70" s="541"/>
      <c r="M70" s="541"/>
      <c r="N70" s="541"/>
      <c r="O70" s="541"/>
      <c r="P70" s="542"/>
    </row>
    <row r="71" spans="1:16" ht="35.25" customHeight="1">
      <c r="B71" s="543"/>
      <c r="C71" s="544"/>
      <c r="D71" s="43"/>
      <c r="E71" s="43"/>
      <c r="F71" s="43"/>
      <c r="G71" s="43"/>
      <c r="H71" s="43"/>
      <c r="I71" s="43"/>
      <c r="J71" s="43"/>
      <c r="K71" s="43"/>
      <c r="L71" s="43"/>
      <c r="M71" s="43"/>
      <c r="N71" s="43"/>
      <c r="O71" s="43"/>
      <c r="P71" s="544"/>
    </row>
    <row r="72" spans="1:16" ht="35.25" customHeight="1">
      <c r="B72" s="543"/>
      <c r="C72" s="544"/>
      <c r="D72" s="43"/>
      <c r="E72" s="43"/>
      <c r="F72" s="43"/>
      <c r="G72" s="43"/>
      <c r="H72" s="43"/>
      <c r="I72" s="43"/>
      <c r="J72" s="43"/>
      <c r="K72" s="43"/>
      <c r="L72" s="43"/>
      <c r="M72" s="43"/>
      <c r="N72" s="43"/>
      <c r="O72" s="43"/>
      <c r="P72" s="544"/>
    </row>
    <row r="73" spans="1:16" ht="35.25" customHeight="1">
      <c r="B73" s="543"/>
      <c r="C73" s="544"/>
      <c r="D73" s="43"/>
      <c r="E73" s="43"/>
      <c r="F73" s="43"/>
      <c r="G73" s="43"/>
      <c r="H73" s="43"/>
      <c r="I73" s="43"/>
      <c r="J73" s="43"/>
      <c r="K73" s="43"/>
      <c r="L73" s="43"/>
      <c r="M73" s="43"/>
      <c r="N73" s="43"/>
      <c r="O73" s="43"/>
      <c r="P73" s="544"/>
    </row>
    <row r="74" spans="1:16" ht="35.25" customHeight="1">
      <c r="B74" s="543"/>
      <c r="C74" s="544"/>
      <c r="D74" s="43"/>
      <c r="E74" s="43"/>
      <c r="F74" s="43"/>
      <c r="G74" s="43"/>
      <c r="H74" s="43"/>
      <c r="I74" s="43"/>
      <c r="J74" s="43"/>
      <c r="K74" s="43"/>
      <c r="L74" s="43"/>
      <c r="M74" s="43"/>
      <c r="N74" s="43"/>
      <c r="O74" s="43"/>
      <c r="P74" s="544"/>
    </row>
    <row r="75" spans="1:16" ht="35.25" customHeight="1">
      <c r="B75" s="543"/>
      <c r="C75" s="544"/>
      <c r="D75" s="43"/>
      <c r="E75" s="43"/>
      <c r="F75" s="43"/>
      <c r="G75" s="43"/>
      <c r="H75" s="43"/>
      <c r="I75" s="43"/>
      <c r="J75" s="43"/>
      <c r="K75" s="43"/>
      <c r="L75" s="43"/>
      <c r="M75" s="43"/>
      <c r="N75" s="43"/>
      <c r="O75" s="43"/>
      <c r="P75" s="544"/>
    </row>
    <row r="76" spans="1:16" ht="35.25" customHeight="1">
      <c r="B76" s="543"/>
      <c r="C76" s="544"/>
      <c r="D76" s="43"/>
      <c r="E76" s="43"/>
      <c r="F76" s="43"/>
      <c r="G76" s="43"/>
      <c r="H76" s="43"/>
      <c r="I76" s="43"/>
      <c r="J76" s="43"/>
      <c r="K76" s="43"/>
      <c r="L76" s="43"/>
      <c r="M76" s="43"/>
      <c r="N76" s="43"/>
      <c r="O76" s="43"/>
      <c r="P76" s="544"/>
    </row>
    <row r="77" spans="1:16" ht="35.25" customHeight="1">
      <c r="B77" s="543"/>
      <c r="C77" s="544"/>
      <c r="D77" s="43"/>
      <c r="E77" s="43"/>
      <c r="F77" s="43"/>
      <c r="G77" s="43"/>
      <c r="H77" s="43"/>
      <c r="I77" s="43"/>
      <c r="J77" s="43"/>
      <c r="K77" s="43"/>
      <c r="L77" s="43"/>
      <c r="M77" s="43"/>
      <c r="N77" s="43"/>
      <c r="O77" s="43"/>
      <c r="P77" s="544"/>
    </row>
    <row r="78" spans="1:16" ht="35.25" customHeight="1">
      <c r="B78" s="545"/>
      <c r="C78" s="547"/>
      <c r="D78" s="546"/>
      <c r="E78" s="546"/>
      <c r="F78" s="546"/>
      <c r="G78" s="546"/>
      <c r="H78" s="546"/>
      <c r="I78" s="546"/>
      <c r="J78" s="546"/>
      <c r="K78" s="546"/>
      <c r="L78" s="546"/>
      <c r="M78" s="546"/>
      <c r="N78" s="546"/>
      <c r="O78" s="546"/>
      <c r="P78" s="547"/>
    </row>
    <row r="79" spans="1:16" ht="35.25" customHeight="1"/>
    <row r="80" spans="1:16" ht="35.25" customHeight="1">
      <c r="A80" s="116" t="s">
        <v>337</v>
      </c>
      <c r="B80" s="116" t="s">
        <v>340</v>
      </c>
      <c r="C80" s="116" t="s">
        <v>338</v>
      </c>
      <c r="D80" s="116" t="s">
        <v>339</v>
      </c>
    </row>
    <row r="81" spans="1:5" ht="50.4">
      <c r="A81" s="523" t="s">
        <v>180</v>
      </c>
      <c r="B81" s="115"/>
      <c r="C81" s="266" t="s">
        <v>304</v>
      </c>
      <c r="D81" s="266" t="s">
        <v>1329</v>
      </c>
    </row>
    <row r="82" spans="1:5" ht="50.4">
      <c r="A82" s="524" t="s">
        <v>181</v>
      </c>
      <c r="B82" s="115"/>
      <c r="C82" s="266" t="s">
        <v>303</v>
      </c>
      <c r="D82" s="266" t="s">
        <v>1327</v>
      </c>
    </row>
    <row r="83" spans="1:5" ht="50.4">
      <c r="A83" s="525" t="s">
        <v>504</v>
      </c>
      <c r="B83" s="115"/>
      <c r="C83" s="266" t="s">
        <v>998</v>
      </c>
      <c r="D83" s="266" t="s">
        <v>1327</v>
      </c>
    </row>
    <row r="84" spans="1:5" ht="33.6">
      <c r="A84" s="526" t="s">
        <v>569</v>
      </c>
      <c r="B84" s="115"/>
      <c r="C84" s="266" t="s">
        <v>1117</v>
      </c>
      <c r="D84" s="266" t="s">
        <v>1328</v>
      </c>
    </row>
    <row r="85" spans="1:5" ht="50.4">
      <c r="A85" s="524" t="s">
        <v>318</v>
      </c>
      <c r="B85" s="115"/>
      <c r="C85" s="266" t="s">
        <v>314</v>
      </c>
      <c r="D85" s="266" t="s">
        <v>1330</v>
      </c>
    </row>
    <row r="86" spans="1:5" ht="134.4">
      <c r="A86" s="117" t="s">
        <v>443</v>
      </c>
      <c r="B86" s="115"/>
      <c r="C86" s="265" t="s">
        <v>445</v>
      </c>
      <c r="D86" s="266" t="s">
        <v>475</v>
      </c>
    </row>
    <row r="87" spans="1:5">
      <c r="B87" s="43"/>
      <c r="C87" s="43"/>
      <c r="D87" s="43"/>
      <c r="E87" s="43"/>
    </row>
  </sheetData>
  <mergeCells count="21">
    <mergeCell ref="B16:P16"/>
    <mergeCell ref="B1:C1"/>
    <mergeCell ref="AF31:AF35"/>
    <mergeCell ref="AG31:AG35"/>
    <mergeCell ref="AH31:AH35"/>
    <mergeCell ref="V31:V35"/>
    <mergeCell ref="W31:W35"/>
    <mergeCell ref="X31:X35"/>
    <mergeCell ref="Y31:Y35"/>
    <mergeCell ref="Z31:Z35"/>
    <mergeCell ref="R31:R35"/>
    <mergeCell ref="S31:S35"/>
    <mergeCell ref="T31:T35"/>
    <mergeCell ref="U31:U35"/>
    <mergeCell ref="AI31:AI35"/>
    <mergeCell ref="AJ31:AJ35"/>
    <mergeCell ref="AA31:AA35"/>
    <mergeCell ref="AB31:AB35"/>
    <mergeCell ref="AC31:AC35"/>
    <mergeCell ref="AD31:AD35"/>
    <mergeCell ref="AE31:AE35"/>
  </mergeCells>
  <phoneticPr fontId="88"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4" r:id="rId4" name="Check Box 4">
              <controlPr defaultSize="0" autoFill="0" autoLine="0" autoPict="0">
                <anchor moveWithCells="1">
                  <from>
                    <xdr:col>2</xdr:col>
                    <xdr:colOff>1219200</xdr:colOff>
                    <xdr:row>0</xdr:row>
                    <xdr:rowOff>76200</xdr:rowOff>
                  </from>
                  <to>
                    <xdr:col>2</xdr:col>
                    <xdr:colOff>1630680</xdr:colOff>
                    <xdr:row>0</xdr:row>
                    <xdr:rowOff>487680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BB208"/>
  <sheetViews>
    <sheetView topLeftCell="I45" zoomScale="80" zoomScaleNormal="80" workbookViewId="0">
      <selection activeCell="T70" sqref="T70"/>
    </sheetView>
  </sheetViews>
  <sheetFormatPr defaultRowHeight="14.4"/>
  <cols>
    <col min="1" max="1" width="15.88671875" customWidth="1"/>
    <col min="2" max="2" width="111" customWidth="1"/>
    <col min="3" max="3" width="18" customWidth="1"/>
    <col min="4" max="4" width="17" customWidth="1"/>
    <col min="5" max="6" width="20.109375" customWidth="1"/>
    <col min="7" max="7" width="17.44140625" customWidth="1"/>
    <col min="8" max="8" width="16.109375" customWidth="1"/>
    <col min="9" max="9" width="13.44140625" customWidth="1"/>
    <col min="10" max="12" width="11.88671875" customWidth="1"/>
    <col min="13" max="13" width="44.5546875" hidden="1" customWidth="1"/>
    <col min="14" max="14" width="59.88671875" hidden="1" customWidth="1"/>
    <col min="15" max="15" width="3.44140625" hidden="1" customWidth="1"/>
    <col min="16" max="16" width="41" hidden="1" customWidth="1"/>
    <col min="17" max="17" width="58.109375" hidden="1" customWidth="1"/>
    <col min="18" max="18" width="7.88671875" customWidth="1"/>
    <col min="19" max="19" width="27.88671875" customWidth="1"/>
    <col min="20" max="20" width="78.6640625" customWidth="1"/>
    <col min="21" max="22" width="13.88671875" customWidth="1"/>
    <col min="23" max="23" width="14.44140625" customWidth="1"/>
    <col min="24" max="24" width="13.5546875" bestFit="1" customWidth="1"/>
    <col min="26" max="26" width="112.88671875" customWidth="1"/>
    <col min="27" max="27" width="32" customWidth="1"/>
    <col min="29" max="29" width="13.5546875" customWidth="1"/>
    <col min="30" max="30" width="19.5546875" customWidth="1"/>
    <col min="31" max="31" width="13.109375" customWidth="1"/>
    <col min="33" max="33" width="5.6640625" customWidth="1"/>
    <col min="35" max="35" width="71.33203125" customWidth="1"/>
    <col min="37" max="37" width="31.109375" customWidth="1"/>
    <col min="39" max="39" width="20.88671875" customWidth="1"/>
    <col min="40" max="40" width="14.44140625" customWidth="1"/>
    <col min="43" max="43" width="18.5546875" customWidth="1"/>
    <col min="44" max="44" width="15.88671875" customWidth="1"/>
    <col min="45" max="45" width="14.88671875" customWidth="1"/>
    <col min="46" max="46" width="27.44140625" customWidth="1"/>
    <col min="47" max="47" width="31.109375" customWidth="1"/>
    <col min="48" max="48" width="28.44140625" customWidth="1"/>
    <col min="50" max="50" width="51.33203125" bestFit="1" customWidth="1"/>
    <col min="51" max="51" width="45.5546875" bestFit="1" customWidth="1"/>
    <col min="52" max="53" width="30" bestFit="1" customWidth="1"/>
  </cols>
  <sheetData>
    <row r="1" spans="1:54">
      <c r="AH1" t="b">
        <v>0</v>
      </c>
    </row>
    <row r="2" spans="1:54" ht="28.8">
      <c r="B2" s="549" t="s">
        <v>570</v>
      </c>
      <c r="C2" s="550" t="s">
        <v>100</v>
      </c>
      <c r="D2" s="550" t="s">
        <v>167</v>
      </c>
      <c r="E2" s="550" t="s">
        <v>370</v>
      </c>
      <c r="F2" s="550" t="s">
        <v>446</v>
      </c>
      <c r="G2" s="208"/>
      <c r="H2" s="208"/>
      <c r="I2" s="208"/>
      <c r="P2" t="s">
        <v>96</v>
      </c>
      <c r="T2" t="s">
        <v>96</v>
      </c>
      <c r="U2" s="204" t="s">
        <v>100</v>
      </c>
      <c r="V2" s="204" t="s">
        <v>167</v>
      </c>
      <c r="W2" s="204" t="s">
        <v>370</v>
      </c>
      <c r="Z2" s="126" t="s">
        <v>637</v>
      </c>
      <c r="AB2" s="204" t="s">
        <v>100</v>
      </c>
      <c r="AC2" s="204" t="s">
        <v>167</v>
      </c>
      <c r="AD2" s="204" t="s">
        <v>370</v>
      </c>
      <c r="AE2" s="204" t="s">
        <v>442</v>
      </c>
      <c r="AH2" s="341" t="s">
        <v>870</v>
      </c>
      <c r="AI2" s="1698" t="s">
        <v>839</v>
      </c>
      <c r="AJ2" s="1698"/>
      <c r="AK2" s="1698"/>
      <c r="AL2" s="1698"/>
      <c r="AQ2" t="s">
        <v>1666</v>
      </c>
      <c r="AR2" t="s">
        <v>1667</v>
      </c>
      <c r="AS2" t="s">
        <v>1668</v>
      </c>
      <c r="AT2" t="s">
        <v>1669</v>
      </c>
      <c r="AU2" t="s">
        <v>1671</v>
      </c>
      <c r="AV2" t="s">
        <v>1670</v>
      </c>
      <c r="AX2" s="855" t="s">
        <v>1672</v>
      </c>
      <c r="AY2" t="s">
        <v>1674</v>
      </c>
    </row>
    <row r="3" spans="1:54" ht="21">
      <c r="A3" s="126"/>
      <c r="E3" s="93">
        <f>SUM(E4:E31)</f>
        <v>-362765.784845413</v>
      </c>
      <c r="G3" t="s">
        <v>440</v>
      </c>
      <c r="H3" t="s">
        <v>440</v>
      </c>
      <c r="M3" s="1700" t="s">
        <v>395</v>
      </c>
      <c r="N3" s="1700"/>
      <c r="O3" s="209"/>
      <c r="P3" s="1700"/>
      <c r="Q3" s="1700"/>
      <c r="U3" s="210"/>
      <c r="V3" s="211"/>
      <c r="W3" s="211"/>
      <c r="Z3" s="126"/>
      <c r="AB3" s="210"/>
      <c r="AC3" s="211"/>
      <c r="AD3" s="211"/>
      <c r="AH3" t="s">
        <v>875</v>
      </c>
      <c r="AI3" t="str">
        <f>IF($AH$1=TRUE,AH3,"ПЛАН")</f>
        <v>ПЛАН</v>
      </c>
      <c r="AJ3" s="78">
        <f>'РЕЕСТР РИСКОВ_2023'!L41</f>
        <v>354032</v>
      </c>
      <c r="AL3" s="78">
        <f>AJ3</f>
        <v>354032</v>
      </c>
      <c r="AQ3" t="s">
        <v>73</v>
      </c>
      <c r="AR3" t="s">
        <v>384</v>
      </c>
      <c r="AS3">
        <v>0.99084175724693513</v>
      </c>
      <c r="AT3">
        <v>-14586.878000000001</v>
      </c>
      <c r="AU3">
        <v>-14453.28783026666</v>
      </c>
      <c r="AV3">
        <v>-3845.0939000000003</v>
      </c>
      <c r="AX3" s="856" t="s">
        <v>128</v>
      </c>
      <c r="AY3" s="93">
        <v>-95345.70177173191</v>
      </c>
      <c r="BA3" t="s">
        <v>128</v>
      </c>
      <c r="BB3">
        <v>-95345.70177173191</v>
      </c>
    </row>
    <row r="4" spans="1:54" ht="24.75" customHeight="1">
      <c r="A4" t="s">
        <v>583</v>
      </c>
      <c r="B4" s="205" t="s">
        <v>73</v>
      </c>
      <c r="C4" s="207">
        <f>E4/D4</f>
        <v>0.72021590109278355</v>
      </c>
      <c r="D4" s="299">
        <f>SUM(V4:V12)</f>
        <v>-64897.071819128585</v>
      </c>
      <c r="E4" s="299">
        <f>SUM(W4:W12)</f>
        <v>-46739.903058496784</v>
      </c>
      <c r="F4" s="299">
        <f>SUM(X4:X13)</f>
        <v>-13338.641693468657</v>
      </c>
      <c r="G4" s="258">
        <f t="shared" ref="G4:G25" si="0">IF(E4&gt;0,E4,E4*(-1))</f>
        <v>46739.903058496784</v>
      </c>
      <c r="H4" s="258">
        <f t="shared" ref="H4:H25" si="1">IF(F4&gt;0,F4,F4*(-1))</f>
        <v>13338.641693468657</v>
      </c>
      <c r="I4" s="258"/>
      <c r="J4" s="258"/>
      <c r="M4" s="126" t="str">
        <f>IF('INHERENT MAP'!N9="КАТЕГОРИЯ",'INHERENT MAP'!L9,'INHERENT MAP'!M9)</f>
        <v xml:space="preserve"> РИСКИ ГРУЗООБОРОТА </v>
      </c>
      <c r="N4" s="126" t="str">
        <f>IF('INHERENT MAP'!U25="КАТЕГОРИЯ",'INHERENT MAP'!S25,'INHERENT MAP'!T25)</f>
        <v>КОНТРАКТНЫЙ РИСК</v>
      </c>
      <c r="O4" s="126"/>
      <c r="P4" s="126" t="s">
        <v>384</v>
      </c>
      <c r="Q4" s="126" t="e">
        <f>IF(#REF!="КАТЕГОРИЯ",#REF!,#REF!)</f>
        <v>#REF!</v>
      </c>
      <c r="S4" s="205" t="s">
        <v>73</v>
      </c>
      <c r="T4" s="336" t="s">
        <v>384</v>
      </c>
      <c r="U4" s="210">
        <f>IFERROR(INDEX('РЕЕСТР РИСКОВ_2023'!$K$39:$AQ$272,MATCH(Check!T4,'РЕЕСТР РИСКОВ_2023'!$K$39:$K$272,0),19),"")</f>
        <v>0.99084175724693513</v>
      </c>
      <c r="V4" s="211">
        <f>IFERROR(INDEX('РЕЕСТР РИСКОВ_2023'!$K$39:$AQ$272,MATCH(Check!T4,'РЕЕСТР РИСКОВ_2023'!$K$39:$K$272,0),20),"")</f>
        <v>-14586.878000000001</v>
      </c>
      <c r="W4" s="211">
        <f>IFERROR(INDEX('РЕЕСТР РИСКОВ_2023'!$K$39:$AQ$272,MATCH(Check!T4,'РЕЕСТР РИСКОВ_2023'!$K$39:$K$272,0),21),"")</f>
        <v>-14453.28783026666</v>
      </c>
      <c r="X4" s="211">
        <f>IFERROR(INDEX('РЕЕСТР РИСКОВ_2023'!$K$39:$AT$272,MATCH(Check!T4,'РЕЕСТР РИСКОВ_2023'!$K$39:$K$272,0),36),"")</f>
        <v>-3845.0939000000003</v>
      </c>
      <c r="Y4" t="s">
        <v>612</v>
      </c>
      <c r="Z4" s="358" t="s">
        <v>268</v>
      </c>
      <c r="AA4" s="360" t="str">
        <f t="shared" ref="AA4:AA11" si="2">"ВЕРОЯТНОСТЬ  "&amp;IF(AB4&lt;0.05,1,IF((AB4&gt;=0.05)*(AB4&lt;0.25),2,IF((AB4&gt;=0.25)*(AB4&lt;0.5),3,IF((AB4&gt;=0.5)*(AB4&lt;0.75),4,5))))&amp;"  ВЛИЯНИЕ  "&amp;IF(AC4&gt;-200,1,IF((AC4&lt;=-200)*(AC4&gt;-500),2,IF((AC4&lt;=-500)*(AC4&gt;-1000),3,IF((AC4&lt;=-1000)*(AC4&gt;-3000),4,5))))</f>
        <v>ВЕРОЯТНОСТЬ  1  ВЛИЯНИЕ  1</v>
      </c>
      <c r="AB4" s="210">
        <f>IFERROR(INDEX('РЕЕСТР РИСКОВ_2023'!$K$39:$AQ$272,MATCH(Check!Z4,'РЕЕСТР РИСКОВ_2023'!$Q$39:$Q$272,0),14),"")</f>
        <v>0</v>
      </c>
      <c r="AC4" s="264">
        <f>IFERROR(INDEX('РЕЕСТР РИСКОВ_2023'!$K$39:$AQ$272,MATCH(Check!Z4,'РЕЕСТР РИСКОВ_2023'!$Q$39:$Q$272,0),15),"")</f>
        <v>1</v>
      </c>
      <c r="AD4" s="264">
        <f>IFERROR(INDEX('РЕЕСТР РИСКОВ_2023'!$K$39:$AQ$272,MATCH(Check!Z4,'РЕЕСТР РИСКОВ_2023'!$Q$39:$Q$272,0),16),"")</f>
        <v>-15630</v>
      </c>
      <c r="AE4" s="264">
        <f>IFERROR(INDEX('РЕЕСТР РИСКОВ_2023'!$K$39:$AQ$272,MATCH(Check!Z4,'РЕЕСТР РИСКОВ_2023'!$Q$39:$Q$272,0),30),"")</f>
        <v>0.5</v>
      </c>
      <c r="AH4" t="s">
        <v>871</v>
      </c>
      <c r="AI4" t="str">
        <f>IF($AH$1=TRUE,AH4,Z4)</f>
        <v>Интермодальный риск от частного сектора (основные 2 конкурента ТТТ Сервис, Дар Рэйл, возможно до 8 частных перевозчиков)</v>
      </c>
      <c r="AJ4" s="93">
        <f>IF(AM4&gt;0,AL3,AL4)</f>
        <v>338402</v>
      </c>
      <c r="AK4" s="93">
        <f>IF(AM4&lt;0,AM4*(-1),AM4)</f>
        <v>15630</v>
      </c>
      <c r="AL4" s="78">
        <f>AL3+AM4</f>
        <v>338402</v>
      </c>
      <c r="AM4" s="93">
        <f>AD4</f>
        <v>-15630</v>
      </c>
      <c r="AQ4" t="s">
        <v>73</v>
      </c>
      <c r="AR4" t="s">
        <v>320</v>
      </c>
      <c r="AS4">
        <v>0.05</v>
      </c>
      <c r="AT4">
        <v>1715.1306880989828</v>
      </c>
      <c r="AU4">
        <v>85.75653440494915</v>
      </c>
      <c r="AV4">
        <v>85.75653440494915</v>
      </c>
      <c r="AX4" s="856" t="s">
        <v>453</v>
      </c>
      <c r="AY4" s="93">
        <v>-83479.727391802531</v>
      </c>
      <c r="BA4" t="s">
        <v>453</v>
      </c>
      <c r="BB4">
        <v>-83479.727391802531</v>
      </c>
    </row>
    <row r="5" spans="1:54" ht="24.75" customHeight="1">
      <c r="A5" t="s">
        <v>867</v>
      </c>
      <c r="B5" s="205" t="s">
        <v>1015</v>
      </c>
      <c r="C5" s="207">
        <f>E5/D5</f>
        <v>0.65018747104050056</v>
      </c>
      <c r="D5" s="299">
        <f>SUM(V13:V14)</f>
        <v>-21892.101850229999</v>
      </c>
      <c r="E5" s="299">
        <f t="shared" ref="E5:F5" si="3">SUM(W13:W14)</f>
        <v>-14233.970337762106</v>
      </c>
      <c r="F5" s="299">
        <f t="shared" si="3"/>
        <v>-2374.4891951609998</v>
      </c>
      <c r="G5" s="258">
        <f t="shared" si="0"/>
        <v>14233.970337762106</v>
      </c>
      <c r="H5" s="258">
        <f t="shared" si="1"/>
        <v>2374.4891951609998</v>
      </c>
      <c r="I5" s="258"/>
      <c r="J5" s="258"/>
      <c r="M5" s="126" t="str">
        <f ca="1">IF('INHERENT MAP'!N10="КАТЕГОРИЯ",'INHERENT MAP'!L10,'INHERENT MAP'!M10)</f>
        <v>Объем внутриреспубликанского грузооборота</v>
      </c>
      <c r="N5" s="126" t="str">
        <f ca="1">IF('INHERENT MAP'!U26="КАТЕГОРИЯ",'INHERENT MAP'!S26,'INHERENT MAP'!T26)</f>
        <v>Риск принудительного исполнения контрактов</v>
      </c>
      <c r="O5" s="126"/>
      <c r="P5" s="126" t="s">
        <v>320</v>
      </c>
      <c r="Q5" s="126" t="e">
        <f>IF(#REF!="КАТЕГОРИЯ",#REF!,#REF!)</f>
        <v>#REF!</v>
      </c>
      <c r="S5" s="205" t="s">
        <v>73</v>
      </c>
      <c r="T5" s="336" t="s">
        <v>320</v>
      </c>
      <c r="U5" s="210">
        <f>IFERROR(INDEX('РЕЕСТР РИСКОВ_2023'!$K$39:$AQ$272,MATCH(Check!T5,'РЕЕСТР РИСКОВ_2023'!$K$39:$K$272,0),19),"")</f>
        <v>0.05</v>
      </c>
      <c r="V5" s="211">
        <f>IFERROR(INDEX('РЕЕСТР РИСКОВ_2023'!$K$39:$AQ$272,MATCH(Check!T5,'РЕЕСТР РИСКОВ_2023'!$K$39:$K$272,0),20),"")</f>
        <v>1715.1306880989828</v>
      </c>
      <c r="W5" s="211">
        <f>IFERROR(INDEX('РЕЕСТР РИСКОВ_2023'!$K$39:$AQ$272,MATCH(Check!T5,'РЕЕСТР РИСКОВ_2023'!$K$39:$K$272,0),21),"")</f>
        <v>85.75653440494915</v>
      </c>
      <c r="X5" s="211">
        <f>IFERROR(INDEX('РЕЕСТР РИСКОВ_2023'!$K$39:$AT$272,MATCH(Check!T5,'РЕЕСТР РИСКОВ_2023'!$K$39:$K$272,0),36),"")</f>
        <v>85.75653440494915</v>
      </c>
      <c r="Z5" s="358" t="s">
        <v>431</v>
      </c>
      <c r="AA5" s="360" t="str">
        <f t="shared" si="2"/>
        <v>ВЕРОЯТНОСТЬ  1  ВЛИЯНИЕ  1</v>
      </c>
      <c r="AB5" s="210">
        <f>IFERROR(INDEX('РЕЕСТР РИСКОВ_2023'!$K$39:$AQ$272,MATCH(Check!Z5,'РЕЕСТР РИСКОВ_2023'!$Q$39:$Q$272,0),14),"")</f>
        <v>0</v>
      </c>
      <c r="AC5" s="264">
        <f>IFERROR(INDEX('РЕЕСТР РИСКОВ_2023'!$K$39:$AQ$272,MATCH(Check!Z5,'РЕЕСТР РИСКОВ_2023'!$Q$39:$Q$272,0),15),"")</f>
        <v>1</v>
      </c>
      <c r="AD5" s="264">
        <f>IFERROR(INDEX('РЕЕСТР РИСКОВ_2023'!$K$39:$AQ$272,MATCH(Check!Z5,'РЕЕСТР РИСКОВ_2023'!$Q$39:$Q$272,0),16),"")</f>
        <v>0</v>
      </c>
      <c r="AE5" s="264">
        <f>IFERROR(INDEX('РЕЕСТР РИСКОВ_2023'!$K$39:$AQ$272,MATCH(Check!Z5,'РЕЕСТР РИСКОВ_2023'!$Q$39:$Q$272,0),30),"")</f>
        <v>1</v>
      </c>
      <c r="AH5" t="s">
        <v>872</v>
      </c>
      <c r="AI5" t="str">
        <f>IF($AH$1=TRUE,AH5,Z5)</f>
        <v>Снижение спроса со стороны грузоотправителей (Kz)</v>
      </c>
      <c r="AJ5" s="93">
        <f>AL4</f>
        <v>338402</v>
      </c>
      <c r="AK5" s="93">
        <f>IF(AM5&lt;0,AM5*(-1),-AM5)</f>
        <v>0</v>
      </c>
      <c r="AL5" s="78">
        <f>AL4+AM5</f>
        <v>338402</v>
      </c>
      <c r="AM5" s="93">
        <f>AD5</f>
        <v>0</v>
      </c>
      <c r="AQ5" t="s">
        <v>73</v>
      </c>
      <c r="AR5" t="s">
        <v>304</v>
      </c>
      <c r="AS5">
        <v>0.2</v>
      </c>
      <c r="AT5">
        <v>-7962.3487495075733</v>
      </c>
      <c r="AU5">
        <v>-1592.4697499015147</v>
      </c>
      <c r="AV5">
        <v>1533.5547687573865</v>
      </c>
      <c r="AX5" s="856" t="s">
        <v>402</v>
      </c>
      <c r="AY5" s="93">
        <v>-61599.999999999993</v>
      </c>
      <c r="BA5" t="s">
        <v>402</v>
      </c>
      <c r="BB5">
        <v>-61599.999999999993</v>
      </c>
    </row>
    <row r="6" spans="1:54" ht="33" customHeight="1">
      <c r="B6" s="205" t="s">
        <v>1490</v>
      </c>
      <c r="C6" s="207">
        <f>E6/D6</f>
        <v>0.5</v>
      </c>
      <c r="D6" s="299">
        <f>SUM(V15:V17)</f>
        <v>75590</v>
      </c>
      <c r="E6" s="299">
        <f>SUM(W15:W17)</f>
        <v>37795</v>
      </c>
      <c r="F6" s="299">
        <f>INDEX('РЕЕСТР РИСКОВ_2023'!$F$39:$AT$272,MATCH(Check!B6,'РЕЕСТР РИСКОВ_2023'!$F$39:$F$272,0),41)</f>
        <v>0</v>
      </c>
      <c r="G6" s="258">
        <f t="shared" si="0"/>
        <v>37795</v>
      </c>
      <c r="H6" s="258">
        <f t="shared" si="1"/>
        <v>0</v>
      </c>
      <c r="I6" s="258"/>
      <c r="J6" s="258"/>
      <c r="M6" s="126" t="str">
        <f ca="1">IF('INHERENT MAP'!N11="КАТЕГОРИЯ",'INHERENT MAP'!L11,'INHERENT MAP'!M11)</f>
        <v>Объем грузооборота от импорта</v>
      </c>
      <c r="N6" s="126" t="str">
        <f ca="1">IF('INHERENT MAP'!U27="КАТЕГОРИЯ",'INHERENT MAP'!S27,'INHERENT MAP'!T27)</f>
        <v xml:space="preserve">Уплата штрафных санкций АО "KTZ Expess" по договору с DP World </v>
      </c>
      <c r="O6" s="126"/>
      <c r="P6" s="126" t="s">
        <v>304</v>
      </c>
      <c r="Q6" s="126" t="e">
        <f>IF(#REF!="КАТЕГОРИЯ",#REF!,#REF!)</f>
        <v>#REF!</v>
      </c>
      <c r="S6" s="205" t="s">
        <v>73</v>
      </c>
      <c r="T6" s="337" t="s">
        <v>304</v>
      </c>
      <c r="U6" s="210">
        <f>IFERROR(INDEX('РЕЕСТР РИСКОВ_2023'!$K$39:$AQ$272,MATCH(Check!T6,'РЕЕСТР РИСКОВ_2023'!$K$39:$K$272,0),19),"")</f>
        <v>0.2</v>
      </c>
      <c r="V6" s="211">
        <f>IFERROR(INDEX('РЕЕСТР РИСКОВ_2023'!$K$39:$AQ$272,MATCH(Check!T6,'РЕЕСТР РИСКОВ_2023'!$K$39:$K$272,0),20),"")</f>
        <v>-7962.3487495075733</v>
      </c>
      <c r="W6" s="211">
        <f>IFERROR(INDEX('РЕЕСТР РИСКОВ_2023'!$K$39:$AQ$272,MATCH(Check!T6,'РЕЕСТР РИСКОВ_2023'!$K$39:$K$272,0),21),"")</f>
        <v>-1592.4697499015147</v>
      </c>
      <c r="X6" s="211">
        <f>IFERROR(INDEX('РЕЕСТР РИСКОВ_2023'!$K$39:$AT$272,MATCH(Check!T6,'РЕЕСТР РИСКОВ_2023'!$K$39:$K$272,0),36),"")</f>
        <v>1533.5547687573865</v>
      </c>
      <c r="Z6" s="358" t="s">
        <v>955</v>
      </c>
      <c r="AA6" s="360" t="str">
        <f t="shared" si="2"/>
        <v>ВЕРОЯТНОСТЬ  1  ВЛИЯНИЕ  1</v>
      </c>
      <c r="AB6" s="210">
        <f>IFERROR(INDEX('РЕЕСТР РИСКОВ_2023'!$K$39:$AQ$272,MATCH(Check!Z6,'РЕЕСТР РИСКОВ_2023'!$Q$39:$Q$272,0),14),"")</f>
        <v>0</v>
      </c>
      <c r="AC6" s="264">
        <f>IFERROR(INDEX('РЕЕСТР РИСКОВ_2023'!$K$39:$AQ$272,MATCH(Check!Z6,'РЕЕСТР РИСКОВ_2023'!$Q$39:$Q$272,0),15),"")</f>
        <v>1</v>
      </c>
      <c r="AD6" s="264">
        <f>IFERROR(INDEX('РЕЕСТР РИСКОВ_2023'!$K$39:$AQ$272,MATCH(Check!Z6,'РЕЕСТР РИСКОВ_2023'!$Q$39:$Q$272,0),16),"")</f>
        <v>4086</v>
      </c>
      <c r="AE6" s="264">
        <f>IFERROR(INDEX('РЕЕСТР РИСКОВ_2023'!$K$39:$AQ$272,MATCH(Check!Z6,'РЕЕСТР РИСКОВ_2023'!$Q$39:$Q$272,0),30),"")</f>
        <v>1</v>
      </c>
      <c r="AH6" t="s">
        <v>873</v>
      </c>
      <c r="AI6" t="str">
        <f>IF($AH$1=TRUE,AH6,Z6)</f>
        <v>Интермодальная конкуренция со стороны альтернативных видов транспорта (воздушный,автомобильный, водный транспорт)</v>
      </c>
      <c r="AJ6" s="93">
        <f>AL5</f>
        <v>338402</v>
      </c>
      <c r="AK6" s="93">
        <f>IF(AM6&lt;0,AM6*(-1),AM6)</f>
        <v>4086</v>
      </c>
      <c r="AL6" s="78">
        <f>AL5+AM6</f>
        <v>342488</v>
      </c>
      <c r="AM6" s="93">
        <f>AD6</f>
        <v>4086</v>
      </c>
      <c r="AQ6" t="s">
        <v>73</v>
      </c>
      <c r="AR6" t="s">
        <v>303</v>
      </c>
      <c r="AS6">
        <v>9.6875000000000003E-2</v>
      </c>
      <c r="AT6">
        <v>-11278.400747719992</v>
      </c>
      <c r="AU6">
        <v>-1092.5950724353743</v>
      </c>
      <c r="AV6">
        <v>6125.6071022800079</v>
      </c>
      <c r="AX6" s="856" t="s">
        <v>73</v>
      </c>
      <c r="AY6" s="93">
        <v>-46739.903058496784</v>
      </c>
      <c r="BA6" t="s">
        <v>73</v>
      </c>
      <c r="BB6">
        <v>-46739.903058496784</v>
      </c>
    </row>
    <row r="7" spans="1:54" ht="30" customHeight="1">
      <c r="A7" t="s">
        <v>941</v>
      </c>
      <c r="B7" s="205" t="s">
        <v>342</v>
      </c>
      <c r="C7" s="207">
        <f>INDEX('РЕЕСТР РИСКОВ_2023'!$F$39:$AQ$272,MATCH(Check!B7,'РЕЕСТР РИСКОВ_2023'!$F$39:$F$272,0),24)</f>
        <v>0.22545055529693422</v>
      </c>
      <c r="D7" s="299">
        <f>INDEX('РЕЕСТР РИСКОВ_2023'!$F$39:$AQ$272,MATCH(Check!B7,'РЕЕСТР РИСКОВ_2023'!$F$39:$F$272,0),25)</f>
        <v>-37457</v>
      </c>
      <c r="E7" s="299">
        <f>INDEX('РЕЕСТР РИСКОВ_2023'!$F$39:$AQ$272,MATCH(Check!B7,'РЕЕСТР РИСКОВ_2023'!$F$39:$F$272,0),26)</f>
        <v>-8444.7014497572654</v>
      </c>
      <c r="F7" s="299">
        <f>INDEX('РЕЕСТР РИСКОВ_2023'!$F$39:$AT$272,MATCH(Check!B7,'РЕЕСТР РИСКОВ_2023'!$F$39:$F$272,0),41)</f>
        <v>-4511.0999999999995</v>
      </c>
      <c r="G7" s="258">
        <f t="shared" si="0"/>
        <v>8444.7014497572654</v>
      </c>
      <c r="H7" s="258">
        <f t="shared" si="1"/>
        <v>4511.0999999999995</v>
      </c>
      <c r="I7" s="258"/>
      <c r="J7" s="258"/>
      <c r="M7" s="126" t="str">
        <f ca="1">IF('INHERENT MAP'!N12="КАТЕГОРИЯ",'INHERENT MAP'!L12,'INHERENT MAP'!M12)</f>
        <v>Объем грузооборота от экспорта</v>
      </c>
      <c r="N7" s="126" t="e">
        <f>IF('INHERENT MAP'!#REF!="КАТЕГОРИЯ",'INHERENT MAP'!#REF!,'INHERENT MAP'!#REF!)</f>
        <v>#REF!</v>
      </c>
      <c r="O7" s="126"/>
      <c r="P7" s="126" t="s">
        <v>303</v>
      </c>
      <c r="Q7" s="126" t="e">
        <f>IF(#REF!="КАТЕГОРИЯ",#REF!,#REF!)</f>
        <v>#REF!</v>
      </c>
      <c r="S7" s="205" t="s">
        <v>73</v>
      </c>
      <c r="T7" s="337" t="s">
        <v>303</v>
      </c>
      <c r="U7" s="210">
        <f>IFERROR(INDEX('РЕЕСТР РИСКОВ_2023'!$K$39:$AQ$272,MATCH(Check!T7,'РЕЕСТР РИСКОВ_2023'!$K$39:$K$272,0),19),"")</f>
        <v>9.6875000000000003E-2</v>
      </c>
      <c r="V7" s="211">
        <f>IFERROR(INDEX('РЕЕСТР РИСКОВ_2023'!$K$39:$AQ$272,MATCH(Check!T7,'РЕЕСТР РИСКОВ_2023'!$K$39:$K$272,0),20),"")</f>
        <v>-11278.400747719992</v>
      </c>
      <c r="W7" s="211">
        <f>IFERROR(INDEX('РЕЕСТР РИСКОВ_2023'!$K$39:$AQ$272,MATCH(Check!T7,'РЕЕСТР РИСКОВ_2023'!$K$39:$K$272,0),21),"")</f>
        <v>-1092.5950724353743</v>
      </c>
      <c r="X7" s="211">
        <f>IFERROR(INDEX('РЕЕСТР РИСКОВ_2023'!$K$39:$AT$272,MATCH(Check!T7,'РЕЕСТР РИСКОВ_2023'!$K$39:$K$272,0),36),"")</f>
        <v>6125.6071022800079</v>
      </c>
      <c r="Z7" s="358" t="s">
        <v>147</v>
      </c>
      <c r="AA7" s="360" t="str">
        <f t="shared" si="2"/>
        <v>ВЕРОЯТНОСТЬ  1  ВЛИЯНИЕ  1</v>
      </c>
      <c r="AB7" s="210">
        <f>IFERROR(INDEX('РЕЕСТР РИСКОВ_2023'!$K$39:$AQ$272,MATCH(Check!Z7,'РЕЕСТР РИСКОВ_2023'!$Q$39:$Q$272,0),14),"")</f>
        <v>0</v>
      </c>
      <c r="AC7" s="264">
        <f>IFERROR(INDEX('РЕЕСТР РИСКОВ_2023'!$K$39:$AQ$272,MATCH(Check!Z7,'РЕЕСТР РИСКОВ_2023'!$Q$39:$Q$272,0),15),"")</f>
        <v>0.05</v>
      </c>
      <c r="AD7" s="264">
        <f>IFERROR(INDEX('РЕЕСТР РИСКОВ_2023'!$K$39:$AQ$272,MATCH(Check!Z7,'РЕЕСТР РИСКОВ_2023'!$Q$39:$Q$272,0),16),"")</f>
        <v>-1600.8779999999997</v>
      </c>
      <c r="AE7" s="264">
        <f>IFERROR(INDEX('РЕЕСТР РИСКОВ_2023'!$K$39:$AQ$272,MATCH(Check!Z7,'РЕЕСТР РИСКОВ_2023'!$Q$39:$Q$272,0),30),"")</f>
        <v>0.05</v>
      </c>
      <c r="AH7" t="s">
        <v>874</v>
      </c>
      <c r="AI7" t="str">
        <f>IF($AH$1=TRUE,AH7,Z7)</f>
        <v>Нормативная скорость доставки груза, 330 км/сут</v>
      </c>
      <c r="AJ7" s="93">
        <f>AL6</f>
        <v>342488</v>
      </c>
      <c r="AK7" s="93">
        <f>IF(AM7&lt;0,AM7*(-1),AM7)</f>
        <v>1600.8779999999997</v>
      </c>
      <c r="AL7" s="78">
        <f>AL6+AM7</f>
        <v>340887.12199999997</v>
      </c>
      <c r="AM7" s="93">
        <f>AD7</f>
        <v>-1600.8779999999997</v>
      </c>
      <c r="AQ7" t="s">
        <v>73</v>
      </c>
      <c r="AR7" t="s">
        <v>482</v>
      </c>
      <c r="AS7">
        <v>0.76364643470029581</v>
      </c>
      <c r="AT7">
        <v>-3613.0450100000003</v>
      </c>
      <c r="AU7">
        <v>-2759.0889402981948</v>
      </c>
      <c r="AV7">
        <v>-1373.8680037500001</v>
      </c>
      <c r="AX7" s="856" t="s">
        <v>76</v>
      </c>
      <c r="AY7" s="93">
        <v>-29889.312000000009</v>
      </c>
      <c r="BA7" t="s">
        <v>76</v>
      </c>
      <c r="BB7">
        <v>-29889.312000000009</v>
      </c>
    </row>
    <row r="8" spans="1:54" ht="28.5" customHeight="1">
      <c r="A8" t="s">
        <v>398</v>
      </c>
      <c r="B8" s="205" t="s">
        <v>379</v>
      </c>
      <c r="C8" s="207">
        <f>E8/D8</f>
        <v>0.2</v>
      </c>
      <c r="D8" s="299">
        <f>SUM(V21:V23)</f>
        <v>-7200</v>
      </c>
      <c r="E8" s="299">
        <f>SUM(W21:W23)</f>
        <v>-1440</v>
      </c>
      <c r="F8" s="299">
        <v>-74312</v>
      </c>
      <c r="G8" s="258">
        <f t="shared" si="0"/>
        <v>1440</v>
      </c>
      <c r="H8" s="258">
        <f t="shared" si="1"/>
        <v>74312</v>
      </c>
      <c r="I8" s="258"/>
      <c r="J8" s="258"/>
      <c r="M8" s="126" t="str">
        <f ca="1">IF('INHERENT MAP'!N13="КАТЕГОРИЯ",'INHERENT MAP'!L13,'INHERENT MAP'!M13)</f>
        <v>Объем транзитного грузооборота</v>
      </c>
      <c r="N8" s="126" t="e">
        <f>IF('INHERENT MAP'!#REF!="КАТЕГОРИЯ",'INHERENT MAP'!#REF!,'INHERENT MAP'!#REF!)</f>
        <v>#REF!</v>
      </c>
      <c r="O8" s="126"/>
      <c r="P8" s="126" t="s">
        <v>151</v>
      </c>
      <c r="Q8" s="126" t="e">
        <f>IF(#REF!="КАТЕГОРИЯ",#REF!,#REF!)</f>
        <v>#REF!</v>
      </c>
      <c r="S8" s="205" t="s">
        <v>73</v>
      </c>
      <c r="T8" s="337" t="s">
        <v>482</v>
      </c>
      <c r="U8" s="210">
        <f>IFERROR(INDEX('РЕЕСТР РИСКОВ_2023'!$K$39:$AQ$272,MATCH(Check!T8,'РЕЕСТР РИСКОВ_2023'!$K$39:$K$272,0),19),"")</f>
        <v>0.76364643470029581</v>
      </c>
      <c r="V8" s="211">
        <f>IFERROR(INDEX('РЕЕСТР РИСКОВ_2023'!$K$39:$AQ$272,MATCH(Check!T8,'РЕЕСТР РИСКОВ_2023'!$K$39:$K$272,0),20),"")</f>
        <v>-3613.0450100000003</v>
      </c>
      <c r="W8" s="211">
        <f>IFERROR(INDEX('РЕЕСТР РИСКОВ_2023'!$K$39:$AQ$272,MATCH(Check!T8,'РЕЕСТР РИСКОВ_2023'!$K$39:$K$272,0),21),"")</f>
        <v>-2759.0889402981948</v>
      </c>
      <c r="X8" s="211">
        <f>IFERROR(INDEX('РЕЕСТР РИСКОВ_2023'!$K$39:$AT$272,MATCH(Check!T8,'РЕЕСТР РИСКОВ_2023'!$K$39:$K$272,0),36),"")</f>
        <v>-1373.8680037500001</v>
      </c>
      <c r="Z8" s="358" t="s">
        <v>433</v>
      </c>
      <c r="AA8" s="360" t="str">
        <f t="shared" si="2"/>
        <v>ВЕРОЯТНОСТЬ  1  ВЛИЯНИЕ  1</v>
      </c>
      <c r="AB8" s="210">
        <f>IFERROR(INDEX('РЕЕСТР РИСКОВ_2023'!$K$39:$AQ$272,MATCH(Check!Z8,'РЕЕСТР РИСКОВ_2023'!$Q$39:$Q$272,0),14),"")</f>
        <v>0</v>
      </c>
      <c r="AC8" s="264">
        <f>IFERROR(INDEX('РЕЕСТР РИСКОВ_2023'!$K$39:$AQ$272,MATCH(Check!Z8,'РЕЕСТР РИСКОВ_2023'!$Q$39:$Q$272,0),15),"")</f>
        <v>0</v>
      </c>
      <c r="AD8" s="264">
        <f>IFERROR(INDEX('РЕЕСТР РИСКОВ_2023'!$K$39:$AQ$272,MATCH(Check!Z8,'РЕЕСТР РИСКОВ_2023'!$Q$39:$Q$272,0),16),"")</f>
        <v>0</v>
      </c>
      <c r="AE8" s="264">
        <f>IFERROR(INDEX('РЕЕСТР РИСКОВ_2023'!$K$39:$AQ$272,MATCH(Check!Z8,'РЕЕСТР РИСКОВ_2023'!$Q$39:$Q$272,0),30),"")</f>
        <v>0</v>
      </c>
      <c r="AH8" t="s">
        <v>876</v>
      </c>
      <c r="AI8" t="str">
        <f>IF($AH$1=TRUE,AH8,"ПЛАН @Risk")</f>
        <v>ПЛАН @Risk</v>
      </c>
      <c r="AJ8" s="93">
        <f>'РЕЕСТР РИСКОВ_2023'!P41</f>
        <v>339578.71216973336</v>
      </c>
      <c r="AK8" s="93"/>
      <c r="AL8" s="78"/>
      <c r="AM8" s="93"/>
      <c r="AQ8" t="s">
        <v>73</v>
      </c>
      <c r="AR8" t="s">
        <v>571</v>
      </c>
      <c r="AS8">
        <v>0.72499999999999998</v>
      </c>
      <c r="AT8">
        <v>-502</v>
      </c>
      <c r="AU8">
        <v>-363.95</v>
      </c>
      <c r="AV8">
        <v>-188.25</v>
      </c>
      <c r="AX8" s="856" t="s">
        <v>1394</v>
      </c>
      <c r="AY8" s="93">
        <v>-28014.600000000002</v>
      </c>
      <c r="BA8" t="s">
        <v>1394</v>
      </c>
      <c r="BB8">
        <v>-28014.600000000002</v>
      </c>
    </row>
    <row r="9" spans="1:54" ht="33.75" customHeight="1">
      <c r="A9" t="s">
        <v>942</v>
      </c>
      <c r="B9" s="205" t="s">
        <v>453</v>
      </c>
      <c r="C9" s="207">
        <f>E9/D9</f>
        <v>0.7949841964329738</v>
      </c>
      <c r="D9" s="299">
        <f>SUM(V24:V26)</f>
        <v>-105008.03382805461</v>
      </c>
      <c r="E9" s="299">
        <f>SUM(W24:W26)</f>
        <v>-83479.727391802531</v>
      </c>
      <c r="F9" s="299">
        <f>SUM(X24:X26)</f>
        <v>-81515.830965372996</v>
      </c>
      <c r="G9" s="258">
        <f t="shared" si="0"/>
        <v>83479.727391802531</v>
      </c>
      <c r="H9" s="258">
        <f t="shared" si="1"/>
        <v>81515.830965372996</v>
      </c>
      <c r="I9" s="258"/>
      <c r="J9" s="258"/>
      <c r="M9" s="126" t="str">
        <f ca="1">IF('INHERENT MAP'!N14="КАТЕГОРИЯ",'INHERENT MAP'!L14,'INHERENT MAP'!M14)</f>
        <v>Риски, связанные с  перегрузочной деятельностью на МГСП</v>
      </c>
      <c r="N9" s="126" t="str">
        <f ca="1">IF('INHERENT MAP'!U28="КАТЕГОРИЯ",'INHERENT MAP'!S28,'INHERENT MAP'!T28)</f>
        <v>Банкротство и невозврат дебиторской задолженности ТОО "Казахстанская вагоностроительная компания"</v>
      </c>
      <c r="O9" s="126"/>
      <c r="P9" s="126" t="s">
        <v>119</v>
      </c>
      <c r="Q9" s="126" t="e">
        <f>IF(#REF!="КАТЕГОРИЯ",#REF!,#REF!)</f>
        <v>#REF!</v>
      </c>
      <c r="S9" s="205" t="s">
        <v>73</v>
      </c>
      <c r="T9" s="336" t="s">
        <v>571</v>
      </c>
      <c r="U9" s="210">
        <f>IFERROR(INDEX('РЕЕСТР РИСКОВ_2023'!$K$39:$AQ$272,MATCH(Check!T9,'РЕЕСТР РИСКОВ_2023'!$K$39:$K$272,0),19),"")</f>
        <v>0.72499999999999998</v>
      </c>
      <c r="V9" s="211">
        <f>IFERROR(INDEX('РЕЕСТР РИСКОВ_2023'!$K$39:$AQ$272,MATCH(Check!T9,'РЕЕСТР РИСКОВ_2023'!$K$39:$K$272,0),20),"")</f>
        <v>-502</v>
      </c>
      <c r="W9" s="211">
        <f>IFERROR(INDEX('РЕЕСТР РИСКОВ_2023'!$K$39:$AQ$272,MATCH(Check!T9,'РЕЕСТР РИСКОВ_2023'!$K$39:$K$272,0),21),"")</f>
        <v>-363.95</v>
      </c>
      <c r="X9" s="211">
        <f>IFERROR(INDEX('РЕЕСТР РИСКОВ_2023'!$K$39:$AT$272,MATCH(Check!T9,'РЕЕСТР РИСКОВ_2023'!$K$39:$K$272,0),36),"")</f>
        <v>-188.25</v>
      </c>
      <c r="Z9" s="358" t="s">
        <v>434</v>
      </c>
      <c r="AA9" s="360" t="str">
        <f t="shared" si="2"/>
        <v>ВЕРОЯТНОСТЬ  1  ВЛИЯНИЕ  1</v>
      </c>
      <c r="AB9" s="210">
        <f>IFERROR(INDEX('РЕЕСТР РИСКОВ_2023'!$K$39:$AQ$272,MATCH(Check!Z9,'РЕЕСТР РИСКОВ_2023'!$Q$39:$Q$272,0),14),"")</f>
        <v>0</v>
      </c>
      <c r="AC9" s="264">
        <f>IFERROR(INDEX('РЕЕСТР РИСКОВ_2023'!$K$39:$AQ$272,MATCH(Check!Z9,'РЕЕСТР РИСКОВ_2023'!$Q$39:$Q$272,0),15),"")</f>
        <v>1</v>
      </c>
      <c r="AD9" s="264">
        <f>IFERROR(INDEX('РЕЕСТР РИСКОВ_2023'!$K$39:$AQ$272,MATCH(Check!Z9,'РЕЕСТР РИСКОВ_2023'!$Q$39:$Q$272,0),16),"")</f>
        <v>2450.1866972842613</v>
      </c>
      <c r="AE9" s="264">
        <f>IFERROR(INDEX('РЕЕСТР РИСКОВ_2023'!$K$39:$AQ$272,MATCH(Check!Z9,'РЕЕСТР РИСКОВ_2023'!$Q$39:$Q$272,0),30),"")</f>
        <v>1</v>
      </c>
      <c r="AJ9" s="93"/>
      <c r="AK9" s="93"/>
      <c r="AL9" s="78"/>
      <c r="AM9" s="93"/>
      <c r="AQ9" t="s">
        <v>73</v>
      </c>
      <c r="AR9" t="s">
        <v>151</v>
      </c>
      <c r="AS9">
        <v>0.95</v>
      </c>
      <c r="AT9">
        <v>-26809</v>
      </c>
      <c r="AU9">
        <v>-25468.55</v>
      </c>
      <c r="AV9">
        <v>-12754</v>
      </c>
      <c r="AX9" s="856" t="s">
        <v>1015</v>
      </c>
      <c r="AY9" s="93">
        <v>-14233.970337762106</v>
      </c>
      <c r="BA9" t="s">
        <v>1015</v>
      </c>
      <c r="BB9">
        <v>-14233.970337762106</v>
      </c>
    </row>
    <row r="10" spans="1:54" ht="24.75" customHeight="1">
      <c r="A10" t="s">
        <v>588</v>
      </c>
      <c r="B10" s="205" t="s">
        <v>76</v>
      </c>
      <c r="C10" s="207">
        <f>INDEX('РЕЕСТР РИСКОВ_2023'!$F$39:$AQ$272,MATCH(Check!B10,'РЕЕСТР РИСКОВ_2023'!$F$39:$F$272,0),24)</f>
        <v>0.6</v>
      </c>
      <c r="D10" s="299">
        <f>INDEX('РЕЕСТР РИСКОВ_2023'!$F$39:$AQ$272,MATCH(Check!B10,'РЕЕСТР РИСКОВ_2023'!$F$39:$F$272,0),25)</f>
        <v>-49815.520000000019</v>
      </c>
      <c r="E10" s="299">
        <f>INDEX('РЕЕСТР РИСКОВ_2023'!$F$39:$AQ$272,MATCH(Check!B10,'РЕЕСТР РИСКОВ_2023'!$F$39:$F$272,0),26)</f>
        <v>-29889.312000000009</v>
      </c>
      <c r="F10" s="299">
        <f>INDEX('РЕЕСТР РИСКОВ_2023'!$F$39:$AT$272,MATCH(Check!B10,'РЕЕСТР РИСКОВ_2023'!$F$39:$F$272,0),41)</f>
        <v>-18680.820000000007</v>
      </c>
      <c r="G10" s="258">
        <f t="shared" si="0"/>
        <v>29889.312000000009</v>
      </c>
      <c r="H10" s="258">
        <f t="shared" si="1"/>
        <v>18680.820000000007</v>
      </c>
      <c r="I10" s="258"/>
      <c r="J10" s="258"/>
      <c r="M10" s="126">
        <f ca="1">IF('INHERENT MAP'!N15="КАТЕГОРИЯ",'INHERENT MAP'!L19,'INHERENT MAP'!M19)</f>
        <v>0</v>
      </c>
      <c r="N10" s="126" t="str">
        <f ca="1">IF('INHERENT MAP'!U29="КАТЕГОРИЯ",'INHERENT MAP'!S29,'INHERENT MAP'!T29)</f>
        <v>Неисполнение договорных (контрактных) обязательств ЗИКСТО перед Компанией</v>
      </c>
      <c r="O10" s="126"/>
      <c r="P10" s="126" t="s">
        <v>210</v>
      </c>
      <c r="Q10" s="126" t="e">
        <f>IF(#REF!="КАТЕГОРИЯ",#REF!,#REF!)</f>
        <v>#REF!</v>
      </c>
      <c r="S10" s="205" t="s">
        <v>73</v>
      </c>
      <c r="T10" s="336" t="s">
        <v>151</v>
      </c>
      <c r="U10" s="210">
        <f>IFERROR(INDEX('РЕЕСТР РИСКОВ_2023'!$K$39:$AQ$272,MATCH(Check!T10,'РЕЕСТР РИСКОВ_2023'!$K$39:$K$272,0),19),"")</f>
        <v>0.95</v>
      </c>
      <c r="V10" s="211">
        <f>IFERROR(INDEX('РЕЕСТР РИСКОВ_2023'!$K$39:$AQ$272,MATCH(Check!T10,'РЕЕСТР РИСКОВ_2023'!$K$39:$K$272,0),20),"")</f>
        <v>-26809</v>
      </c>
      <c r="W10" s="211">
        <f>IFERROR(INDEX('РЕЕСТР РИСКОВ_2023'!$K$39:$AQ$272,MATCH(Check!T10,'РЕЕСТР РИСКОВ_2023'!$K$39:$K$272,0),21),"")</f>
        <v>-25468.55</v>
      </c>
      <c r="X10" s="211">
        <f>IFERROR(INDEX('РЕЕСТР РИСКОВ_2023'!$K$39:$AT$272,MATCH(Check!T10,'РЕЕСТР РИСКОВ_2023'!$K$39:$K$272,0),36),"")</f>
        <v>-12754</v>
      </c>
      <c r="Z10" s="358" t="s">
        <v>435</v>
      </c>
      <c r="AA10" s="360" t="str">
        <f t="shared" si="2"/>
        <v>ВЕРОЯТНОСТЬ  1  ВЛИЯНИЕ  1</v>
      </c>
      <c r="AB10" s="210">
        <f>IFERROR(INDEX('РЕЕСТР РИСКОВ_2023'!$K$39:$AQ$272,MATCH(Check!Z10,'РЕЕСТР РИСКОВ_2023'!$Q$39:$Q$272,0),14),"")</f>
        <v>0</v>
      </c>
      <c r="AC10" s="264">
        <f>IFERROR(INDEX('РЕЕСТР РИСКОВ_2023'!$K$39:$AQ$272,MATCH(Check!Z10,'РЕЕСТР РИСКОВ_2023'!$Q$39:$Q$272,0),15),"")</f>
        <v>0.05</v>
      </c>
      <c r="AD10" s="264">
        <f>IFERROR(INDEX('РЕЕСТР РИСКОВ_2023'!$K$39:$AQ$272,MATCH(Check!Z10,'РЕЕСТР РИСКОВ_2023'!$Q$39:$Q$272,0),16),"")</f>
        <v>0</v>
      </c>
      <c r="AE10" s="264">
        <f>IFERROR(INDEX('РЕЕСТР РИСКОВ_2023'!$K$39:$AQ$272,MATCH(Check!Z10,'РЕЕСТР РИСКОВ_2023'!$Q$39:$Q$272,0),30),"")</f>
        <v>0.05</v>
      </c>
      <c r="AI10" t="s">
        <v>840</v>
      </c>
      <c r="AJ10" s="93">
        <f>AJ8</f>
        <v>339578.71216973336</v>
      </c>
      <c r="AQ10" t="s">
        <v>73</v>
      </c>
      <c r="AR10" t="s">
        <v>998</v>
      </c>
      <c r="AS10">
        <v>0.4</v>
      </c>
      <c r="AT10">
        <v>-103</v>
      </c>
      <c r="AU10">
        <v>-41.2</v>
      </c>
      <c r="AV10">
        <v>-20.6</v>
      </c>
      <c r="AX10" s="856" t="s">
        <v>85</v>
      </c>
      <c r="AY10" s="93">
        <v>-13374.425807499998</v>
      </c>
      <c r="BA10" t="s">
        <v>85</v>
      </c>
      <c r="BB10">
        <v>-13374.425807499998</v>
      </c>
    </row>
    <row r="11" spans="1:54" ht="28.5" customHeight="1">
      <c r="A11" t="s">
        <v>399</v>
      </c>
      <c r="B11" s="206" t="s">
        <v>71</v>
      </c>
      <c r="C11" s="207">
        <f>INDEX('РЕЕСТР РИСКОВ_2023'!$F$39:$AQ$272,MATCH(Check!B11,'РЕЕСТР РИСКОВ_2023'!$F$39:$F$272,0),24)</f>
        <v>0.41197943030932727</v>
      </c>
      <c r="D11" s="299">
        <f>INDEX('РЕЕСТР РИСКОВ_2023'!$F$39:$AQ$272,MATCH(Check!B11,'РЕЕСТР РИСКОВ_2023'!$F$39:$F$272,0),25)</f>
        <v>-1043.307</v>
      </c>
      <c r="E11" s="299">
        <f>INDEX('РЕЕСТР РИСКОВ_2023'!$F$39:$AQ$272,MATCH(Check!B11,'РЕЕСТР РИСКОВ_2023'!$F$39:$F$272,0),26)</f>
        <v>-429.82102349773334</v>
      </c>
      <c r="F11" s="299">
        <f>INDEX('РЕЕСТР РИСКОВ_2023'!$F$39:$AT$272,MATCH(Check!B11,'РЕЕСТР РИСКОВ_2023'!$F$39:$F$272,0),41)</f>
        <v>-19.319438928231531</v>
      </c>
      <c r="G11" s="258">
        <f t="shared" si="0"/>
        <v>429.82102349773334</v>
      </c>
      <c r="H11" s="258">
        <f t="shared" si="1"/>
        <v>19.319438928231531</v>
      </c>
      <c r="I11" s="258"/>
      <c r="J11" s="258"/>
      <c r="M11" s="126" t="str">
        <f ca="1">IF('INHERENT MAP'!N16="КАТЕГОРИЯ",'INHERENT MAP'!L20,'INHERENT MAP'!M20)</f>
        <v>Риск неполучения/ неполного получения государственных субсидий</v>
      </c>
      <c r="N11" s="126" t="str">
        <f ca="1">IF('INHERENT MAP'!U30="КАТЕГОРИЯ",'INHERENT MAP'!S30,'INHERENT MAP'!T30)</f>
        <v>Неисполнение договора поставки электровозов и комплектующих поставщиком ТОО "ЭКЗ", субпоставщиками "ALSTOM", ЗАО "ТМХ"</v>
      </c>
      <c r="O11" s="126"/>
      <c r="P11" s="126" t="s">
        <v>405</v>
      </c>
      <c r="Q11" s="126" t="e">
        <f>IF(#REF!="КАТЕГОРИЯ",#REF!,#REF!)</f>
        <v>#REF!</v>
      </c>
      <c r="S11" s="205" t="s">
        <v>73</v>
      </c>
      <c r="T11" s="336" t="s">
        <v>998</v>
      </c>
      <c r="U11" s="210">
        <f>IFERROR(INDEX('РЕЕСТР РИСКОВ_2023'!$K$39:$AQ$272,MATCH(Check!T11,'РЕЕСТР РИСКОВ_2023'!$K$39:$K$272,0),19),"")</f>
        <v>0.4</v>
      </c>
      <c r="V11" s="211">
        <f>IFERROR(INDEX('РЕЕСТР РИСКОВ_2023'!$K$39:$AQ$272,MATCH(Check!T11,'РЕЕСТР РИСКОВ_2023'!$K$39:$K$272,0),20),"")</f>
        <v>-103</v>
      </c>
      <c r="W11" s="211">
        <f>IFERROR(INDEX('РЕЕСТР РИСКОВ_2023'!$K$39:$AQ$272,MATCH(Check!T11,'РЕЕСТР РИСКОВ_2023'!$K$39:$K$272,0),21),"")</f>
        <v>-41.2</v>
      </c>
      <c r="X11" s="211">
        <f>IFERROR(INDEX('РЕЕСТР РИСКОВ_2023'!$K$39:$AT$272,MATCH(Check!T11,'РЕЕСТР РИСКОВ_2023'!$K$39:$K$272,0),36),"")</f>
        <v>-20.6</v>
      </c>
      <c r="Z11" s="358" t="s">
        <v>432</v>
      </c>
      <c r="AA11" s="360" t="str">
        <f t="shared" si="2"/>
        <v>ВЕРОЯТНОСТЬ  1  ВЛИЯНИЕ  1</v>
      </c>
      <c r="AB11" s="210">
        <f>IFERROR(INDEX('РЕЕСТР РИСКОВ_2023'!$K$39:$AQ$272,MATCH(Check!Z11,'РЕЕСТР РИСКОВ_2023'!$Q$39:$Q$272,0),14),"")</f>
        <v>0</v>
      </c>
      <c r="AC11" s="264">
        <f>IFERROR(INDEX('РЕЕСТР РИСКОВ_2023'!$K$39:$AQ$272,MATCH(Check!Z11,'РЕЕСТР РИСКОВ_2023'!$Q$39:$Q$272,0),15),"")</f>
        <v>1</v>
      </c>
      <c r="AD11" s="264">
        <f>IFERROR(INDEX('РЕЕСТР РИСКОВ_2023'!$K$39:$AQ$272,MATCH(Check!Z11,'РЕЕСТР РИСКОВ_2023'!$Q$39:$Q$272,0),16),"")</f>
        <v>0</v>
      </c>
      <c r="AE11" s="264">
        <f>IFERROR(INDEX('РЕЕСТР РИСКОВ_2023'!$K$39:$AQ$272,MATCH(Check!Z11,'РЕЕСТР РИСКОВ_2023'!$Q$39:$Q$272,0),30),"")</f>
        <v>0.3</v>
      </c>
      <c r="AQ11" t="s">
        <v>73</v>
      </c>
      <c r="AR11" t="s">
        <v>1117</v>
      </c>
      <c r="AS11">
        <v>0.6</v>
      </c>
      <c r="AT11">
        <v>-1757.53</v>
      </c>
      <c r="AU11">
        <v>-1054.518</v>
      </c>
      <c r="AV11">
        <v>-527.25900000000001</v>
      </c>
      <c r="AX11" s="856" t="s">
        <v>342</v>
      </c>
      <c r="AY11" s="93">
        <v>-8444.7014497572654</v>
      </c>
      <c r="BA11" t="s">
        <v>342</v>
      </c>
      <c r="BB11">
        <v>-8444.7014497572654</v>
      </c>
    </row>
    <row r="12" spans="1:54" ht="24.75" customHeight="1">
      <c r="A12" t="s">
        <v>589</v>
      </c>
      <c r="B12" s="206" t="s">
        <v>69</v>
      </c>
      <c r="C12" s="207">
        <f>INDEX('РЕЕСТР РИСКОВ_2023'!$F$39:$AQ$272,MATCH(Check!B12,'РЕЕСТР РИСКОВ_2023'!$F$39:$F$272,0),24)</f>
        <v>0.52850938613764376</v>
      </c>
      <c r="D12" s="299">
        <f>INDEX('РЕЕСТР РИСКОВ_2023'!$F$39:$AQ$272,MATCH(Check!B12,'РЕЕСТР РИСКОВ_2023'!$F$39:$F$272,0),25)</f>
        <v>-13682.081210629633</v>
      </c>
      <c r="E12" s="299">
        <f>INDEX('РЕЕСТР РИСКОВ_2023'!$F$39:$AQ$272,MATCH(Check!B12,'РЕЕСТР РИСКОВ_2023'!$F$39:$F$272,0),26)</f>
        <v>-7231.1083417152568</v>
      </c>
      <c r="F12" s="299">
        <f>INDEX('РЕЕСТР РИСКОВ_2023'!$F$39:$AT$272,MATCH(Check!B12,'РЕЕСТР РИСКОВ_2023'!$F$39:$F$272,0),41)</f>
        <v>-4187.696824450165</v>
      </c>
      <c r="G12" s="258">
        <f t="shared" si="0"/>
        <v>7231.1083417152568</v>
      </c>
      <c r="H12" s="258">
        <f t="shared" si="1"/>
        <v>4187.696824450165</v>
      </c>
      <c r="I12" s="258"/>
      <c r="J12" s="258"/>
      <c r="M12" s="126" t="str">
        <f ca="1">IF('INHERENT MAP'!N17="КАТЕГОРИЯ",'INHERENT MAP'!L21,'INHERENT MAP'!M21)</f>
        <v>Снижение пассажиропотока</v>
      </c>
      <c r="N12" s="126" t="str">
        <f ca="1">IF('INHERENT MAP'!U31="КАТЕГОРИЯ",'INHERENT MAP'!S31,'INHERENT MAP'!T31)</f>
        <v>Ненадлежащее исполнение договорных обязательств  по поставке тепловозов ТОО "Транспортейшн Глоубэл Эл-Эл-Си"</v>
      </c>
      <c r="O12" s="126"/>
      <c r="P12" s="126" t="s">
        <v>163</v>
      </c>
      <c r="Q12" s="126" t="e">
        <f>IF(#REF!="КАТЕГОРИЯ",#REF!,#REF!)</f>
        <v>#REF!</v>
      </c>
      <c r="S12" s="205" t="s">
        <v>73</v>
      </c>
      <c r="T12" s="336" t="s">
        <v>1117</v>
      </c>
      <c r="U12" s="210">
        <f>IFERROR(INDEX('РЕЕСТР РИСКОВ_2023'!$K$39:$AQ$272,MATCH(Check!T12,'РЕЕСТР РИСКОВ_2023'!$K$39:$K$272,0),19),"")</f>
        <v>0.6</v>
      </c>
      <c r="V12" s="211">
        <f>IFERROR(INDEX('РЕЕСТР РИСКОВ_2023'!$K$39:$AQ$272,MATCH(Check!T12,'РЕЕСТР РИСКОВ_2023'!$K$39:$K$272,0),20),"")</f>
        <v>-1757.53</v>
      </c>
      <c r="W12" s="211">
        <f>IFERROR(INDEX('РЕЕСТР РИСКОВ_2023'!$K$39:$AQ$272,MATCH(Check!T12,'РЕЕСТР РИСКОВ_2023'!$K$39:$K$272,0),21),"")</f>
        <v>-1054.518</v>
      </c>
      <c r="X12" s="211">
        <f>IFERROR(INDEX('РЕЕСТР РИСКОВ_2023'!$K$39:$AT$272,MATCH(Check!T12,'РЕЕСТР РИСКОВ_2023'!$K$39:$K$272,0),36),"")</f>
        <v>-527.25900000000001</v>
      </c>
      <c r="Y12" t="s">
        <v>613</v>
      </c>
      <c r="Z12" s="358" t="s">
        <v>544</v>
      </c>
      <c r="AA12" s="360" t="str">
        <f t="shared" ref="AA12:AA43" si="4">"ВЕРОЯТНОСТЬ  "&amp;IF(AB12&lt;0.05,1,IF((AB12&gt;=0.05)*(AB12&lt;0.25),2,IF((AB12&gt;=0.25)*(AB12&lt;0.5),3,IF((AB12&gt;=0.5)*(AB12&lt;0.75),4,5))))&amp;"  ВЛИЯНИЕ  "&amp;IF(AC12&gt;-200,1,IF((AC12&lt;=-200)*(AC12&gt;-500),2,IF((AC12&lt;=-500)*(AC12&gt;-1000),3,IF((AC12&lt;=-1000)*(AC12&gt;-3000),4,5))))</f>
        <v>ВЕРОЯТНОСТЬ  1  ВЛИЯНИЕ  1</v>
      </c>
      <c r="AB12" s="210">
        <f>IFERROR(INDEX('РЕЕСТР РИСКОВ_2023'!$K$39:$AQ$272,MATCH(Check!Z12,'РЕЕСТР РИСКОВ_2023'!$Q$39:$Q$272,0),14),"")</f>
        <v>0</v>
      </c>
      <c r="AC12" s="264">
        <f>IFERROR(INDEX('РЕЕСТР РИСКОВ_2023'!$K$39:$AQ$272,MATCH(Check!Z12,'РЕЕСТР РИСКОВ_2023'!$Q$39:$Q$272,0),15),"")</f>
        <v>0.2</v>
      </c>
      <c r="AD12" s="264">
        <f>IFERROR(INDEX('РЕЕСТР РИСКОВ_2023'!$K$39:$AQ$272,MATCH(Check!Z12,'РЕЕСТР РИСКОВ_2023'!$Q$39:$Q$272,0),16),"")</f>
        <v>-10520</v>
      </c>
      <c r="AE12" s="264" t="str">
        <f>IFERROR(INDEX('РЕЕСТР РИСКОВ_2023'!$K$39:$AQ$272,MATCH(Check!Z29,'РЕЕСТР РИСКОВ_2023'!$Q$39:$Q$272,0),30),"")</f>
        <v/>
      </c>
      <c r="AQ12" t="s">
        <v>1015</v>
      </c>
      <c r="AR12" t="s">
        <v>935</v>
      </c>
      <c r="AS12">
        <v>0.67719394122134746</v>
      </c>
      <c r="AT12">
        <v>-14233.101850229999</v>
      </c>
      <c r="AU12">
        <v>-9638.5703377621066</v>
      </c>
      <c r="AV12">
        <v>-2374.4891951609998</v>
      </c>
      <c r="AX12" s="856" t="s">
        <v>69</v>
      </c>
      <c r="AY12" s="93">
        <v>-7231.1083417152568</v>
      </c>
      <c r="BA12" t="s">
        <v>69</v>
      </c>
      <c r="BB12">
        <v>-7231.1083417152568</v>
      </c>
    </row>
    <row r="13" spans="1:54" ht="24.75" customHeight="1">
      <c r="A13" t="s">
        <v>590</v>
      </c>
      <c r="B13" s="206" t="s">
        <v>79</v>
      </c>
      <c r="C13" s="207">
        <f>INDEX('РЕЕСТР РИСКОВ_2023'!$F$39:$AQ$272,MATCH(Check!B13,'РЕЕСТР РИСКОВ_2023'!$F$39:$F$272,0),24)</f>
        <v>0.59222100961904522</v>
      </c>
      <c r="D13" s="299">
        <f>INDEX('РЕЕСТР РИСКОВ_2023'!$F$39:$AQ$272,MATCH(Check!B13,'РЕЕСТР РИСКОВ_2023'!$F$39:$F$272,0),25)</f>
        <v>-6669</v>
      </c>
      <c r="E13" s="299">
        <f>INDEX('РЕЕСТР РИСКОВ_2023'!$F$39:$AQ$272,MATCH(Check!B13,'РЕЕСТР РИСКОВ_2023'!$F$39:$F$272,0),26)</f>
        <v>-3949.5219131494127</v>
      </c>
      <c r="F13" s="299">
        <f>INDEX('РЕЕСТР РИСКОВ_2023'!$F$39:$AT$272,MATCH(Check!B13,'РЕЕСТР РИСКОВ_2023'!$F$39:$F$272,0),41)</f>
        <v>-2123.3000000000002</v>
      </c>
      <c r="G13" s="258">
        <f t="shared" si="0"/>
        <v>3949.5219131494127</v>
      </c>
      <c r="H13" s="258">
        <f t="shared" si="1"/>
        <v>2123.3000000000002</v>
      </c>
      <c r="I13" s="258"/>
      <c r="J13" s="258"/>
      <c r="M13" s="126" t="e">
        <f>IF('INHERENT MAP'!N19="КАТЕГОРИЯ",'INHERENT MAP'!#REF!,'INHERENT MAP'!#REF!)</f>
        <v>#REF!</v>
      </c>
      <c r="N13" s="126" t="e">
        <f>IF('INHERENT MAP'!#REF!="КАТЕГОРИЯ",'INHERENT MAP'!#REF!,'INHERENT MAP'!#REF!)</f>
        <v>#REF!</v>
      </c>
      <c r="O13" s="126"/>
      <c r="P13" s="126" t="s">
        <v>120</v>
      </c>
      <c r="Q13" s="126" t="e">
        <f>IF(#REF!="КАТЕГОРИЯ",#REF!,#REF!)</f>
        <v>#REF!</v>
      </c>
      <c r="S13" s="205" t="s">
        <v>1015</v>
      </c>
      <c r="T13" s="334" t="s">
        <v>935</v>
      </c>
      <c r="U13" s="210">
        <f>IFERROR(INDEX('РЕЕСТР РИСКОВ_2023'!$K$39:$AQ$272,MATCH(Check!T13,'РЕЕСТР РИСКОВ_2023'!$K$39:$K$272,0),19),"")</f>
        <v>0.67719394122134746</v>
      </c>
      <c r="V13" s="211">
        <f>IFERROR(INDEX('РЕЕСТР РИСКОВ_2023'!$K$39:$AQ$272,MATCH(Check!T13,'РЕЕСТР РИСКОВ_2023'!$K$39:$K$272,0),20),"")</f>
        <v>-14233.101850229999</v>
      </c>
      <c r="W13" s="211">
        <f>IFERROR(INDEX('РЕЕСТР РИСКОВ_2023'!$K$39:$AQ$272,MATCH(Check!T13,'РЕЕСТР РИСКОВ_2023'!$K$39:$K$272,0),21),"")</f>
        <v>-9638.5703377621066</v>
      </c>
      <c r="X13" s="211">
        <f>IFERROR(INDEX('РЕЕСТР РИСКОВ_2023'!$K$39:$AT$272,MATCH(Check!T13,'РЕЕСТР РИСКОВ_2023'!$K$39:$K$272,0),36),"")</f>
        <v>-2374.4891951609998</v>
      </c>
      <c r="Z13" s="358" t="s">
        <v>985</v>
      </c>
      <c r="AA13" s="360" t="str">
        <f t="shared" si="4"/>
        <v>ВЕРОЯТНОСТЬ  1  ВЛИЯНИЕ  1</v>
      </c>
      <c r="AB13" s="210">
        <f>IFERROR(INDEX('РЕЕСТР РИСКОВ_2023'!$K$39:$AQ$272,MATCH(Check!Z13,'РЕЕСТР РИСКОВ_2023'!$Q$39:$Q$272,0),14),"")</f>
        <v>0</v>
      </c>
      <c r="AC13" s="264">
        <f>IFERROR(INDEX('РЕЕСТР РИСКОВ_2023'!$K$39:$AQ$272,MATCH(Check!Z13,'РЕЕСТР РИСКОВ_2023'!$Q$39:$Q$272,0),15),"")</f>
        <v>0</v>
      </c>
      <c r="AD13" s="264">
        <f>IFERROR(INDEX('РЕЕСТР РИСКОВ_2023'!$K$39:$AQ$272,MATCH(Check!Z13,'РЕЕСТР РИСКОВ_2023'!$Q$39:$Q$272,0),16),"")</f>
        <v>0</v>
      </c>
      <c r="AE13" s="264">
        <f>IFERROR(INDEX('РЕЕСТР РИСКОВ_2023'!$K$39:$AQ$272,MATCH(Check!Z13,'РЕЕСТР РИСКОВ_2023'!$Q$39:$Q$272,0),30),"")</f>
        <v>0</v>
      </c>
      <c r="AQ13" t="s">
        <v>1015</v>
      </c>
      <c r="AR13" t="s">
        <v>405</v>
      </c>
      <c r="AS13">
        <v>0.6</v>
      </c>
      <c r="AT13">
        <v>-7659</v>
      </c>
      <c r="AU13">
        <v>-4595.3999999999996</v>
      </c>
      <c r="AV13">
        <v>0</v>
      </c>
      <c r="AX13" s="856" t="s">
        <v>1384</v>
      </c>
      <c r="AY13" s="93">
        <v>-5440</v>
      </c>
      <c r="BA13" t="s">
        <v>1384</v>
      </c>
      <c r="BB13">
        <v>-5440</v>
      </c>
    </row>
    <row r="14" spans="1:54" ht="24.75" customHeight="1">
      <c r="A14" t="s">
        <v>591</v>
      </c>
      <c r="B14" s="206" t="s">
        <v>78</v>
      </c>
      <c r="C14" s="207">
        <f>E14/D14</f>
        <v>0</v>
      </c>
      <c r="D14" s="299">
        <f>SUM(V47:V49)</f>
        <v>0.25</v>
      </c>
      <c r="E14" s="299">
        <f t="shared" ref="E14:F14" si="5">SUM(W47:W49)</f>
        <v>0</v>
      </c>
      <c r="F14" s="299">
        <f t="shared" si="5"/>
        <v>0</v>
      </c>
      <c r="G14" s="258">
        <f t="shared" si="0"/>
        <v>0</v>
      </c>
      <c r="H14" s="258">
        <f t="shared" si="1"/>
        <v>0</v>
      </c>
      <c r="I14" s="258"/>
      <c r="J14" s="258"/>
      <c r="M14" s="126">
        <f ca="1">IF('INHERENT MAP'!N20="КАТЕГОРИЯ",'INHERENT MAP'!L22,'INHERENT MAP'!M22)</f>
        <v>0</v>
      </c>
      <c r="N14" s="126" t="str">
        <f ca="1">IF('INHERENT MAP'!U32="КАТЕГОРИЯ",'INHERENT MAP'!S32,'INHERENT MAP'!T32)</f>
        <v>Выплата необеспеченных банковской гарантией либо страховым полисом авансовых платежей потенциально недобросовестным поставщикам</v>
      </c>
      <c r="O14" s="126"/>
      <c r="P14" s="126" t="s">
        <v>121</v>
      </c>
      <c r="Q14" s="126" t="e">
        <f>IF(#REF!="КАТЕГОРИЯ",#REF!,#REF!)</f>
        <v>#REF!</v>
      </c>
      <c r="S14" s="205" t="s">
        <v>1015</v>
      </c>
      <c r="T14" s="334" t="s">
        <v>405</v>
      </c>
      <c r="U14" s="210">
        <f>W14/V14</f>
        <v>0.6</v>
      </c>
      <c r="V14" s="211">
        <f>IFERROR(INDEX('РЕЕСТР РИСКОВ_2023'!$K$39:$AQ$272,MATCH(Check!T14,'РЕЕСТР РИСКОВ_2023'!$K$39:$K$272,0),16),"")+IFERROR(INDEX('РЕЕСТР РИСКОВ_2023'!$K$39:$AQ$272,MATCH(Check!T14,'РЕЕСТР РИСКОВ_2023'!$K$39:$K$272,0)+1,16),"")</f>
        <v>-7659</v>
      </c>
      <c r="W14" s="211">
        <f>IFERROR(INDEX('РЕЕСТР РИСКОВ_2023'!$K$39:$AQ$272,MATCH(Check!T14,'РЕЕСТР РИСКОВ_2023'!$K$39:$K$272,0),17),"")+IFERROR(INDEX('РЕЕСТР РИСКОВ_2023'!$K$39:$AQ$272,MATCH(Check!T14,'РЕЕСТР РИСКОВ_2023'!$K$39:$K$272,0)+1,17),"")</f>
        <v>-4595.3999999999996</v>
      </c>
      <c r="X14" s="211">
        <f>IFERROR(INDEX('РЕЕСТР РИСКОВ_2023'!$K$39:$AT$272,MATCH(Check!T14,'РЕЕСТР РИСКОВ_2023'!$K$39:$K$272,0),36),"")</f>
        <v>0</v>
      </c>
      <c r="Z14" s="358" t="s">
        <v>211</v>
      </c>
      <c r="AA14" s="360" t="str">
        <f t="shared" si="4"/>
        <v>ВЕРОЯТНОСТЬ  1  ВЛИЯНИЕ  1</v>
      </c>
      <c r="AB14" s="210">
        <f>IFERROR(INDEX('РЕЕСТР РИСКОВ_2023'!$K$39:$AQ$272,MATCH(Check!Z14,'РЕЕСТР РИСКОВ_2023'!$Q$39:$Q$272,0),14),"")</f>
        <v>0</v>
      </c>
      <c r="AC14" s="264">
        <f>IFERROR(INDEX('РЕЕСТР РИСКОВ_2023'!$K$39:$AQ$272,MATCH(Check!Z14,'РЕЕСТР РИСКОВ_2023'!$Q$39:$Q$272,0),15),"")</f>
        <v>1</v>
      </c>
      <c r="AD14" s="264">
        <f>IFERROR(INDEX('РЕЕСТР РИСКОВ_2023'!$K$39:$AQ$272,MATCH(Check!Z14,'РЕЕСТР РИСКОВ_2023'!$Q$39:$Q$272,0),16),"")</f>
        <v>3654</v>
      </c>
      <c r="AE14" s="264">
        <f>IFERROR(INDEX('РЕЕСТР РИСКОВ_2023'!$K$39:$AQ$272,MATCH(Check!Z14,'РЕЕСТР РИСКОВ_2023'!$Q$39:$Q$272,0),30),"")</f>
        <v>1</v>
      </c>
      <c r="AQ14" t="s">
        <v>1490</v>
      </c>
      <c r="AR14" t="s">
        <v>1492</v>
      </c>
      <c r="AS14">
        <v>0.5</v>
      </c>
      <c r="AT14">
        <v>29183</v>
      </c>
      <c r="AU14">
        <v>14591.5</v>
      </c>
      <c r="AV14">
        <v>0</v>
      </c>
      <c r="AX14" s="856" t="s">
        <v>79</v>
      </c>
      <c r="AY14" s="93">
        <v>-3949.5219131494127</v>
      </c>
      <c r="BA14" t="s">
        <v>79</v>
      </c>
      <c r="BB14">
        <v>-3949.5219131494127</v>
      </c>
    </row>
    <row r="15" spans="1:54" ht="24.75" customHeight="1">
      <c r="A15" t="s">
        <v>592</v>
      </c>
      <c r="B15" s="206" t="s">
        <v>128</v>
      </c>
      <c r="C15" s="207">
        <f>E15/D15</f>
        <v>0.27941512636635041</v>
      </c>
      <c r="D15" s="299">
        <f>SUM(V50:V58)</f>
        <v>-341233.14299999998</v>
      </c>
      <c r="E15" s="299">
        <f>SUM(W50:W58)</f>
        <v>-95345.70177173191</v>
      </c>
      <c r="F15" s="299">
        <f>INDEX('РЕЕСТР РИСКОВ_2023'!$F$39:$AT$272,MATCH(Check!B15,'РЕЕСТР РИСКОВ_2023'!$F$39:$F$272,0),41)</f>
        <v>-5557.1555749999998</v>
      </c>
      <c r="G15" s="258">
        <f t="shared" si="0"/>
        <v>95345.70177173191</v>
      </c>
      <c r="H15" s="258">
        <f t="shared" si="1"/>
        <v>5557.1555749999998</v>
      </c>
      <c r="I15" s="258"/>
      <c r="J15" s="258"/>
      <c r="M15" s="126" t="e">
        <f>IF('INHERENT MAP'!#REF!="КАТЕГОРИЯ",'INHERENT MAP'!#REF!,'INHERENT MAP'!#REF!)</f>
        <v>#REF!</v>
      </c>
      <c r="N15" s="126">
        <f>IF('INHERENT MAP'!U35="КАТЕГОРИЯ",'INHERENT MAP'!S35,'INHERENT MAP'!T35)</f>
        <v>0</v>
      </c>
      <c r="O15" s="126"/>
      <c r="P15" s="126" t="s">
        <v>122</v>
      </c>
      <c r="Q15" s="126" t="e">
        <f>IF(#REF!="КАТЕГОРИЯ",#REF!,#REF!)</f>
        <v>#REF!</v>
      </c>
      <c r="S15" s="205" t="s">
        <v>1490</v>
      </c>
      <c r="T15" s="341" t="s">
        <v>1492</v>
      </c>
      <c r="U15" s="210">
        <f>IFERROR(INDEX('РЕЕСТР РИСКОВ_2023'!$K$39:$AQ$272,MATCH(Check!T15,'РЕЕСТР РИСКОВ_2023'!$K$39:$K$272,0),19),"")</f>
        <v>0.5</v>
      </c>
      <c r="V15" s="211">
        <f>IFERROR(INDEX('РЕЕСТР РИСКОВ_2023'!$K$39:$AQ$272,MATCH(Check!T15,'РЕЕСТР РИСКОВ_2023'!$K$39:$K$272,0),20),"")</f>
        <v>29183</v>
      </c>
      <c r="W15" s="211">
        <f>IFERROR(INDEX('РЕЕСТР РИСКОВ_2023'!$K$39:$AQ$272,MATCH(Check!T15,'РЕЕСТР РИСКОВ_2023'!$K$39:$K$272,0),21),"")</f>
        <v>14591.5</v>
      </c>
      <c r="X15" s="211">
        <f>IFERROR(INDEX('РЕЕСТР РИСКОВ_2023'!$K$39:$AT$272,MATCH(Check!T15,'РЕЕСТР РИСКОВ_2023'!$K$39:$K$272,0),36),"")</f>
        <v>0</v>
      </c>
      <c r="Z15" s="358" t="s">
        <v>438</v>
      </c>
      <c r="AA15" s="360" t="str">
        <f t="shared" si="4"/>
        <v>ВЕРОЯТНОСТЬ  1  ВЛИЯНИЕ  1</v>
      </c>
      <c r="AB15" s="210">
        <f>IFERROR(INDEX('РЕЕСТР РИСКОВ_2023'!$K$39:$AQ$272,MATCH(Check!Z15,'РЕЕСТР РИСКОВ_2023'!$Q$39:$Q$272,0),14),"")</f>
        <v>0</v>
      </c>
      <c r="AC15" s="264">
        <f>IFERROR(INDEX('РЕЕСТР РИСКОВ_2023'!$K$39:$AQ$272,MATCH(Check!Z15,'РЕЕСТР РИСКОВ_2023'!$Q$39:$Q$272,0),15),"")</f>
        <v>0</v>
      </c>
      <c r="AD15" s="264">
        <f>IFERROR(INDEX('РЕЕСТР РИСКОВ_2023'!$K$39:$AQ$272,MATCH(Check!Z15,'РЕЕСТР РИСКОВ_2023'!$Q$39:$Q$272,0),16),"")</f>
        <v>0</v>
      </c>
      <c r="AE15" s="264">
        <f>IFERROR(INDEX('РЕЕСТР РИСКОВ_2023'!$K$39:$AQ$272,MATCH(Check!Z15,'РЕЕСТР РИСКОВ_2023'!$Q$39:$Q$272,0),30),"")</f>
        <v>0</v>
      </c>
      <c r="AQ15" t="s">
        <v>1490</v>
      </c>
      <c r="AR15" t="s">
        <v>1491</v>
      </c>
      <c r="AS15">
        <v>0.5</v>
      </c>
      <c r="AT15">
        <v>6945</v>
      </c>
      <c r="AU15">
        <v>3472.5</v>
      </c>
      <c r="AV15">
        <v>0</v>
      </c>
      <c r="AX15" s="856" t="s">
        <v>844</v>
      </c>
      <c r="AY15" s="93">
        <v>-2500</v>
      </c>
      <c r="BA15" t="s">
        <v>844</v>
      </c>
      <c r="BB15">
        <v>-2500</v>
      </c>
    </row>
    <row r="16" spans="1:54" ht="24.75" customHeight="1">
      <c r="A16" t="s">
        <v>397</v>
      </c>
      <c r="B16" s="206" t="s">
        <v>82</v>
      </c>
      <c r="C16" s="207">
        <f>INDEX('РЕЕСТР РИСКОВ_2023'!$F$39:$AQ$272,MATCH(Check!B16,'РЕЕСТР РИСКОВ_2023'!$F$39:$F$272,0),24)</f>
        <v>0.02</v>
      </c>
      <c r="D16" s="299">
        <f>INDEX('РЕЕСТР РИСКОВ_2023'!$F$39:$AQ$272,MATCH(Check!B16,'РЕЕСТР РИСКОВ_2023'!$F$39:$F$272,0),25)</f>
        <v>0</v>
      </c>
      <c r="E16" s="299">
        <f>INDEX('РЕЕСТР РИСКОВ_2023'!$F$39:$AQ$272,MATCH(Check!B16,'РЕЕСТР РИСКОВ_2023'!$F$39:$F$272,0),26)</f>
        <v>0</v>
      </c>
      <c r="F16" s="299">
        <f>INDEX('РЕЕСТР РИСКОВ_2023'!$F$39:$AT$272,MATCH(Check!B16,'РЕЕСТР РИСКОВ_2023'!$F$39:$F$272,0),41)</f>
        <v>0</v>
      </c>
      <c r="G16" s="258">
        <f t="shared" si="0"/>
        <v>0</v>
      </c>
      <c r="H16" s="258">
        <f t="shared" si="1"/>
        <v>0</v>
      </c>
      <c r="I16" s="258"/>
      <c r="J16" s="258"/>
      <c r="M16" s="126" t="str">
        <f ca="1">IF('INHERENT MAP'!N21="КАТЕГОРИЯ",'INHERENT MAP'!L23,'INHERENT MAP'!M23)</f>
        <v>Оперирование вагонами, фитинговых платформ</v>
      </c>
      <c r="N16" s="126" t="str">
        <f ca="1">IF('INHERENT MAP'!U36="КАТЕГОРИЯ",'INHERENT MAP'!S36,'INHERENT MAP'!T36)</f>
        <v>Отказ/сбой систем жизнеобеспечения</v>
      </c>
      <c r="O16" s="126"/>
      <c r="P16" s="126" t="s">
        <v>393</v>
      </c>
      <c r="Q16" s="126" t="e">
        <f>IF(#REF!="КАТЕГОРИЯ",#REF!,#REF!)</f>
        <v>#REF!</v>
      </c>
      <c r="R16" s="126"/>
      <c r="S16" s="205" t="s">
        <v>1490</v>
      </c>
      <c r="T16" s="853" t="s">
        <v>1491</v>
      </c>
      <c r="U16" s="210">
        <f>IFERROR(INDEX('РЕЕСТР РИСКОВ_2023'!$K$39:$AQ$272,MATCH(Check!T16,'РЕЕСТР РИСКОВ_2023'!$K$39:$K$272,0),19),"")</f>
        <v>0.5</v>
      </c>
      <c r="V16" s="211">
        <f>IFERROR(INDEX('РЕЕСТР РИСКОВ_2023'!$K$39:$AQ$272,MATCH(Check!T16,'РЕЕСТР РИСКОВ_2023'!$K$39:$K$272,0),20),"")</f>
        <v>6945</v>
      </c>
      <c r="W16" s="211">
        <f>IFERROR(INDEX('РЕЕСТР РИСКОВ_2023'!$K$39:$AQ$272,MATCH(Check!T16,'РЕЕСТР РИСКОВ_2023'!$K$39:$K$272,0),21),"")</f>
        <v>3472.5</v>
      </c>
      <c r="X16" s="211">
        <f>IFERROR(INDEX('РЕЕСТР РИСКОВ_2023'!$K$39:$AT$272,MATCH(Check!T16,'РЕЕСТР РИСКОВ_2023'!$K$39:$K$272,0),36),"")</f>
        <v>0</v>
      </c>
      <c r="Z16" s="358" t="s">
        <v>437</v>
      </c>
      <c r="AA16" s="360" t="str">
        <f t="shared" si="4"/>
        <v>ВЕРОЯТНОСТЬ  1  ВЛИЯНИЕ  1</v>
      </c>
      <c r="AB16" s="210">
        <f>IFERROR(INDEX('РЕЕСТР РИСКОВ_2023'!$K$39:$AQ$272,MATCH(Check!Z16,'РЕЕСТР РИСКОВ_2023'!$Q$39:$Q$272,0),14),"")</f>
        <v>0</v>
      </c>
      <c r="AC16" s="264">
        <f>IFERROR(INDEX('РЕЕСТР РИСКОВ_2023'!$K$39:$AQ$272,MATCH(Check!Z16,'РЕЕСТР РИСКОВ_2023'!$Q$39:$Q$272,0),15),"")</f>
        <v>1</v>
      </c>
      <c r="AD16" s="264">
        <f>IFERROR(INDEX('РЕЕСТР РИСКОВ_2023'!$K$39:$AQ$272,MATCH(Check!Z16,'РЕЕСТР РИСКОВ_2023'!$Q$39:$Q$272,0),16),"")</f>
        <v>7871.6402522800081</v>
      </c>
      <c r="AE16" s="264">
        <f>IFERROR(INDEX('РЕЕСТР РИСКОВ_2023'!$K$39:$AQ$272,MATCH(Check!Z16,'РЕЕСТР РИСКОВ_2023'!$Q$39:$Q$272,0),30),"")</f>
        <v>1</v>
      </c>
      <c r="AI16" s="1698" t="s">
        <v>841</v>
      </c>
      <c r="AJ16" s="1698"/>
      <c r="AK16" s="1698"/>
      <c r="AL16" s="1698"/>
      <c r="AM16" s="122"/>
      <c r="AQ16" t="s">
        <v>1490</v>
      </c>
      <c r="AR16" t="s">
        <v>1493</v>
      </c>
      <c r="AS16">
        <v>0.5</v>
      </c>
      <c r="AT16">
        <v>39462</v>
      </c>
      <c r="AU16">
        <v>19731</v>
      </c>
      <c r="AV16">
        <v>0</v>
      </c>
      <c r="AX16" s="856" t="s">
        <v>379</v>
      </c>
      <c r="AY16" s="93">
        <v>-1440</v>
      </c>
      <c r="BA16" t="s">
        <v>379</v>
      </c>
      <c r="BB16">
        <v>-1440</v>
      </c>
    </row>
    <row r="17" spans="1:54" ht="24.75" customHeight="1">
      <c r="A17" t="s">
        <v>400</v>
      </c>
      <c r="B17" s="206" t="s">
        <v>83</v>
      </c>
      <c r="C17" s="207">
        <f>INDEX('РЕЕСТР РИСКОВ_2023'!$F$39:$AQ$272,MATCH(Check!B17,'РЕЕСТР РИСКОВ_2023'!$F$39:$F$272,0),24)</f>
        <v>0.25</v>
      </c>
      <c r="D17" s="299">
        <f>INDEX('РЕЕСТР РИСКОВ_2023'!$F$39:$AQ$272,MATCH(Check!B17,'РЕЕСТР РИСКОВ_2023'!$F$39:$F$272,0),25)</f>
        <v>-269.72699999999998</v>
      </c>
      <c r="E17" s="299">
        <f>INDEX('РЕЕСТР РИСКОВ_2023'!$F$39:$AQ$272,MATCH(Check!B17,'РЕЕСТР РИСКОВ_2023'!$F$39:$F$272,0),26)</f>
        <v>-67.431749999999994</v>
      </c>
      <c r="F17" s="299">
        <f>INDEX('РЕЕСТР РИСКОВ_2023'!$F$39:$AT$272,MATCH(Check!B17,'РЕЕСТР РИСКОВ_2023'!$F$39:$F$272,0),41)</f>
        <v>-33.715874999999997</v>
      </c>
      <c r="G17" s="258">
        <f t="shared" si="0"/>
        <v>67.431749999999994</v>
      </c>
      <c r="H17" s="258">
        <f t="shared" si="1"/>
        <v>33.715874999999997</v>
      </c>
      <c r="I17" s="258"/>
      <c r="J17" s="258"/>
      <c r="M17" s="126" t="e">
        <f>IF('INHERENT MAP'!#REF!="КАТЕГОРИЯ",'INHERENT MAP'!L24,'INHERENT MAP'!M24)</f>
        <v>#REF!</v>
      </c>
      <c r="N17" s="126" t="e">
        <f>IF('INHERENT MAP'!#REF!="КАТЕГОРИЯ",'INHERENT MAP'!#REF!,'INHERENT MAP'!#REF!)</f>
        <v>#REF!</v>
      </c>
      <c r="O17" s="126"/>
      <c r="P17" s="126" t="s">
        <v>314</v>
      </c>
      <c r="Q17" s="126" t="e">
        <f>IF(#REF!="КАТЕГОРИЯ",#REF!,#REF!)</f>
        <v>#REF!</v>
      </c>
      <c r="S17" s="205" t="s">
        <v>1490</v>
      </c>
      <c r="T17" s="341" t="s">
        <v>1493</v>
      </c>
      <c r="U17" s="210">
        <f>IFERROR(INDEX('РЕЕСТР РИСКОВ_2023'!$K$39:$AQ$272,MATCH(Check!T17,'РЕЕСТР РИСКОВ_2023'!$K$39:$K$272,0),19),"")</f>
        <v>0.5</v>
      </c>
      <c r="V17" s="211">
        <f>IFERROR(INDEX('РЕЕСТР РИСКОВ_2023'!$K$39:$AQ$272,MATCH(Check!T17,'РЕЕСТР РИСКОВ_2023'!$K$39:$K$272,0),20),"")</f>
        <v>39462</v>
      </c>
      <c r="W17" s="211">
        <f>IFERROR(INDEX('РЕЕСТР РИСКОВ_2023'!$K$39:$AQ$272,MATCH(Check!T17,'РЕЕСТР РИСКОВ_2023'!$K$39:$K$272,0),21),"")</f>
        <v>19731</v>
      </c>
      <c r="X17" s="211">
        <f>IFERROR(INDEX('РЕЕСТР РИСКОВ_2023'!$K$39:$AT$272,MATCH(Check!T17,'РЕЕСТР РИСКОВ_2023'!$K$39:$K$272,0),36),"")</f>
        <v>0</v>
      </c>
      <c r="Z17" s="358" t="s">
        <v>113</v>
      </c>
      <c r="AA17" s="360" t="str">
        <f t="shared" si="4"/>
        <v>ВЕРОЯТНОСТЬ  1  ВЛИЯНИЕ  1</v>
      </c>
      <c r="AB17" s="210">
        <f>IFERROR(INDEX('РЕЕСТР РИСКОВ_2023'!$K$39:$AQ$272,MATCH(Check!Z17,'РЕЕСТР РИСКОВ_2023'!$Q$39:$Q$272,0),14),"")</f>
        <v>0</v>
      </c>
      <c r="AC17" s="264">
        <f>IFERROR(INDEX('РЕЕСТР РИСКОВ_2023'!$K$39:$AQ$272,MATCH(Check!Z17,'РЕЕСТР РИСКОВ_2023'!$Q$39:$Q$272,0),15),"")</f>
        <v>1</v>
      </c>
      <c r="AD17" s="264">
        <f>IFERROR(INDEX('РЕЕСТР РИСКОВ_2023'!$K$39:$AQ$272,MATCH(Check!Z17,'РЕЕСТР РИСКОВ_2023'!$Q$39:$Q$272,0),16),"")</f>
        <v>0</v>
      </c>
      <c r="AE17" s="264">
        <f>IFERROR(INDEX('РЕЕСТР РИСКОВ_2023'!$K$39:$AQ$272,MATCH(Check!Z17,'РЕЕСТР РИСКОВ_2023'!$Q$39:$Q$272,0),30),"")</f>
        <v>0.5</v>
      </c>
      <c r="AI17" t="str">
        <f>AI3</f>
        <v>ПЛАН</v>
      </c>
      <c r="AJ17" s="78">
        <f>'РЕЕСТР РИСКОВ_2023'!L51</f>
        <v>267833</v>
      </c>
      <c r="AL17" s="78">
        <f>AJ17</f>
        <v>267833</v>
      </c>
      <c r="AQ17" t="s">
        <v>1490</v>
      </c>
      <c r="AR17" t="s">
        <v>1494</v>
      </c>
      <c r="AS17">
        <v>0</v>
      </c>
      <c r="AT17">
        <v>0</v>
      </c>
      <c r="AU17">
        <v>0</v>
      </c>
      <c r="AV17">
        <v>0</v>
      </c>
      <c r="AX17" s="856" t="s">
        <v>87</v>
      </c>
      <c r="AY17" s="93">
        <v>-720</v>
      </c>
      <c r="BA17" t="s">
        <v>87</v>
      </c>
      <c r="BB17">
        <v>-720</v>
      </c>
    </row>
    <row r="18" spans="1:54" ht="33" customHeight="1">
      <c r="A18" t="s">
        <v>593</v>
      </c>
      <c r="B18" s="206" t="s">
        <v>85</v>
      </c>
      <c r="C18" s="207">
        <f>INDEX('РЕЕСТР РИСКОВ_2023'!$F$39:$AQ$272,MATCH(Check!B18,'РЕЕСТР РИСКОВ_2023'!$F$39:$F$272,0),24)</f>
        <v>0.45179023155256937</v>
      </c>
      <c r="D18" s="299">
        <f>INDEX('РЕЕСТР РИСКОВ_2023'!$F$39:$AQ$272,MATCH(Check!B18,'РЕЕСТР РИСКОВ_2023'!$F$39:$F$272,0),25)</f>
        <v>-29603.176149999999</v>
      </c>
      <c r="E18" s="299">
        <f>INDEX('РЕЕСТР РИСКОВ_2023'!$F$39:$AQ$272,MATCH(Check!B18,'РЕЕСТР РИСКОВ_2023'!$F$39:$F$272,0),26)</f>
        <v>-13374.425807499998</v>
      </c>
      <c r="F18" s="299">
        <f>INDEX('РЕЕСТР РИСКОВ_2023'!$F$39:$AT$272,MATCH(Check!B18,'РЕЕСТР РИСКОВ_2023'!$F$39:$F$272,0),41)</f>
        <v>-14390</v>
      </c>
      <c r="G18" s="258">
        <f t="shared" si="0"/>
        <v>13374.425807499998</v>
      </c>
      <c r="H18" s="258">
        <f t="shared" si="1"/>
        <v>14390</v>
      </c>
      <c r="I18" s="258"/>
      <c r="J18" s="258"/>
      <c r="M18" s="126" t="e">
        <f>IF('INHERENT MAP'!N22="КАТЕГОРИЯ",'INHERENT MAP'!#REF!,'INHERENT MAP'!#REF!)</f>
        <v>#REF!</v>
      </c>
      <c r="N18" s="126" t="e">
        <f>IF('INHERENT MAP'!#REF!="КАТЕГОРИЯ",'INHERENT MAP'!#REF!,'INHERENT MAP'!#REF!)</f>
        <v>#REF!</v>
      </c>
      <c r="O18" s="126"/>
      <c r="P18" s="126" t="s">
        <v>336</v>
      </c>
      <c r="Q18" s="126" t="e">
        <f>IF(#REF!="КАТЕГОРИЯ",#REF!,#REF!)</f>
        <v>#REF!</v>
      </c>
      <c r="S18" s="205" t="s">
        <v>1490</v>
      </c>
      <c r="T18" s="853" t="s">
        <v>1494</v>
      </c>
      <c r="U18" s="210">
        <f>IFERROR(INDEX('РЕЕСТР РИСКОВ_2023'!$K$39:$AQ$272,MATCH(Check!T18,'РЕЕСТР РИСКОВ_2023'!$K$39:$K$272,0),19),"")</f>
        <v>0</v>
      </c>
      <c r="V18" s="211">
        <f>IFERROR(INDEX('РЕЕСТР РИСКОВ_2023'!$K$39:$AQ$272,MATCH(Check!T18,'РЕЕСТР РИСКОВ_2023'!$K$39:$K$272,0),20),"")</f>
        <v>0</v>
      </c>
      <c r="W18" s="211">
        <f>IFERROR(INDEX('РЕЕСТР РИСКОВ_2023'!$K$39:$AQ$272,MATCH(Check!T18,'РЕЕСТР РИСКОВ_2023'!$K$39:$K$272,0),21),"")</f>
        <v>0</v>
      </c>
      <c r="X18" s="211">
        <f>IFERROR(INDEX('РЕЕСТР РИСКОВ_2023'!$K$39:$AT$272,MATCH(Check!T18,'РЕЕСТР РИСКОВ_2023'!$K$39:$K$272,0),36),"")</f>
        <v>0</v>
      </c>
      <c r="Z18" s="358" t="s">
        <v>604</v>
      </c>
      <c r="AA18" s="360" t="str">
        <f t="shared" si="4"/>
        <v>ВЕРОЯТНОСТЬ  1  ВЛИЯНИЕ  1</v>
      </c>
      <c r="AB18" s="210">
        <f>IFERROR(INDEX('РЕЕСТР РИСКОВ_2023'!$K$39:$AQ$272,MATCH(Check!Z18,'РЕЕСТР РИСКОВ_2023'!$Q$39:$Q$272,0),14),"")</f>
        <v>0</v>
      </c>
      <c r="AC18" s="264">
        <f>IFERROR(INDEX('РЕЕСТР РИСКОВ_2023'!$K$39:$AQ$272,MATCH(Check!Z18,'РЕЕСТР РИСКОВ_2023'!$Q$39:$Q$272,0),15),"")</f>
        <v>0.3</v>
      </c>
      <c r="AD18" s="264">
        <f>IFERROR(INDEX('РЕЕСТР РИСКОВ_2023'!$K$39:$AQ$272,MATCH(Check!Z18,'РЕЕСТР РИСКОВ_2023'!$Q$39:$Q$272,0),16),"")</f>
        <v>0</v>
      </c>
      <c r="AE18" s="264">
        <f>IFERROR(INDEX('РЕЕСТР РИСКОВ_2023'!$K$39:$AQ$272,MATCH(Check!Z18,'РЕЕСТР РИСКОВ_2023'!$Q$39:$Q$272,0),30),"")</f>
        <v>0.15</v>
      </c>
      <c r="AH18" t="s">
        <v>877</v>
      </c>
      <c r="AI18" t="str">
        <f>IF($AH$1=TRUE,AH18,Z8)</f>
        <v>Снижение спроса со стороны грузоотправителей импорта</v>
      </c>
      <c r="AJ18" s="93">
        <f>IF(AM18&gt;0,AL17,AL18)</f>
        <v>267833</v>
      </c>
      <c r="AK18" s="93">
        <f t="shared" ref="AK18:AK23" si="6">IF(AM18&lt;0,AM18*(-1),AM18)</f>
        <v>0</v>
      </c>
      <c r="AL18" s="78">
        <f>AL17+AM18</f>
        <v>267833</v>
      </c>
      <c r="AM18" s="93">
        <f>AD8</f>
        <v>0</v>
      </c>
      <c r="AQ18" t="s">
        <v>342</v>
      </c>
      <c r="AR18" t="s">
        <v>163</v>
      </c>
      <c r="AS18">
        <v>0.22545055529693422</v>
      </c>
      <c r="AT18">
        <v>-37457</v>
      </c>
      <c r="AU18">
        <v>-8444.7014497572654</v>
      </c>
      <c r="AV18">
        <v>-4511.0999999999995</v>
      </c>
      <c r="AX18" s="856" t="s">
        <v>161</v>
      </c>
      <c r="AY18" s="93">
        <v>-466.56</v>
      </c>
      <c r="BA18" t="s">
        <v>161</v>
      </c>
      <c r="BB18">
        <v>-466.56</v>
      </c>
    </row>
    <row r="19" spans="1:54" ht="24.75" customHeight="1">
      <c r="A19" t="s">
        <v>943</v>
      </c>
      <c r="B19" s="206" t="s">
        <v>161</v>
      </c>
      <c r="C19" s="207">
        <f>INDEX('РЕЕСТР РИСКОВ_2023'!$F$39:$AQ$272,MATCH(Check!B19,'РЕЕСТР РИСКОВ_2023'!$F$39:$F$272,0),24)</f>
        <v>0.4</v>
      </c>
      <c r="D19" s="299">
        <f>INDEX('РЕЕСТР РИСКОВ_2023'!$F$39:$AQ$272,MATCH(Check!B19,'РЕЕСТР РИСКОВ_2023'!$F$39:$F$272,0),25)</f>
        <v>-401.4</v>
      </c>
      <c r="E19" s="299">
        <f>INDEX('РЕЕСТР РИСКОВ_2023'!$F$39:$AQ$272,MATCH(Check!B19,'РЕЕСТР РИСКОВ_2023'!$F$39:$F$272,0),26)</f>
        <v>-160.56</v>
      </c>
      <c r="F19" s="299">
        <f>INDEX('РЕЕСТР РИСКОВ_2023'!$F$39:$AT$272,MATCH(Check!B19,'РЕЕСТР РИСКОВ_2023'!$F$39:$F$272,0),41)</f>
        <v>-80.28</v>
      </c>
      <c r="G19" s="258">
        <f t="shared" si="0"/>
        <v>160.56</v>
      </c>
      <c r="H19" s="258">
        <f t="shared" si="1"/>
        <v>80.28</v>
      </c>
      <c r="I19" s="258"/>
      <c r="J19" s="258"/>
      <c r="M19" s="126" t="e">
        <f ca="1">IF('INHERENT MAP'!N23="КАТЕГОРИЯ",'INHERENT MAP'!#REF!,'INHERENT MAP'!#REF!)</f>
        <v>#REF!</v>
      </c>
      <c r="N19" s="126" t="str">
        <f ca="1">IF('INHERENT MAP'!U37="КАТЕГОРИЯ",'INHERENT MAP'!S37,'INHERENT MAP'!T37)</f>
        <v xml:space="preserve">Сбой/останов серверной инфраструктуры    </v>
      </c>
      <c r="O19" s="126"/>
      <c r="P19" s="126" t="s">
        <v>298</v>
      </c>
      <c r="Q19" s="126" t="e">
        <f>IF(#REF!="КАТЕГОРИЯ",#REF!,#REF!)</f>
        <v>#REF!</v>
      </c>
      <c r="S19" s="205" t="s">
        <v>342</v>
      </c>
      <c r="T19" s="854" t="s">
        <v>163</v>
      </c>
      <c r="U19" s="210">
        <f>IFERROR(INDEX('РЕЕСТР РИСКОВ_2023'!$K$39:$AQ$272,MATCH(Check!T19,'РЕЕСТР РИСКОВ_2023'!$K$39:$K$272,0),19),"")</f>
        <v>0.22545055529693422</v>
      </c>
      <c r="V19" s="211">
        <f>IFERROR(INDEX('РЕЕСТР РИСКОВ_2023'!$K$39:$AQ$272,MATCH(Check!T19,'РЕЕСТР РИСКОВ_2023'!$K$39:$K$272,0),20),"")</f>
        <v>-37457</v>
      </c>
      <c r="W19" s="211">
        <f>IFERROR(INDEX('РЕЕСТР РИСКОВ_2023'!$K$39:$AQ$272,MATCH(Check!T19,'РЕЕСТР РИСКОВ_2023'!$K$39:$K$272,0),21),"")</f>
        <v>-8444.7014497572654</v>
      </c>
      <c r="X19" s="211">
        <f>IFERROR(INDEX('РЕЕСТР РИСКОВ_2023'!$K$39:$AT$272,MATCH(Check!T19,'РЕЕСТР РИСКОВ_2023'!$K$39:$K$272,0),36),"")</f>
        <v>-4511.0999999999995</v>
      </c>
      <c r="Z19" s="358" t="s">
        <v>436</v>
      </c>
      <c r="AA19" s="360" t="str">
        <f t="shared" si="4"/>
        <v>ВЕРОЯТНОСТЬ  1  ВЛИЯНИЕ  1</v>
      </c>
      <c r="AB19" s="210">
        <f>IFERROR(INDEX('РЕЕСТР РИСКОВ_2023'!$K$39:$AQ$272,MATCH(Check!Z19,'РЕЕСТР РИСКОВ_2023'!$Q$39:$Q$272,0),14),"")</f>
        <v>0</v>
      </c>
      <c r="AC19" s="264">
        <f>IFERROR(INDEX('РЕЕСТР РИСКОВ_2023'!$K$39:$AQ$272,MATCH(Check!Z19,'РЕЕСТР РИСКОВ_2023'!$Q$39:$Q$272,0),15),"")</f>
        <v>0.05</v>
      </c>
      <c r="AD19" s="264">
        <f>IFERROR(INDEX('РЕЕСТР РИСКОВ_2023'!$K$39:$AQ$272,MATCH(Check!Z19,'РЕЕСТР РИСКОВ_2023'!$Q$39:$Q$272,0),16),"")</f>
        <v>-2252.9459999999999</v>
      </c>
      <c r="AE19" s="264">
        <f>IFERROR(INDEX('РЕЕСТР РИСКОВ_2023'!$K$39:$AQ$272,MATCH(Check!Z19,'РЕЕСТР РИСКОВ_2023'!$Q$39:$Q$272,0),30),"")</f>
        <v>2.5000000000000001E-2</v>
      </c>
      <c r="AH19" t="s">
        <v>878</v>
      </c>
      <c r="AI19" t="str">
        <f>IF($AH$1=TRUE,AH19,Z9)</f>
        <v>(A) Интермодальная конкуренция со стороны альтернативных видов транспорта (воздушный,автомобильный, водный транспорт) (imp)</v>
      </c>
      <c r="AJ19" s="93">
        <f t="shared" ref="AJ19:AJ25" si="7">AL18</f>
        <v>267833</v>
      </c>
      <c r="AK19" s="93">
        <f t="shared" si="6"/>
        <v>2450.1866972842613</v>
      </c>
      <c r="AL19" s="78">
        <f t="shared" ref="AL19:AL24" si="8">AL18+AM19</f>
        <v>270283.18669728428</v>
      </c>
      <c r="AM19" s="93">
        <f>AD9</f>
        <v>2450.1866972842613</v>
      </c>
      <c r="AQ19" t="s">
        <v>342</v>
      </c>
      <c r="AR19" t="s">
        <v>576</v>
      </c>
      <c r="AS19">
        <v>0</v>
      </c>
      <c r="AT19">
        <v>0</v>
      </c>
      <c r="AU19">
        <v>0</v>
      </c>
      <c r="AV19">
        <v>0</v>
      </c>
      <c r="AX19" s="856" t="s">
        <v>71</v>
      </c>
      <c r="AY19" s="93">
        <v>-429.82102349773334</v>
      </c>
      <c r="BA19" t="s">
        <v>71</v>
      </c>
      <c r="BB19">
        <v>-429.82102349773334</v>
      </c>
    </row>
    <row r="20" spans="1:54" ht="24.75" customHeight="1">
      <c r="A20" t="s">
        <v>944</v>
      </c>
      <c r="B20" s="206" t="s">
        <v>1394</v>
      </c>
      <c r="C20" s="207">
        <f>E20/D20</f>
        <v>0.40042880727257135</v>
      </c>
      <c r="D20" s="299">
        <f>SUM(V77:V79)</f>
        <v>-69961.5</v>
      </c>
      <c r="E20" s="299">
        <f>SUM(W77:W79)</f>
        <v>-28014.600000000002</v>
      </c>
      <c r="F20" s="299">
        <f>SUM(X77:X79)</f>
        <v>-14025.300000000001</v>
      </c>
      <c r="G20" s="258">
        <f t="shared" si="0"/>
        <v>28014.600000000002</v>
      </c>
      <c r="H20" s="258">
        <f t="shared" si="1"/>
        <v>14025.300000000001</v>
      </c>
      <c r="I20" s="258"/>
      <c r="J20" s="258"/>
      <c r="M20" s="126" t="e">
        <f ca="1">IF('INHERENT MAP'!N24="КАТЕГОРИЯ",'INHERENT MAP'!#REF!,'INHERENT MAP'!#REF!)</f>
        <v>#REF!</v>
      </c>
      <c r="N20" s="126" t="str">
        <f ca="1">IF('INHERENT MAP'!U38="КАТЕГОРИЯ",'INHERENT MAP'!S38,'INHERENT MAP'!T38)</f>
        <v xml:space="preserve">Сбой/останов сетевой инфраструктуры </v>
      </c>
      <c r="O20" s="126"/>
      <c r="P20" s="126" t="s">
        <v>290</v>
      </c>
      <c r="Q20" s="126" t="e">
        <f>IF(#REF!="КАТЕГОРИЯ",#REF!,#REF!)</f>
        <v>#REF!</v>
      </c>
      <c r="S20" s="205" t="s">
        <v>342</v>
      </c>
      <c r="T20" s="331" t="s">
        <v>576</v>
      </c>
      <c r="U20" s="210">
        <f>IFERROR(INDEX('РЕЕСТР РИСКОВ_2023'!$K$39:$AQ$272,MATCH(Check!T20,'РЕЕСТР РИСКОВ_2023'!$K$39:$K$272,0),19),"")</f>
        <v>0</v>
      </c>
      <c r="V20" s="211">
        <f>IFERROR(INDEX('РЕЕСТР РИСКОВ_2023'!$K$39:$AQ$272,MATCH(Check!T20,'РЕЕСТР РИСКОВ_2023'!$K$39:$K$272,0),20),"")</f>
        <v>0</v>
      </c>
      <c r="W20" s="211">
        <f>IFERROR(INDEX('РЕЕСТР РИСКОВ_2023'!$K$39:$AQ$272,MATCH(Check!T20,'РЕЕСТР РИСКОВ_2023'!$K$39:$K$272,0),21),"")</f>
        <v>0</v>
      </c>
      <c r="X20" s="211">
        <f>IFERROR(INDEX('РЕЕСТР РИСКОВ_2023'!$K$39:$AT$272,MATCH(Check!T20,'РЕЕСТР РИСКОВ_2023'!$K$39:$K$272,0),36),"")</f>
        <v>0</v>
      </c>
      <c r="Z20" s="358" t="s">
        <v>572</v>
      </c>
      <c r="AA20" s="360" t="str">
        <f t="shared" si="4"/>
        <v>ВЕРОЯТНОСТЬ  1  ВЛИЯНИЕ  1</v>
      </c>
      <c r="AB20" s="210">
        <f>IFERROR(INDEX('РЕЕСТР РИСКОВ_2023'!$K$39:$AQ$272,MATCH(Check!Z20,'РЕЕСТР РИСКОВ_2023'!$Q$39:$Q$272,0),14),"")</f>
        <v>0</v>
      </c>
      <c r="AC20" s="264">
        <f>IFERROR(INDEX('РЕЕСТР РИСКОВ_2023'!$K$39:$AQ$272,MATCH(Check!Z20,'РЕЕСТР РИСКОВ_2023'!$Q$39:$Q$272,0),15),"")</f>
        <v>0.1</v>
      </c>
      <c r="AD20" s="264">
        <f>IFERROR(INDEX('РЕЕСТР РИСКОВ_2023'!$K$39:$AQ$272,MATCH(Check!Z20,'РЕЕСТР РИСКОВ_2023'!$Q$39:$Q$272,0),16),"")</f>
        <v>-16897.095000000001</v>
      </c>
      <c r="AE20" s="264">
        <f>IFERROR(INDEX('РЕЕСТР РИСКОВ_2023'!$K$39:$AQ$272,MATCH(Check!Z20,'РЕЕСТР РИСКОВ_2023'!$Q$39:$Q$272,0),30),"")</f>
        <v>0.1</v>
      </c>
      <c r="AH20" t="s">
        <v>879</v>
      </c>
      <c r="AI20" t="str">
        <f>IF($AH$1=TRUE,AH20,Z10)</f>
        <v>(P) Нормативная скорость доставки груза, 220 км/сут (imp)</v>
      </c>
      <c r="AJ20" s="93">
        <f t="shared" si="7"/>
        <v>270283.18669728428</v>
      </c>
      <c r="AK20" s="93">
        <f t="shared" si="6"/>
        <v>0</v>
      </c>
      <c r="AL20" s="78">
        <f t="shared" si="8"/>
        <v>270283.18669728428</v>
      </c>
      <c r="AM20" s="93">
        <f>AD10</f>
        <v>0</v>
      </c>
      <c r="AQ20" t="s">
        <v>342</v>
      </c>
      <c r="AR20" t="s">
        <v>1003</v>
      </c>
      <c r="AS20">
        <v>0</v>
      </c>
      <c r="AT20">
        <v>0</v>
      </c>
      <c r="AU20">
        <v>0</v>
      </c>
      <c r="AV20">
        <v>0</v>
      </c>
      <c r="AX20" s="856" t="s">
        <v>83</v>
      </c>
      <c r="AY20" s="93">
        <v>-67.431749999999994</v>
      </c>
      <c r="BA20" t="s">
        <v>83</v>
      </c>
      <c r="BB20">
        <v>-67.431749999999994</v>
      </c>
    </row>
    <row r="21" spans="1:54" ht="24.75" customHeight="1">
      <c r="A21" t="s">
        <v>401</v>
      </c>
      <c r="B21" s="206" t="s">
        <v>68</v>
      </c>
      <c r="C21" s="496">
        <f>AVERAGE(U85:U88)</f>
        <v>0</v>
      </c>
      <c r="D21" s="299">
        <f>SUM(V85:V88)</f>
        <v>0</v>
      </c>
      <c r="E21" s="299">
        <f>SUM(W85:W88)</f>
        <v>0</v>
      </c>
      <c r="F21" s="299">
        <f>INDEX('РЕЕСТР РИСКОВ_2023'!$F$39:$AT$272,MATCH(Check!B21,'РЕЕСТР РИСКОВ_2023'!$F$39:$F$272,0),41)</f>
        <v>0</v>
      </c>
      <c r="G21" s="258">
        <f t="shared" si="0"/>
        <v>0</v>
      </c>
      <c r="H21" s="258">
        <f t="shared" si="1"/>
        <v>0</v>
      </c>
      <c r="I21" s="258"/>
      <c r="J21" s="258"/>
      <c r="M21" s="126" t="e">
        <f>IF('INHERENT MAP'!#REF!="КАТЕГОРИЯ",'INHERENT MAP'!#REF!,'INHERENT MAP'!#REF!)</f>
        <v>#REF!</v>
      </c>
      <c r="N21" s="126" t="e">
        <f>IF('INHERENT MAP'!#REF!="КАТЕГОРИЯ",'INHERENT MAP'!#REF!,'INHERENT MAP'!#REF!)</f>
        <v>#REF!</v>
      </c>
      <c r="O21" s="126"/>
      <c r="P21" s="126" t="s">
        <v>139</v>
      </c>
      <c r="Q21" s="126" t="e">
        <f>IF(#REF!="КАТЕГОРИЯ",#REF!,#REF!)</f>
        <v>#REF!</v>
      </c>
      <c r="S21" s="205" t="s">
        <v>342</v>
      </c>
      <c r="T21" s="331" t="s">
        <v>1003</v>
      </c>
      <c r="U21" s="210">
        <f>IFERROR(INDEX('РЕЕСТР РИСКОВ_2023'!$K$39:$AQ$272,MATCH(Check!T21,'РЕЕСТР РИСКОВ_2023'!$K$39:$K$272,0),19),"")</f>
        <v>0</v>
      </c>
      <c r="V21" s="211">
        <f>IFERROR(INDEX('РЕЕСТР РИСКОВ_2023'!$K$39:$AQ$272,MATCH(Check!T21,'РЕЕСТР РИСКОВ_2023'!$K$39:$K$272,0),20),"")</f>
        <v>0</v>
      </c>
      <c r="W21" s="211">
        <f>IFERROR(INDEX('РЕЕСТР РИСКОВ_2023'!$K$39:$AQ$272,MATCH(Check!T21,'РЕЕСТР РИСКОВ_2023'!$K$39:$K$272,0),21),"")</f>
        <v>0</v>
      </c>
      <c r="X21" s="211">
        <f>IFERROR(INDEX('РЕЕСТР РИСКОВ_2023'!$K$39:$AT$272,MATCH(Check!T21,'РЕЕСТР РИСКОВ_2023'!$K$39:$K$272,0),36),"")</f>
        <v>0</v>
      </c>
      <c r="Y21" t="s">
        <v>614</v>
      </c>
      <c r="Z21" s="358" t="s">
        <v>937</v>
      </c>
      <c r="AA21" s="360" t="str">
        <f t="shared" si="4"/>
        <v>ВЕРОЯТНОСТЬ  1  ВЛИЯНИЕ  1</v>
      </c>
      <c r="AB21" s="210">
        <f>IFERROR(INDEX('РЕЕСТР РИСКОВ_2023'!$K$39:$AQ$272,MATCH(Check!Z21,'РЕЕСТР РИСКОВ_2023'!$Q$39:$Q$272,0),14),"")</f>
        <v>0</v>
      </c>
      <c r="AC21" s="264">
        <f>IFERROR(INDEX('РЕЕСТР РИСКОВ_2023'!$K$39:$AQ$272,MATCH(Check!Z21,'РЕЕСТР РИСКОВ_2023'!$Q$39:$Q$272,0),15),"")</f>
        <v>0</v>
      </c>
      <c r="AD21" s="264">
        <f>IFERROR(INDEX('РЕЕСТР РИСКОВ_2023'!$K$39:$AQ$272,MATCH(Check!Z21,'РЕЕСТР РИСКОВ_2023'!$Q$39:$Q$272,0),16),"")</f>
        <v>0</v>
      </c>
      <c r="AE21" s="264">
        <f>IFERROR(INDEX('РЕЕСТР РИСКОВ_2023'!$K$39:$AQ$272,MATCH(Check!Z86,'РЕЕСТР РИСКОВ_2023'!$Q$39:$Q$272,0),30),"")</f>
        <v>0</v>
      </c>
      <c r="AI21" t="str">
        <f>AI8</f>
        <v>ПЛАН @Risk</v>
      </c>
      <c r="AJ21" s="93">
        <f>'РЕЕСТР РИСКОВ_2023'!P51</f>
        <v>267918.75653440494</v>
      </c>
      <c r="AK21" s="93">
        <f t="shared" si="6"/>
        <v>0</v>
      </c>
      <c r="AL21" s="78">
        <f t="shared" si="8"/>
        <v>270283.18669728428</v>
      </c>
      <c r="AM21" s="93">
        <f>AC13</f>
        <v>0</v>
      </c>
      <c r="AQ21" t="s">
        <v>379</v>
      </c>
      <c r="AR21" t="s">
        <v>314</v>
      </c>
      <c r="AS21">
        <v>0.2</v>
      </c>
      <c r="AT21">
        <v>-7200</v>
      </c>
      <c r="AU21">
        <v>-1440</v>
      </c>
      <c r="AV21">
        <v>-1440</v>
      </c>
      <c r="AX21" s="856" t="s">
        <v>66</v>
      </c>
      <c r="AY21" s="93">
        <v>0</v>
      </c>
      <c r="BA21" t="s">
        <v>66</v>
      </c>
      <c r="BB21">
        <v>0</v>
      </c>
    </row>
    <row r="22" spans="1:54" ht="24.75" customHeight="1">
      <c r="A22" t="s">
        <v>945</v>
      </c>
      <c r="B22" s="204" t="s">
        <v>66</v>
      </c>
      <c r="C22" s="207">
        <f>INDEX('РЕЕСТР РИСКОВ_2023'!$F$39:$AQ$272,MATCH(Check!B22,'РЕЕСТР РИСКОВ_2023'!$F$39:$F$272,0),24)</f>
        <v>0.4</v>
      </c>
      <c r="D22" s="299">
        <f>INDEX('РЕЕСТР РИСКОВ_2023'!$F$39:$AQ$272,MATCH(Check!B22,'РЕЕСТР РИСКОВ_2023'!$F$39:$F$272,0),25)</f>
        <v>0</v>
      </c>
      <c r="E22" s="299">
        <f>INDEX('РЕЕСТР РИСКОВ_2023'!$F$39:$AQ$272,MATCH(Check!B22,'РЕЕСТР РИСКОВ_2023'!$F$39:$F$272,0),26)</f>
        <v>0</v>
      </c>
      <c r="F22" s="299">
        <f>INDEX('РЕЕСТР РИСКОВ_2023'!$F$39:$AT$272,MATCH(Check!B22,'РЕЕСТР РИСКОВ_2023'!$F$39:$F$272,0),41)</f>
        <v>0</v>
      </c>
      <c r="G22" s="258">
        <f t="shared" si="0"/>
        <v>0</v>
      </c>
      <c r="H22" s="258">
        <f t="shared" si="1"/>
        <v>0</v>
      </c>
      <c r="I22" s="258"/>
      <c r="J22" s="258"/>
      <c r="M22" s="126" t="e">
        <f>IF('INHERENT MAP'!#REF!="КАТЕГОРИЯ",'INHERENT MAP'!L29,'INHERENT MAP'!M29)</f>
        <v>#REF!</v>
      </c>
      <c r="N22" s="126" t="e">
        <f>IF('INHERENT MAP'!#REF!="КАТЕГОРИЯ",'INHERENT MAP'!#REF!,'INHERENT MAP'!#REF!)</f>
        <v>#REF!</v>
      </c>
      <c r="O22" s="126"/>
      <c r="P22" s="126" t="s">
        <v>123</v>
      </c>
      <c r="Q22" s="126" t="e">
        <f>IF(#REF!="КАТЕГОРИЯ",#REF!,#REF!)</f>
        <v>#REF!</v>
      </c>
      <c r="S22" s="205" t="s">
        <v>379</v>
      </c>
      <c r="T22" s="334" t="s">
        <v>314</v>
      </c>
      <c r="U22" s="210">
        <f>IFERROR(INDEX('РЕЕСТР РИСКОВ_2023'!$K$39:$AQ$272,MATCH(Check!T22,'РЕЕСТР РИСКОВ_2023'!$K$39:$K$272,0),19),"")</f>
        <v>0.2</v>
      </c>
      <c r="V22" s="211">
        <f>IFERROR(INDEX('РЕЕСТР РИСКОВ_2023'!$K$39:$AQ$272,MATCH(Check!T22,'РЕЕСТР РИСКОВ_2023'!$K$39:$K$272,0),20),"")</f>
        <v>-7200</v>
      </c>
      <c r="W22" s="211">
        <f>IFERROR(INDEX('РЕЕСТР РИСКОВ_2023'!$K$39:$AQ$272,MATCH(Check!T22,'РЕЕСТР РИСКОВ_2023'!$K$39:$K$272,0),21),"")</f>
        <v>-1440</v>
      </c>
      <c r="X22" s="211">
        <f>IFERROR(INDEX('РЕЕСТР РИСКОВ_2023'!$K$39:$AT$272,MATCH(Check!T22,'РЕЕСТР РИСКОВ_2023'!$K$39:$K$272,0),36),"")</f>
        <v>-1440</v>
      </c>
      <c r="Z22" s="358" t="s">
        <v>1622</v>
      </c>
      <c r="AA22" s="360" t="str">
        <f t="shared" si="4"/>
        <v>ВЕРОЯТНОСТЬ  1  ВЛИЯНИЕ  1</v>
      </c>
      <c r="AB22" s="210">
        <f>IFERROR(INDEX('РЕЕСТР РИСКОВ_2023'!$K$39:$AQ$272,MATCH(Check!Z22,'РЕЕСТР РИСКОВ_2023'!$Q$39:$Q$272,0),14),"")</f>
        <v>0</v>
      </c>
      <c r="AC22" s="264">
        <f>IFERROR(INDEX('РЕЕСТР РИСКОВ_2023'!$K$39:$AQ$272,MATCH(Check!Z22,'РЕЕСТР РИСКОВ_2023'!$Q$39:$Q$272,0),15),"")</f>
        <v>0</v>
      </c>
      <c r="AD22" s="264">
        <f>IFERROR(INDEX('РЕЕСТР РИСКОВ_2023'!$K$39:$AQ$272,MATCH(Check!Z22,'РЕЕСТР РИСКОВ_2023'!$Q$39:$Q$272,0),16),"")</f>
        <v>0</v>
      </c>
      <c r="AE22" s="264">
        <f>IFERROR(INDEX('РЕЕСТР РИСКОВ_2023'!$K$39:$AQ$272,MATCH(Check!Z22,'РЕЕСТР РИСКОВ_2023'!$Q$39:$Q$272,0),30),"")</f>
        <v>0</v>
      </c>
      <c r="AJ22" s="93">
        <f t="shared" si="7"/>
        <v>270283.18669728428</v>
      </c>
      <c r="AK22" s="93">
        <f t="shared" si="6"/>
        <v>1</v>
      </c>
      <c r="AL22" s="78">
        <f t="shared" si="8"/>
        <v>270284.18669728428</v>
      </c>
      <c r="AM22" s="93">
        <f>AC14</f>
        <v>1</v>
      </c>
      <c r="AQ22" t="s">
        <v>379</v>
      </c>
      <c r="AR22" t="s">
        <v>937</v>
      </c>
      <c r="AS22">
        <v>0</v>
      </c>
      <c r="AT22">
        <v>0</v>
      </c>
      <c r="AU22">
        <v>0</v>
      </c>
      <c r="AV22">
        <v>0</v>
      </c>
      <c r="AX22" s="856" t="s">
        <v>82</v>
      </c>
      <c r="AY22" s="93">
        <v>0</v>
      </c>
      <c r="BA22" t="s">
        <v>82</v>
      </c>
      <c r="BB22">
        <v>0</v>
      </c>
    </row>
    <row r="23" spans="1:54" ht="24.75" customHeight="1">
      <c r="A23" t="s">
        <v>1250</v>
      </c>
      <c r="B23" s="204" t="s">
        <v>838</v>
      </c>
      <c r="C23" s="207">
        <v>0.05</v>
      </c>
      <c r="D23" s="299">
        <f>INDEX('РЕЕСТР РИСКОВ_2023'!$F$39:$AQ$272,MATCH(Check!B23,'РЕЕСТР РИСКОВ_2023'!$F$39:$F$272,0),25)</f>
        <v>0</v>
      </c>
      <c r="E23" s="299">
        <f>INDEX('РЕЕСТР РИСКОВ_2023'!$F$39:$AQ$272,MATCH(Check!B23,'РЕЕСТР РИСКОВ_2023'!$F$39:$F$272,0),26)</f>
        <v>0</v>
      </c>
      <c r="F23" s="299">
        <f>INDEX('РЕЕСТР РИСКОВ_2023'!$F$39:$AT$272,MATCH(Check!B23,'РЕЕСТР РИСКОВ_2023'!$F$39:$F$272,0),41)</f>
        <v>0</v>
      </c>
      <c r="G23" s="258">
        <f t="shared" si="0"/>
        <v>0</v>
      </c>
      <c r="H23" s="258">
        <f t="shared" si="1"/>
        <v>0</v>
      </c>
      <c r="I23" s="258"/>
      <c r="J23" s="258"/>
      <c r="M23" s="126" t="e">
        <f>IF('INHERENT MAP'!#REF!="КАТЕГОРИЯ",'INHERENT MAP'!L30,'INHERENT MAP'!M30)</f>
        <v>#REF!</v>
      </c>
      <c r="N23" s="126" t="str">
        <f ca="1">IF('INHERENT MAP'!U40="КАТЕГОРИЯ",'INHERENT MAP'!S40,'INHERENT MAP'!T40)</f>
        <v>Кибер-хищения денежных средств группы компаний АО «НК «КТЖ», при организации удаленной формы работы для работников, имеющих право подписи по платежам (в системе Банк-клиент)</v>
      </c>
      <c r="O23" s="126"/>
      <c r="P23" s="126" t="s">
        <v>124</v>
      </c>
      <c r="Q23" s="126" t="e">
        <f>IF(#REF!="КАТЕГОРИЯ",#REF!,#REF!)</f>
        <v>#REF!</v>
      </c>
      <c r="S23" s="205" t="s">
        <v>379</v>
      </c>
      <c r="T23" s="334" t="s">
        <v>937</v>
      </c>
      <c r="U23" s="210">
        <f>IFERROR(INDEX('РЕЕСТР РИСКОВ_2023'!$K$39:$AQ$272,MATCH(Check!T23,'РЕЕСТР РИСКОВ_2023'!$K$39:$K$272,0),19),"")</f>
        <v>0</v>
      </c>
      <c r="V23" s="211">
        <f>IFERROR(INDEX('РЕЕСТР РИСКОВ_2023'!$K$39:$AQ$272,MATCH(Check!T23,'РЕЕСТР РИСКОВ_2023'!$K$39:$K$272,0),20),"")</f>
        <v>0</v>
      </c>
      <c r="W23" s="211">
        <f>IFERROR(INDEX('РЕЕСТР РИСКОВ_2023'!$K$39:$AQ$272,MATCH(Check!T23,'РЕЕСТР РИСКОВ_2023'!$K$39:$K$272,0),21),"")</f>
        <v>0</v>
      </c>
      <c r="X23" s="211">
        <f>IFERROR(INDEX('РЕЕСТР РИСКОВ_2023'!$K$39:$AT$272,MATCH(Check!T23,'РЕЕСТР РИСКОВ_2023'!$K$39:$K$272,0),36),"")</f>
        <v>0</v>
      </c>
      <c r="Y23" t="s">
        <v>615</v>
      </c>
      <c r="Z23" s="358" t="s">
        <v>1619</v>
      </c>
      <c r="AA23" s="360" t="str">
        <f t="shared" si="4"/>
        <v>ВЕРОЯТНОСТЬ  1  ВЛИЯНИЕ  1</v>
      </c>
      <c r="AB23" s="210">
        <f>IFERROR(INDEX('РЕЕСТР РИСКОВ_2023'!$K$39:$AQ$272,MATCH(Check!Z23,'РЕЕСТР РИСКОВ_2023'!$Q$39:$Q$272,0),14),"")</f>
        <v>0</v>
      </c>
      <c r="AC23" s="264">
        <f>IFERROR(INDEX('РЕЕСТР РИСКОВ_2023'!$K$39:$AQ$272,MATCH(Check!Z23,'РЕЕСТР РИСКОВ_2023'!$Q$39:$Q$272,0),15),"")</f>
        <v>0</v>
      </c>
      <c r="AD23" s="264">
        <f>IFERROR(INDEX('РЕЕСТР РИСКОВ_2023'!$K$39:$AQ$272,MATCH(Check!Z23,'РЕЕСТР РИСКОВ_2023'!$Q$39:$Q$272,0),16),"")</f>
        <v>0</v>
      </c>
      <c r="AE23" s="264" t="str">
        <f>IFERROR(INDEX('РЕЕСТР РИСКОВ_2023'!$K$39:$AQ$272,MATCH(Check!Z50,'РЕЕСТР РИСКОВ_2023'!$Q$39:$Q$272,0),30),"")</f>
        <v/>
      </c>
      <c r="AJ23" s="93">
        <f t="shared" si="7"/>
        <v>270284.18669728428</v>
      </c>
      <c r="AK23" s="93">
        <f t="shared" si="6"/>
        <v>0</v>
      </c>
      <c r="AL23" s="78">
        <f t="shared" si="8"/>
        <v>270284.18669728428</v>
      </c>
      <c r="AM23" s="93">
        <f>AC15</f>
        <v>0</v>
      </c>
      <c r="AQ23" t="s">
        <v>453</v>
      </c>
      <c r="AR23" t="s">
        <v>454</v>
      </c>
      <c r="AS23">
        <v>0.79098794711789855</v>
      </c>
      <c r="AT23">
        <v>-58443.916999999994</v>
      </c>
      <c r="AU23">
        <v>-46228.433929358849</v>
      </c>
      <c r="AV23">
        <v>-40922.550965373004</v>
      </c>
      <c r="AX23" s="856" t="s">
        <v>1393</v>
      </c>
      <c r="AY23" s="93">
        <v>0</v>
      </c>
      <c r="BA23" t="s">
        <v>1393</v>
      </c>
      <c r="BB23">
        <v>0</v>
      </c>
    </row>
    <row r="24" spans="1:54" ht="24.75" customHeight="1">
      <c r="A24" t="s">
        <v>1251</v>
      </c>
      <c r="B24" s="204" t="s">
        <v>844</v>
      </c>
      <c r="C24" s="207">
        <f>INDEX('РЕЕСТР РИСКОВ_2023'!$F$39:$AQ$272,MATCH(Check!B24,'РЕЕСТР РИСКОВ_2023'!$F$39:$F$272,0),24)</f>
        <v>0</v>
      </c>
      <c r="D24" s="299">
        <f>INDEX('РЕЕСТР РИСКОВ_2023'!$F$39:$AQ$272,MATCH(Check!B24,'РЕЕСТР РИСКОВ_2023'!$F$39:$F$272,0),25)</f>
        <v>0</v>
      </c>
      <c r="E24" s="299">
        <f>INDEX('РЕЕСТР РИСКОВ_2023'!$F$39:$AQ$272,MATCH(Check!B24,'РЕЕСТР РИСКОВ_2023'!$F$39:$F$272,0),26)</f>
        <v>0</v>
      </c>
      <c r="F24" s="299">
        <f>INDEX('РЕЕСТР РИСКОВ_2023'!$F$39:$AT$272,MATCH(Check!B24,'РЕЕСТР РИСКОВ_2023'!$F$39:$F$272,0),41)</f>
        <v>0</v>
      </c>
      <c r="G24" s="258">
        <f t="shared" si="0"/>
        <v>0</v>
      </c>
      <c r="H24" s="258">
        <f t="shared" si="1"/>
        <v>0</v>
      </c>
      <c r="I24" s="258"/>
      <c r="J24" s="258"/>
      <c r="M24" s="126" t="e">
        <f>IF('INHERENT MAP'!#REF!="КАТЕГОРИЯ",'INHERENT MAP'!L31,'INHERENT MAP'!M31)</f>
        <v>#REF!</v>
      </c>
      <c r="N24" s="126" t="e">
        <f>IF('INHERENT MAP'!#REF!="КАТЕГОРИЯ",'INHERENT MAP'!#REF!,'INHERENT MAP'!#REF!)</f>
        <v>#REF!</v>
      </c>
      <c r="O24" s="126"/>
      <c r="P24" s="126" t="s">
        <v>42</v>
      </c>
      <c r="Q24" s="126" t="e">
        <f>IF(#REF!="КАТЕГОРИЯ",#REF!,#REF!)</f>
        <v>#REF!</v>
      </c>
      <c r="S24" s="205" t="s">
        <v>453</v>
      </c>
      <c r="T24" s="332" t="s">
        <v>454</v>
      </c>
      <c r="U24" s="210">
        <f>IFERROR(INDEX('РЕЕСТР РИСКОВ_2023'!$K$39:$AQ$272,MATCH(Check!T24,'РЕЕСТР РИСКОВ_2023'!$K$39:$K$272,0),19),"")</f>
        <v>0.79098794711789855</v>
      </c>
      <c r="V24" s="211">
        <f>IFERROR(INDEX('РЕЕСТР РИСКОВ_2023'!$K$39:$AQ$272,MATCH(Check!T24,'РЕЕСТР РИСКОВ_2023'!$K$39:$K$272,0),20),"")</f>
        <v>-58443.916999999994</v>
      </c>
      <c r="W24" s="211">
        <f>IFERROR(INDEX('РЕЕСТР РИСКОВ_2023'!$K$39:$AQ$272,MATCH(Check!T24,'РЕЕСТР РИСКОВ_2023'!$K$39:$K$272,0),21),"")</f>
        <v>-46228.433929358849</v>
      </c>
      <c r="X24" s="211">
        <f>IFERROR(INDEX('РЕЕСТР РИСКОВ_2023'!$K$39:$AT$272,MATCH(Check!T24,'РЕЕСТР РИСКОВ_2023'!$K$39:$K$272,0),36),"")</f>
        <v>-40922.550965373004</v>
      </c>
      <c r="Z24" s="358" t="s">
        <v>922</v>
      </c>
      <c r="AA24" s="360" t="str">
        <f t="shared" si="4"/>
        <v>ВЕРОЯТНОСТЬ  1  ВЛИЯНИЕ  1</v>
      </c>
      <c r="AB24" s="210">
        <f>IFERROR(INDEX('РЕЕСТР РИСКОВ_2023'!$K$39:$AQ$272,MATCH(Check!Z24,'РЕЕСТР РИСКОВ_2023'!$Q$39:$Q$272,0),14),"")</f>
        <v>0</v>
      </c>
      <c r="AC24" s="264">
        <f>IFERROR(INDEX('РЕЕСТР РИСКОВ_2023'!$K$39:$AQ$272,MATCH(Check!Z24,'РЕЕСТР РИСКОВ_2023'!$Q$39:$Q$272,0),15),"")</f>
        <v>0.8</v>
      </c>
      <c r="AD24" s="264">
        <f>IFERROR(INDEX('РЕЕСТР РИСКОВ_2023'!$K$39:$AQ$272,MATCH(Check!Z24,'РЕЕСТР РИСКОВ_2023'!$Q$39:$Q$272,0),16),"")</f>
        <v>-2186.0450000000001</v>
      </c>
      <c r="AE24" s="264">
        <f>IFERROR(INDEX('РЕЕСТР РИСКОВ_2023'!$K$39:$AQ$272,MATCH(Check!Z24,'РЕЕСТР РИСКОВ_2023'!$Q$39:$Q$272,0),30),"")</f>
        <v>0.4</v>
      </c>
      <c r="AJ24" s="93">
        <f t="shared" si="7"/>
        <v>270284.18669728428</v>
      </c>
      <c r="AK24">
        <v>0</v>
      </c>
      <c r="AL24" s="78">
        <f t="shared" si="8"/>
        <v>270285.18669728428</v>
      </c>
      <c r="AM24" s="93">
        <f>AC16</f>
        <v>1</v>
      </c>
      <c r="AQ24" t="s">
        <v>453</v>
      </c>
      <c r="AR24" t="s">
        <v>1032</v>
      </c>
      <c r="AS24">
        <v>0.8</v>
      </c>
      <c r="AT24">
        <v>-50644.1</v>
      </c>
      <c r="AU24">
        <v>-40515.279999999999</v>
      </c>
      <c r="AV24">
        <v>-40515.279999999999</v>
      </c>
      <c r="AX24" s="856" t="s">
        <v>78</v>
      </c>
      <c r="AY24" s="93">
        <v>0</v>
      </c>
      <c r="BA24" t="s">
        <v>78</v>
      </c>
      <c r="BB24">
        <v>0</v>
      </c>
    </row>
    <row r="25" spans="1:54" ht="24.75" customHeight="1">
      <c r="A25" t="s">
        <v>1254</v>
      </c>
      <c r="B25" s="204" t="s">
        <v>845</v>
      </c>
      <c r="C25" s="207">
        <f>INDEX('РЕЕСТР РИСКОВ_2023'!$F$39:$AQ$272,MATCH(Check!B25,'РЕЕСТР РИСКОВ_2023'!$F$39:$F$272,0),24)</f>
        <v>0.4</v>
      </c>
      <c r="D25" s="299">
        <f>INDEX('РЕЕСТР РИСКОВ_2023'!$F$39:$AQ$272,MATCH(Check!B25,'РЕЕСТР РИСКОВ_2023'!$F$39:$F$272,0),25)</f>
        <v>0</v>
      </c>
      <c r="E25" s="299">
        <f>INDEX('РЕЕСТР РИСКОВ_2023'!$F$39:$AQ$272,MATCH(Check!B25,'РЕЕСТР РИСКОВ_2023'!$F$39:$F$272,0),26)</f>
        <v>0</v>
      </c>
      <c r="F25" s="299">
        <f>INDEX('РЕЕСТР РИСКОВ_2023'!$F$39:$AT$272,MATCH(Check!B25,'РЕЕСТР РИСКОВ_2023'!$F$39:$F$272,0),41)</f>
        <v>0</v>
      </c>
      <c r="G25" s="258">
        <f t="shared" si="0"/>
        <v>0</v>
      </c>
      <c r="H25" s="258">
        <f t="shared" si="1"/>
        <v>0</v>
      </c>
      <c r="I25" s="258"/>
      <c r="J25" s="258"/>
      <c r="M25" s="126" t="str">
        <f>IF('INHERENT MAP'!N29="КАТЕГОРИЯ",'INHERENT MAP'!L32,'INHERENT MAP'!M32)</f>
        <v>Ценовой тарифный риск по вагонной составляющей (оперирование вагонами)</v>
      </c>
      <c r="N25" s="126">
        <f>IF('INHERENT MAP'!U47="КАТЕГОРИЯ",'INHERENT MAP'!S47,'INHERENT MAP'!T47)</f>
        <v>0</v>
      </c>
      <c r="O25" s="126"/>
      <c r="P25" s="126" t="s">
        <v>44</v>
      </c>
      <c r="Q25" s="126" t="e">
        <f>IF(#REF!="КАТЕГОРИЯ",#REF!,#REF!)</f>
        <v>#REF!</v>
      </c>
      <c r="S25" s="205" t="s">
        <v>453</v>
      </c>
      <c r="T25" s="332" t="s">
        <v>1032</v>
      </c>
      <c r="U25" s="210">
        <f>IFERROR(INDEX('РЕЕСТР РИСКОВ_2023'!$K$39:$AQ$272,MATCH(Check!T25,'РЕЕСТР РИСКОВ_2023'!$K$39:$K$272,0),19),"")</f>
        <v>0.8</v>
      </c>
      <c r="V25" s="211">
        <f>IFERROR(INDEX('РЕЕСТР РИСКОВ_2023'!$K$39:$AQ$272,MATCH(Check!T25,'РЕЕСТР РИСКОВ_2023'!$K$39:$K$272,0),20),"")</f>
        <v>-50644.1</v>
      </c>
      <c r="W25" s="211">
        <f>IFERROR(INDEX('РЕЕСТР РИСКОВ_2023'!$K$39:$AQ$272,MATCH(Check!T25,'РЕЕСТР РИСКОВ_2023'!$K$39:$K$272,0),21),"")</f>
        <v>-40515.279999999999</v>
      </c>
      <c r="X25" s="211">
        <f>IFERROR(INDEX('РЕЕСТР РИСКОВ_2023'!$K$39:$AT$272,MATCH(Check!T25,'РЕЕСТР РИСКОВ_2023'!$K$39:$K$272,0),36),"")</f>
        <v>-40515.279999999999</v>
      </c>
      <c r="Z25" s="359" t="s">
        <v>483</v>
      </c>
      <c r="AA25" s="360" t="str">
        <f t="shared" si="4"/>
        <v>ВЕРОЯТНОСТЬ  1  ВЛИЯНИЕ  1</v>
      </c>
      <c r="AB25" s="210">
        <f>IFERROR(INDEX('РЕЕСТР РИСКОВ_2023'!$K$39:$AQ$272,MATCH(Check!Z25,'РЕЕСТР РИСКОВ_2023'!$Q$39:$Q$272,0),14),"")</f>
        <v>0</v>
      </c>
      <c r="AC25" s="264">
        <f>IFERROR(INDEX('РЕЕСТР РИСКОВ_2023'!$K$39:$AQ$272,MATCH(Check!Z25,'РЕЕСТР РИСКОВ_2023'!$Q$39:$Q$272,0),15),"")</f>
        <v>0.75</v>
      </c>
      <c r="AD25" s="264">
        <f>IFERROR(INDEX('РЕЕСТР РИСКОВ_2023'!$K$39:$AQ$272,MATCH(Check!Z25,'РЕЕСТР РИСКОВ_2023'!$Q$39:$Q$272,0),16),"")</f>
        <v>-1.0000000000000001E-5</v>
      </c>
      <c r="AE25" s="264">
        <f>IFERROR(INDEX('РЕЕСТР РИСКОВ_2023'!$K$39:$AQ$272,MATCH(Check!Z25,'РЕЕСТР РИСКОВ_2023'!$Q$39:$Q$272,0),30),"")</f>
        <v>0.375</v>
      </c>
      <c r="AJ25" s="93">
        <f t="shared" si="7"/>
        <v>270285.18669728428</v>
      </c>
      <c r="AQ25" t="s">
        <v>453</v>
      </c>
      <c r="AR25" t="s">
        <v>456</v>
      </c>
      <c r="AS25">
        <v>0.8</v>
      </c>
      <c r="AT25">
        <v>4079.9831719453787</v>
      </c>
      <c r="AU25">
        <v>3263.9865375563031</v>
      </c>
      <c r="AV25">
        <v>-78</v>
      </c>
      <c r="AX25" s="856" t="s">
        <v>1367</v>
      </c>
      <c r="AY25" s="93">
        <v>0</v>
      </c>
      <c r="BA25" t="s">
        <v>1367</v>
      </c>
      <c r="BB25">
        <v>0</v>
      </c>
    </row>
    <row r="26" spans="1:54" ht="22.5" customHeight="1">
      <c r="A26" t="s">
        <v>1255</v>
      </c>
      <c r="B26" s="204" t="s">
        <v>846</v>
      </c>
      <c r="C26" s="207">
        <f>INDEX('РЕЕСТР РИСКОВ_2023'!$F$39:$AQ$285,MATCH(Check!B26,'РЕЕСТР РИСКОВ_2023'!$F$39:$F$285,0),24)</f>
        <v>0.4</v>
      </c>
      <c r="D26" s="299">
        <f>INDEX('РЕЕСТР РИСКОВ_2023'!$F$39:$AQ$285,MATCH(Check!B26,'РЕЕСТР РИСКОВ_2023'!$F$39:$F$285,0),25)</f>
        <v>0</v>
      </c>
      <c r="E26" s="299">
        <f>INDEX('РЕЕСТР РИСКОВ_2023'!$F$39:$AQ$285,MATCH(Check!B26,'РЕЕСТР РИСКОВ_2023'!$F$39:$F$285,0),26)</f>
        <v>0</v>
      </c>
      <c r="F26" s="299">
        <f>INDEX('РЕЕСТР РИСКОВ_2023'!$F$39:$AT$285,MATCH(Check!B26,'РЕЕСТР РИСКОВ_2023'!$F$39:$F$285,0),41)</f>
        <v>0</v>
      </c>
      <c r="G26" s="258">
        <f t="shared" ref="G26:G31" si="9">IF(E26&gt;0,E26,E26*(-1))</f>
        <v>0</v>
      </c>
      <c r="H26" s="258">
        <f t="shared" ref="H26:H31" si="10">IF(F26&gt;0,F26,F26*(-1))</f>
        <v>0</v>
      </c>
      <c r="M26" s="126" t="e">
        <f ca="1">IF('INHERENT MAP'!N30="КАТЕГОРИЯ",'INHERENT MAP'!#REF!,'INHERENT MAP'!#REF!)</f>
        <v>#REF!</v>
      </c>
      <c r="N26" s="126" t="str">
        <f ca="1">IF('INHERENT MAP'!U48="КАТЕГОРИЯ",'INHERENT MAP'!S48,'INHERENT MAP'!T48)</f>
        <v>Риск разрыва ликвидности</v>
      </c>
      <c r="O26" s="126"/>
      <c r="P26" s="126" t="s">
        <v>54</v>
      </c>
      <c r="Q26" s="126" t="e">
        <f>IF(#REF!="КАТЕГОРИЯ",#REF!,#REF!)</f>
        <v>#REF!</v>
      </c>
      <c r="S26" s="205" t="s">
        <v>453</v>
      </c>
      <c r="T26" s="332" t="s">
        <v>456</v>
      </c>
      <c r="U26" s="210">
        <f>IFERROR(INDEX('РЕЕСТР РИСКОВ_2023'!$K$39:$AQ$272,MATCH(Check!T26,'РЕЕСТР РИСКОВ_2023'!$K$39:$K$272,0),19),"")</f>
        <v>0.8</v>
      </c>
      <c r="V26" s="211">
        <f>IFERROR(INDEX('РЕЕСТР РИСКОВ_2023'!$K$39:$AQ$272,MATCH(Check!T26,'РЕЕСТР РИСКОВ_2023'!$K$39:$K$272,0),20),"")</f>
        <v>4079.9831719453787</v>
      </c>
      <c r="W26" s="211">
        <f>IFERROR(INDEX('РЕЕСТР РИСКОВ_2023'!$K$39:$AQ$272,MATCH(Check!T26,'РЕЕСТР РИСКОВ_2023'!$K$39:$K$272,0),21),"")</f>
        <v>3263.9865375563031</v>
      </c>
      <c r="X26" s="211">
        <v>-78</v>
      </c>
      <c r="Z26" s="361" t="s">
        <v>484</v>
      </c>
      <c r="AA26" s="360" t="str">
        <f t="shared" si="4"/>
        <v>ВЕРОЯТНОСТЬ  1  ВЛИЯНИЕ  1</v>
      </c>
      <c r="AB26" s="210">
        <f>IFERROR(INDEX('РЕЕСТР РИСКОВ_2023'!$K$39:$AQ$272,MATCH(Check!Z26,'РЕЕСТР РИСКОВ_2023'!$Q$39:$Q$272,0),14),"")</f>
        <v>0</v>
      </c>
      <c r="AC26" s="264">
        <f>IFERROR(INDEX('РЕЕСТР РИСКОВ_2023'!$K$39:$AQ$272,MATCH(Check!Z26,'РЕЕСТР РИСКОВ_2023'!$Q$39:$Q$272,0),15),"")</f>
        <v>0.7</v>
      </c>
      <c r="AD26" s="264">
        <f>IFERROR(INDEX('РЕЕСТР РИСКОВ_2023'!$K$39:$AQ$272,MATCH(Check!Z26,'РЕЕСТР РИСКОВ_2023'!$Q$39:$Q$272,0),16),"")</f>
        <v>-1427</v>
      </c>
      <c r="AE26" s="264">
        <f>IFERROR(INDEX('РЕЕСТР РИСКОВ_2023'!$K$39:$AQ$272,MATCH(Check!Z26,'РЕЕСТР РИСКОВ_2023'!$Q$39:$Q$272,0),30),"")</f>
        <v>0.35</v>
      </c>
      <c r="AQ26" t="s">
        <v>76</v>
      </c>
      <c r="AR26" t="s">
        <v>123</v>
      </c>
      <c r="AS26">
        <v>0.6</v>
      </c>
      <c r="AT26">
        <v>-49815.520000000019</v>
      </c>
      <c r="AU26">
        <v>-29889.312000000009</v>
      </c>
      <c r="AV26">
        <v>-18680.820000000007</v>
      </c>
      <c r="AX26" s="856" t="s">
        <v>845</v>
      </c>
      <c r="AY26" s="93">
        <v>0</v>
      </c>
      <c r="BA26" t="s">
        <v>845</v>
      </c>
      <c r="BB26">
        <v>0</v>
      </c>
    </row>
    <row r="27" spans="1:54" ht="24.75" customHeight="1">
      <c r="A27" t="s">
        <v>1252</v>
      </c>
      <c r="B27" s="204" t="s">
        <v>1384</v>
      </c>
      <c r="C27" s="207">
        <f>INDEX('РЕЕСТР РИСКОВ_2023'!$F$39:$AQ$285,MATCH(Check!B27,'РЕЕСТР РИСКОВ_2023'!$F$39:$F$285,0),24)</f>
        <v>0.4</v>
      </c>
      <c r="D27" s="299">
        <f>INDEX('РЕЕСТР РИСКОВ_2023'!$F$39:$AQ$285,MATCH(Check!B27,'РЕЕСТР РИСКОВ_2023'!$F$39:$F$285,0),25)</f>
        <v>-13600</v>
      </c>
      <c r="E27" s="299">
        <f>INDEX('РЕЕСТР РИСКОВ_2023'!$F$39:$AQ$285,MATCH(Check!B27,'РЕЕСТР РИСКОВ_2023'!$F$39:$F$285,0),26)</f>
        <v>-5440</v>
      </c>
      <c r="F27" s="299">
        <f>INDEX('РЕЕСТР РИСКОВ_2023'!$F$39:$AT$285,MATCH(Check!B27,'РЕЕСТР РИСКОВ_2023'!$F$39:$F$285,0),41)</f>
        <v>-1632</v>
      </c>
      <c r="G27" s="258">
        <f t="shared" si="9"/>
        <v>5440</v>
      </c>
      <c r="H27" s="258">
        <f t="shared" si="10"/>
        <v>1632</v>
      </c>
      <c r="M27" s="126">
        <f ca="1">IF('INHERENT MAP'!N31="КАТЕГОРИЯ",'INHERENT MAP'!L33,'INHERENT MAP'!M33)</f>
        <v>0</v>
      </c>
      <c r="N27" s="126">
        <f>IF('INHERENT MAP'!U49="КАТЕГОРИЯ",'INHERENT MAP'!S49,'INHERENT MAP'!T49)</f>
        <v>0</v>
      </c>
      <c r="O27" s="126"/>
      <c r="P27" s="126" t="s">
        <v>56</v>
      </c>
      <c r="Q27" s="126" t="e">
        <f>IF(#REF!="КАТЕГОРИЯ",#REF!,#REF!)</f>
        <v>#REF!</v>
      </c>
      <c r="S27" s="205" t="s">
        <v>76</v>
      </c>
      <c r="T27" s="341" t="s">
        <v>123</v>
      </c>
      <c r="U27" s="210">
        <f>IFERROR(INDEX('РЕЕСТР РИСКОВ_2023'!$K$39:$AQ$272,MATCH(Check!T27,'РЕЕСТР РИСКОВ_2023'!$K$39:$K$272,0),19),"")</f>
        <v>0.6</v>
      </c>
      <c r="V27" s="211">
        <f>IFERROR(INDEX('РЕЕСТР РИСКОВ_2023'!$K$39:$AQ$272,MATCH(Check!T27,'РЕЕСТР РИСКОВ_2023'!$K$39:$K$272,0),20),"")</f>
        <v>-49815.520000000019</v>
      </c>
      <c r="W27" s="211">
        <f>IFERROR(INDEX('РЕЕСТР РИСКОВ_2023'!$K$39:$AQ$272,MATCH(Check!T27,'РЕЕСТР РИСКОВ_2023'!$K$39:$K$272,0),21),"")</f>
        <v>-29889.312000000009</v>
      </c>
      <c r="X27" s="211">
        <f>IFERROR(INDEX('РЕЕСТР РИСКОВ_2023'!$K$39:$AT$272,MATCH(Check!T27,'РЕЕСТР РИСКОВ_2023'!$K$39:$K$272,0),36),"")</f>
        <v>-18680.820000000007</v>
      </c>
      <c r="Z27" s="361" t="s">
        <v>486</v>
      </c>
      <c r="AA27" s="360" t="str">
        <f t="shared" si="4"/>
        <v>ВЕРОЯТНОСТЬ  5  ВЛИЯНИЕ  1</v>
      </c>
      <c r="AB27" s="210" t="str">
        <f>IFERROR(INDEX('РЕЕСТР РИСКОВ_2023'!$K$39:$AQ$272,MATCH(Check!Z27,'РЕЕСТР РИСКОВ_2023'!$Q$39:$Q$272,0),14),"")</f>
        <v xml:space="preserve">Доля КДТС на рынке переработки вагонов, 4,8%   Доля КДТС на рынке переработки контейнеров, 37% </v>
      </c>
      <c r="AC27" s="264">
        <f>IFERROR(INDEX('РЕЕСТР РИСКОВ_2023'!$K$39:$AQ$272,MATCH(Check!Z27,'РЕЕСТР РИСКОВ_2023'!$Q$39:$Q$272,0),15),"")</f>
        <v>0.7</v>
      </c>
      <c r="AD27" s="264">
        <f>IFERROR(INDEX('РЕЕСТР РИСКОВ_2023'!$K$39:$AQ$272,MATCH(Check!Z27,'РЕЕСТР РИСКОВ_2023'!$Q$39:$Q$272,0),16),"")</f>
        <v>0</v>
      </c>
      <c r="AE27" s="264">
        <f>IFERROR(INDEX('РЕЕСТР РИСКОВ_2023'!$K$39:$AQ$272,MATCH(Check!Z27,'РЕЕСТР РИСКОВ_2023'!$Q$39:$Q$272,0),30),"")</f>
        <v>0.35</v>
      </c>
      <c r="AQ27" t="s">
        <v>71</v>
      </c>
      <c r="AR27" t="s">
        <v>124</v>
      </c>
      <c r="AS27">
        <v>0.41197943030932727</v>
      </c>
      <c r="AT27">
        <v>-1043.307</v>
      </c>
      <c r="AU27">
        <v>-429.82102349773334</v>
      </c>
      <c r="AV27">
        <v>-19.319438928231531</v>
      </c>
      <c r="AX27" s="856" t="s">
        <v>846</v>
      </c>
      <c r="AY27" s="93">
        <v>0</v>
      </c>
      <c r="BA27" t="s">
        <v>846</v>
      </c>
      <c r="BB27">
        <v>0</v>
      </c>
    </row>
    <row r="28" spans="1:54" ht="33.75" customHeight="1">
      <c r="A28" t="s">
        <v>1253</v>
      </c>
      <c r="B28" s="401" t="s">
        <v>1393</v>
      </c>
      <c r="C28" s="207">
        <f>INDEX('РЕЕСТР РИСКОВ_2023'!$F$39:$AQ$285,MATCH(Check!B28,'РЕЕСТР РИСКОВ_2023'!$F$39:$F$285,0),24)</f>
        <v>0.05</v>
      </c>
      <c r="D28" s="299">
        <f>INDEX('РЕЕСТР РИСКОВ_2023'!$F$39:$AQ$285,MATCH(Check!B28,'РЕЕСТР РИСКОВ_2023'!$F$39:$F$285,0),25)</f>
        <v>0</v>
      </c>
      <c r="E28" s="299">
        <f>INDEX('РЕЕСТР РИСКОВ_2023'!$F$39:$AQ$285,MATCH(Check!B28,'РЕЕСТР РИСКОВ_2023'!$F$39:$F$285,0),26)</f>
        <v>0</v>
      </c>
      <c r="F28" s="299">
        <f>INDEX('РЕЕСТР РИСКОВ_2023'!$F$39:$AT$285,MATCH(Check!B28,'РЕЕСТР РИСКОВ_2023'!$F$39:$F$285,0),41)</f>
        <v>0</v>
      </c>
      <c r="G28" s="258">
        <f t="shared" si="9"/>
        <v>0</v>
      </c>
      <c r="H28" s="258">
        <f t="shared" si="10"/>
        <v>0</v>
      </c>
      <c r="M28" s="126" t="str">
        <f ca="1">IF('INHERENT MAP'!N32="КАТЕГОРИЯ",'INHERENT MAP'!L34,'INHERENT MAP'!M34)</f>
        <v>Баланс активов и обязательств</v>
      </c>
      <c r="N28" s="126" t="str">
        <f ca="1">IF('INHERENT MAP'!U50="КАТЕГОРИЯ",'INHERENT MAP'!S50,'INHERENT MAP'!T50)</f>
        <v>Потеря  временно-свободных денежных средств при размещении (в долгосрочные финансовые инструменты) в банки второго уровня</v>
      </c>
      <c r="O28" s="126"/>
      <c r="P28" s="126" t="s">
        <v>45</v>
      </c>
      <c r="Q28" s="126" t="e">
        <f>IF(#REF!="КАТЕГОРИЯ",#REF!,#REF!)</f>
        <v>#REF!</v>
      </c>
      <c r="S28" s="206" t="s">
        <v>71</v>
      </c>
      <c r="T28" s="336" t="s">
        <v>124</v>
      </c>
      <c r="U28" s="210">
        <f>IFERROR(INDEX('РЕЕСТР РИСКОВ_2023'!$K$39:$AQ$272,MATCH(Check!T28,'РЕЕСТР РИСКОВ_2023'!$K$39:$K$272,0),19),"")</f>
        <v>0.41197943030932727</v>
      </c>
      <c r="V28" s="211">
        <f>IFERROR(INDEX('РЕЕСТР РИСКОВ_2023'!$K$39:$AQ$272,MATCH(Check!T28,'РЕЕСТР РИСКОВ_2023'!$K$39:$K$272,0),20),"")</f>
        <v>-1043.307</v>
      </c>
      <c r="W28" s="211">
        <f>IFERROR(INDEX('РЕЕСТР РИСКОВ_2023'!$K$39:$AQ$272,MATCH(Check!T28,'РЕЕСТР РИСКОВ_2023'!$K$39:$K$272,0),21),"")</f>
        <v>-429.82102349773334</v>
      </c>
      <c r="X28" s="211">
        <f>IFERROR(INDEX('РЕЕСТР РИСКОВ_2023'!$K$39:$AT$272,MATCH(Check!T28,'РЕЕСТР РИСКОВ_2023'!$K$39:$K$272,0),36),"")</f>
        <v>-19.319438928231531</v>
      </c>
      <c r="Y28" s="126"/>
      <c r="Z28" s="361" t="s">
        <v>573</v>
      </c>
      <c r="AA28" s="360" t="str">
        <f t="shared" si="4"/>
        <v>ВЕРОЯТНОСТЬ  5  ВЛИЯНИЕ  1</v>
      </c>
      <c r="AB28" s="210" t="str">
        <f>IFERROR(INDEX('РЕЕСТР РИСКОВ_2023'!$K$39:$AQ$272,MATCH(Check!Z28,'РЕЕСТР РИСКОВ_2023'!$Q$39:$Q$272,0),14),"")</f>
        <v/>
      </c>
      <c r="AC28" s="264" t="str">
        <f>IFERROR(INDEX('РЕЕСТР РИСКОВ_2023'!$K$39:$AQ$272,MATCH(Check!Z28,'РЕЕСТР РИСКОВ_2023'!$Q$39:$Q$272,0),15),"")</f>
        <v/>
      </c>
      <c r="AD28" s="264" t="str">
        <f>IFERROR(INDEX('РЕЕСТР РИСКОВ_2023'!$K$39:$AQ$272,MATCH(Check!Z28,'РЕЕСТР РИСКОВ_2023'!$Q$39:$Q$272,0),16),"")</f>
        <v/>
      </c>
      <c r="AE28" s="264" t="str">
        <f>IFERROR(INDEX('РЕЕСТР РИСКОВ_2023'!$K$39:$AQ$272,MATCH(Check!Z28,'РЕЕСТР РИСКОВ_2023'!$Q$39:$Q$272,0),30),"")</f>
        <v/>
      </c>
      <c r="AQ28" t="s">
        <v>71</v>
      </c>
      <c r="AR28" t="s">
        <v>605</v>
      </c>
      <c r="AS28">
        <v>0</v>
      </c>
      <c r="AT28">
        <v>0</v>
      </c>
      <c r="AU28">
        <v>0</v>
      </c>
      <c r="AV28">
        <v>0</v>
      </c>
      <c r="AX28" s="856" t="s">
        <v>68</v>
      </c>
      <c r="AY28" s="93">
        <v>0</v>
      </c>
      <c r="BA28" t="s">
        <v>68</v>
      </c>
      <c r="BB28">
        <v>0</v>
      </c>
    </row>
    <row r="29" spans="1:54" ht="26.25" customHeight="1">
      <c r="A29" t="s">
        <v>1381</v>
      </c>
      <c r="B29" s="401" t="s">
        <v>402</v>
      </c>
      <c r="C29" s="207">
        <f>INDEX('РЕЕСТР РИСКОВ_2023'!$F$39:$AQ$285,MATCH(Check!B29,'РЕЕСТР РИСКОВ_2023'!$F$39:$F$285,0),24)</f>
        <v>0.7</v>
      </c>
      <c r="D29" s="299">
        <f>INDEX('РЕЕСТР РИСКОВ_2023'!$F$39:$AQ$285,MATCH(Check!B29,'РЕЕСТР РИСКОВ_2023'!$F$39:$F$285,0),25)</f>
        <v>-88000</v>
      </c>
      <c r="E29" s="299">
        <f>INDEX('РЕЕСТР РИСКОВ_2023'!$F$39:$AQ$285,MATCH(Check!B29,'РЕЕСТР РИСКОВ_2023'!$F$39:$F$285,0),26)</f>
        <v>-61599.999999999993</v>
      </c>
      <c r="F29" s="299">
        <f>INDEX('РЕЕСТР РИСКОВ_2023'!$F$39:$AT$285,MATCH(Check!B29,'РЕЕСТР РИСКОВ_2023'!$F$39:$F$285,0),41)</f>
        <v>-43119.999999999993</v>
      </c>
      <c r="G29" s="258">
        <f t="shared" si="9"/>
        <v>61599.999999999993</v>
      </c>
      <c r="H29" s="258">
        <f t="shared" si="10"/>
        <v>43119.999999999993</v>
      </c>
      <c r="M29" s="126" t="e">
        <f>IF('INHERENT MAP'!#REF!="КАТЕГОРИЯ",'INHERENT MAP'!L36,'INHERENT MAP'!M36)</f>
        <v>#REF!</v>
      </c>
      <c r="N29" s="126" t="str">
        <f ca="1">IF('INHERENT MAP'!U51="КАТЕГОРИЯ",'INHERENT MAP'!S51,'INHERENT MAP'!T51)</f>
        <v>Невозврат дебиторской задолженности (Образование проблемной дебиторской задолженности)</v>
      </c>
      <c r="O29" s="126"/>
      <c r="P29" s="126" t="s">
        <v>39</v>
      </c>
      <c r="Q29" s="126" t="e">
        <f>IF(#REF!="КАТЕГОРИЯ",#REF!,#REF!)</f>
        <v>#REF!</v>
      </c>
      <c r="S29" s="206" t="s">
        <v>71</v>
      </c>
      <c r="T29" s="336" t="s">
        <v>605</v>
      </c>
      <c r="U29" s="210">
        <f>IFERROR(INDEX('РЕЕСТР РИСКОВ_2023'!$K$39:$AQ$272,MATCH(Check!T29,'РЕЕСТР РИСКОВ_2023'!$K$39:$K$272,0),19),"")</f>
        <v>0</v>
      </c>
      <c r="V29" s="211">
        <f>IFERROR(INDEX('РЕЕСТР РИСКОВ_2023'!$K$39:$AQ$272,MATCH(Check!T29,'РЕЕСТР РИСКОВ_2023'!$K$39:$K$272,0),20),"")</f>
        <v>0</v>
      </c>
      <c r="W29" s="211">
        <f>IFERROR(INDEX('РЕЕСТР РИСКОВ_2023'!$K$39:$AQ$272,MATCH(Check!T29,'РЕЕСТР РИСКОВ_2023'!$K$39:$K$272,0),21),"")</f>
        <v>0</v>
      </c>
      <c r="X29" s="211">
        <f>IFERROR(INDEX('РЕЕСТР РИСКОВ_2023'!$K$39:$AT$272,MATCH(Check!T29,'РЕЕСТР РИСКОВ_2023'!$K$39:$K$272,0),36),"")</f>
        <v>0</v>
      </c>
      <c r="Y29" t="s">
        <v>616</v>
      </c>
      <c r="Z29" s="362" t="s">
        <v>574</v>
      </c>
      <c r="AA29" s="360" t="str">
        <f t="shared" si="4"/>
        <v>ВЕРОЯТНОСТЬ  5  ВЛИЯНИЕ  1</v>
      </c>
      <c r="AB29" s="210" t="str">
        <f>IFERROR(INDEX('РЕЕСТР РИСКОВ_2023'!$K$39:$AQ$272,MATCH(Check!Z29,'РЕЕСТР РИСКОВ_2023'!$Q$39:$Q$272,0),14),"")</f>
        <v/>
      </c>
      <c r="AC29" s="264" t="str">
        <f>IFERROR(INDEX('РЕЕСТР РИСКОВ_2023'!$K$39:$AQ$272,MATCH(Check!Z29,'РЕЕСТР РИСКОВ_2023'!$Q$39:$Q$272,0),15),"")</f>
        <v/>
      </c>
      <c r="AD29" s="264" t="str">
        <f>IFERROR(INDEX('РЕЕСТР РИСКОВ_2023'!$K$39:$AQ$272,MATCH(Check!Z29,'РЕЕСТР РИСКОВ_2023'!$Q$39:$Q$272,0),16),"")</f>
        <v/>
      </c>
      <c r="AE29" s="264">
        <f>IFERROR(INDEX('РЕЕСТР РИСКОВ_2023'!$K$39:$AQ$272,MATCH(Check!Z36,'РЕЕСТР РИСКОВ_2023'!$Q$39:$Q$272,0),30),"")</f>
        <v>0</v>
      </c>
      <c r="AQ29" t="s">
        <v>71</v>
      </c>
      <c r="AR29" t="s">
        <v>630</v>
      </c>
      <c r="AS29">
        <v>0</v>
      </c>
      <c r="AT29">
        <v>0</v>
      </c>
      <c r="AU29">
        <v>0</v>
      </c>
      <c r="AV29">
        <v>0</v>
      </c>
      <c r="AX29" s="856" t="s">
        <v>838</v>
      </c>
      <c r="AY29" s="93">
        <v>0</v>
      </c>
      <c r="BA29" t="s">
        <v>838</v>
      </c>
      <c r="BB29">
        <v>0</v>
      </c>
    </row>
    <row r="30" spans="1:54" ht="24.75" customHeight="1">
      <c r="A30" t="s">
        <v>1382</v>
      </c>
      <c r="B30" s="401" t="s">
        <v>1367</v>
      </c>
      <c r="C30" s="207">
        <f>INDEX('РЕЕСТР РИСКОВ_2023'!$F$39:$AQ$285,MATCH(Check!B30,'РЕЕСТР РИСКОВ_2023'!$F$39:$F$285,0),24)</f>
        <v>0.5</v>
      </c>
      <c r="D30" s="299">
        <f>INDEX('РЕЕСТР РИСКОВ_2023'!$F$39:$AQ$285,MATCH(Check!B30,'РЕЕСТР РИСКОВ_2023'!$F$39:$F$285,0),25)</f>
        <v>0</v>
      </c>
      <c r="E30" s="299">
        <f>INDEX('РЕЕСТР РИСКОВ_2023'!$F$39:$AQ$285,MATCH(Check!B30,'РЕЕСТР РИСКОВ_2023'!$F$39:$F$285,0),26)</f>
        <v>0</v>
      </c>
      <c r="F30" s="299">
        <f>INDEX('РЕЕСТР РИСКОВ_2023'!$F$39:$AT$285,MATCH(Check!B30,'РЕЕСТР РИСКОВ_2023'!$F$39:$F$285,0),41)</f>
        <v>0</v>
      </c>
      <c r="G30" s="258">
        <f t="shared" si="9"/>
        <v>0</v>
      </c>
      <c r="H30" s="258">
        <f t="shared" si="10"/>
        <v>0</v>
      </c>
      <c r="M30" s="126" t="str">
        <f>IF('INHERENT MAP'!N33="КАТЕГОРИЯ",'INHERENT MAP'!L37,'INHERENT MAP'!M37)</f>
        <v>Риск низкого качества и несвоевременного планового ремонта подвижного состава (локомотивный парк и железнодорожный вагон)</v>
      </c>
      <c r="N30" s="126" t="e">
        <f>IF('INHERENT MAP'!#REF!="КАТЕГОРИЯ",'INHERENT MAP'!#REF!,'INHERENT MAP'!#REF!)</f>
        <v>#REF!</v>
      </c>
      <c r="O30" s="126"/>
      <c r="P30" s="126" t="s">
        <v>306</v>
      </c>
      <c r="Q30" s="126" t="e">
        <f>IF(#REF!="КАТЕГОРИЯ",#REF!,#REF!)</f>
        <v>#REF!</v>
      </c>
      <c r="S30" s="206" t="s">
        <v>71</v>
      </c>
      <c r="T30" s="336" t="s">
        <v>630</v>
      </c>
      <c r="U30" s="210">
        <f>IFERROR(INDEX('РЕЕСТР РИСКОВ_2023'!$K$39:$AQ$272,MATCH(Check!T30,'РЕЕСТР РИСКОВ_2023'!$K$39:$K$272,0),19),"")</f>
        <v>0</v>
      </c>
      <c r="V30" s="211">
        <f>IFERROR(INDEX('РЕЕСТР РИСКОВ_2023'!$K$39:$AQ$272,MATCH(Check!T30,'РЕЕСТР РИСКОВ_2023'!$K$39:$K$272,0),20),"")</f>
        <v>0</v>
      </c>
      <c r="W30" s="211">
        <f>IFERROR(INDEX('РЕЕСТР РИСКОВ_2023'!$K$39:$AQ$272,MATCH(Check!T30,'РЕЕСТР РИСКОВ_2023'!$K$39:$K$272,0),21),"")</f>
        <v>0</v>
      </c>
      <c r="X30" s="211">
        <f>IFERROR(INDEX('РЕЕСТР РИСКОВ_2023'!$K$39:$AT$272,MATCH(Check!T30,'РЕЕСТР РИСКОВ_2023'!$K$39:$K$272,0),36),"")</f>
        <v>0</v>
      </c>
      <c r="Y30" s="126"/>
      <c r="Z30" s="362" t="s">
        <v>493</v>
      </c>
      <c r="AA30" s="360" t="str">
        <f t="shared" si="4"/>
        <v>ВЕРОЯТНОСТЬ  1  ВЛИЯНИЕ  1</v>
      </c>
      <c r="AB30" s="210">
        <f>IFERROR(INDEX('РЕЕСТР РИСКОВ_2023'!$K$39:$AQ$272,MATCH(Check!Z30,'РЕЕСТР РИСКОВ_2023'!$Q$39:$Q$272,0),14),"")</f>
        <v>0</v>
      </c>
      <c r="AC30" s="264">
        <f>IFERROR(INDEX('РЕЕСТР РИСКОВ_2023'!$K$39:$AQ$272,MATCH(Check!Z30,'РЕЕСТР РИСКОВ_2023'!$Q$39:$Q$272,0),15),"")</f>
        <v>0</v>
      </c>
      <c r="AD30" s="264">
        <f>IFERROR(INDEX('РЕЕСТР РИСКОВ_2023'!$K$39:$AQ$272,MATCH(Check!Z30,'РЕЕСТР РИСКОВ_2023'!$Q$39:$Q$272,0),16),"")</f>
        <v>0</v>
      </c>
      <c r="AE30" s="264">
        <f>IFERROR(INDEX('РЕЕСТР РИСКОВ_2023'!$K$39:$AQ$272,MATCH(Check!Z30,'РЕЕСТР РИСКОВ_2023'!$Q$39:$Q$272,0),30),"")</f>
        <v>0</v>
      </c>
      <c r="AI30" s="1699" t="s">
        <v>842</v>
      </c>
      <c r="AJ30" s="1699"/>
      <c r="AK30" s="1699"/>
      <c r="AL30" s="1699"/>
      <c r="AM30" s="122"/>
      <c r="AQ30" t="s">
        <v>71</v>
      </c>
      <c r="AR30" t="s">
        <v>631</v>
      </c>
      <c r="AS30">
        <v>0</v>
      </c>
      <c r="AT30">
        <v>0</v>
      </c>
      <c r="AU30">
        <v>0</v>
      </c>
      <c r="AV30">
        <v>0</v>
      </c>
      <c r="AX30" s="856" t="s">
        <v>1490</v>
      </c>
      <c r="AY30" s="93">
        <v>37795</v>
      </c>
      <c r="BA30" t="s">
        <v>1490</v>
      </c>
      <c r="BB30">
        <v>37795</v>
      </c>
    </row>
    <row r="31" spans="1:54" ht="24.75" customHeight="1">
      <c r="A31" t="s">
        <v>1383</v>
      </c>
      <c r="B31" s="204" t="s">
        <v>87</v>
      </c>
      <c r="C31" s="207">
        <f>INDEX('РЕЕСТР РИСКОВ_2023'!$F$39:$AQ$285,MATCH(Check!B31,'РЕЕСТР РИСКОВ_2023'!$F$39:$F$285,0),24)</f>
        <v>0.4</v>
      </c>
      <c r="D31" s="299">
        <f>INDEX('РЕЕСТР РИСКОВ_2023'!$F$39:$AQ$285,MATCH(Check!B31,'РЕЕСТР РИСКОВ_2023'!$F$39:$F$285,0),25)</f>
        <v>-1800</v>
      </c>
      <c r="E31" s="299">
        <f>INDEX('РЕЕСТР РИСКОВ_2023'!$F$39:$AQ$285,MATCH(Check!B31,'РЕЕСТР РИСКОВ_2023'!$F$39:$F$285,0),26)</f>
        <v>-720</v>
      </c>
      <c r="F31" s="299">
        <f>INDEX('РЕЕСТР РИСКОВ_2023'!$F$39:$AT$285,MATCH(Check!B31,'РЕЕСТР РИСКОВ_2023'!$F$39:$F$285,0),41)</f>
        <v>-216</v>
      </c>
      <c r="G31" s="258">
        <f t="shared" si="9"/>
        <v>720</v>
      </c>
      <c r="H31" s="258">
        <f t="shared" si="10"/>
        <v>216</v>
      </c>
      <c r="M31" s="126" t="str">
        <f ca="1">IF('INHERENT MAP'!N34="КАТЕГОРИЯ",'INHERENT MAP'!L40,'INHERENT MAP'!M40)</f>
        <v>Критический износ/дефицит пассажирских вагонов</v>
      </c>
      <c r="N31" s="126">
        <f ca="1">IF('INHERENT MAP'!AC32="КАТЕГОРИЯ",'INHERENT MAP'!AA9,'INHERENT MAP'!AB9)</f>
        <v>0</v>
      </c>
      <c r="O31" s="126"/>
      <c r="P31" s="126" t="s">
        <v>321</v>
      </c>
      <c r="Q31" s="126" t="e">
        <f>IF(#REF!="КАТЕГОРИЯ",#REF!,#REF!)</f>
        <v>#REF!</v>
      </c>
      <c r="S31" s="206" t="s">
        <v>71</v>
      </c>
      <c r="T31" s="336" t="s">
        <v>631</v>
      </c>
      <c r="U31" s="210">
        <f>IFERROR(INDEX('РЕЕСТР РИСКОВ_2023'!$K$39:$AQ$272,MATCH(Check!T31,'РЕЕСТР РИСКОВ_2023'!$K$39:$K$272,0),19),"")</f>
        <v>0</v>
      </c>
      <c r="V31" s="211">
        <f>IFERROR(INDEX('РЕЕСТР РИСКОВ_2023'!$K$39:$AQ$272,MATCH(Check!T31,'РЕЕСТР РИСКОВ_2023'!$K$39:$K$272,0),20),"")</f>
        <v>0</v>
      </c>
      <c r="W31" s="211">
        <f>IFERROR(INDEX('РЕЕСТР РИСКОВ_2023'!$K$39:$AQ$272,MATCH(Check!T31,'РЕЕСТР РИСКОВ_2023'!$K$39:$K$272,0),21),"")</f>
        <v>0</v>
      </c>
      <c r="X31" s="211">
        <f>IFERROR(INDEX('РЕЕСТР РИСКОВ_2023'!$K$39:$AT$272,MATCH(Check!T31,'РЕЕСТР РИСКОВ_2023'!$K$39:$K$272,0),36),"")</f>
        <v>0</v>
      </c>
      <c r="Z31" s="362" t="s">
        <v>728</v>
      </c>
      <c r="AA31" s="360" t="str">
        <f t="shared" si="4"/>
        <v>ВЕРОЯТНОСТЬ  5  ВЛИЯНИЕ  1</v>
      </c>
      <c r="AB31" s="210" t="str">
        <f>IFERROR(INDEX('РЕЕСТР РИСКОВ_2023'!$K$39:$AQ$272,MATCH(Check!Z31,'РЕЕСТР РИСКОВ_2023'!$Q$39:$Q$272,0),14),"")</f>
        <v/>
      </c>
      <c r="AC31" s="264" t="str">
        <f>IFERROR(INDEX('РЕЕСТР РИСКОВ_2023'!$K$39:$AQ$272,MATCH(Check!Z31,'РЕЕСТР РИСКОВ_2023'!$Q$39:$Q$272,0),15),"")</f>
        <v/>
      </c>
      <c r="AD31" s="264" t="str">
        <f>IFERROR(INDEX('РЕЕСТР РИСКОВ_2023'!$K$39:$AQ$272,MATCH(Check!Z31,'РЕЕСТР РИСКОВ_2023'!$Q$39:$Q$272,0),16),"")</f>
        <v/>
      </c>
      <c r="AE31" s="264" t="str">
        <f>IFERROR(INDEX('РЕЕСТР РИСКОВ_2023'!$K$39:$AQ$272,MATCH(Check!Z31,'РЕЕСТР РИСКОВ_2023'!$Q$39:$Q$272,0),30),"")</f>
        <v/>
      </c>
      <c r="AI31" t="str">
        <f>AI17</f>
        <v>ПЛАН</v>
      </c>
      <c r="AJ31" s="78">
        <f>'РЕЕСТР РИСКОВ_2023'!L60</f>
        <v>150762</v>
      </c>
      <c r="AL31" s="78">
        <f>AJ31</f>
        <v>150762</v>
      </c>
      <c r="AQ31" t="s">
        <v>71</v>
      </c>
      <c r="AR31" t="s">
        <v>44</v>
      </c>
      <c r="AS31">
        <v>0</v>
      </c>
      <c r="AT31">
        <v>0</v>
      </c>
      <c r="AU31">
        <v>0</v>
      </c>
      <c r="AV31">
        <v>0</v>
      </c>
      <c r="AX31" s="856" t="s">
        <v>1673</v>
      </c>
      <c r="AY31" s="93">
        <v>-365571.784845413</v>
      </c>
    </row>
    <row r="32" spans="1:54" ht="24.75" customHeight="1">
      <c r="K32" s="258"/>
      <c r="L32" s="258"/>
      <c r="M32" s="126" t="str">
        <f>IF('INHERENT MAP'!N36="КАТЕГОРИЯ",'INHERENT MAP'!L41,'INHERENT MAP'!M41)</f>
        <v>Несохранность груза</v>
      </c>
      <c r="N32" s="126" t="str">
        <f>IF('INHERENT MAP'!AC33="КАТЕГОРИЯ",'INHERENT MAP'!AA10,'INHERENT MAP'!AB10)</f>
        <v>Нарушения безопасности движения
Сход / столкновение  подвижного состава в поезде и при маневровой работе</v>
      </c>
      <c r="O32" s="126"/>
      <c r="P32" s="126" t="s">
        <v>322</v>
      </c>
      <c r="Q32" s="126" t="e">
        <f>IF(#REF!="КАТЕГОРИЯ",#REF!,#REF!)</f>
        <v>#REF!</v>
      </c>
      <c r="S32" s="206" t="s">
        <v>71</v>
      </c>
      <c r="T32" s="336" t="s">
        <v>44</v>
      </c>
      <c r="U32" s="210">
        <f>IFERROR(INDEX('РЕЕСТР РИСКОВ_2023'!$K$39:$AQ$272,MATCH(Check!T32,'РЕЕСТР РИСКОВ_2023'!$K$39:$K$272,0),19),"")</f>
        <v>0</v>
      </c>
      <c r="V32" s="211">
        <f>IFERROR(INDEX('РЕЕСТР РИСКОВ_2023'!$K$39:$AQ$272,MATCH(Check!T32,'РЕЕСТР РИСКОВ_2023'!$K$39:$K$272,0),20),"")</f>
        <v>0</v>
      </c>
      <c r="W32" s="211">
        <f>IFERROR(INDEX('РЕЕСТР РИСКОВ_2023'!$K$39:$AQ$272,MATCH(Check!T32,'РЕЕСТР РИСКОВ_2023'!$K$39:$K$272,0),21),"")</f>
        <v>0</v>
      </c>
      <c r="X32" s="211">
        <f>IFERROR(INDEX('РЕЕСТР РИСКОВ_2023'!$K$39:$AT$272,MATCH(Check!T32,'РЕЕСТР РИСКОВ_2023'!$K$39:$K$272,0),36),"")</f>
        <v>0</v>
      </c>
      <c r="Z32" s="359" t="s">
        <v>499</v>
      </c>
      <c r="AA32" s="360" t="str">
        <f t="shared" si="4"/>
        <v>ВЕРОЯТНОСТЬ  1  ВЛИЯНИЕ  1</v>
      </c>
      <c r="AB32" s="210">
        <f>IFERROR(INDEX('РЕЕСТР РИСКОВ_2023'!$K$39:$AQ$272,MATCH(Check!Z32,'РЕЕСТР РИСКОВ_2023'!$Q$39:$Q$272,0),14),"")</f>
        <v>0</v>
      </c>
      <c r="AC32" s="264">
        <f>IFERROR(INDEX('РЕЕСТР РИСКОВ_2023'!$K$39:$AQ$272,MATCH(Check!Z32,'РЕЕСТР РИСКОВ_2023'!$Q$39:$Q$272,0),15),"")</f>
        <v>0.8</v>
      </c>
      <c r="AD32" s="264">
        <f>IFERROR(INDEX('РЕЕСТР РИСКОВ_2023'!$K$39:$AQ$272,MATCH(Check!Z32,'РЕЕСТР РИСКОВ_2023'!$Q$39:$Q$272,0),16),"")</f>
        <v>0</v>
      </c>
      <c r="AE32" s="264">
        <f>IFERROR(INDEX('РЕЕСТР РИСКОВ_2023'!$K$39:$AQ$272,MATCH(Check!Z32,'РЕЕСТР РИСКОВ_2023'!$Q$39:$Q$272,0),30),"")</f>
        <v>0.4</v>
      </c>
      <c r="AH32" t="s">
        <v>880</v>
      </c>
      <c r="AI32" t="str">
        <f>IF($AH$1=TRUE,AH32,Z11)</f>
        <v>Снижение спроса со стороны грузоотправителей экспорта</v>
      </c>
      <c r="AJ32" s="93">
        <f>IF(AM32&gt;0,AL31,AL32)</f>
        <v>150762</v>
      </c>
      <c r="AK32" s="93">
        <f>IF(AM32&lt;0,AM32*(-1),AM32)</f>
        <v>0</v>
      </c>
      <c r="AL32" s="78">
        <f t="shared" ref="AL32:AL37" si="11">AL31+AM32</f>
        <v>150762</v>
      </c>
      <c r="AM32" s="93">
        <f>AD11</f>
        <v>0</v>
      </c>
      <c r="AQ32" t="s">
        <v>71</v>
      </c>
      <c r="AR32" t="s">
        <v>54</v>
      </c>
      <c r="AS32">
        <v>0</v>
      </c>
      <c r="AT32">
        <v>0</v>
      </c>
      <c r="AU32">
        <v>0</v>
      </c>
      <c r="AV32">
        <v>0</v>
      </c>
    </row>
    <row r="33" spans="1:48" ht="24.75" customHeight="1">
      <c r="K33" s="258"/>
      <c r="L33" s="258"/>
      <c r="M33" s="126" t="str">
        <f ca="1">IF('INHERENT MAP'!N37="КАТЕГОРИЯ",'INHERENT MAP'!L42,'INHERENT MAP'!M42)</f>
        <v>Мошенничество</v>
      </c>
      <c r="N33" s="126" t="str">
        <f ca="1">IF('INHERENT MAP'!AC34="КАТЕГОРИЯ",'INHERENT MAP'!AA11,'INHERENT MAP'!AB11)</f>
        <v xml:space="preserve">Предпосылки к нарушениям безопасности движения 
</v>
      </c>
      <c r="O33" s="126"/>
      <c r="P33" s="126" t="s">
        <v>323</v>
      </c>
      <c r="Q33" s="126" t="e">
        <f>IF(#REF!="КАТЕГОРИЯ",#REF!,#REF!)</f>
        <v>#REF!</v>
      </c>
      <c r="S33" s="206" t="s">
        <v>71</v>
      </c>
      <c r="T33" s="336" t="s">
        <v>54</v>
      </c>
      <c r="U33" s="210">
        <f>IFERROR(INDEX('РЕЕСТР РИСКОВ_2023'!$K$39:$AQ$272,MATCH(Check!T33,'РЕЕСТР РИСКОВ_2023'!$K$39:$K$272,0),19),"")</f>
        <v>0</v>
      </c>
      <c r="V33" s="211">
        <f>IFERROR(INDEX('РЕЕСТР РИСКОВ_2023'!$K$39:$AQ$272,MATCH(Check!T33,'РЕЕСТР РИСКОВ_2023'!$K$39:$K$272,0),20),"")</f>
        <v>0</v>
      </c>
      <c r="W33" s="211">
        <f>IFERROR(INDEX('РЕЕСТР РИСКОВ_2023'!$K$39:$AQ$272,MATCH(Check!T33,'РЕЕСТР РИСКОВ_2023'!$K$39:$K$272,0),21),"")</f>
        <v>0</v>
      </c>
      <c r="X33" s="211">
        <f>IFERROR(INDEX('РЕЕСТР РИСКОВ_2023'!$K$39:$AT$272,MATCH(Check!T33,'РЕЕСТР РИСКОВ_2023'!$K$39:$K$272,0),36),"")</f>
        <v>0</v>
      </c>
      <c r="Z33" s="358" t="s">
        <v>575</v>
      </c>
      <c r="AA33" s="360" t="str">
        <f t="shared" si="4"/>
        <v>ВЕРОЯТНОСТЬ  1  ВЛИЯНИЕ  1</v>
      </c>
      <c r="AB33" s="210">
        <f>IFERROR(INDEX('РЕЕСТР РИСКОВ_2023'!$K$39:$AQ$272,MATCH(Check!Z33,'РЕЕСТР РИСКОВ_2023'!$Q$39:$Q$272,0),14),"")</f>
        <v>0</v>
      </c>
      <c r="AC33" s="264">
        <f>IFERROR(INDEX('РЕЕСТР РИСКОВ_2023'!$K$39:$AQ$272,MATCH(Check!Z33,'РЕЕСТР РИСКОВ_2023'!$Q$39:$Q$272,0),15),"")</f>
        <v>0.4</v>
      </c>
      <c r="AD33" s="264">
        <f>IFERROR(INDEX('РЕЕСТР РИСКОВ_2023'!$K$39:$AQ$272,MATCH(Check!Z33,'РЕЕСТР РИСКОВ_2023'!$Q$39:$Q$272,0),16),"")</f>
        <v>-103</v>
      </c>
      <c r="AE33" s="264">
        <f>IFERROR(INDEX('РЕЕСТР РИСКОВ_2023'!$K$39:$AQ$272,MATCH(Check!Z33,'РЕЕСТР РИСКОВ_2023'!$Q$39:$Q$272,0),30),"")</f>
        <v>0.2</v>
      </c>
      <c r="AH33" t="s">
        <v>881</v>
      </c>
      <c r="AI33" t="str">
        <f>IF($AH$1=TRUE,AH33,Z12)</f>
        <v>Интермодальный риск от частного сектора (основные 2 конкурента ТТТ Сервис, Дар Рэйл)</v>
      </c>
      <c r="AJ33" s="93">
        <f>AL33</f>
        <v>140242</v>
      </c>
      <c r="AK33" s="93">
        <f>IF(AM33&lt;0,AM33*(-1),AM33)</f>
        <v>10520</v>
      </c>
      <c r="AL33" s="78">
        <f t="shared" si="11"/>
        <v>140242</v>
      </c>
      <c r="AM33" s="93">
        <f>AD12</f>
        <v>-10520</v>
      </c>
      <c r="AQ33" t="s">
        <v>71</v>
      </c>
      <c r="AR33" t="s">
        <v>56</v>
      </c>
      <c r="AS33">
        <v>0</v>
      </c>
      <c r="AT33">
        <v>0</v>
      </c>
      <c r="AU33">
        <v>0</v>
      </c>
      <c r="AV33">
        <v>0</v>
      </c>
    </row>
    <row r="34" spans="1:48" ht="24.75" customHeight="1">
      <c r="K34" s="258"/>
      <c r="L34" s="258"/>
      <c r="M34" s="126" t="str">
        <f ca="1">IF('INHERENT MAP'!N40="КАТЕГОРИЯ",'INHERENT MAP'!L43,'INHERENT MAP'!M43)</f>
        <v>Хищения</v>
      </c>
      <c r="N34" s="126" t="str">
        <f>IF('INHERENT MAP'!AC35="КАТЕГОРИЯ",'INHERENT MAP'!AA12,'INHERENT MAP'!AB12)</f>
        <v>Угроза жизни и здоровья сотрудников Компании</v>
      </c>
      <c r="O34" s="126"/>
      <c r="P34" s="126" t="s">
        <v>28</v>
      </c>
      <c r="Q34" s="126" t="e">
        <f>IF(#REF!="КАТЕГОРИЯ",#REF!,#REF!)</f>
        <v>#REF!</v>
      </c>
      <c r="S34" s="206" t="s">
        <v>71</v>
      </c>
      <c r="T34" s="336" t="s">
        <v>56</v>
      </c>
      <c r="U34" s="210">
        <f>IFERROR(INDEX('РЕЕСТР РИСКОВ_2023'!$K$39:$AQ$272,MATCH(Check!T34,'РЕЕСТР РИСКОВ_2023'!$K$39:$K$272,0),19),"")</f>
        <v>0</v>
      </c>
      <c r="V34" s="211">
        <f>IFERROR(INDEX('РЕЕСТР РИСКОВ_2023'!$K$39:$AQ$272,MATCH(Check!T34,'РЕЕСТР РИСКОВ_2023'!$K$39:$K$272,0),20),"")</f>
        <v>0</v>
      </c>
      <c r="W34" s="211">
        <f>IFERROR(INDEX('РЕЕСТР РИСКОВ_2023'!$K$39:$AQ$272,MATCH(Check!T34,'РЕЕСТР РИСКОВ_2023'!$K$39:$K$272,0),21),"")</f>
        <v>0</v>
      </c>
      <c r="X34" s="211">
        <f>IFERROR(INDEX('РЕЕСТР РИСКОВ_2023'!$K$39:$AT$272,MATCH(Check!T34,'РЕЕСТР РИСКОВ_2023'!$K$39:$K$272,0),36),"")</f>
        <v>0</v>
      </c>
      <c r="Z34" s="359" t="s">
        <v>1213</v>
      </c>
      <c r="AA34" s="360" t="str">
        <f t="shared" si="4"/>
        <v>ВЕРОЯТНОСТЬ  5  ВЛИЯНИЕ  1</v>
      </c>
      <c r="AB34" s="210" t="str">
        <f>IFERROR(INDEX('РЕЕСТР РИСКОВ_2023'!$K$39:$AQ$272,MATCH(Check!Z34,'РЕЕСТР РИСКОВ_2023'!$Q$39:$Q$272,0),14),"")</f>
        <v/>
      </c>
      <c r="AC34" s="264" t="str">
        <f>IFERROR(INDEX('РЕЕСТР РИСКОВ_2023'!$K$39:$AQ$272,MATCH(Check!Z34,'РЕЕСТР РИСКОВ_2023'!$Q$39:$Q$272,0),15),"")</f>
        <v/>
      </c>
      <c r="AD34" s="264" t="str">
        <f>IFERROR(INDEX('РЕЕСТР РИСКОВ_2023'!$K$39:$AQ$272,MATCH(Check!Z34,'РЕЕСТР РИСКОВ_2023'!$Q$39:$Q$272,0),16),"")</f>
        <v/>
      </c>
      <c r="AE34" s="264" t="str">
        <f>IFERROR(INDEX('РЕЕСТР РИСКОВ_2023'!$K$39:$AQ$272,MATCH(Check!Z34,'РЕЕСТР РИСКОВ_2023'!$Q$39:$Q$272,0),30),"")</f>
        <v/>
      </c>
      <c r="AH34" t="s">
        <v>882</v>
      </c>
      <c r="AI34" t="str">
        <f>IF($AH$1=TRUE,AH34,Z13)</f>
        <v>Внутримодальные риски от конкуренции со стороны железнодорожного сектора других государств (современные подвижные составы российских железных дорог и порожние маршруты обратного транзита)</v>
      </c>
      <c r="AJ34" s="93">
        <f>AL33</f>
        <v>140242</v>
      </c>
      <c r="AK34" s="93">
        <f>IF(AM34&lt;0,AM34*(-1),AM34)</f>
        <v>0</v>
      </c>
      <c r="AL34" s="78">
        <f t="shared" si="11"/>
        <v>140242</v>
      </c>
      <c r="AM34" s="93">
        <f>AD13</f>
        <v>0</v>
      </c>
      <c r="AQ34" t="s">
        <v>71</v>
      </c>
      <c r="AR34" t="s">
        <v>39</v>
      </c>
      <c r="AS34">
        <v>0</v>
      </c>
      <c r="AT34">
        <v>0</v>
      </c>
      <c r="AU34">
        <v>0</v>
      </c>
      <c r="AV34">
        <v>0</v>
      </c>
    </row>
    <row r="35" spans="1:48" ht="24.75" customHeight="1">
      <c r="K35" s="258"/>
      <c r="L35" s="258"/>
      <c r="M35" s="126" t="e">
        <f ca="1">IF('INHERENT MAP'!N41="КАТЕГОРИЯ",'INHERENT MAP'!#REF!,'INHERENT MAP'!#REF!)</f>
        <v>#REF!</v>
      </c>
      <c r="N35" s="126">
        <f ca="1">IF('INHERENT MAP'!AC36="КАТЕГОРИЯ",'INHERENT MAP'!AA13,'INHERENT MAP'!AB13)</f>
        <v>0</v>
      </c>
      <c r="O35" s="126"/>
      <c r="P35" s="126" t="s">
        <v>29</v>
      </c>
      <c r="Q35" s="126" t="e">
        <f>IF(#REF!="КАТЕГОРИЯ",#REF!,#REF!)</f>
        <v>#REF!</v>
      </c>
      <c r="S35" s="206" t="s">
        <v>71</v>
      </c>
      <c r="T35" s="336" t="s">
        <v>39</v>
      </c>
      <c r="U35" s="210">
        <f>IFERROR(INDEX('РЕЕСТР РИСКОВ_2023'!$K$39:$AQ$272,MATCH(Check!T35,'РЕЕСТР РИСКОВ_2023'!$K$39:$K$272,0),19),"")</f>
        <v>0</v>
      </c>
      <c r="V35" s="211">
        <f>IFERROR(INDEX('РЕЕСТР РИСКОВ_2023'!$K$39:$AQ$272,MATCH(Check!T35,'РЕЕСТР РИСКОВ_2023'!$K$39:$K$272,0),20),"")</f>
        <v>0</v>
      </c>
      <c r="W35" s="211">
        <f>IFERROR(INDEX('РЕЕСТР РИСКОВ_2023'!$K$39:$AQ$272,MATCH(Check!T35,'РЕЕСТР РИСКОВ_2023'!$K$39:$K$272,0),21),"")</f>
        <v>0</v>
      </c>
      <c r="X35" s="211">
        <f>IFERROR(INDEX('РЕЕСТР РИСКОВ_2023'!$K$39:$AT$272,MATCH(Check!T35,'РЕЕСТР РИСКОВ_2023'!$K$39:$K$272,0),36),"")</f>
        <v>0</v>
      </c>
      <c r="Z35" t="s">
        <v>563</v>
      </c>
      <c r="AA35" s="360" t="str">
        <f t="shared" si="4"/>
        <v>ВЕРОЯТНОСТЬ  1  ВЛИЯНИЕ  1</v>
      </c>
      <c r="AB35" s="210">
        <f>IFERROR(INDEX('РЕЕСТР РИСКОВ_2023'!$K$39:$AQ$272,MATCH(Check!Z35,'РЕЕСТР РИСКОВ_2023'!$Q$39:$Q$272,0),14),"")</f>
        <v>0</v>
      </c>
      <c r="AC35" s="264">
        <f>IFERROR(INDEX('РЕЕСТР РИСКОВ_2023'!$K$39:$AQ$272,MATCH(Check!Z35,'РЕЕСТР РИСКОВ_2023'!$Q$39:$Q$272,0),15),"")</f>
        <v>0.7</v>
      </c>
      <c r="AD35" s="264">
        <f>IFERROR(INDEX('РЕЕСТР РИСКОВ_2023'!$K$39:$AQ$272,MATCH(Check!Z35,'РЕЕСТР РИСКОВ_2023'!$Q$39:$Q$272,0),16),"")</f>
        <v>-109.69885023000001</v>
      </c>
      <c r="AE35" s="264">
        <f>IFERROR(INDEX('РЕЕСТР РИСКОВ_2023'!$K$39:$AQ$272,MATCH(Check!Z35,'РЕЕСТР РИСКОВ_2023'!$Q$39:$Q$272,0),30),"")</f>
        <v>0.7</v>
      </c>
      <c r="AH35" t="s">
        <v>883</v>
      </c>
      <c r="AI35" t="str">
        <f>IF($AH$1=TRUE,AH35,Z14)</f>
        <v>(A) Интермодальная конкуренция со стороны альтернативных видов транспорта (воздушный,автомобильный, водный транспорт)</v>
      </c>
      <c r="AJ35" s="93">
        <f>AL34</f>
        <v>140242</v>
      </c>
      <c r="AK35" s="93">
        <f>IF(AM35&lt;0,AM35*(-1),AM35)</f>
        <v>3654</v>
      </c>
      <c r="AL35" s="78">
        <f t="shared" si="11"/>
        <v>143896</v>
      </c>
      <c r="AM35" s="93">
        <f>AD14</f>
        <v>3654</v>
      </c>
      <c r="AQ35" t="s">
        <v>71</v>
      </c>
      <c r="AR35" t="s">
        <v>1407</v>
      </c>
      <c r="AS35">
        <v>0</v>
      </c>
      <c r="AT35">
        <v>0</v>
      </c>
      <c r="AU35">
        <v>0</v>
      </c>
      <c r="AV35">
        <v>0</v>
      </c>
    </row>
    <row r="36" spans="1:48" ht="24.75" customHeight="1">
      <c r="A36" s="301" t="s">
        <v>448</v>
      </c>
      <c r="K36" s="258"/>
      <c r="L36" s="258"/>
      <c r="M36" s="126" t="str">
        <f ca="1">IF('INHERENT MAP'!N42="КАТЕГОРИЯ",'INHERENT MAP'!L44,'INHERENT MAP'!M44)</f>
        <v>Процесс закупок</v>
      </c>
      <c r="N36" s="126" t="str">
        <f>IF('INHERENT MAP'!AC37="КАТЕГОРИЯ",'INHERENT MAP'!AA14,'INHERENT MAP'!AB14)</f>
        <v>Нарушения Трудового кодекса Республики Казахстан</v>
      </c>
      <c r="O36" s="126"/>
      <c r="P36" s="126" t="s">
        <v>385</v>
      </c>
      <c r="Q36" s="126" t="e">
        <f>IF(#REF!="КАТЕГОРИЯ",#REF!,#REF!)</f>
        <v>#REF!</v>
      </c>
      <c r="S36" s="206" t="s">
        <v>71</v>
      </c>
      <c r="T36" s="336" t="s">
        <v>1407</v>
      </c>
      <c r="U36" s="210">
        <f>IFERROR(INDEX('РЕЕСТР РИСКОВ_2023'!$K$39:$AQ$272,MATCH(Check!T36,'РЕЕСТР РИСКОВ_2023'!$K$39:$K$272,0),19),"")</f>
        <v>0</v>
      </c>
      <c r="V36" s="211">
        <f>IFERROR(INDEX('РЕЕСТР РИСКОВ_2023'!$K$39:$AQ$272,MATCH(Check!T36,'РЕЕСТР РИСКОВ_2023'!$K$39:$K$272,0),20),"")</f>
        <v>0</v>
      </c>
      <c r="W36" s="211">
        <f>IFERROR(INDEX('РЕЕСТР РИСКОВ_2023'!$K$39:$AQ$272,MATCH(Check!T36,'РЕЕСТР РИСКОВ_2023'!$K$39:$K$272,0),21),"")</f>
        <v>0</v>
      </c>
      <c r="X36" s="211">
        <f>IFERROR(INDEX('РЕЕСТР РИСКОВ_2023'!$K$39:$AT$272,MATCH(Check!T36,'РЕЕСТР РИСКОВ_2023'!$K$39:$K$272,0),36),"")</f>
        <v>0</v>
      </c>
      <c r="Z36" s="126" t="s">
        <v>999</v>
      </c>
      <c r="AA36" s="360" t="str">
        <f t="shared" si="4"/>
        <v>ВЕРОЯТНОСТЬ  1  ВЛИЯНИЕ  1</v>
      </c>
      <c r="AB36" s="210">
        <f>IFERROR(INDEX('РЕЕСТР РИСКОВ_2023'!$K$39:$AQ$272,MATCH(Check!Z36,'РЕЕСТР РИСКОВ_2023'!$Q$39:$Q$272,0),14),"")</f>
        <v>0</v>
      </c>
      <c r="AC36" s="264">
        <f>IFERROR(INDEX('РЕЕСТР РИСКОВ_2023'!$K$39:$AQ$272,MATCH(Check!Z36,'РЕЕСТР РИСКОВ_2023'!$Q$39:$Q$272,0),15),"")</f>
        <v>0.75</v>
      </c>
      <c r="AD36" s="264">
        <f>IFERROR(INDEX('РЕЕСТР РИСКОВ_2023'!$K$39:$AQ$272,MATCH(Check!Z36,'РЕЕСТР РИСКОВ_2023'!$Q$39:$Q$272,0),16),"")</f>
        <v>-6464.4030000000002</v>
      </c>
      <c r="AE36" s="264">
        <f>IFERROR(INDEX('РЕЕСТР РИСКОВ_2023'!$K$39:$AQ$272,MATCH(Check!Z53,'РЕЕСТР РИСКОВ_2023'!$Q$39:$Q$272,0),30),"")</f>
        <v>2.0644612652274481E-2</v>
      </c>
      <c r="AH36" t="s">
        <v>903</v>
      </c>
      <c r="AI36" t="str">
        <f>IF($AH$1=TRUE,AH36,T18)</f>
        <v>Субсидии на реализацию Национального Проекта "Сильные регионы - драйвер развития страны"</v>
      </c>
      <c r="AJ36" s="93">
        <f>AL36</f>
        <v>142441.60000000001</v>
      </c>
      <c r="AK36" s="93">
        <f>IF(AM36&lt;0,AM36*(-1),AM36)</f>
        <v>1454.3999999999999</v>
      </c>
      <c r="AL36" s="78">
        <f t="shared" si="11"/>
        <v>142441.60000000001</v>
      </c>
      <c r="AM36" s="93">
        <f>'РЕЕСТР РИСКОВ_2023'!AA106</f>
        <v>-1454.3999999999999</v>
      </c>
      <c r="AQ36" t="s">
        <v>69</v>
      </c>
      <c r="AR36" t="s">
        <v>467</v>
      </c>
      <c r="AS36">
        <v>0.52850938613764376</v>
      </c>
      <c r="AT36">
        <v>-13682.081210629633</v>
      </c>
      <c r="AU36">
        <v>-7231.1083417152568</v>
      </c>
      <c r="AV36">
        <v>-4187.696824450165</v>
      </c>
    </row>
    <row r="37" spans="1:48" ht="69.75" customHeight="1">
      <c r="A37" s="92" t="s">
        <v>111</v>
      </c>
      <c r="B37" s="302" t="s">
        <v>449</v>
      </c>
      <c r="C37" s="303" t="s">
        <v>450</v>
      </c>
      <c r="D37" s="303" t="s">
        <v>451</v>
      </c>
      <c r="E37" s="303" t="s">
        <v>452</v>
      </c>
      <c r="K37" s="258"/>
      <c r="L37" s="258"/>
      <c r="M37" s="126" t="e">
        <f>IF('INHERENT MAP'!#REF!="КАТЕГОРИЯ",'INHERENT MAP'!#REF!,'INHERENT MAP'!#REF!)</f>
        <v>#REF!</v>
      </c>
      <c r="N37" s="126" t="str">
        <f ca="1">IF('INHERENT MAP'!AC38="КАТЕГОРИЯ",'INHERENT MAP'!AA15,'INHERENT MAP'!AB15)</f>
        <v>Коррупция при приеме на работу</v>
      </c>
      <c r="O37" s="126"/>
      <c r="P37" s="126" t="s">
        <v>162</v>
      </c>
      <c r="Q37" s="126" t="e">
        <f>IF(#REF!="КАТЕГОРИЯ",#REF!,#REF!)</f>
        <v>#REF!</v>
      </c>
      <c r="S37" s="206" t="s">
        <v>69</v>
      </c>
      <c r="T37" s="341" t="s">
        <v>467</v>
      </c>
      <c r="U37" s="210">
        <f>IFERROR(INDEX('РЕЕСТР РИСКОВ_2023'!$K$39:$AQ$272,MATCH(Check!T37,'РЕЕСТР РИСКОВ_2023'!$K$39:$K$272,0),19),"")</f>
        <v>0.52850938613764376</v>
      </c>
      <c r="V37" s="211">
        <f>IFERROR(INDEX('РЕЕСТР РИСКОВ_2023'!$K$39:$AQ$272,MATCH(Check!T37,'РЕЕСТР РИСКОВ_2023'!$K$39:$K$272,0),20),"")</f>
        <v>-13682.081210629633</v>
      </c>
      <c r="W37" s="211">
        <f>IFERROR(INDEX('РЕЕСТР РИСКОВ_2023'!$K$39:$AQ$272,MATCH(Check!T37,'РЕЕСТР РИСКОВ_2023'!$K$39:$K$272,0),21),"")</f>
        <v>-7231.1083417152568</v>
      </c>
      <c r="X37" s="211">
        <f>IFERROR(INDEX('РЕЕСТР РИСКОВ_2023'!$K$39:$AT$272,MATCH(Check!T37,'РЕЕСТР РИСКОВ_2023'!$K$39:$K$272,0),36),"")</f>
        <v>-4187.696824450165</v>
      </c>
      <c r="Z37" t="s">
        <v>558</v>
      </c>
      <c r="AA37" s="360" t="str">
        <f t="shared" si="4"/>
        <v>ВЕРОЯТНОСТЬ  1  ВЛИЯНИЕ  1</v>
      </c>
      <c r="AB37" s="210">
        <f>IFERROR(INDEX('РЕЕСТР РИСКОВ_2023'!$K$39:$AQ$272,MATCH(Check!Z37,'РЕЕСТР РИСКОВ_2023'!$Q$39:$Q$272,0),14),"")</f>
        <v>0</v>
      </c>
      <c r="AC37" s="264">
        <f>IFERROR(INDEX('РЕЕСТР РИСКОВ_2023'!$K$39:$AQ$272,MATCH(Check!Z37,'РЕЕСТР РИСКОВ_2023'!$Q$39:$Q$272,0),15),"")</f>
        <v>0.6</v>
      </c>
      <c r="AD37" s="264">
        <f>IFERROR(INDEX('РЕЕСТР РИСКОВ_2023'!$K$39:$AQ$272,MATCH(Check!Z37,'РЕЕСТР РИСКОВ_2023'!$Q$39:$Q$272,0),16),"")</f>
        <v>-7659</v>
      </c>
      <c r="AE37" s="264">
        <f>IFERROR(INDEX('РЕЕСТР РИСКОВ_2023'!$K$39:$AQ$272,MATCH(Check!Z37,'РЕЕСТР РИСКОВ_2023'!$Q$39:$Q$272,0),30),"")</f>
        <v>0.3</v>
      </c>
      <c r="AI37" t="str">
        <f>AI8</f>
        <v>ПЛАН @Risk</v>
      </c>
      <c r="AJ37" s="93">
        <f>'РЕЕСТР РИСКОВ_2023'!P60</f>
        <v>141369.5302500985</v>
      </c>
      <c r="AK37" s="93">
        <v>0</v>
      </c>
      <c r="AL37" s="78">
        <f t="shared" si="11"/>
        <v>142441.60000000001</v>
      </c>
      <c r="AQ37" t="s">
        <v>69</v>
      </c>
      <c r="AR37" t="s">
        <v>468</v>
      </c>
      <c r="AS37">
        <v>0</v>
      </c>
      <c r="AT37">
        <v>0</v>
      </c>
      <c r="AU37">
        <v>0</v>
      </c>
      <c r="AV37">
        <v>0</v>
      </c>
    </row>
    <row r="38" spans="1:48" ht="21" customHeight="1">
      <c r="A38" s="92" t="s">
        <v>111</v>
      </c>
      <c r="B38" s="306" t="s">
        <v>384</v>
      </c>
      <c r="C38" s="304">
        <v>0.91529158816060485</v>
      </c>
      <c r="D38" s="299">
        <v>-12709.368900000001</v>
      </c>
      <c r="E38" s="299">
        <v>-11632.778445</v>
      </c>
      <c r="J38" s="258"/>
      <c r="K38" s="258"/>
      <c r="L38" s="126"/>
      <c r="M38" s="126" t="str">
        <f ca="1">IF('INHERENT MAP'!AC39="КАТЕГОРИЯ",'INHERENT MAP'!AA16,'INHERENT MAP'!AB16)</f>
        <v>Социальное недовольство со стороны работников</v>
      </c>
      <c r="N38" s="126"/>
      <c r="O38" s="126" t="s">
        <v>386</v>
      </c>
      <c r="P38" s="126" t="e">
        <f>IF(#REF!="КАТЕГОРИЯ",#REF!,#REF!)</f>
        <v>#REF!</v>
      </c>
      <c r="S38" s="206" t="s">
        <v>69</v>
      </c>
      <c r="T38" s="341" t="s">
        <v>468</v>
      </c>
      <c r="U38" s="210">
        <f>IFERROR(INDEX('РЕЕСТР РИСКОВ_2023'!$K$39:$AQ$272,MATCH(Check!T38,'РЕЕСТР РИСКОВ_2023'!$K$39:$K$272,0),19),"")</f>
        <v>0</v>
      </c>
      <c r="V38" s="211">
        <f>IFERROR(INDEX('РЕЕСТР РИСКОВ_2023'!$K$39:$AQ$272,MATCH(Check!T38,'РЕЕСТР РИСКОВ_2023'!$K$39:$K$272,0),20),"")</f>
        <v>0</v>
      </c>
      <c r="W38" s="211">
        <f>IFERROR(INDEX('РЕЕСТР РИСКОВ_2023'!$K$39:$AQ$272,MATCH(Check!T38,'РЕЕСТР РИСКОВ_2023'!$K$39:$K$272,0),21),"")</f>
        <v>0</v>
      </c>
      <c r="X38" s="211">
        <f>IFERROR(INDEX('РЕЕСТР РИСКОВ_2023'!$K$39:$AT$272,MATCH(Check!T38,'РЕЕСТР РИСКОВ_2023'!$K$39:$K$272,0),36),"")</f>
        <v>0</v>
      </c>
      <c r="Z38" t="s">
        <v>559</v>
      </c>
      <c r="AA38" s="360" t="str">
        <f t="shared" si="4"/>
        <v>ВЕРОЯТНОСТЬ  1  ВЛИЯНИЕ  1</v>
      </c>
      <c r="AB38" s="210">
        <f>IFERROR(INDEX('РЕЕСТР РИСКОВ_2023'!$K$39:$AQ$272,MATCH(Check!Z38,'РЕЕСТР РИСКОВ_2023'!$Q$39:$Q$272,0),14),"")</f>
        <v>0</v>
      </c>
      <c r="AC38" s="264">
        <f>IFERROR(INDEX('РЕЕСТР РИСКОВ_2023'!$K$39:$AQ$272,MATCH(Check!Z38,'РЕЕСТР РИСКОВ_2023'!$Q$39:$Q$272,0),15),"")</f>
        <v>0</v>
      </c>
      <c r="AD38" s="264">
        <f>IFERROR(INDEX('РЕЕСТР РИСКОВ_2023'!$K$39:$AQ$272,MATCH(Check!Z38,'РЕЕСТР РИСКОВ_2023'!$Q$39:$Q$272,0),16),"")</f>
        <v>0</v>
      </c>
      <c r="AE38" s="264">
        <f>IFERROR(INDEX('РЕЕСТР РИСКОВ_2023'!$K$39:$AQ$272,MATCH(Check!Z38,'РЕЕСТР РИСКОВ_2023'!$Q$39:$Q$272,0),30),"")</f>
        <v>0</v>
      </c>
      <c r="AQ38" t="s">
        <v>69</v>
      </c>
      <c r="AR38" t="s">
        <v>1079</v>
      </c>
      <c r="AS38">
        <v>0</v>
      </c>
      <c r="AT38">
        <v>0</v>
      </c>
      <c r="AU38">
        <v>0</v>
      </c>
      <c r="AV38">
        <v>0</v>
      </c>
    </row>
    <row r="39" spans="1:48" ht="21" customHeight="1">
      <c r="A39" s="92" t="s">
        <v>111</v>
      </c>
      <c r="B39" s="306" t="s">
        <v>320</v>
      </c>
      <c r="C39" s="304">
        <v>0.93674999999999997</v>
      </c>
      <c r="D39" s="299">
        <v>1876.029225</v>
      </c>
      <c r="E39" s="299">
        <v>1757.3703765187499</v>
      </c>
      <c r="J39" s="258"/>
      <c r="K39" s="258"/>
      <c r="L39" s="126"/>
      <c r="M39" s="126">
        <f>IF('INHERENT MAP'!AJ9="КАТЕГОРИЯ",'INHERENT MAP'!AH9,'INHERENT MAP'!AI9)</f>
        <v>0</v>
      </c>
      <c r="N39" s="126"/>
      <c r="O39" s="126" t="s">
        <v>387</v>
      </c>
      <c r="P39" s="126" t="e">
        <f>IF(#REF!="КАТЕГОРИЯ",#REF!,#REF!)</f>
        <v>#REF!</v>
      </c>
      <c r="S39" s="206" t="s">
        <v>69</v>
      </c>
      <c r="T39" s="341" t="s">
        <v>1079</v>
      </c>
      <c r="U39" s="210">
        <f>IFERROR(INDEX('РЕЕСТР РИСКОВ_2023'!$K$39:$AQ$272,MATCH(Check!T39,'РЕЕСТР РИСКОВ_2023'!$K$39:$K$272,0),19),"")</f>
        <v>0</v>
      </c>
      <c r="V39" s="211">
        <f>IFERROR(INDEX('РЕЕСТР РИСКОВ_2023'!$K$39:$AQ$272,MATCH(Check!T39,'РЕЕСТР РИСКОВ_2023'!$K$39:$K$272,0),20),"")</f>
        <v>0</v>
      </c>
      <c r="W39" s="211">
        <f>IFERROR(INDEX('РЕЕСТР РИСКОВ_2023'!$K$39:$AQ$272,MATCH(Check!T39,'РЕЕСТР РИСКОВ_2023'!$K$39:$K$272,0),21),"")</f>
        <v>0</v>
      </c>
      <c r="X39" s="211">
        <f>IFERROR(INDEX('РЕЕСТР РИСКОВ_2023'!$K$39:$AT$272,MATCH(Check!T39,'РЕЕСТР РИСКОВ_2023'!$K$39:$K$272,0),36),"")</f>
        <v>0</v>
      </c>
      <c r="Z39" t="s">
        <v>560</v>
      </c>
      <c r="AA39" s="360" t="str">
        <f t="shared" si="4"/>
        <v>ВЕРОЯТНОСТЬ  1  ВЛИЯНИЕ  1</v>
      </c>
      <c r="AB39" s="210">
        <f>IFERROR(INDEX('РЕЕСТР РИСКОВ_2023'!$K$39:$AQ$272,MATCH(Check!Z39,'РЕЕСТР РИСКОВ_2023'!$Q$39:$Q$272,0),14),"")</f>
        <v>0</v>
      </c>
      <c r="AC39" s="264">
        <f>IFERROR(INDEX('РЕЕСТР РИСКОВ_2023'!$K$39:$AQ$272,MATCH(Check!Z39,'РЕЕСТР РИСКОВ_2023'!$Q$39:$Q$272,0),15),"")</f>
        <v>0</v>
      </c>
      <c r="AD39" s="264">
        <f>IFERROR(INDEX('РЕЕСТР РИСКОВ_2023'!$K$39:$AQ$272,MATCH(Check!Z39,'РЕЕСТР РИСКОВ_2023'!$Q$39:$Q$272,0),16),"")</f>
        <v>0</v>
      </c>
      <c r="AE39" s="264">
        <f>IFERROR(INDEX('РЕЕСТР РИСКОВ_2023'!$K$39:$AQ$272,MATCH(Check!Z39,'РЕЕСТР РИСКОВ_2023'!$Q$39:$Q$272,0),30),"")</f>
        <v>0</v>
      </c>
      <c r="AQ39" t="s">
        <v>69</v>
      </c>
      <c r="AR39" t="s">
        <v>505</v>
      </c>
      <c r="AS39">
        <v>0</v>
      </c>
      <c r="AT39">
        <v>0</v>
      </c>
      <c r="AU39">
        <v>0</v>
      </c>
      <c r="AV39">
        <v>0</v>
      </c>
    </row>
    <row r="40" spans="1:48" ht="21" customHeight="1">
      <c r="A40" s="92" t="s">
        <v>246</v>
      </c>
      <c r="B40" s="306" t="s">
        <v>304</v>
      </c>
      <c r="C40" s="304">
        <v>0.62450000000000006</v>
      </c>
      <c r="D40" s="299">
        <v>2897.1804000000002</v>
      </c>
      <c r="E40" s="299">
        <v>1809.2891598000003</v>
      </c>
      <c r="J40" s="258"/>
      <c r="K40" s="258"/>
      <c r="L40" s="126"/>
      <c r="M40" s="126" t="str">
        <f ca="1">IF('INHERENT MAP'!AJ10="КАТЕГОРИЯ",'INHERENT MAP'!AH10,'INHERENT MAP'!AI10)</f>
        <v>Риск коррупции со стороны должностных лиц КТЖ</v>
      </c>
      <c r="N40" s="126"/>
      <c r="O40" s="126" t="s">
        <v>33</v>
      </c>
      <c r="P40" s="126" t="e">
        <f>IF(#REF!="КАТЕГОРИЯ",#REF!,#REF!)</f>
        <v>#REF!</v>
      </c>
      <c r="S40" s="206" t="s">
        <v>69</v>
      </c>
      <c r="T40" s="341" t="s">
        <v>505</v>
      </c>
      <c r="U40" s="210">
        <f>IFERROR(INDEX('РЕЕСТР РИСКОВ_2023'!$K$39:$AQ$272,MATCH(Check!T40,'РЕЕСТР РИСКОВ_2023'!$K$39:$K$272,0),19),"")</f>
        <v>0</v>
      </c>
      <c r="V40" s="211">
        <f>IFERROR(INDEX('РЕЕСТР РИСКОВ_2023'!$K$39:$AQ$272,MATCH(Check!T40,'РЕЕСТР РИСКОВ_2023'!$K$39:$K$272,0),20),"")</f>
        <v>0</v>
      </c>
      <c r="W40" s="211">
        <f>IFERROR(INDEX('РЕЕСТР РИСКОВ_2023'!$K$39:$AQ$272,MATCH(Check!T40,'РЕЕСТР РИСКОВ_2023'!$K$39:$K$272,0),21),"")</f>
        <v>0</v>
      </c>
      <c r="X40" s="211">
        <f>IFERROR(INDEX('РЕЕСТР РИСКОВ_2023'!$K$39:$AT$272,MATCH(Check!T40,'РЕЕСТР РИСКОВ_2023'!$K$39:$K$272,0),36),"")</f>
        <v>0</v>
      </c>
      <c r="Z40" s="126" t="s">
        <v>561</v>
      </c>
      <c r="AA40" s="360" t="str">
        <f t="shared" si="4"/>
        <v>ВЕРОЯТНОСТЬ  1  ВЛИЯНИЕ  1</v>
      </c>
      <c r="AB40" s="210">
        <f>IFERROR(INDEX('РЕЕСТР РИСКОВ_2023'!$K$39:$AQ$272,MATCH(Check!Z40,'РЕЕСТР РИСКОВ_2023'!$Q$39:$Q$272,0),14),"")</f>
        <v>0</v>
      </c>
      <c r="AC40" s="264">
        <f>IFERROR(INDEX('РЕЕСТР РИСКОВ_2023'!$K$39:$AQ$272,MATCH(Check!Z40,'РЕЕСТР РИСКОВ_2023'!$Q$39:$Q$272,0),15),"")</f>
        <v>0</v>
      </c>
      <c r="AD40" s="264">
        <f>IFERROR(INDEX('РЕЕСТР РИСКОВ_2023'!$K$39:$AQ$272,MATCH(Check!Z40,'РЕЕСТР РИСКОВ_2023'!$Q$39:$Q$272,0),16),"")</f>
        <v>0</v>
      </c>
      <c r="AE40" s="264">
        <f>IFERROR(INDEX('РЕЕСТР РИСКОВ_2023'!$K$39:$AQ$272,MATCH(Check!Z40,'РЕЕСТР РИСКОВ_2023'!$Q$39:$Q$272,0),30),"")</f>
        <v>0</v>
      </c>
      <c r="AQ40" t="s">
        <v>69</v>
      </c>
      <c r="AR40" t="s">
        <v>508</v>
      </c>
      <c r="AS40">
        <v>0</v>
      </c>
      <c r="AT40">
        <v>0</v>
      </c>
      <c r="AU40">
        <v>0</v>
      </c>
      <c r="AV40">
        <v>0</v>
      </c>
    </row>
    <row r="41" spans="1:48" ht="21" customHeight="1">
      <c r="A41" s="92" t="s">
        <v>177</v>
      </c>
      <c r="B41" s="306" t="s">
        <v>303</v>
      </c>
      <c r="C41" s="304">
        <v>0.8785715003411807</v>
      </c>
      <c r="D41" s="299">
        <v>25102.051656999996</v>
      </c>
      <c r="E41" s="299">
        <v>22053.947185932309</v>
      </c>
      <c r="J41" s="258"/>
      <c r="K41" s="258"/>
      <c r="L41" s="126"/>
      <c r="M41" s="126">
        <f>IF('INHERENT MAP'!AJ21="КАТЕГОРИЯ",'INHERENT MAP'!AH21,'INHERENT MAP'!AI21)</f>
        <v>0</v>
      </c>
      <c r="N41" s="126"/>
      <c r="O41" s="126" t="s">
        <v>34</v>
      </c>
      <c r="P41" s="126" t="e">
        <f>IF(#REF!="КАТЕГОРИЯ",#REF!,#REF!)</f>
        <v>#REF!</v>
      </c>
      <c r="S41" s="206" t="s">
        <v>69</v>
      </c>
      <c r="T41" s="341" t="s">
        <v>508</v>
      </c>
      <c r="U41" s="210">
        <f>IFERROR(INDEX('РЕЕСТР РИСКОВ_2023'!$K$39:$AQ$272,MATCH(Check!T41,'РЕЕСТР РИСКОВ_2023'!$K$39:$K$272,0),19),"")</f>
        <v>0</v>
      </c>
      <c r="V41" s="211">
        <f>IFERROR(INDEX('РЕЕСТР РИСКОВ_2023'!$K$39:$AQ$272,MATCH(Check!T41,'РЕЕСТР РИСКОВ_2023'!$K$39:$K$272,0),20),"")</f>
        <v>0</v>
      </c>
      <c r="W41" s="211">
        <f>IFERROR(INDEX('РЕЕСТР РИСКОВ_2023'!$K$39:$AQ$272,MATCH(Check!T41,'РЕЕСТР РИСКОВ_2023'!$K$39:$K$272,0),21),"")</f>
        <v>0</v>
      </c>
      <c r="X41" s="211">
        <f>IFERROR(INDEX('РЕЕСТР РИСКОВ_2023'!$K$39:$AT$272,MATCH(Check!T41,'РЕЕСТР РИСКОВ_2023'!$K$39:$K$272,0),36),"")</f>
        <v>0</v>
      </c>
      <c r="Y41" s="126"/>
      <c r="Z41" s="126" t="s">
        <v>562</v>
      </c>
      <c r="AA41" s="360" t="str">
        <f t="shared" si="4"/>
        <v>ВЕРОЯТНОСТЬ  1  ВЛИЯНИЕ  1</v>
      </c>
      <c r="AB41" s="210">
        <f>IFERROR(INDEX('РЕЕСТР РИСКОВ_2023'!$K$39:$AQ$272,MATCH(Check!Z41,'РЕЕСТР РИСКОВ_2023'!$Q$39:$Q$272,0),14),"")</f>
        <v>0</v>
      </c>
      <c r="AC41" s="264">
        <f>IFERROR(INDEX('РЕЕСТР РИСКОВ_2023'!$K$39:$AQ$272,MATCH(Check!Z41,'РЕЕСТР РИСКОВ_2023'!$Q$39:$Q$272,0),15),"")</f>
        <v>0</v>
      </c>
      <c r="AD41" s="264">
        <f>IFERROR(INDEX('РЕЕСТР РИСКОВ_2023'!$K$39:$AQ$272,MATCH(Check!Z41,'РЕЕСТР РИСКОВ_2023'!$Q$39:$Q$272,0),16),"")</f>
        <v>0</v>
      </c>
      <c r="AE41" s="264">
        <f>IFERROR(INDEX('РЕЕСТР РИСКОВ_2023'!$K$39:$AQ$272,MATCH(Check!Z41,'РЕЕСТР РИСКОВ_2023'!$Q$39:$Q$272,0),30),"")</f>
        <v>0</v>
      </c>
      <c r="AH41" s="1699" t="s">
        <v>843</v>
      </c>
      <c r="AI41" s="1699"/>
      <c r="AJ41" s="1699"/>
      <c r="AK41" s="1699"/>
      <c r="AQ41" t="s">
        <v>69</v>
      </c>
      <c r="AR41" t="s">
        <v>506</v>
      </c>
      <c r="AS41">
        <v>0</v>
      </c>
      <c r="AT41">
        <v>0</v>
      </c>
      <c r="AU41">
        <v>0</v>
      </c>
      <c r="AV41">
        <v>0</v>
      </c>
    </row>
    <row r="42" spans="1:48" ht="21" customHeight="1">
      <c r="A42" s="92" t="s">
        <v>173</v>
      </c>
      <c r="B42" s="306" t="s">
        <v>151</v>
      </c>
      <c r="C42" s="304">
        <v>0.95</v>
      </c>
      <c r="D42" s="299">
        <v>-5315.9434999999994</v>
      </c>
      <c r="E42" s="299">
        <v>-5050.1463249999988</v>
      </c>
      <c r="J42" s="258"/>
      <c r="K42" s="258"/>
      <c r="L42" s="126"/>
      <c r="M42" s="126" t="str">
        <f ca="1">IF('INHERENT MAP'!AJ22="КАТЕГОРИЯ",'INHERENT MAP'!AH22,'INHERENT MAP'!AI22)</f>
        <v>Снижение репутации Компании</v>
      </c>
      <c r="N42" s="126"/>
      <c r="O42" s="126" t="s">
        <v>388</v>
      </c>
      <c r="P42" s="126" t="e">
        <f>IF(#REF!="КАТЕГОРИЯ",#REF!,#REF!)</f>
        <v>#REF!</v>
      </c>
      <c r="S42" s="206" t="s">
        <v>69</v>
      </c>
      <c r="T42" s="341" t="s">
        <v>506</v>
      </c>
      <c r="U42" s="210">
        <f>IFERROR(INDEX('РЕЕСТР РИСКОВ_2023'!$K$39:$AQ$272,MATCH(Check!T42,'РЕЕСТР РИСКОВ_2023'!$K$39:$K$272,0),19),"")</f>
        <v>0</v>
      </c>
      <c r="V42" s="211">
        <f>IFERROR(INDEX('РЕЕСТР РИСКОВ_2023'!$K$39:$AQ$272,MATCH(Check!T42,'РЕЕСТР РИСКОВ_2023'!$K$39:$K$272,0),20),"")</f>
        <v>0</v>
      </c>
      <c r="W42" s="211">
        <f>IFERROR(INDEX('РЕЕСТР РИСКОВ_2023'!$K$39:$AQ$272,MATCH(Check!T42,'РЕЕСТР РИСКОВ_2023'!$K$39:$K$272,0),21),"")</f>
        <v>0</v>
      </c>
      <c r="X42" s="211">
        <f>IFERROR(INDEX('РЕЕСТР РИСКОВ_2023'!$K$39:$AT$272,MATCH(Check!T42,'РЕЕСТР РИСКОВ_2023'!$K$39:$K$272,0),36),"")</f>
        <v>0</v>
      </c>
      <c r="Z42" s="359" t="s">
        <v>1000</v>
      </c>
      <c r="AA42" s="360" t="str">
        <f t="shared" si="4"/>
        <v>ВЕРОЯТНОСТЬ  1  ВЛИЯНИЕ  1</v>
      </c>
      <c r="AB42" s="210">
        <f>IFERROR(INDEX('РЕЕСТР РИСКОВ_2023'!$K$39:$AQ$272,MATCH(Check!Z42,'РЕЕСТР РИСКОВ_2023'!$Q$39:$Q$272,0),14),"")</f>
        <v>0</v>
      </c>
      <c r="AC42" s="264">
        <f>IFERROR(INDEX('РЕЕСТР РИСКОВ_2023'!$K$39:$AQ$272,MATCH(Check!Z42,'РЕЕСТР РИСКОВ_2023'!$Q$39:$Q$272,0),15),"")</f>
        <v>0.5</v>
      </c>
      <c r="AD42" s="264">
        <f>IFERROR(INDEX('РЕЕСТР РИСКОВ_2023'!$K$39:$AQ$272,MATCH(Check!Z42,'РЕЕСТР РИСКОВ_2023'!$Q$39:$Q$272,0),16),"")</f>
        <v>29183</v>
      </c>
      <c r="AE42" s="264">
        <f>IFERROR(INDEX('РЕЕСТР РИСКОВ_2023'!$K$39:$AQ$272,MATCH(Check!Z21,'РЕЕСТР РИСКОВ_2023'!$Q$39:$Q$272,0),30),"")</f>
        <v>0</v>
      </c>
      <c r="AI42" t="str">
        <f>AI31</f>
        <v>ПЛАН</v>
      </c>
      <c r="AJ42" s="78">
        <f>'РЕЕСТР РИСКОВ_2023'!L71</f>
        <v>478897</v>
      </c>
      <c r="AL42" s="78">
        <f>AJ42</f>
        <v>478897</v>
      </c>
      <c r="AQ42" t="s">
        <v>79</v>
      </c>
      <c r="AR42" t="s">
        <v>306</v>
      </c>
      <c r="AS42">
        <v>0.59222100961904522</v>
      </c>
      <c r="AT42">
        <v>-6669</v>
      </c>
      <c r="AU42">
        <v>-3949.5219131494127</v>
      </c>
      <c r="AV42">
        <v>-2123.3000000000002</v>
      </c>
    </row>
    <row r="43" spans="1:48" ht="21" customHeight="1">
      <c r="A43" s="92" t="s">
        <v>173</v>
      </c>
      <c r="B43" s="306" t="s">
        <v>119</v>
      </c>
      <c r="C43" s="305">
        <v>0.74261586878827512</v>
      </c>
      <c r="D43" s="299">
        <v>-328.72909087120001</v>
      </c>
      <c r="E43" s="299">
        <v>-244.11943941329605</v>
      </c>
      <c r="J43" s="258"/>
      <c r="K43" s="258"/>
      <c r="L43" s="126"/>
      <c r="M43" s="126" t="str">
        <f ca="1">IF('INHERENT MAP'!AJ23="КАТЕГОРИЯ",'INHERENT MAP'!AH23,'INHERENT MAP'!AI23)</f>
        <v>Недостоверность финансовой отчетности</v>
      </c>
      <c r="N43" s="126"/>
      <c r="O43" s="126" t="s">
        <v>236</v>
      </c>
      <c r="P43" s="126" t="e">
        <f>IF(#REF!="КАТЕГОРИЯ",#REF!,#REF!)</f>
        <v>#REF!</v>
      </c>
      <c r="S43" s="206" t="s">
        <v>79</v>
      </c>
      <c r="T43" s="336" t="s">
        <v>306</v>
      </c>
      <c r="U43" s="210">
        <f>IFERROR(INDEX('РЕЕСТР РИСКОВ_2023'!$K$39:$AQ$272,MATCH(Check!T43,'РЕЕСТР РИСКОВ_2023'!$K$39:$K$272,0),19),"")</f>
        <v>0.59222100961904522</v>
      </c>
      <c r="V43" s="211">
        <f>IFERROR(INDEX('РЕЕСТР РИСКОВ_2023'!$K$39:$AQ$272,MATCH(Check!T43,'РЕЕСТР РИСКОВ_2023'!$K$39:$K$272,0),20),"")</f>
        <v>-6669</v>
      </c>
      <c r="W43" s="211">
        <f>IFERROR(INDEX('РЕЕСТР РИСКОВ_2023'!$K$39:$AQ$272,MATCH(Check!T43,'РЕЕСТР РИСКОВ_2023'!$K$39:$K$272,0),21),"")</f>
        <v>-3949.5219131494127</v>
      </c>
      <c r="X43" s="211">
        <f>IFERROR(INDEX('РЕЕСТР РИСКОВ_2023'!$K$39:$AT$272,MATCH(Check!T43,'РЕЕСТР РИСКОВ_2023'!$K$39:$K$272,0),36),"")</f>
        <v>-2123.3000000000002</v>
      </c>
      <c r="Z43" s="126" t="s">
        <v>1495</v>
      </c>
      <c r="AA43" s="360" t="str">
        <f t="shared" si="4"/>
        <v>ВЕРОЯТНОСТЬ  1  ВЛИЯНИЕ  1</v>
      </c>
      <c r="AB43" s="210">
        <f>IFERROR(INDEX('РЕЕСТР РИСКОВ_2023'!$K$39:$AQ$272,MATCH(Check!Z43,'РЕЕСТР РИСКОВ_2023'!$Q$39:$Q$272,0),14),"")</f>
        <v>0</v>
      </c>
      <c r="AC43" s="264">
        <f>IFERROR(INDEX('РЕЕСТР РИСКОВ_2023'!$K$39:$AQ$272,MATCH(Check!Z43,'РЕЕСТР РИСКОВ_2023'!$Q$39:$Q$272,0),15),"")</f>
        <v>0</v>
      </c>
      <c r="AD43" s="264">
        <f>IFERROR(INDEX('РЕЕСТР РИСКОВ_2023'!$K$39:$AQ$272,MATCH(Check!Z43,'РЕЕСТР РИСКОВ_2023'!$Q$39:$Q$272,0),16),"")</f>
        <v>0</v>
      </c>
      <c r="AE43" s="264">
        <f>IFERROR(INDEX('РЕЕСТР РИСКОВ_2023'!$K$39:$AQ$272,MATCH(Check!Z88,'РЕЕСТР РИСКОВ_2023'!$Q$39:$Q$272,0),30),"")</f>
        <v>0</v>
      </c>
      <c r="AH43" t="s">
        <v>884</v>
      </c>
      <c r="AI43" t="str">
        <f>IF($AH$1=TRUE,AH43,Z15)</f>
        <v>Нормативная скорость доставки груза, 220 км/сут (exp)</v>
      </c>
      <c r="AJ43" s="93">
        <f>IF(AM43&gt;0,AL42,AL43)</f>
        <v>478897</v>
      </c>
      <c r="AK43" s="93">
        <f t="shared" ref="AK43:AK51" si="12">IF(AM43&lt;0,AM43*(-1),AM43)</f>
        <v>0</v>
      </c>
      <c r="AL43" s="78">
        <f>AL42+AM43</f>
        <v>478897</v>
      </c>
      <c r="AM43" s="93">
        <f>AD15</f>
        <v>0</v>
      </c>
      <c r="AQ43" t="s">
        <v>79</v>
      </c>
      <c r="AR43" t="s">
        <v>858</v>
      </c>
      <c r="AV43">
        <v>0</v>
      </c>
    </row>
    <row r="44" spans="1:48" ht="21" customHeight="1">
      <c r="A44" s="92" t="s">
        <v>173</v>
      </c>
      <c r="B44" s="306" t="s">
        <v>210</v>
      </c>
      <c r="C44" s="304">
        <v>0</v>
      </c>
      <c r="D44" s="299">
        <v>0</v>
      </c>
      <c r="E44" s="299">
        <v>0</v>
      </c>
      <c r="J44" s="258"/>
      <c r="K44" s="258"/>
      <c r="L44" s="126"/>
      <c r="M44" s="126" t="e">
        <f>IF('INHERENT MAP'!#REF!="КАТЕГОРИЯ",'INHERENT MAP'!#REF!,'INHERENT MAP'!#REF!)</f>
        <v>#REF!</v>
      </c>
      <c r="N44" s="126"/>
      <c r="O44" s="126" t="s">
        <v>64</v>
      </c>
      <c r="P44" s="126" t="e">
        <f>IF(#REF!="КАТЕГОРИЯ",#REF!,#REF!)</f>
        <v>#REF!</v>
      </c>
      <c r="S44" s="206" t="s">
        <v>79</v>
      </c>
      <c r="T44" s="336" t="s">
        <v>858</v>
      </c>
      <c r="U44" s="210"/>
      <c r="V44" s="211"/>
      <c r="W44" s="211"/>
      <c r="X44" s="211">
        <f>IFERROR(INDEX('РЕЕСТР РИСКОВ_2023'!$K$39:$AT$272,MATCH(Check!T44,'РЕЕСТР РИСКОВ_2023'!$K$39:$K$272,0),36),"")</f>
        <v>0</v>
      </c>
      <c r="Z44" s="126" t="s">
        <v>1496</v>
      </c>
      <c r="AA44" s="360" t="str">
        <f t="shared" ref="AA44:AA75" si="13">"ВЕРОЯТНОСТЬ  "&amp;IF(AB44&lt;0.05,1,IF((AB44&gt;=0.05)*(AB44&lt;0.25),2,IF((AB44&gt;=0.25)*(AB44&lt;0.5),3,IF((AB44&gt;=0.5)*(AB44&lt;0.75),4,5))))&amp;"  ВЛИЯНИЕ  "&amp;IF(AC44&gt;-200,1,IF((AC44&lt;=-200)*(AC44&gt;-500),2,IF((AC44&lt;=-500)*(AC44&gt;-1000),3,IF((AC44&lt;=-1000)*(AC44&gt;-3000),4,5))))</f>
        <v>ВЕРОЯТНОСТЬ  1  ВЛИЯНИЕ  1</v>
      </c>
      <c r="AB44" s="210">
        <f>IFERROR(INDEX('РЕЕСТР РИСКОВ_2023'!$K$39:$AQ$272,MATCH(Check!Z44,'РЕЕСТР РИСКОВ_2023'!$Q$39:$Q$272,0),14),"")</f>
        <v>0</v>
      </c>
      <c r="AC44" s="264">
        <f>IFERROR(INDEX('РЕЕСТР РИСКОВ_2023'!$K$39:$AQ$272,MATCH(Check!Z44,'РЕЕСТР РИСКОВ_2023'!$Q$39:$Q$272,0),15),"")</f>
        <v>0</v>
      </c>
      <c r="AD44" s="264">
        <f>IFERROR(INDEX('РЕЕСТР РИСКОВ_2023'!$K$39:$AQ$272,MATCH(Check!Z44,'РЕЕСТР РИСКОВ_2023'!$Q$39:$Q$272,0),16),"")</f>
        <v>0</v>
      </c>
      <c r="AE44" s="264">
        <f>IFERROR(INDEX('РЕЕСТР РИСКОВ_2023'!$K$39:$AQ$272,MATCH(Check!Z59,'РЕЕСТР РИСКОВ_2023'!$Q$39:$Q$272,0),30),"")</f>
        <v>0.05</v>
      </c>
      <c r="AH44" t="s">
        <v>885</v>
      </c>
      <c r="AI44" t="str">
        <f>IF($AH$1=TRUE,AH44,Z16)</f>
        <v>(A) Интермодальная конкуренция со стороны альтернативных видов транспорта (воздушный,автомобильный, водный транспорт) (tran)</v>
      </c>
      <c r="AJ44" s="93">
        <f>AL43</f>
        <v>478897</v>
      </c>
      <c r="AK44" s="93">
        <f t="shared" si="12"/>
        <v>7871.6402522800081</v>
      </c>
      <c r="AL44" s="78">
        <f t="shared" ref="AL44:AL51" si="14">AL43+AM44</f>
        <v>486768.64025227999</v>
      </c>
      <c r="AM44" s="93">
        <f>AD16</f>
        <v>7871.6402522800081</v>
      </c>
      <c r="AQ44" t="s">
        <v>79</v>
      </c>
      <c r="AR44" t="s">
        <v>1209</v>
      </c>
      <c r="AS44" t="s">
        <v>578</v>
      </c>
      <c r="AT44" t="s">
        <v>578</v>
      </c>
      <c r="AU44" t="s">
        <v>578</v>
      </c>
      <c r="AV44" t="s">
        <v>578</v>
      </c>
    </row>
    <row r="45" spans="1:48" ht="39.75" customHeight="1">
      <c r="A45" s="92" t="s">
        <v>177</v>
      </c>
      <c r="B45" s="306" t="s">
        <v>405</v>
      </c>
      <c r="C45" s="304">
        <v>0</v>
      </c>
      <c r="D45" s="299">
        <v>0</v>
      </c>
      <c r="E45" s="299">
        <v>0</v>
      </c>
      <c r="J45" s="258"/>
      <c r="K45" s="258"/>
      <c r="L45" s="126"/>
      <c r="M45" s="126" t="e">
        <f>IF('INHERENT MAP'!#REF!="КАТЕГОРИЯ",'INHERENT MAP'!#REF!,'INHERENT MAP'!#REF!)</f>
        <v>#REF!</v>
      </c>
      <c r="N45" s="126"/>
      <c r="O45" s="126" t="s">
        <v>168</v>
      </c>
      <c r="P45" s="126" t="e">
        <f>IF(#REF!="КАТЕГОРИЯ",#REF!,#REF!)</f>
        <v>#REF!</v>
      </c>
      <c r="S45" s="206" t="s">
        <v>79</v>
      </c>
      <c r="T45" s="331" t="s">
        <v>1209</v>
      </c>
      <c r="U45" s="210" t="str">
        <f>IFERROR(INDEX('РЕЕСТР РИСКОВ_2023'!$K$39:$AQ$272,MATCH(Check!T45,'РЕЕСТР РИСКОВ_2023'!$K$39:$K$272,0),14),"")</f>
        <v/>
      </c>
      <c r="V45" s="211" t="str">
        <f>IFERROR(INDEX('РЕЕСТР РИСКОВ_2023'!$K$39:$AQ$272,MATCH(Check!T45,'РЕЕСТР РИСКОВ_2023'!$K$39:$K$272,0),15),"")</f>
        <v/>
      </c>
      <c r="W45" s="211" t="str">
        <f>IFERROR(INDEX('РЕЕСТР РИСКОВ_2023'!$K$39:$AQ$272,MATCH(Check!T45,'РЕЕСТР РИСКОВ_2023'!$K$39:$K$272,0),16),"")</f>
        <v/>
      </c>
      <c r="X45" s="211" t="str">
        <f>IFERROR(INDEX('РЕЕСТР РИСКОВ_2023'!$K$39:$AT$272,MATCH(Check!T45,'РЕЕСТР РИСКОВ_2023'!$K$39:$K$272,0),36),"")</f>
        <v/>
      </c>
      <c r="Z45" s="126" t="s">
        <v>1654</v>
      </c>
      <c r="AA45" s="360" t="str">
        <f t="shared" si="13"/>
        <v>ВЕРОЯТНОСТЬ  5  ВЛИЯНИЕ  1</v>
      </c>
      <c r="AB45" s="210" t="str">
        <f>IFERROR(INDEX('РЕЕСТР РИСКОВ_2023'!$K$39:$AQ$272,MATCH(Check!Z45,'РЕЕСТР РИСКОВ_2023'!$Q$39:$Q$272,0),14),"")</f>
        <v/>
      </c>
      <c r="AC45" s="264" t="str">
        <f>IFERROR(INDEX('РЕЕСТР РИСКОВ_2023'!$K$39:$AQ$272,MATCH(Check!Z45,'РЕЕСТР РИСКОВ_2023'!$Q$39:$Q$272,0),15),"")</f>
        <v/>
      </c>
      <c r="AD45" s="264" t="str">
        <f>IFERROR(INDEX('РЕЕСТР РИСКОВ_2023'!$K$39:$AQ$272,MATCH(Check!Z45,'РЕЕСТР РИСКОВ_2023'!$Q$39:$Q$272,0),16),"")</f>
        <v/>
      </c>
      <c r="AE45" s="264">
        <f>IFERROR(INDEX('РЕЕСТР РИСКОВ_2023'!$K$39:$AQ$272,MATCH(Check!Z51,'РЕЕСТР РИСКОВ_2023'!$Q$39:$Q$272,0),30),"")</f>
        <v>0.8</v>
      </c>
      <c r="AH45" t="s">
        <v>886</v>
      </c>
      <c r="AI45" t="str">
        <f>IF($AH$1=TRUE,AH45,Z17)</f>
        <v>(Q) Риск конкуренции из-за ухудшения качества предоставляемых услуг</v>
      </c>
      <c r="AJ45" s="93">
        <f t="shared" ref="AJ45:AJ51" si="15">AL44</f>
        <v>486768.64025227999</v>
      </c>
      <c r="AK45" s="93">
        <f t="shared" si="12"/>
        <v>0</v>
      </c>
      <c r="AL45" s="78">
        <f t="shared" si="14"/>
        <v>486768.64025227999</v>
      </c>
      <c r="AM45" s="93">
        <f>AD17</f>
        <v>0</v>
      </c>
      <c r="AQ45" t="s">
        <v>79</v>
      </c>
      <c r="AR45" t="s">
        <v>1401</v>
      </c>
      <c r="AS45">
        <v>0</v>
      </c>
      <c r="AT45">
        <v>0</v>
      </c>
      <c r="AU45">
        <v>0</v>
      </c>
      <c r="AV45">
        <v>0</v>
      </c>
    </row>
    <row r="46" spans="1:48" ht="21" customHeight="1">
      <c r="A46" s="92" t="s">
        <v>173</v>
      </c>
      <c r="B46" s="306" t="s">
        <v>163</v>
      </c>
      <c r="C46" s="304">
        <v>0.7</v>
      </c>
      <c r="D46" s="299">
        <v>-5705</v>
      </c>
      <c r="E46" s="299">
        <v>-3993.4999999999995</v>
      </c>
      <c r="J46" s="258"/>
      <c r="K46" s="258"/>
      <c r="L46" s="126"/>
      <c r="M46" s="126" t="e">
        <f>IF('INHERENT MAP'!#REF!="КАТЕГОРИЯ",'INHERENT MAP'!#REF!,'INHERENT MAP'!#REF!)</f>
        <v>#REF!</v>
      </c>
      <c r="N46" s="126"/>
      <c r="O46" s="126" t="s">
        <v>38</v>
      </c>
      <c r="P46" s="126" t="e">
        <f>IF(#REF!="КАТЕГОРИЯ",#REF!,#REF!)</f>
        <v>#REF!</v>
      </c>
      <c r="S46" s="206" t="s">
        <v>79</v>
      </c>
      <c r="T46" s="331" t="s">
        <v>1401</v>
      </c>
      <c r="U46" s="210">
        <f>IFERROR(INDEX('РЕЕСТР РИСКОВ_2023'!$K$39:$AQ$272,MATCH(Check!T46,'РЕЕСТР РИСКОВ_2023'!$K$39:$K$272,0),14),"")</f>
        <v>0</v>
      </c>
      <c r="V46" s="211">
        <f>IFERROR(INDEX('РЕЕСТР РИСКОВ_2023'!$K$39:$AQ$272,MATCH(Check!T46,'РЕЕСТР РИСКОВ_2023'!$K$39:$K$272,0),15),"")</f>
        <v>0</v>
      </c>
      <c r="W46" s="211">
        <f>IFERROR(INDEX('РЕЕСТР РИСКОВ_2023'!$K$39:$AQ$272,MATCH(Check!T46,'РЕЕСТР РИСКОВ_2023'!$K$39:$K$272,0),16),"")</f>
        <v>0</v>
      </c>
      <c r="X46" s="211">
        <f>IFERROR(INDEX('РЕЕСТР РИСКОВ_2023'!$K$39:$AT$272,MATCH(Check!T46,'РЕЕСТР РИСКОВ_2023'!$K$39:$K$272,0),36),"")</f>
        <v>0</v>
      </c>
      <c r="Z46" t="s">
        <v>1001</v>
      </c>
      <c r="AA46" s="360" t="str">
        <f t="shared" si="13"/>
        <v>ВЕРОЯТНОСТЬ  1  ВЛИЯНИЕ  1</v>
      </c>
      <c r="AB46" s="210">
        <f>IFERROR(INDEX('РЕЕСТР РИСКОВ_2023'!$K$39:$AQ$272,MATCH(Check!Z46,'РЕЕСТР РИСКОВ_2023'!$Q$39:$Q$272,0),14),"")</f>
        <v>0</v>
      </c>
      <c r="AC46" s="264">
        <f>IFERROR(INDEX('РЕЕСТР РИСКОВ_2023'!$K$39:$AQ$272,MATCH(Check!Z46,'РЕЕСТР РИСКОВ_2023'!$Q$39:$Q$272,0),15),"")</f>
        <v>0.05</v>
      </c>
      <c r="AD46" s="264">
        <f>IFERROR(INDEX('РЕЕСТР РИСКОВ_2023'!$K$39:$AQ$272,MATCH(Check!Z46,'РЕЕСТР РИСКОВ_2023'!$Q$39:$Q$272,0),16),"")</f>
        <v>-12650</v>
      </c>
      <c r="AE46" s="264">
        <f>IFERROR(INDEX('РЕЕСТР РИСКОВ_2023'!$K$39:$AQ$272,MATCH(Check!Z46,'РЕЕСТР РИСКОВ_2023'!$Q$39:$Q$272,0),30),"")</f>
        <v>0.05</v>
      </c>
      <c r="AH46" t="s">
        <v>887</v>
      </c>
      <c r="AI46" t="str">
        <f>IF($AH$1=TRUE,AH46,Z18)</f>
        <v>Риск конкуренции со стороны частного сектора вследствие отказа государства от определения КТЖ национальным оператором транзитных перевозок</v>
      </c>
      <c r="AJ46" s="93">
        <f t="shared" si="15"/>
        <v>486768.64025227999</v>
      </c>
      <c r="AK46" s="93">
        <f t="shared" si="12"/>
        <v>0</v>
      </c>
      <c r="AL46" s="78">
        <f t="shared" si="14"/>
        <v>486768.64025227999</v>
      </c>
      <c r="AM46" s="93">
        <f>AD18</f>
        <v>0</v>
      </c>
      <c r="AQ46" t="s">
        <v>78</v>
      </c>
      <c r="AR46" t="s">
        <v>1130</v>
      </c>
      <c r="AS46">
        <v>0</v>
      </c>
      <c r="AT46">
        <v>0.25</v>
      </c>
      <c r="AU46">
        <v>0</v>
      </c>
      <c r="AV46">
        <v>0</v>
      </c>
    </row>
    <row r="47" spans="1:48" ht="21" customHeight="1">
      <c r="A47" s="92" t="s">
        <v>112</v>
      </c>
      <c r="B47" s="306" t="s">
        <v>120</v>
      </c>
      <c r="C47" s="304">
        <v>1</v>
      </c>
      <c r="D47" s="299">
        <v>-19926</v>
      </c>
      <c r="E47" s="299">
        <v>-19926</v>
      </c>
      <c r="J47" s="258"/>
      <c r="K47" s="258"/>
      <c r="L47" s="126"/>
      <c r="M47" s="126" t="e">
        <f>IF('INHERENT MAP'!#REF!="КАТЕГОРИЯ",'INHERENT MAP'!#REF!,'INHERENT MAP'!#REF!)</f>
        <v>#REF!</v>
      </c>
      <c r="N47" s="126"/>
      <c r="O47" s="126" t="s">
        <v>389</v>
      </c>
      <c r="P47" s="126" t="e">
        <f>IF(#REF!="КАТЕГОРИЯ",#REF!,#REF!)</f>
        <v>#REF!</v>
      </c>
      <c r="S47" s="206" t="s">
        <v>78</v>
      </c>
      <c r="T47" s="330" t="s">
        <v>1130</v>
      </c>
      <c r="U47" s="210">
        <f>IFERROR(INDEX('РЕЕСТР РИСКОВ_2023'!$K$39:$AQ$272,MATCH(Check!T47,'РЕЕСТР РИСКОВ_2023'!$K$39:$K$272,0),14),"")</f>
        <v>0</v>
      </c>
      <c r="V47" s="211">
        <f>IFERROR(INDEX('РЕЕСТР РИСКОВ_2023'!$K$39:$AQ$272,MATCH(Check!T47,'РЕЕСТР РИСКОВ_2023'!$K$39:$K$272,0),15),"")</f>
        <v>0.25</v>
      </c>
      <c r="W47" s="211">
        <f>IFERROR(INDEX('РЕЕСТР РИСКОВ_2023'!$K$39:$AQ$272,MATCH(Check!T47,'РЕЕСТР РИСКОВ_2023'!$K$39:$K$272,0),16),"")</f>
        <v>0</v>
      </c>
      <c r="X47" s="211">
        <f>IFERROR(INDEX('РЕЕСТР РИСКОВ_2023'!$K$39:$AT$272,MATCH(Check!T47,'РЕЕСТР РИСКОВ_2023'!$K$39:$K$272,0),36),"")</f>
        <v>0</v>
      </c>
      <c r="Z47" s="126" t="s">
        <v>1002</v>
      </c>
      <c r="AA47" s="360" t="str">
        <f t="shared" si="13"/>
        <v>ВЕРОЯТНОСТЬ  1  ВЛИЯНИЕ  1</v>
      </c>
      <c r="AB47" s="210">
        <f>IFERROR(INDEX('РЕЕСТР РИСКОВ_2023'!$K$39:$AQ$272,MATCH(Check!Z47,'РЕЕСТР РИСКОВ_2023'!$Q$39:$Q$272,0),14),"")</f>
        <v>0</v>
      </c>
      <c r="AC47" s="264">
        <f>IFERROR(INDEX('РЕЕСТР РИСКОВ_2023'!$K$39:$AQ$272,MATCH(Check!Z47,'РЕЕСТР РИСКОВ_2023'!$Q$39:$Q$272,0),15),"")</f>
        <v>0.05</v>
      </c>
      <c r="AD47" s="264">
        <f>IFERROR(INDEX('РЕЕСТР РИСКОВ_2023'!$K$39:$AQ$272,MATCH(Check!Z47,'РЕЕСТР РИСКОВ_2023'!$Q$39:$Q$272,0),16),"")</f>
        <v>-14254</v>
      </c>
      <c r="AE47" s="264">
        <f>IFERROR(INDEX('РЕЕСТР РИСКОВ_2023'!$K$39:$AQ$272,MATCH(Check!Z47,'РЕЕСТР РИСКОВ_2023'!$Q$39:$Q$272,0),30),"")</f>
        <v>0.05</v>
      </c>
      <c r="AH47" t="s">
        <v>888</v>
      </c>
      <c r="AI47" t="str">
        <f>IF($AH$1=TRUE,AH47,Z19)</f>
        <v>Нормативная скорость доставки груза, 220 км/сут (tran)</v>
      </c>
      <c r="AJ47" s="93">
        <v>381198</v>
      </c>
      <c r="AK47" s="93">
        <f t="shared" si="12"/>
        <v>2252.9459999999999</v>
      </c>
      <c r="AL47" s="78">
        <f t="shared" si="14"/>
        <v>484515.69425227999</v>
      </c>
      <c r="AM47" s="93">
        <f>AD19</f>
        <v>-2252.9459999999999</v>
      </c>
      <c r="AQ47" t="s">
        <v>78</v>
      </c>
      <c r="AR47" t="s">
        <v>1017</v>
      </c>
      <c r="AS47">
        <v>0</v>
      </c>
      <c r="AT47">
        <v>0</v>
      </c>
      <c r="AU47">
        <v>0</v>
      </c>
      <c r="AV47">
        <v>0</v>
      </c>
    </row>
    <row r="48" spans="1:48" ht="21" customHeight="1">
      <c r="A48" s="92" t="s">
        <v>112</v>
      </c>
      <c r="B48" s="306" t="s">
        <v>121</v>
      </c>
      <c r="C48" s="304">
        <v>0.05</v>
      </c>
      <c r="D48" s="299"/>
      <c r="E48" s="299">
        <v>0</v>
      </c>
      <c r="J48" s="258"/>
      <c r="K48" s="258"/>
      <c r="L48" s="126"/>
      <c r="M48" s="126" t="e">
        <f>IF('INHERENT MAP'!#REF!="КАТЕГОРИЯ",'INHERENT MAP'!#REF!,'INHERENT MAP'!#REF!)</f>
        <v>#REF!</v>
      </c>
      <c r="N48" s="126"/>
      <c r="O48" s="126" t="s">
        <v>243</v>
      </c>
      <c r="P48" s="126" t="e">
        <f>IF(#REF!="КАТЕГОРИЯ",#REF!,#REF!)</f>
        <v>#REF!</v>
      </c>
      <c r="S48" s="206" t="s">
        <v>78</v>
      </c>
      <c r="T48" s="330" t="s">
        <v>1017</v>
      </c>
      <c r="U48" s="210">
        <f>IFERROR(INDEX('РЕЕСТР РИСКОВ_2023'!$K$39:$AQ$272,MATCH(Check!T48,'РЕЕСТР РИСКОВ_2023'!$K$39:$K$272,0),18),"")</f>
        <v>0</v>
      </c>
      <c r="V48" s="211">
        <f>IFERROR(INDEX('РЕЕСТР РИСКОВ_2023'!$K$39:$AQ$272,MATCH(Check!T48,'РЕЕСТР РИСКОВ_2023'!$K$39:$K$272,0),19),"")</f>
        <v>0</v>
      </c>
      <c r="W48" s="211">
        <f>IFERROR(INDEX('РЕЕСТР РИСКОВ_2023'!$K$39:$AQ$272,MATCH(Check!T48,'РЕЕСТР РИСКОВ_2023'!$K$39:$K$272,0),20),"")</f>
        <v>0</v>
      </c>
      <c r="X48" s="211">
        <f>IFERROR(INDEX('РЕЕСТР РИСКОВ_2023'!$K$39:$AT$272,MATCH(Check!T48,'РЕЕСТР РИСКОВ_2023'!$K$39:$K$272,0),36),"")</f>
        <v>0</v>
      </c>
      <c r="Z48" t="s">
        <v>1004</v>
      </c>
      <c r="AA48" s="360" t="str">
        <f t="shared" si="13"/>
        <v>ВЕРОЯТНОСТЬ  1  ВЛИЯНИЕ  1</v>
      </c>
      <c r="AB48" s="210">
        <f>IFERROR(INDEX('РЕЕСТР РИСКОВ_2023'!$K$39:$AQ$272,MATCH(Check!Z48,'РЕЕСТР РИСКОВ_2023'!$Q$39:$Q$272,0),14),"")</f>
        <v>0</v>
      </c>
      <c r="AC48" s="264">
        <f>IFERROR(INDEX('РЕЕСТР РИСКОВ_2023'!$K$39:$AQ$272,MATCH(Check!Z48,'РЕЕСТР РИСКОВ_2023'!$Q$39:$Q$272,0),15),"")</f>
        <v>0.3</v>
      </c>
      <c r="AD48" s="264">
        <f>IFERROR(INDEX('РЕЕСТР РИСКОВ_2023'!$K$39:$AQ$272,MATCH(Check!Z48,'РЕЕСТР РИСКОВ_2023'!$Q$39:$Q$272,0),16),"")</f>
        <v>-4848</v>
      </c>
      <c r="AE48" s="264">
        <f>IFERROR(INDEX('РЕЕСТР РИСКОВ_2023'!$K$39:$AQ$272,MATCH(Check!Z48,'РЕЕСТР РИСКОВ_2023'!$Q$39:$Q$272,0),30),"")</f>
        <v>0.3</v>
      </c>
      <c r="AH48" t="s">
        <v>940</v>
      </c>
      <c r="AI48" t="str">
        <f>IF($AH$1=TRUE,AH48,"Применение навигационных пломб")</f>
        <v>Применение навигационных пломб</v>
      </c>
      <c r="AJ48" s="93">
        <v>350748</v>
      </c>
      <c r="AK48" s="93"/>
      <c r="AL48" s="78">
        <f t="shared" si="14"/>
        <v>484516.39425228001</v>
      </c>
      <c r="AM48" s="93">
        <f>AC27</f>
        <v>0.7</v>
      </c>
      <c r="AQ48" t="s">
        <v>78</v>
      </c>
      <c r="AR48" t="s">
        <v>1210</v>
      </c>
      <c r="AS48">
        <v>0</v>
      </c>
      <c r="AT48">
        <v>0</v>
      </c>
      <c r="AU48">
        <v>0</v>
      </c>
      <c r="AV48">
        <v>0</v>
      </c>
    </row>
    <row r="49" spans="1:48" ht="21" customHeight="1">
      <c r="A49" s="92" t="s">
        <v>112</v>
      </c>
      <c r="B49" s="306" t="s">
        <v>122</v>
      </c>
      <c r="C49" s="304">
        <v>0.05</v>
      </c>
      <c r="D49" s="299"/>
      <c r="E49" s="299">
        <v>0</v>
      </c>
      <c r="J49" s="258"/>
      <c r="K49" s="258"/>
      <c r="L49" s="126"/>
      <c r="M49" s="126" t="e">
        <f>IF('INHERENT MAP'!#REF!="КАТЕГОРИЯ",'INHERENT MAP'!#REF!,'INHERENT MAP'!#REF!)</f>
        <v>#REF!</v>
      </c>
      <c r="N49" s="126"/>
      <c r="O49" s="126" t="s">
        <v>51</v>
      </c>
      <c r="P49" s="126" t="e">
        <f>IF(#REF!="КАТЕГОРИЯ",#REF!,#REF!)</f>
        <v>#REF!</v>
      </c>
      <c r="S49" s="206" t="s">
        <v>78</v>
      </c>
      <c r="T49" s="330" t="s">
        <v>1210</v>
      </c>
      <c r="U49" s="210">
        <f>IFERROR(INDEX('РЕЕСТР РИСКОВ_2023'!$K$39:$AQ$272,MATCH(Check!T49,'РЕЕСТР РИСКОВ_2023'!$K$39:$K$272,0),19),"")</f>
        <v>0</v>
      </c>
      <c r="V49" s="211">
        <f>IFERROR(INDEX('РЕЕСТР РИСКОВ_2023'!$K$39:$AQ$272,MATCH(Check!T49,'РЕЕСТР РИСКОВ_2023'!$K$39:$K$272,0),20),"")</f>
        <v>0</v>
      </c>
      <c r="W49" s="211">
        <f>IFERROR(INDEX('РЕЕСТР РИСКОВ_2023'!$K$39:$AQ$272,MATCH(Check!T49,'РЕЕСТР РИСКОВ_2023'!$K$39:$K$272,0),21),"")</f>
        <v>0</v>
      </c>
      <c r="X49" s="211">
        <f>IFERROR(INDEX('РЕЕСТР РИСКОВ_2023'!$K$39:$AT$272,MATCH(Check!T49,'РЕЕСТР РИСКОВ_2023'!$K$39:$K$272,0),36),"")</f>
        <v>0</v>
      </c>
      <c r="Z49" s="126" t="s">
        <v>1655</v>
      </c>
      <c r="AA49" s="360" t="str">
        <f t="shared" si="13"/>
        <v>ВЕРОЯТНОСТЬ  5  ВЛИЯНИЕ  1</v>
      </c>
      <c r="AB49" s="210" t="str">
        <f>IFERROR(INDEX('РЕЕСТР РИСКОВ_2023'!$K$39:$AQ$272,MATCH(Check!Z49,'РЕЕСТР РИСКОВ_2023'!$Q$39:$Q$272,0),14),"")</f>
        <v/>
      </c>
      <c r="AC49" s="264" t="str">
        <f>IFERROR(INDEX('РЕЕСТР РИСКОВ_2023'!$K$39:$AQ$272,MATCH(Check!Z49,'РЕЕСТР РИСКОВ_2023'!$Q$39:$Q$272,0),15),"")</f>
        <v/>
      </c>
      <c r="AD49" s="264" t="str">
        <f>IFERROR(INDEX('РЕЕСТР РИСКОВ_2023'!$K$39:$AQ$272,MATCH(Check!Z49,'РЕЕСТР РИСКОВ_2023'!$Q$39:$Q$272,0),16),"")</f>
        <v/>
      </c>
      <c r="AE49" s="264">
        <f>IFERROR(INDEX('РЕЕСТР РИСКОВ_2023'!$K$39:$AQ$272,MATCH(Check!Z87,'РЕЕСТР РИСКОВ_2023'!$Q$39:$Q$272,0),30),"")</f>
        <v>0</v>
      </c>
      <c r="AI49" t="str">
        <f>AI37</f>
        <v>ПЛАН @Risk</v>
      </c>
      <c r="AJ49" s="93">
        <v>374363</v>
      </c>
      <c r="AK49" s="93" t="str">
        <f t="shared" si="12"/>
        <v/>
      </c>
      <c r="AL49" s="78" t="e">
        <f t="shared" si="14"/>
        <v>#VALUE!</v>
      </c>
      <c r="AM49" s="93" t="str">
        <f>AC28</f>
        <v/>
      </c>
      <c r="AQ49" t="s">
        <v>128</v>
      </c>
      <c r="AR49" t="s">
        <v>162</v>
      </c>
      <c r="AS49">
        <v>0.53775113536229191</v>
      </c>
      <c r="AT49">
        <v>-15253.264999999999</v>
      </c>
      <c r="AU49">
        <v>-8202.46057173191</v>
      </c>
      <c r="AV49">
        <v>-5557.1555749999998</v>
      </c>
    </row>
    <row r="50" spans="1:48" ht="21" customHeight="1">
      <c r="A50" s="92" t="s">
        <v>177</v>
      </c>
      <c r="B50" s="306" t="s">
        <v>393</v>
      </c>
      <c r="C50" s="304">
        <v>0.5</v>
      </c>
      <c r="D50" s="299"/>
      <c r="E50" s="299">
        <v>0</v>
      </c>
      <c r="K50" s="258"/>
      <c r="L50" s="126"/>
      <c r="M50" s="126" t="e">
        <f>IF('INHERENT MAP'!#REF!="КАТЕГОРИЯ",'INHERENT MAP'!#REF!,'INHERENT MAP'!#REF!)</f>
        <v>#REF!</v>
      </c>
      <c r="N50" s="126"/>
      <c r="O50" s="126" t="s">
        <v>47</v>
      </c>
      <c r="P50" s="126" t="e">
        <f>IF(#REF!="КАТЕГОРИЯ",#REF!,#REF!)</f>
        <v>#REF!</v>
      </c>
      <c r="S50" s="206" t="s">
        <v>128</v>
      </c>
      <c r="T50" s="461" t="s">
        <v>162</v>
      </c>
      <c r="U50" s="210">
        <f>IFERROR(INDEX('РЕЕСТР РИСКОВ_2023'!$K$39:$AQ$272,MATCH(Check!T50,'РЕЕСТР РИСКОВ_2023'!$K$39:$K$272,0),19),"")</f>
        <v>0.53775113536229191</v>
      </c>
      <c r="V50" s="211">
        <f>IFERROR(INDEX('РЕЕСТР РИСКОВ_2023'!$K$39:$AQ$272,MATCH(Check!T50,'РЕЕСТР РИСКОВ_2023'!$K$39:$K$272,0),20),"")</f>
        <v>-15253.264999999999</v>
      </c>
      <c r="W50" s="211">
        <f>IFERROR(INDEX('РЕЕСТР РИСКОВ_2023'!$K$39:$AQ$272,MATCH(Check!T50,'РЕЕСТР РИСКОВ_2023'!$K$39:$K$272,0),21),"")</f>
        <v>-8202.46057173191</v>
      </c>
      <c r="X50" s="211">
        <f>IFERROR(INDEX('РЕЕСТР РИСКОВ_2023'!$K$39:$AT$272,MATCH(Check!T50,'РЕЕСТР РИСКОВ_2023'!$K$39:$K$272,0),36),"")</f>
        <v>-5557.1555749999998</v>
      </c>
      <c r="Z50" t="s">
        <v>1150</v>
      </c>
      <c r="AA50" s="360" t="str">
        <f t="shared" si="13"/>
        <v>ВЕРОЯТНОСТЬ  5  ВЛИЯНИЕ  1</v>
      </c>
      <c r="AB50" s="210" t="str">
        <f>IFERROR(INDEX('РЕЕСТР РИСКОВ_2023'!$K$39:$AQ$272,MATCH(Check!Z50,'РЕЕСТР РИСКОВ_2023'!$Q$39:$Q$272,0),14),"")</f>
        <v/>
      </c>
      <c r="AC50" s="264" t="str">
        <f>IFERROR(INDEX('РЕЕСТР РИСКОВ_2023'!$K$39:$AQ$272,MATCH(Check!Z50,'РЕЕСТР РИСКОВ_2023'!$Q$39:$Q$272,0),15),"")</f>
        <v/>
      </c>
      <c r="AD50" s="264" t="str">
        <f>IFERROR(INDEX('РЕЕСТР РИСКОВ_2023'!$K$39:$AQ$272,MATCH(Check!Z50,'РЕЕСТР РИСКОВ_2023'!$Q$39:$Q$272,0),16),"")</f>
        <v/>
      </c>
      <c r="AE50" s="264">
        <f>IFERROR(INDEX('РЕЕСТР РИСКОВ_2023'!$K$39:$AQ$272,MATCH(Check!Z52,'РЕЕСТР РИСКОВ_2023'!$Q$39:$Q$272,0),30),"")</f>
        <v>0.25</v>
      </c>
      <c r="AJ50" s="93" t="e">
        <f t="shared" si="15"/>
        <v>#VALUE!</v>
      </c>
      <c r="AK50" s="93" t="str">
        <f t="shared" si="12"/>
        <v/>
      </c>
      <c r="AL50" s="78" t="e">
        <f t="shared" si="14"/>
        <v>#VALUE!</v>
      </c>
      <c r="AM50" s="93" t="str">
        <f>AC29</f>
        <v/>
      </c>
      <c r="AQ50" t="s">
        <v>128</v>
      </c>
      <c r="AR50" t="s">
        <v>1632</v>
      </c>
      <c r="AS50">
        <v>0.7</v>
      </c>
      <c r="AT50">
        <v>-3008</v>
      </c>
      <c r="AU50">
        <v>-2105.6</v>
      </c>
      <c r="AV50">
        <v>-1052.8</v>
      </c>
    </row>
    <row r="51" spans="1:48" ht="21" customHeight="1">
      <c r="A51" s="92" t="s">
        <v>111</v>
      </c>
      <c r="B51" s="306" t="s">
        <v>314</v>
      </c>
      <c r="C51" s="304">
        <v>0.5</v>
      </c>
      <c r="D51" s="299">
        <v>-2200</v>
      </c>
      <c r="E51" s="299">
        <v>-1100</v>
      </c>
      <c r="K51" s="258"/>
      <c r="L51" s="126"/>
      <c r="M51" s="126" t="e">
        <f>IF('INHERENT MAP'!#REF!="КАТЕГОРИЯ",'INHERENT MAP'!#REF!,'INHERENT MAP'!#REF!)</f>
        <v>#REF!</v>
      </c>
      <c r="N51" s="126"/>
      <c r="O51" s="126" t="s">
        <v>341</v>
      </c>
      <c r="P51" s="126" t="e">
        <f>IF(#REF!="КАТЕГОРИЯ",#REF!,#REF!)</f>
        <v>#REF!</v>
      </c>
      <c r="S51" s="206" t="s">
        <v>128</v>
      </c>
      <c r="T51" s="461" t="s">
        <v>1632</v>
      </c>
      <c r="U51" s="210">
        <f>IFERROR(INDEX('РЕЕСТР РИСКОВ_2023'!$K$39:$AQ$272,MATCH(Check!T51,'РЕЕСТР РИСКОВ_2023'!$K$39:$K$272,0),19),"")</f>
        <v>0.7</v>
      </c>
      <c r="V51" s="211">
        <f>IFERROR(INDEX('РЕЕСТР РИСКОВ_2023'!$K$39:$AQ$272,MATCH(Check!T51,'РЕЕСТР РИСКОВ_2023'!$K$39:$K$272,0),20),"")</f>
        <v>-3008</v>
      </c>
      <c r="W51" s="211">
        <f>IFERROR(INDEX('РЕЕСТР РИСКОВ_2023'!$K$39:$AQ$272,MATCH(Check!T51,'РЕЕСТР РИСКОВ_2023'!$K$39:$K$272,0),21),"")</f>
        <v>-2105.6</v>
      </c>
      <c r="X51" s="211">
        <f>IFERROR(INDEX('РЕЕСТР РИСКОВ_2023'!$K$39:$AT$272,MATCH(Check!T51,'РЕЕСТР РИСКОВ_2023'!$K$39:$K$272,0),36),"")</f>
        <v>-1052.8</v>
      </c>
      <c r="Z51" s="126" t="s">
        <v>624</v>
      </c>
      <c r="AA51" s="360" t="str">
        <f t="shared" si="13"/>
        <v>ВЕРОЯТНОСТЬ  1  ВЛИЯНИЕ  1</v>
      </c>
      <c r="AB51" s="210">
        <f>IFERROR(INDEX('РЕЕСТР РИСКОВ_2023'!$K$39:$AQ$272,MATCH(Check!Z51,'РЕЕСТР РИСКОВ_2023'!$Q$39:$Q$272,0),14),"")</f>
        <v>0</v>
      </c>
      <c r="AC51" s="264">
        <f>IFERROR(INDEX('РЕЕСТР РИСКОВ_2023'!$K$39:$AQ$272,MATCH(Check!Z51,'РЕЕСТР РИСКОВ_2023'!$Q$39:$Q$272,0),15),"")</f>
        <v>0.8</v>
      </c>
      <c r="AD51" s="264">
        <f>IFERROR(INDEX('РЕЕСТР РИСКОВ_2023'!$K$39:$AQ$272,MATCH(Check!Z51,'РЕЕСТР РИСКОВ_2023'!$Q$39:$Q$272,0),16),"")</f>
        <v>-50644.1</v>
      </c>
      <c r="AE51" s="264">
        <f>IFERROR(INDEX('РЕЕСТР РИСКОВ_2023'!$K$39:$AQ$272,MATCH(Check!Z42,'РЕЕСТР РИСКОВ_2023'!$Q$39:$Q$272,0),30),"")</f>
        <v>0</v>
      </c>
      <c r="AI51" t="e">
        <f>#REF!</f>
        <v>#REF!</v>
      </c>
      <c r="AJ51" s="93" t="e">
        <f t="shared" si="15"/>
        <v>#VALUE!</v>
      </c>
      <c r="AK51" s="93">
        <f t="shared" si="12"/>
        <v>0</v>
      </c>
      <c r="AL51" s="78" t="e">
        <f t="shared" si="14"/>
        <v>#VALUE!</v>
      </c>
      <c r="AQ51" t="s">
        <v>128</v>
      </c>
      <c r="AR51" t="s">
        <v>34</v>
      </c>
      <c r="AS51">
        <v>0.25</v>
      </c>
      <c r="AT51">
        <v>-8907.4</v>
      </c>
      <c r="AU51">
        <v>-2226.85</v>
      </c>
      <c r="AV51">
        <v>-2226.85</v>
      </c>
    </row>
    <row r="52" spans="1:48" ht="21" customHeight="1">
      <c r="A52" s="92" t="s">
        <v>447</v>
      </c>
      <c r="B52" s="306" t="s">
        <v>336</v>
      </c>
      <c r="C52" s="304">
        <v>0.5</v>
      </c>
      <c r="D52" s="299">
        <v>-207.3</v>
      </c>
      <c r="E52" s="299">
        <v>-103.65</v>
      </c>
      <c r="K52" s="258"/>
      <c r="L52" s="126"/>
      <c r="M52" s="126" t="e">
        <f>IF('INHERENT MAP'!#REF!="КАТЕГОРИЯ",'INHERENT MAP'!#REF!,'INHERENT MAP'!#REF!)</f>
        <v>#REF!</v>
      </c>
      <c r="N52" s="126"/>
      <c r="O52" s="126" t="s">
        <v>244</v>
      </c>
      <c r="P52" s="126" t="e">
        <f>IF(#REF!="КАТЕГОРИЯ",#REF!,#REF!)</f>
        <v>#REF!</v>
      </c>
      <c r="S52" s="206" t="s">
        <v>128</v>
      </c>
      <c r="T52" s="461" t="s">
        <v>34</v>
      </c>
      <c r="U52" s="210">
        <f>IFERROR(INDEX('РЕЕСТР РИСКОВ_2023'!$K$39:$AQ$272,MATCH(Check!T52,'РЕЕСТР РИСКОВ_2023'!$K$39:$K$272,0),19),"")</f>
        <v>0.25</v>
      </c>
      <c r="V52" s="211">
        <f>IFERROR(INDEX('РЕЕСТР РИСКОВ_2023'!$K$39:$AQ$272,MATCH(Check!T52,'РЕЕСТР РИСКОВ_2023'!$K$39:$K$272,0),20),"")</f>
        <v>-8907.4</v>
      </c>
      <c r="W52" s="211">
        <f>IFERROR(INDEX('РЕЕСТР РИСКОВ_2023'!$K$39:$AQ$272,MATCH(Check!T52,'РЕЕСТР РИСКОВ_2023'!$K$39:$K$272,0),21),"")</f>
        <v>-2226.85</v>
      </c>
      <c r="X52" s="211">
        <f>IFERROR(INDEX('РЕЕСТР РИСКОВ_2023'!$K$39:$AT$272,MATCH(Check!T52,'РЕЕСТР РИСКОВ_2023'!$K$39:$K$272,0),36),"")</f>
        <v>-2226.85</v>
      </c>
      <c r="Z52" s="126" t="s">
        <v>1030</v>
      </c>
      <c r="AA52" s="360" t="str">
        <f t="shared" si="13"/>
        <v>ВЕРОЯТНОСТЬ  1  ВЛИЯНИЕ  1</v>
      </c>
      <c r="AB52" s="210">
        <f>IFERROR(INDEX('РЕЕСТР РИСКОВ_2023'!$K$39:$AQ$272,MATCH(Check!Z52,'РЕЕСТР РИСКОВ_2023'!$Q$39:$Q$272,0),14),"")</f>
        <v>0</v>
      </c>
      <c r="AC52" s="264">
        <f>IFERROR(INDEX('РЕЕСТР РИСКОВ_2023'!$K$39:$AQ$272,MATCH(Check!Z52,'РЕЕСТР РИСКОВ_2023'!$Q$39:$Q$272,0),15),"")</f>
        <v>0.5</v>
      </c>
      <c r="AD52" s="264">
        <f>IFERROR(INDEX('РЕЕСТР РИСКОВ_2023'!$K$39:$AQ$272,MATCH(Check!Z52,'РЕЕСТР РИСКОВ_2023'!$Q$39:$Q$272,0),16),"")</f>
        <v>-1070.2</v>
      </c>
      <c r="AE52" s="264" t="str">
        <f>IFERROR(INDEX('РЕЕСТР РИСКОВ_2023'!$K$39:$AQ$272,MATCH(Check!Z49,'РЕЕСТР РИСКОВ_2023'!$Q$39:$Q$272,0),30),"")</f>
        <v/>
      </c>
      <c r="AQ52" t="s">
        <v>128</v>
      </c>
      <c r="AR52" t="s">
        <v>388</v>
      </c>
      <c r="AS52">
        <v>0.4</v>
      </c>
      <c r="AT52">
        <v>-34211.478000000003</v>
      </c>
      <c r="AU52">
        <v>-13684.591200000003</v>
      </c>
      <c r="AV52">
        <v>-6842.2956000000013</v>
      </c>
    </row>
    <row r="53" spans="1:48" ht="21" customHeight="1">
      <c r="A53" s="92" t="s">
        <v>177</v>
      </c>
      <c r="B53" s="306" t="s">
        <v>133</v>
      </c>
      <c r="C53" s="304">
        <v>0.8363632460188084</v>
      </c>
      <c r="D53" s="299">
        <v>-21902.684763522502</v>
      </c>
      <c r="E53" s="299">
        <v>-18318.600525346377</v>
      </c>
      <c r="K53" s="258"/>
      <c r="L53" s="126"/>
      <c r="M53" s="126" t="e">
        <f>IF('INHERENT MAP'!#REF!="КАТЕГОРИЯ",'INHERENT MAP'!#REF!,'INHERENT MAP'!#REF!)</f>
        <v>#REF!</v>
      </c>
      <c r="N53" s="126"/>
      <c r="O53" s="126" t="s">
        <v>253</v>
      </c>
      <c r="P53" s="126" t="e">
        <f>IF(#REF!="КАТЕГОРИЯ",#REF!,#REF!)</f>
        <v>#REF!</v>
      </c>
      <c r="S53" s="206" t="s">
        <v>128</v>
      </c>
      <c r="T53" s="461" t="s">
        <v>388</v>
      </c>
      <c r="U53" s="210">
        <f>IFERROR(INDEX('РЕЕСТР РИСКОВ_2023'!$K$39:$AQ$272,MATCH(Check!T53,'РЕЕСТР РИСКОВ_2023'!$K$39:$K$272,0),19),"")</f>
        <v>0.4</v>
      </c>
      <c r="V53" s="211">
        <f>IFERROR(INDEX('РЕЕСТР РИСКОВ_2023'!$K$39:$AQ$272,MATCH(Check!T53,'РЕЕСТР РИСКОВ_2023'!$K$39:$K$272,0),20),"")</f>
        <v>-34211.478000000003</v>
      </c>
      <c r="W53" s="211">
        <f>IFERROR(INDEX('РЕЕСТР РИСКОВ_2023'!$K$39:$AQ$272,MATCH(Check!T53,'РЕЕСТР РИСКОВ_2023'!$K$39:$K$272,0),21),"")</f>
        <v>-13684.591200000003</v>
      </c>
      <c r="X53" s="211">
        <f>IFERROR(INDEX('РЕЕСТР РИСКОВ_2023'!$K$39:$AT$272,MATCH(Check!T53,'РЕЕСТР РИСКОВ_2023'!$K$39:$K$272,0),36),"")</f>
        <v>-6842.2956000000013</v>
      </c>
      <c r="Z53" t="s">
        <v>1138</v>
      </c>
      <c r="AA53" s="360" t="str">
        <f t="shared" si="13"/>
        <v>ВЕРОЯТНОСТЬ  1  ВЛИЯНИЕ  1</v>
      </c>
      <c r="AB53" s="210">
        <f>IFERROR(INDEX('РЕЕСТР РИСКОВ_2023'!$K$39:$AQ$272,MATCH(Check!Z53,'РЕЕСТР РИСКОВ_2023'!$Q$39:$Q$272,0),14),"")</f>
        <v>0</v>
      </c>
      <c r="AC53" s="264">
        <f>IFERROR(INDEX('РЕЕСТР РИСКОВ_2023'!$K$39:$AQ$272,MATCH(Check!Z53,'РЕЕСТР РИСКОВ_2023'!$Q$39:$Q$272,0),15),"")</f>
        <v>4.1289225304548961E-2</v>
      </c>
      <c r="AD53" s="264">
        <f>IFERROR(INDEX('РЕЕСТР РИСКОВ_2023'!$K$39:$AQ$272,MATCH(Check!Z53,'РЕЕСТР РИСКОВ_2023'!$Q$39:$Q$272,0),16),"")</f>
        <v>-6548.0879999999997</v>
      </c>
      <c r="AE53" s="264" t="str">
        <f>IFERROR(INDEX('РЕЕСТР РИСКОВ_2023'!$K$39:$AQ$272,MATCH(Check!Z99,'РЕЕСТР РИСКОВ_2023'!$Q$39:$Q$272,0),30),"")</f>
        <v/>
      </c>
      <c r="AQ53" t="s">
        <v>128</v>
      </c>
      <c r="AR53" t="s">
        <v>319</v>
      </c>
      <c r="AS53">
        <v>0.2</v>
      </c>
      <c r="AT53">
        <v>-231750</v>
      </c>
      <c r="AU53">
        <v>-46350</v>
      </c>
      <c r="AV53">
        <v>-46350</v>
      </c>
    </row>
    <row r="54" spans="1:48" ht="21" customHeight="1">
      <c r="A54" s="307" t="s">
        <v>246</v>
      </c>
      <c r="B54" s="306" t="s">
        <v>290</v>
      </c>
      <c r="C54" s="304">
        <v>0.65</v>
      </c>
      <c r="D54" s="299">
        <v>0</v>
      </c>
      <c r="E54" s="299">
        <v>0</v>
      </c>
      <c r="K54" s="258"/>
      <c r="L54" s="126"/>
      <c r="M54" s="126" t="e">
        <f>IF('INHERENT MAP'!#REF!="КАТЕГОРИЯ",'INHERENT MAP'!#REF!,'INHERENT MAP'!#REF!)</f>
        <v>#REF!</v>
      </c>
      <c r="N54" s="126"/>
      <c r="O54" s="126" t="s">
        <v>156</v>
      </c>
      <c r="P54" s="126" t="e">
        <f>IF(#REF!="КАТЕГОРИЯ",#REF!,#REF!)</f>
        <v>#REF!</v>
      </c>
      <c r="S54" s="206" t="s">
        <v>128</v>
      </c>
      <c r="T54" s="461" t="s">
        <v>319</v>
      </c>
      <c r="U54" s="210">
        <f>IFERROR(INDEX('РЕЕСТР РИСКОВ_2023'!$K$39:$AQ$272,MATCH(Check!T54,'РЕЕСТР РИСКОВ_2023'!$K$39:$K$272,0),19),"")</f>
        <v>0.2</v>
      </c>
      <c r="V54" s="211">
        <f>IFERROR(INDEX('РЕЕСТР РИСКОВ_2023'!$K$39:$AQ$272,MATCH(Check!T54,'РЕЕСТР РИСКОВ_2023'!$K$39:$K$272,0),20),"")</f>
        <v>-231750</v>
      </c>
      <c r="W54" s="211">
        <f>IFERROR(INDEX('РЕЕСТР РИСКОВ_2023'!$K$39:$AQ$272,MATCH(Check!T54,'РЕЕСТР РИСКОВ_2023'!$K$39:$K$272,0),21),"")</f>
        <v>-46350</v>
      </c>
      <c r="X54" s="211">
        <f>IFERROR(INDEX('РЕЕСТР РИСКОВ_2023'!$K$39:$AT$272,MATCH(Check!T54,'РЕЕСТР РИСКОВ_2023'!$K$39:$K$272,0),36),"")</f>
        <v>-46350</v>
      </c>
      <c r="Z54" s="358" t="s">
        <v>1141</v>
      </c>
      <c r="AA54" s="360" t="str">
        <f t="shared" si="13"/>
        <v>ВЕРОЯТНОСТЬ  1  ВЛИЯНИЕ  1</v>
      </c>
      <c r="AB54" s="210">
        <f>IFERROR(INDEX('РЕЕСТР РИСКОВ_2023'!$K$39:$AQ$272,MATCH(Check!Z54,'РЕЕСТР РИСКОВ_2023'!$Q$39:$Q$272,0),14),"")</f>
        <v>0</v>
      </c>
      <c r="AC54" s="264">
        <f>IFERROR(INDEX('РЕЕСТР РИСКОВ_2023'!$K$39:$AQ$272,MATCH(Check!Z54,'РЕЕСТР РИСКОВ_2023'!$Q$39:$Q$272,0),15),"")</f>
        <v>0.05</v>
      </c>
      <c r="AD54" s="264">
        <f>IFERROR(INDEX('РЕЕСТР РИСКОВ_2023'!$K$39:$AQ$272,MATCH(Check!Z54,'РЕЕСТР РИСКОВ_2023'!$Q$39:$Q$272,0),16),"")</f>
        <v>-181.529</v>
      </c>
      <c r="AE54" s="264">
        <f>IFERROR(INDEX('РЕЕСТР РИСКОВ_2023'!$K$39:$AQ$272,MATCH(Check!Z12,'РЕЕСТР РИСКОВ_2023'!$Q$39:$Q$272,0),30),"")</f>
        <v>0.2</v>
      </c>
      <c r="AQ54" t="s">
        <v>128</v>
      </c>
      <c r="AR54" t="s">
        <v>64</v>
      </c>
      <c r="AS54">
        <v>0.05</v>
      </c>
      <c r="AT54">
        <v>0</v>
      </c>
      <c r="AU54">
        <v>0</v>
      </c>
      <c r="AV54">
        <v>0</v>
      </c>
    </row>
    <row r="55" spans="1:48" ht="21" customHeight="1">
      <c r="A55" s="92" t="s">
        <v>158</v>
      </c>
      <c r="B55" s="306" t="s">
        <v>139</v>
      </c>
      <c r="C55" s="304">
        <v>0.65</v>
      </c>
      <c r="D55" s="299">
        <v>7122.1991996999996</v>
      </c>
      <c r="E55" s="299">
        <v>4629.4294798049996</v>
      </c>
      <c r="K55" s="258"/>
      <c r="L55" s="126"/>
      <c r="M55" s="126" t="e">
        <f>IF('INHERENT MAP'!#REF!="КАТЕГОРИЯ",'INHERENT MAP'!#REF!,'INHERENT MAP'!#REF!)</f>
        <v>#REF!</v>
      </c>
      <c r="N55" s="126"/>
      <c r="O55" s="126" t="s">
        <v>350</v>
      </c>
      <c r="P55" s="126" t="e">
        <f>IF(#REF!="КАТЕГОРИЯ",#REF!,#REF!)</f>
        <v>#REF!</v>
      </c>
      <c r="S55" s="206" t="s">
        <v>128</v>
      </c>
      <c r="T55" s="461" t="s">
        <v>64</v>
      </c>
      <c r="U55" s="210">
        <f>IFERROR(INDEX('РЕЕСТР РИСКОВ_2023'!$K$39:$AQ$272,MATCH(Check!T55,'РЕЕСТР РИСКОВ_2023'!$K$39:$K$272,0),19),"")</f>
        <v>0.05</v>
      </c>
      <c r="V55" s="211">
        <f>IFERROR(INDEX('РЕЕСТР РИСКОВ_2023'!$K$39:$AQ$272,MATCH(Check!T55,'РЕЕСТР РИСКОВ_2023'!$K$39:$K$272,0),20),"")</f>
        <v>0</v>
      </c>
      <c r="W55" s="211">
        <f>IFERROR(INDEX('РЕЕСТР РИСКОВ_2023'!$K$39:$AQ$272,MATCH(Check!T55,'РЕЕСТР РИСКОВ_2023'!$K$39:$K$272,0),21),"")</f>
        <v>0</v>
      </c>
      <c r="X55" s="211">
        <f>IFERROR(INDEX('РЕЕСТР РИСКОВ_2023'!$K$39:$AT$272,MATCH(Check!T55,'РЕЕСТР РИСКОВ_2023'!$K$39:$K$272,0),36),"")</f>
        <v>0</v>
      </c>
      <c r="Z55" t="s">
        <v>623</v>
      </c>
      <c r="AA55" s="360" t="str">
        <f t="shared" si="13"/>
        <v>ВЕРОЯТНОСТЬ  1  ВЛИЯНИЕ  1</v>
      </c>
      <c r="AB55" s="210">
        <f>IFERROR(INDEX('РЕЕСТР РИСКОВ_2023'!$K$39:$AQ$272,MATCH(Check!Z55,'РЕЕСТР РИСКОВ_2023'!$Q$39:$Q$272,0),14),"")</f>
        <v>0</v>
      </c>
      <c r="AC55" s="264">
        <f>IFERROR(INDEX('РЕЕСТР РИСКОВ_2023'!$K$39:$AQ$272,MATCH(Check!Z55,'РЕЕСТР РИСКОВ_2023'!$Q$39:$Q$272,0),15),"")</f>
        <v>0.8</v>
      </c>
      <c r="AD55" s="264">
        <f>IFERROR(INDEX('РЕЕСТР РИСКОВ_2023'!$K$39:$AQ$272,MATCH(Check!Z55,'РЕЕСТР РИСКОВ_2023'!$Q$39:$Q$272,0),16),"")</f>
        <v>-50644.1</v>
      </c>
      <c r="AE55" s="264">
        <f>IFERROR(INDEX('РЕЕСТР РИСКОВ_2023'!$K$39:$AQ$272,MATCH(Check!Z55,'РЕЕСТР РИСКОВ_2023'!$Q$39:$Q$272,0),30),"")</f>
        <v>0.8</v>
      </c>
      <c r="AQ55" t="s">
        <v>128</v>
      </c>
      <c r="AR55" t="s">
        <v>38</v>
      </c>
      <c r="AS55">
        <v>0.25</v>
      </c>
      <c r="AT55">
        <v>-3100</v>
      </c>
      <c r="AU55">
        <v>-775</v>
      </c>
      <c r="AV55">
        <v>-387.5</v>
      </c>
    </row>
    <row r="56" spans="1:48" ht="21" customHeight="1">
      <c r="A56" s="92" t="s">
        <v>246</v>
      </c>
      <c r="B56" s="306" t="s">
        <v>123</v>
      </c>
      <c r="C56" s="304">
        <v>0.95</v>
      </c>
      <c r="D56" s="299">
        <v>-137783.15789473685</v>
      </c>
      <c r="E56" s="299">
        <v>-130894</v>
      </c>
      <c r="L56" s="126"/>
      <c r="M56" s="126" t="e">
        <f>IF('INHERENT MAP'!#REF!="КАТЕГОРИЯ",'INHERENT MAP'!#REF!,'INHERENT MAP'!#REF!)</f>
        <v>#REF!</v>
      </c>
      <c r="N56" s="126"/>
      <c r="O56" s="126" t="s">
        <v>3</v>
      </c>
      <c r="P56" s="126" t="e">
        <f>IF(#REF!="КАТЕГОРИЯ",#REF!,#REF!)</f>
        <v>#REF!</v>
      </c>
      <c r="S56" s="206" t="s">
        <v>128</v>
      </c>
      <c r="T56" s="461" t="s">
        <v>38</v>
      </c>
      <c r="U56" s="210">
        <f>IFERROR(INDEX('РЕЕСТР РИСКОВ_2023'!$K$39:$AQ$272,MATCH(Check!T56,'РЕЕСТР РИСКОВ_2023'!$K$39:$K$272,0),19),"")</f>
        <v>0.25</v>
      </c>
      <c r="V56" s="211">
        <f>IFERROR(INDEX('РЕЕСТР РИСКОВ_2023'!$K$39:$AQ$272,MATCH(Check!T56,'РЕЕСТР РИСКОВ_2023'!$K$39:$K$272,0),20),"")</f>
        <v>-3100</v>
      </c>
      <c r="W56" s="211">
        <f>IFERROR(INDEX('РЕЕСТР РИСКОВ_2023'!$K$39:$AQ$272,MATCH(Check!T56,'РЕЕСТР РИСКОВ_2023'!$K$39:$K$272,0),21),"")</f>
        <v>-775</v>
      </c>
      <c r="X56" s="211">
        <f>IFERROR(INDEX('РЕЕСТР РИСКОВ_2023'!$K$39:$AT$272,MATCH(Check!T56,'РЕЕСТР РИСКОВ_2023'!$K$39:$K$272,0),36),"")</f>
        <v>-387.5</v>
      </c>
      <c r="Z56" t="s">
        <v>457</v>
      </c>
      <c r="AA56" s="360" t="str">
        <f t="shared" si="13"/>
        <v>ВЕРОЯТНОСТЬ  1  ВЛИЯНИЕ  1</v>
      </c>
      <c r="AB56" s="210">
        <f>IFERROR(INDEX('РЕЕСТР РИСКОВ_2023'!$K$39:$AQ$272,MATCH(Check!Z56,'РЕЕСТР РИСКОВ_2023'!$Q$39:$Q$272,0),14),"")</f>
        <v>0</v>
      </c>
      <c r="AC56" s="264">
        <f>IFERROR(INDEX('РЕЕСТР РИСКОВ_2023'!$K$39:$AQ$272,MATCH(Check!Z56,'РЕЕСТР РИСКОВ_2023'!$Q$39:$Q$272,0),15),"")</f>
        <v>0.8</v>
      </c>
      <c r="AD56" s="264">
        <f>IFERROR(INDEX('РЕЕСТР РИСКОВ_2023'!$K$39:$AQ$272,MATCH(Check!Z56,'РЕЕСТР РИСКОВ_2023'!$Q$39:$Q$272,0),16),"")</f>
        <v>-2669.6403372047098</v>
      </c>
      <c r="AE56" s="264">
        <f>IFERROR(INDEX('РЕЕСТР РИСКОВ_2023'!$K$39:$AQ$272,MATCH(Check!Z56,'РЕЕСТР РИСКОВ_2023'!$Q$39:$Q$272,0),30),"")</f>
        <v>0.4</v>
      </c>
      <c r="AQ56" t="s">
        <v>128</v>
      </c>
      <c r="AR56" t="s">
        <v>918</v>
      </c>
      <c r="AS56">
        <v>0.4</v>
      </c>
      <c r="AT56">
        <v>-5003</v>
      </c>
      <c r="AU56">
        <v>-2001.2</v>
      </c>
      <c r="AV56">
        <v>-1000.6</v>
      </c>
    </row>
    <row r="57" spans="1:48" ht="21" customHeight="1">
      <c r="A57" s="92" t="s">
        <v>174</v>
      </c>
      <c r="B57" s="306" t="s">
        <v>124</v>
      </c>
      <c r="C57" s="304">
        <v>0.8</v>
      </c>
      <c r="D57" s="299"/>
      <c r="E57" s="299">
        <v>0</v>
      </c>
      <c r="L57" s="126"/>
      <c r="M57" t="e">
        <f>IF('INHERENT MAP'!#REF!="КАТЕГОРИЯ",'INHERENT MAP'!#REF!,'INHERENT MAP'!#REF!)</f>
        <v>#REF!</v>
      </c>
      <c r="O57" s="126" t="s">
        <v>37</v>
      </c>
      <c r="P57" t="e">
        <f>IF(#REF!="КАТЕГОРИЯ",#REF!,#REF!)</f>
        <v>#REF!</v>
      </c>
      <c r="S57" s="206" t="s">
        <v>128</v>
      </c>
      <c r="T57" s="461" t="s">
        <v>918</v>
      </c>
      <c r="U57" s="210">
        <f>IFERROR(INDEX('РЕЕСТР РИСКОВ_2023'!$K$39:$AQ$272,MATCH(Check!T57,'РЕЕСТР РИСКОВ_2023'!$K$39:$K$272,0),19),"")</f>
        <v>0.4</v>
      </c>
      <c r="V57" s="211">
        <f>IFERROR(INDEX('РЕЕСТР РИСКОВ_2023'!$K$39:$AQ$272,MATCH(Check!T57,'РЕЕСТР РИСКОВ_2023'!$K$39:$K$272,0),20),"")</f>
        <v>-5003</v>
      </c>
      <c r="W57" s="211">
        <f>IFERROR(INDEX('РЕЕСТР РИСКОВ_2023'!$K$39:$AQ$272,MATCH(Check!T57,'РЕЕСТР РИСКОВ_2023'!$K$39:$K$272,0),21),"")</f>
        <v>-2001.2</v>
      </c>
      <c r="X57" s="211">
        <f>IFERROR(INDEX('РЕЕСТР РИСКОВ_2023'!$K$39:$AT$272,MATCH(Check!T57,'РЕЕСТР РИСКОВ_2023'!$K$39:$K$272,0),36),"")</f>
        <v>-1000.6</v>
      </c>
      <c r="Z57" t="s">
        <v>458</v>
      </c>
      <c r="AA57" s="360" t="str">
        <f t="shared" si="13"/>
        <v>ВЕРОЯТНОСТЬ  1  ВЛИЯНИЕ  1</v>
      </c>
      <c r="AB57" s="210">
        <f>IFERROR(INDEX('РЕЕСТР РИСКОВ_2023'!$K$39:$AQ$272,MATCH(Check!Z57,'РЕЕСТР РИСКОВ_2023'!$Q$39:$Q$272,0),14),"")</f>
        <v>0</v>
      </c>
      <c r="AC57" s="264">
        <f>IFERROR(INDEX('РЕЕСТР РИСКОВ_2023'!$K$39:$AQ$272,MATCH(Check!Z57,'РЕЕСТР РИСКОВ_2023'!$Q$39:$Q$272,0),15),"")</f>
        <v>0.05</v>
      </c>
      <c r="AD57" s="264">
        <f>IFERROR(INDEX('РЕЕСТР РИСКОВ_2023'!$K$39:$AQ$272,MATCH(Check!Z57,'РЕЕСТР РИСКОВ_2023'!$Q$39:$Q$272,0),16),"")</f>
        <v>5081.1005715962101</v>
      </c>
      <c r="AE57" s="264">
        <f>IFERROR(INDEX('РЕЕСТР РИСКОВ_2023'!$K$39:$AQ$272,MATCH(Check!Z57,'РЕЕСТР РИСКОВ_2023'!$Q$39:$Q$272,0),30),"")</f>
        <v>0.05</v>
      </c>
      <c r="AQ57" t="s">
        <v>128</v>
      </c>
      <c r="AR57" t="s">
        <v>1646</v>
      </c>
      <c r="AS57">
        <v>-0.4</v>
      </c>
      <c r="AT57">
        <v>-40000</v>
      </c>
      <c r="AU57">
        <v>-20000</v>
      </c>
      <c r="AV57">
        <v>0</v>
      </c>
    </row>
    <row r="58" spans="1:48" ht="21" customHeight="1">
      <c r="A58" s="92" t="s">
        <v>111</v>
      </c>
      <c r="B58" s="306" t="s">
        <v>42</v>
      </c>
      <c r="C58" s="304">
        <v>0.8</v>
      </c>
      <c r="D58" s="299"/>
      <c r="E58" s="299"/>
      <c r="O58" t="s">
        <v>390</v>
      </c>
      <c r="S58" s="206" t="s">
        <v>128</v>
      </c>
      <c r="T58" s="461" t="s">
        <v>1646</v>
      </c>
      <c r="U58" s="210">
        <f>IFERROR(INDEX('РЕЕСТР РИСКОВ_2023'!$K$39:$AQ$272,MATCH(Check!T58,'РЕЕСТР РИСКОВ_2023'!$K$39:$K$272,0),19),"")</f>
        <v>0.5</v>
      </c>
      <c r="V58" s="211">
        <f>IFERROR(INDEX('РЕЕСТР РИСКОВ_2023'!$K$39:$AQ$272,MATCH(Check!T58,'РЕЕСТР РИСКОВ_2023'!$K$39:$K$272,0),20),"")</f>
        <v>-40000</v>
      </c>
      <c r="W58" s="211">
        <f>IFERROR(INDEX('РЕЕСТР РИСКОВ_2023'!$K$39:$AQ$272,MATCH(Check!T58,'РЕЕСТР РИСКОВ_2023'!$K$39:$K$272,0),21),"")</f>
        <v>-20000</v>
      </c>
      <c r="X58" s="211">
        <f>IFERROR(INDEX('РЕЕСТР РИСКОВ_2023'!$K$39:$AT$272,MATCH(Check!T58,'РЕЕСТР РИСКОВ_2023'!$K$39:$K$272,0),36),"")</f>
        <v>-10000</v>
      </c>
      <c r="Z58" t="s">
        <v>459</v>
      </c>
      <c r="AA58" s="360" t="str">
        <f t="shared" si="13"/>
        <v>ВЕРОЯТНОСТЬ  1  ВЛИЯНИЕ  1</v>
      </c>
      <c r="AB58" s="210">
        <f>IFERROR(INDEX('РЕЕСТР РИСКОВ_2023'!$K$39:$AQ$272,MATCH(Check!Z58,'РЕЕСТР РИСКОВ_2023'!$Q$39:$Q$272,0),14),"")</f>
        <v>0</v>
      </c>
      <c r="AC58" s="264">
        <f>IFERROR(INDEX('РЕЕСТР РИСКОВ_2023'!$K$39:$AQ$272,MATCH(Check!Z58,'РЕЕСТР РИСКОВ_2023'!$Q$39:$Q$272,0),15),"")</f>
        <v>0.8</v>
      </c>
      <c r="AD58" s="264">
        <f>IFERROR(INDEX('РЕЕСТР РИСКОВ_2023'!$K$39:$AQ$272,MATCH(Check!Z58,'РЕЕСТР РИСКОВ_2023'!$Q$39:$Q$272,0),16),"")</f>
        <v>-347.52326981749502</v>
      </c>
      <c r="AE58" s="264">
        <f>IFERROR(INDEX('РЕЕСТР РИСКОВ_2023'!$K$39:$AQ$272,MATCH(Check!Z58,'РЕЕСТР РИСКОВ_2023'!$Q$39:$Q$272,0),30),"")</f>
        <v>0.4</v>
      </c>
      <c r="AQ58" t="s">
        <v>82</v>
      </c>
      <c r="AR58" t="s">
        <v>1414</v>
      </c>
      <c r="AS58">
        <v>0.02</v>
      </c>
      <c r="AT58">
        <v>0</v>
      </c>
      <c r="AU58">
        <v>0</v>
      </c>
      <c r="AV58">
        <v>0</v>
      </c>
    </row>
    <row r="59" spans="1:48" ht="21" customHeight="1">
      <c r="A59" s="92" t="s">
        <v>112</v>
      </c>
      <c r="B59" s="306" t="s">
        <v>44</v>
      </c>
      <c r="C59" s="304">
        <v>0.4</v>
      </c>
      <c r="D59" s="299">
        <v>-4.5</v>
      </c>
      <c r="E59" s="299">
        <v>-1.8</v>
      </c>
      <c r="O59" t="s">
        <v>391</v>
      </c>
      <c r="S59" s="206" t="s">
        <v>82</v>
      </c>
      <c r="T59" s="330" t="s">
        <v>1414</v>
      </c>
      <c r="U59" s="210">
        <f>IFERROR(INDEX('РЕЕСТР РИСКОВ_2023'!$K$39:$AQ$272,MATCH(Check!T59,'РЕЕСТР РИСКОВ_2023'!$K$39:$K$272,0),19),"")</f>
        <v>0.02</v>
      </c>
      <c r="V59" s="211">
        <f>IFERROR(INDEX('РЕЕСТР РИСКОВ_2023'!$K$39:$AQ$272,MATCH(Check!T59,'РЕЕСТР РИСКОВ_2023'!$K$39:$K$272,0),20),"")</f>
        <v>0</v>
      </c>
      <c r="W59" s="211">
        <f>IFERROR(INDEX('РЕЕСТР РИСКОВ_2023'!$K$39:$AQ$272,MATCH(Check!T59,'РЕЕСТР РИСКОВ_2023'!$K$39:$K$272,0),21),"")</f>
        <v>0</v>
      </c>
      <c r="X59" s="211">
        <f>IFERROR(INDEX('РЕЕСТР РИСКОВ_2023'!$K$39:$AT$272,MATCH(Check!T59,'РЕЕСТР РИСКОВ_2023'!$K$39:$K$272,0),36),"")</f>
        <v>0</v>
      </c>
      <c r="Y59" s="126"/>
      <c r="Z59" t="s">
        <v>460</v>
      </c>
      <c r="AA59" s="360" t="str">
        <f t="shared" si="13"/>
        <v>ВЕРОЯТНОСТЬ  1  ВЛИЯНИЕ  1</v>
      </c>
      <c r="AB59" s="210">
        <f>IFERROR(INDEX('РЕЕСТР РИСКОВ_2023'!$K$39:$AQ$272,MATCH(Check!Z59,'РЕЕСТР РИСКОВ_2023'!$Q$39:$Q$272,0),14),"")</f>
        <v>0</v>
      </c>
      <c r="AC59" s="264">
        <f>IFERROR(INDEX('РЕЕСТР РИСКОВ_2023'!$K$39:$AQ$272,MATCH(Check!Z59,'РЕЕСТР РИСКОВ_2023'!$Q$39:$Q$272,0),15),"")</f>
        <v>0.05</v>
      </c>
      <c r="AD59" s="264">
        <f>IFERROR(INDEX('РЕЕСТР РИСКОВ_2023'!$K$39:$AQ$272,MATCH(Check!Z59,'РЕЕСТР РИСКОВ_2023'!$Q$39:$Q$272,0),16),"")</f>
        <v>2112.2808489768299</v>
      </c>
      <c r="AE59" s="264">
        <f>IFERROR(INDEX('РЕЕСТР РИСКОВ_2023'!$K$39:$AQ$272,MATCH(Check!Z124,'РЕЕСТР РИСКОВ_2023'!$Q$39:$Q$272,0),30),"")</f>
        <v>0.47</v>
      </c>
      <c r="AQ59" t="s">
        <v>82</v>
      </c>
      <c r="AR59" t="s">
        <v>1649</v>
      </c>
      <c r="AS59">
        <v>0.45</v>
      </c>
      <c r="AT59">
        <v>0</v>
      </c>
      <c r="AU59">
        <v>0</v>
      </c>
      <c r="AV59">
        <v>0</v>
      </c>
    </row>
    <row r="60" spans="1:48" ht="21" customHeight="1">
      <c r="A60" s="92" t="s">
        <v>112</v>
      </c>
      <c r="B60" s="306" t="s">
        <v>54</v>
      </c>
      <c r="C60" s="304">
        <v>0.8</v>
      </c>
      <c r="D60" s="299"/>
      <c r="E60" s="299">
        <v>0</v>
      </c>
      <c r="O60" s="126" t="s">
        <v>48</v>
      </c>
      <c r="S60" s="206" t="s">
        <v>82</v>
      </c>
      <c r="T60" s="358" t="s">
        <v>1649</v>
      </c>
      <c r="U60" s="210">
        <f>IFERROR(INDEX('РЕЕСТР РИСКОВ_2023'!$K$39:$AQ$272,MATCH(Check!T60,'РЕЕСТР РИСКОВ_2023'!$K$39:$K$272,0),19),"")</f>
        <v>0.45</v>
      </c>
      <c r="V60" s="211">
        <f>IFERROR(INDEX('РЕЕСТР РИСКОВ_2023'!$K$39:$AQ$272,MATCH(Check!T60,'РЕЕСТР РИСКОВ_2023'!$K$39:$K$272,0),20),"")</f>
        <v>0</v>
      </c>
      <c r="W60" s="211">
        <f>IFERROR(INDEX('РЕЕСТР РИСКОВ_2023'!$K$39:$AQ$272,MATCH(Check!T60,'РЕЕСТР РИСКОВ_2023'!$K$39:$K$272,0),21),"")</f>
        <v>0</v>
      </c>
      <c r="X60" s="211">
        <f>IFERROR(INDEX('РЕЕСТР РИСКОВ_2023'!$K$39:$AT$272,MATCH(Check!T60,'РЕЕСТР РИСКОВ_2023'!$K$39:$K$272,0),36),"")</f>
        <v>0</v>
      </c>
      <c r="Y60" s="126"/>
      <c r="Z60" t="s">
        <v>461</v>
      </c>
      <c r="AA60" s="360" t="str">
        <f t="shared" si="13"/>
        <v>ВЕРОЯТНОСТЬ  1  ВЛИЯНИЕ  1</v>
      </c>
      <c r="AB60" s="210">
        <f>IFERROR(INDEX('РЕЕСТР РИСКОВ_2023'!$K$39:$AQ$272,MATCH(Check!Z60,'РЕЕСТР РИСКОВ_2023'!$Q$39:$Q$272,0),14),"")</f>
        <v>0</v>
      </c>
      <c r="AC60" s="264">
        <f>IFERROR(INDEX('РЕЕСТР РИСКОВ_2023'!$K$39:$AQ$272,MATCH(Check!Z60,'РЕЕСТР РИСКОВ_2023'!$Q$39:$Q$272,0),15),"")</f>
        <v>0.8</v>
      </c>
      <c r="AD60" s="264">
        <f>IFERROR(INDEX('РЕЕСТР РИСКОВ_2023'!$K$39:$AQ$272,MATCH(Check!Z60,'РЕЕСТР РИСКОВ_2023'!$Q$39:$Q$272,0),16),"")</f>
        <v>-96.234641605456005</v>
      </c>
      <c r="AE60" s="264">
        <f>IFERROR(INDEX('РЕЕСТР РИСКОВ_2023'!$K$39:$AQ$272,MATCH(Check!Z60,'РЕЕСТР РИСКОВ_2023'!$Q$39:$Q$272,0),30),"")</f>
        <v>0.4</v>
      </c>
      <c r="AQ60" t="s">
        <v>82</v>
      </c>
      <c r="AR60" t="s">
        <v>1650</v>
      </c>
      <c r="AS60">
        <v>0.5</v>
      </c>
      <c r="AT60">
        <v>0</v>
      </c>
      <c r="AU60">
        <v>0</v>
      </c>
      <c r="AV60">
        <v>0</v>
      </c>
    </row>
    <row r="61" spans="1:48" ht="21" customHeight="1">
      <c r="A61" s="92" t="s">
        <v>111</v>
      </c>
      <c r="B61" s="306" t="s">
        <v>56</v>
      </c>
      <c r="C61" s="304">
        <v>0.95</v>
      </c>
      <c r="D61" s="299">
        <v>-449</v>
      </c>
      <c r="E61" s="299">
        <v>-426.54999999999995</v>
      </c>
      <c r="O61" s="126" t="s">
        <v>49</v>
      </c>
      <c r="S61" s="206" t="s">
        <v>82</v>
      </c>
      <c r="T61" s="336" t="s">
        <v>1650</v>
      </c>
      <c r="U61" s="210">
        <f>IFERROR(INDEX('РЕЕСТР РИСКОВ_2023'!$K$39:$AQ$272,MATCH(Check!T61,'РЕЕСТР РИСКОВ_2023'!$K$39:$K$272,0),19),"")</f>
        <v>0.5</v>
      </c>
      <c r="V61" s="211">
        <f>IFERROR(INDEX('РЕЕСТР РИСКОВ_2023'!$K$39:$AQ$272,MATCH(Check!T61,'РЕЕСТР РИСКОВ_2023'!$K$39:$K$272,0),20),"")</f>
        <v>0</v>
      </c>
      <c r="W61" s="211">
        <f>IFERROR(INDEX('РЕЕСТР РИСКОВ_2023'!$K$39:$AQ$272,MATCH(Check!T61,'РЕЕСТР РИСКОВ_2023'!$K$39:$K$272,0),21),"")</f>
        <v>0</v>
      </c>
      <c r="X61" s="211">
        <f>IFERROR(INDEX('РЕЕСТР РИСКОВ_2023'!$K$39:$AT$272,MATCH(Check!T61,'РЕЕСТР РИСКОВ_2023'!$K$39:$K$272,0),36),"")</f>
        <v>0</v>
      </c>
      <c r="Y61" s="126"/>
      <c r="Z61" s="126" t="s">
        <v>522</v>
      </c>
      <c r="AA61" s="360" t="str">
        <f t="shared" si="13"/>
        <v>ВЕРОЯТНОСТЬ  1  ВЛИЯНИЕ  1</v>
      </c>
      <c r="AB61" s="210">
        <f>IFERROR(INDEX('РЕЕСТР РИСКОВ_2023'!$K$39:$AQ$272,MATCH(Check!Z61,'РЕЕСТР РИСКОВ_2023'!$Q$39:$Q$272,0),14),"")</f>
        <v>0</v>
      </c>
      <c r="AC61" s="264">
        <f>IFERROR(INDEX('РЕЕСТР РИСКОВ_2023'!$K$39:$AQ$272,MATCH(Check!Z61,'РЕЕСТР РИСКОВ_2023'!$Q$39:$Q$272,0),15),"")</f>
        <v>0.6</v>
      </c>
      <c r="AD61" s="264">
        <f>IFERROR(INDEX('РЕЕСТР РИСКОВ_2023'!$K$39:$AQ$272,MATCH(Check!Z61,'РЕЕСТР РИСКОВ_2023'!$Q$39:$Q$272,0),16),"")</f>
        <v>-62269.400000000023</v>
      </c>
      <c r="AE61" s="264">
        <f>IFERROR(INDEX('РЕЕСТР РИСКОВ_2023'!$K$39:$AQ$272,MATCH(Check!Z61,'РЕЕСТР РИСКОВ_2023'!$Q$39:$Q$272,0),30),"")</f>
        <v>0.3</v>
      </c>
      <c r="AQ61" t="s">
        <v>82</v>
      </c>
      <c r="AR61" t="s">
        <v>1651</v>
      </c>
      <c r="AS61">
        <v>0.5</v>
      </c>
      <c r="AT61">
        <v>0</v>
      </c>
      <c r="AU61">
        <v>0</v>
      </c>
      <c r="AV61">
        <v>0</v>
      </c>
    </row>
    <row r="62" spans="1:48" ht="21" customHeight="1">
      <c r="A62" s="92" t="s">
        <v>176</v>
      </c>
      <c r="B62" s="306" t="s">
        <v>45</v>
      </c>
      <c r="C62" s="304">
        <v>0.25</v>
      </c>
      <c r="D62" s="299">
        <v>-1</v>
      </c>
      <c r="E62" s="299">
        <v>-0.25</v>
      </c>
      <c r="O62" t="s">
        <v>43</v>
      </c>
      <c r="S62" s="206" t="s">
        <v>82</v>
      </c>
      <c r="T62" s="336" t="s">
        <v>1651</v>
      </c>
      <c r="U62" s="210">
        <f>IFERROR(INDEX('РЕЕСТР РИСКОВ_2023'!$K$39:$AQ$272,MATCH(Check!T62,'РЕЕСТР РИСКОВ_2023'!$K$39:$K$272,0),19),"")</f>
        <v>0.5</v>
      </c>
      <c r="V62" s="211">
        <f>IFERROR(INDEX('РЕЕСТР РИСКОВ_2023'!$K$39:$AQ$272,MATCH(Check!T62,'РЕЕСТР РИСКОВ_2023'!$K$39:$K$272,0),20),"")</f>
        <v>0</v>
      </c>
      <c r="W62" s="211">
        <f>IFERROR(INDEX('РЕЕСТР РИСКОВ_2023'!$K$39:$AQ$272,MATCH(Check!T62,'РЕЕСТР РИСКОВ_2023'!$K$39:$K$272,0),21),"")</f>
        <v>0</v>
      </c>
      <c r="X62" s="211">
        <f>IFERROR(INDEX('РЕЕСТР РИСКОВ_2023'!$K$39:$AT$272,MATCH(Check!T62,'РЕЕСТР РИСКОВ_2023'!$K$39:$K$272,0),36),"")</f>
        <v>0</v>
      </c>
      <c r="Y62" s="126"/>
      <c r="Z62" t="s">
        <v>523</v>
      </c>
      <c r="AA62" s="360" t="str">
        <f t="shared" si="13"/>
        <v>ВЕРОЯТНОСТЬ  1  ВЛИЯНИЕ  1</v>
      </c>
      <c r="AB62" s="210">
        <f>IFERROR(INDEX('РЕЕСТР РИСКОВ_2023'!$K$39:$AQ$272,MATCH(Check!Z62,'РЕЕСТР РИСКОВ_2023'!$Q$39:$Q$272,0),14),"")</f>
        <v>0</v>
      </c>
      <c r="AC62" s="264">
        <f>IFERROR(INDEX('РЕЕСТР РИСКОВ_2023'!$K$39:$AQ$272,MATCH(Check!Z62,'РЕЕСТР РИСКОВ_2023'!$Q$39:$Q$272,0),15),"")</f>
        <v>0.1</v>
      </c>
      <c r="AD62" s="264">
        <f>IFERROR(INDEX('РЕЕСТР РИСКОВ_2023'!$K$39:$AQ$272,MATCH(Check!Z62,'РЕЕСТР РИСКОВ_2023'!$Q$39:$Q$272,0),16),"")</f>
        <v>12453.880000000005</v>
      </c>
      <c r="AE62" s="264">
        <f>IFERROR(INDEX('РЕЕСТР РИСКОВ_2023'!$K$39:$AQ$272,MATCH(Check!Z62,'РЕЕСТР РИСКОВ_2023'!$Q$39:$Q$272,0),30),"")</f>
        <v>0.1</v>
      </c>
      <c r="AQ62" t="s">
        <v>82</v>
      </c>
      <c r="AR62" t="s">
        <v>156</v>
      </c>
      <c r="AS62">
        <v>0.4</v>
      </c>
      <c r="AT62">
        <v>0</v>
      </c>
      <c r="AU62">
        <v>0</v>
      </c>
      <c r="AV62">
        <v>0</v>
      </c>
    </row>
    <row r="63" spans="1:48" ht="21" customHeight="1">
      <c r="A63" s="92" t="s">
        <v>177</v>
      </c>
      <c r="B63" s="306" t="s">
        <v>39</v>
      </c>
      <c r="C63" s="304">
        <v>0.8</v>
      </c>
      <c r="D63" s="299">
        <v>0</v>
      </c>
      <c r="E63" s="299">
        <v>0</v>
      </c>
      <c r="O63" t="s">
        <v>50</v>
      </c>
      <c r="S63" s="206" t="s">
        <v>82</v>
      </c>
      <c r="T63" s="336" t="s">
        <v>156</v>
      </c>
      <c r="U63" s="210">
        <f>IFERROR(INDEX('РЕЕСТР РИСКОВ_2023'!$K$39:$AQ$272,MATCH(Check!T63,'РЕЕСТР РИСКОВ_2023'!$K$39:$K$272,0),19),"")</f>
        <v>0.4</v>
      </c>
      <c r="V63" s="211">
        <f>IFERROR(INDEX('РЕЕСТР РИСКОВ_2023'!$K$39:$AQ$272,MATCH(Check!T63,'РЕЕСТР РИСКОВ_2023'!$K$39:$K$272,0),20),"")</f>
        <v>0</v>
      </c>
      <c r="W63" s="211">
        <f>IFERROR(INDEX('РЕЕСТР РИСКОВ_2023'!$K$39:$AQ$272,MATCH(Check!T63,'РЕЕСТР РИСКОВ_2023'!$K$39:$K$272,0),21),"")</f>
        <v>0</v>
      </c>
      <c r="X63" s="211">
        <f>IFERROR(INDEX('РЕЕСТР РИСКОВ_2023'!$K$39:$AT$272,MATCH(Check!T63,'РЕЕСТР РИСКОВ_2023'!$K$39:$K$272,0),36),"")</f>
        <v>0</v>
      </c>
      <c r="Z63" s="126" t="s">
        <v>598</v>
      </c>
      <c r="AA63" s="360" t="str">
        <f t="shared" si="13"/>
        <v>ВЕРОЯТНОСТЬ  5  ВЛИЯНИЕ  1</v>
      </c>
      <c r="AB63" s="210" t="str">
        <f>IFERROR(INDEX('РЕЕСТР РИСКОВ_2023'!$K$39:$AQ$272,MATCH(Check!Z63,'РЕЕСТР РИСКОВ_2023'!$Q$39:$Q$272,0),14),"")</f>
        <v/>
      </c>
      <c r="AC63" s="264" t="str">
        <f>IFERROR(INDEX('РЕЕСТР РИСКОВ_2023'!$K$39:$AQ$272,MATCH(Check!Z63,'РЕЕСТР РИСКОВ_2023'!$Q$39:$Q$272,0),15),"")</f>
        <v/>
      </c>
      <c r="AD63" s="264" t="str">
        <f>IFERROR(INDEX('РЕЕСТР РИСКОВ_2023'!$K$39:$AQ$272,MATCH(Check!Z63,'РЕЕСТР РИСКОВ_2023'!$Q$39:$Q$272,0),16),"")</f>
        <v/>
      </c>
      <c r="AE63" s="264" t="str">
        <f>IFERROR(INDEX('РЕЕСТР РИСКОВ_2023'!$K$39:$AQ$272,MATCH(Check!Z63,'РЕЕСТР РИСКОВ_2023'!$Q$39:$Q$272,0),30),"")</f>
        <v/>
      </c>
      <c r="AQ63" t="s">
        <v>82</v>
      </c>
      <c r="AR63" t="s">
        <v>1426</v>
      </c>
      <c r="AS63">
        <v>0.25</v>
      </c>
      <c r="AT63">
        <v>0</v>
      </c>
      <c r="AU63">
        <v>0</v>
      </c>
      <c r="AV63">
        <v>0</v>
      </c>
    </row>
    <row r="64" spans="1:48" ht="21" customHeight="1">
      <c r="A64" s="92" t="s">
        <v>111</v>
      </c>
      <c r="B64" s="306" t="s">
        <v>306</v>
      </c>
      <c r="C64" s="304">
        <v>1</v>
      </c>
      <c r="D64" s="299">
        <v>0</v>
      </c>
      <c r="E64" s="299">
        <v>0</v>
      </c>
      <c r="O64" t="s">
        <v>53</v>
      </c>
      <c r="S64" s="206" t="s">
        <v>82</v>
      </c>
      <c r="T64" s="333" t="s">
        <v>1426</v>
      </c>
      <c r="U64" s="210">
        <f>IFERROR(INDEX('РЕЕСТР РИСКОВ_2023'!$K$39:$AQ$272,MATCH(Check!T64,'РЕЕСТР РИСКОВ_2023'!$K$39:$K$272,0),19),"")</f>
        <v>0.25</v>
      </c>
      <c r="V64" s="211">
        <f>IFERROR(INDEX('РЕЕСТР РИСКОВ_2023'!$K$39:$AQ$272,MATCH(Check!T64,'РЕЕСТР РИСКОВ_2023'!$K$39:$K$272,0),20),"")</f>
        <v>0</v>
      </c>
      <c r="W64" s="211">
        <f>IFERROR(INDEX('РЕЕСТР РИСКОВ_2023'!$K$39:$AQ$272,MATCH(Check!T64,'РЕЕСТР РИСКОВ_2023'!$K$39:$K$272,0),21),"")</f>
        <v>0</v>
      </c>
      <c r="X64" s="211">
        <f>IFERROR(INDEX('РЕЕСТР РИСКОВ_2023'!$K$39:$AT$272,MATCH(Check!T64,'РЕЕСТР РИСКОВ_2023'!$K$39:$K$272,0),36),"")</f>
        <v>0</v>
      </c>
      <c r="Y64" s="126"/>
      <c r="Z64" t="s">
        <v>607</v>
      </c>
      <c r="AA64" s="360" t="str">
        <f t="shared" si="13"/>
        <v>ВЕРОЯТНОСТЬ  1  ВЛИЯНИЕ  1</v>
      </c>
      <c r="AB64" s="210">
        <f>IFERROR(INDEX('РЕЕСТР РИСКОВ_2023'!$K$39:$AQ$272,MATCH(Check!Z64,'РЕЕСТР РИСКОВ_2023'!$Q$39:$Q$272,0),14),"")</f>
        <v>0</v>
      </c>
      <c r="AC64" s="264">
        <f>IFERROR(INDEX('РЕЕСТР РИСКОВ_2023'!$K$39:$AQ$272,MATCH(Check!Z64,'РЕЕСТР РИСКОВ_2023'!$Q$39:$Q$272,0),15),"")</f>
        <v>0.05</v>
      </c>
      <c r="AD64" s="264">
        <f>IFERROR(INDEX('РЕЕСТР РИСКОВ_2023'!$K$39:$AQ$272,MATCH(Check!Z64,'РЕЕСТР РИСКОВ_2023'!$Q$39:$Q$272,0),16),"")</f>
        <v>0</v>
      </c>
      <c r="AE64" s="264">
        <f>IFERROR(INDEX('РЕЕСТР РИСКОВ_2023'!$K$39:$AQ$272,MATCH(Check!Z43,'РЕЕСТР РИСКОВ_2023'!$Q$39:$Q$272,0),30),"")</f>
        <v>0</v>
      </c>
      <c r="AQ64" t="s">
        <v>82</v>
      </c>
      <c r="AR64" t="s">
        <v>1652</v>
      </c>
      <c r="AS64" t="s">
        <v>578</v>
      </c>
      <c r="AT64" t="s">
        <v>578</v>
      </c>
      <c r="AU64" t="s">
        <v>578</v>
      </c>
      <c r="AV64" t="s">
        <v>578</v>
      </c>
    </row>
    <row r="65" spans="1:48" ht="21" customHeight="1">
      <c r="A65" s="92" t="s">
        <v>111</v>
      </c>
      <c r="B65" s="306" t="s">
        <v>321</v>
      </c>
      <c r="C65" s="304">
        <v>0.7</v>
      </c>
      <c r="D65" s="299">
        <v>0</v>
      </c>
      <c r="E65" s="299">
        <v>0</v>
      </c>
      <c r="O65" t="s">
        <v>41</v>
      </c>
      <c r="Q65" s="126"/>
      <c r="R65" s="126"/>
      <c r="S65" s="206" t="s">
        <v>82</v>
      </c>
      <c r="T65" s="333" t="s">
        <v>1652</v>
      </c>
      <c r="U65" s="210" t="str">
        <f>IFERROR(INDEX('РЕЕСТР РИСКОВ_2023'!$K$39:$AQ$272,MATCH(Check!T65,'РЕЕСТР РИСКОВ_2023'!$K$39:$K$272,0),19),"")</f>
        <v/>
      </c>
      <c r="V65" s="211" t="str">
        <f>IFERROR(INDEX('РЕЕСТР РИСКОВ_2023'!$K$39:$AQ$272,MATCH(Check!T65,'РЕЕСТР РИСКОВ_2023'!$K$39:$K$272,0),20),"")</f>
        <v/>
      </c>
      <c r="W65" s="211" t="str">
        <f>IFERROR(INDEX('РЕЕСТР РИСКОВ_2023'!$K$39:$AQ$272,MATCH(Check!T65,'РЕЕСТР РИСКОВ_2023'!$K$39:$K$272,0),21),"")</f>
        <v/>
      </c>
      <c r="X65" s="211" t="str">
        <f>IFERROR(INDEX('РЕЕСТР РИСКОВ_2023'!$K$39:$AT$272,MATCH(Check!T65,'РЕЕСТР РИСКОВ_2023'!$K$39:$K$272,0),36),"")</f>
        <v/>
      </c>
      <c r="Y65" s="126"/>
      <c r="Z65" s="126" t="s">
        <v>18</v>
      </c>
      <c r="AA65" s="360" t="str">
        <f t="shared" si="13"/>
        <v>ВЕРОЯТНОСТЬ  5  ВЛИЯНИЕ  1</v>
      </c>
      <c r="AB65" s="210" t="str">
        <f>IFERROR(INDEX('РЕЕСТР РИСКОВ_2023'!$K$39:$AQ$272,MATCH(Check!Z65,'РЕЕСТР РИСКОВ_2023'!$Q$39:$Q$272,0),14),"")</f>
        <v/>
      </c>
      <c r="AC65" s="264" t="str">
        <f>IFERROR(INDEX('РЕЕСТР РИСКОВ_2023'!$K$39:$AQ$272,MATCH(Check!Z65,'РЕЕСТР РИСКОВ_2023'!$Q$39:$Q$272,0),15),"")</f>
        <v/>
      </c>
      <c r="AD65" s="264" t="str">
        <f>IFERROR(INDEX('РЕЕСТР РИСКОВ_2023'!$K$39:$AQ$272,MATCH(Check!Z65,'РЕЕСТР РИСКОВ_2023'!$Q$39:$Q$272,0),16),"")</f>
        <v/>
      </c>
      <c r="AE65" s="264" t="str">
        <f>IFERROR(INDEX('РЕЕСТР РИСКОВ_2023'!$K$39:$AQ$272,MATCH(Check!Z65,'РЕЕСТР РИСКОВ_2023'!$Q$39:$Q$272,0),30),"")</f>
        <v/>
      </c>
      <c r="AQ65" t="s">
        <v>82</v>
      </c>
      <c r="AR65" t="s">
        <v>489</v>
      </c>
      <c r="AS65">
        <v>0.5</v>
      </c>
      <c r="AT65">
        <v>0</v>
      </c>
      <c r="AU65">
        <v>0</v>
      </c>
      <c r="AV65">
        <v>0</v>
      </c>
    </row>
    <row r="66" spans="1:48" ht="21" customHeight="1">
      <c r="A66" s="92" t="s">
        <v>421</v>
      </c>
      <c r="B66" s="306" t="s">
        <v>322</v>
      </c>
      <c r="C66" s="304">
        <v>0.37</v>
      </c>
      <c r="D66" s="299">
        <v>0</v>
      </c>
      <c r="E66" s="299">
        <v>0</v>
      </c>
      <c r="O66" t="s">
        <v>169</v>
      </c>
      <c r="Q66" s="126"/>
      <c r="R66" s="126"/>
      <c r="S66" s="206" t="s">
        <v>82</v>
      </c>
      <c r="T66" s="333" t="s">
        <v>489</v>
      </c>
      <c r="U66" s="210">
        <f>IFERROR(INDEX('РЕЕСТР РИСКОВ_2023'!$K$39:$AQ$272,MATCH(Check!T66,'РЕЕСТР РИСКОВ_2023'!$K$39:$K$272,0),19),"")</f>
        <v>0.5</v>
      </c>
      <c r="V66" s="211">
        <f>IFERROR(INDEX('РЕЕСТР РИСКОВ_2023'!$K$39:$AQ$272,MATCH(Check!T66,'РЕЕСТР РИСКОВ_2023'!$K$39:$K$272,0),20),"")</f>
        <v>0</v>
      </c>
      <c r="W66" s="211">
        <f>IFERROR(INDEX('РЕЕСТР РИСКОВ_2023'!$K$39:$AQ$272,MATCH(Check!T66,'РЕЕСТР РИСКОВ_2023'!$K$39:$K$272,0),21),"")</f>
        <v>0</v>
      </c>
      <c r="X66" s="211">
        <f>IFERROR(INDEX('РЕЕСТР РИСКОВ_2023'!$K$39:$AT$272,MATCH(Check!T66,'РЕЕСТР РИСКОВ_2023'!$K$39:$K$272,0),36),"")</f>
        <v>0</v>
      </c>
      <c r="Z66" s="126" t="s">
        <v>610</v>
      </c>
      <c r="AA66" s="360" t="str">
        <f t="shared" si="13"/>
        <v>ВЕРОЯТНОСТЬ  5  ВЛИЯНИЕ  5</v>
      </c>
      <c r="AB66" s="210">
        <v>0.8</v>
      </c>
      <c r="AC66" s="264">
        <v>-12607</v>
      </c>
      <c r="AD66" s="264">
        <f>AC66*AB66</f>
        <v>-10085.6</v>
      </c>
      <c r="AE66" s="264" t="str">
        <f>IFERROR(INDEX('РЕЕСТР РИСКОВ_2023'!$K$39:$AQ$272,MATCH(Check!Z66,'РЕЕСТР РИСКОВ_2023'!$Q$39:$Q$272,0),30),"")</f>
        <v/>
      </c>
      <c r="AQ66" t="s">
        <v>82</v>
      </c>
      <c r="AR66" t="s">
        <v>1653</v>
      </c>
      <c r="AS66" t="s">
        <v>578</v>
      </c>
      <c r="AT66" t="s">
        <v>578</v>
      </c>
      <c r="AU66" t="s">
        <v>578</v>
      </c>
      <c r="AV66" t="s">
        <v>578</v>
      </c>
    </row>
    <row r="67" spans="1:48" ht="21" customHeight="1">
      <c r="A67" s="92" t="s">
        <v>177</v>
      </c>
      <c r="B67" s="306" t="s">
        <v>323</v>
      </c>
      <c r="C67" s="304">
        <v>0</v>
      </c>
      <c r="D67" s="299">
        <v>0</v>
      </c>
      <c r="E67" s="299">
        <v>0</v>
      </c>
      <c r="O67" t="s">
        <v>40</v>
      </c>
      <c r="S67" s="206" t="s">
        <v>82</v>
      </c>
      <c r="T67" s="335" t="s">
        <v>1653</v>
      </c>
      <c r="U67" s="210" t="str">
        <f>IFERROR(INDEX('РЕЕСТР РИСКОВ_2023'!$K$39:$AQ$272,MATCH(Check!T67,'РЕЕСТР РИСКОВ_2023'!$K$39:$K$272,0),19),"")</f>
        <v/>
      </c>
      <c r="V67" s="211" t="str">
        <f>IFERROR(INDEX('РЕЕСТР РИСКОВ_2023'!$K$39:$AQ$272,MATCH(Check!T67,'РЕЕСТР РИСКОВ_2023'!$K$39:$K$272,0),20),"")</f>
        <v/>
      </c>
      <c r="W67" s="211" t="str">
        <f>IFERROR(INDEX('РЕЕСТР РИСКОВ_2023'!$K$39:$AQ$272,MATCH(Check!T67,'РЕЕСТР РИСКОВ_2023'!$K$39:$K$272,0),21),"")</f>
        <v/>
      </c>
      <c r="X67" s="211" t="str">
        <f>IFERROR(INDEX('РЕЕСТР РИСКОВ_2023'!$K$39:$AT$272,MATCH(Check!T67,'РЕЕСТР РИСКОВ_2023'!$K$39:$K$272,0),36),"")</f>
        <v/>
      </c>
      <c r="Z67" s="126" t="s">
        <v>1480</v>
      </c>
      <c r="AA67" s="360" t="str">
        <f t="shared" si="13"/>
        <v>ВЕРОЯТНОСТЬ  5  ВЛИЯНИЕ  1</v>
      </c>
      <c r="AB67" s="210" t="str">
        <f>IFERROR(INDEX('РЕЕСТР РИСКОВ_2023'!$K$39:$AQ$272,MATCH(Check!Z67,'РЕЕСТР РИСКОВ_2023'!$Q$39:$Q$272,0),14),"")</f>
        <v/>
      </c>
      <c r="AC67" s="264" t="str">
        <f>IFERROR(INDEX('РЕЕСТР РИСКОВ_2023'!$K$39:$AQ$272,MATCH(Check!Z67,'РЕЕСТР РИСКОВ_2023'!$Q$39:$Q$272,0),15),"")</f>
        <v/>
      </c>
      <c r="AD67" s="264" t="str">
        <f>IFERROR(INDEX('РЕЕСТР РИСКОВ_2023'!$K$39:$AQ$272,MATCH(Check!Z67,'РЕЕСТР РИСКОВ_2023'!$Q$39:$Q$272,0),16),"")</f>
        <v/>
      </c>
      <c r="AE67" s="264" t="str">
        <f>IFERROR(INDEX('РЕЕСТР РИСКОВ_2023'!$K$39:$AQ$272,MATCH(Check!Z67,'РЕЕСТР РИСКОВ_2023'!$Q$39:$Q$272,0),30),"")</f>
        <v/>
      </c>
      <c r="AQ67" t="s">
        <v>82</v>
      </c>
      <c r="AR67" t="s">
        <v>1005</v>
      </c>
      <c r="AS67">
        <v>0.5</v>
      </c>
      <c r="AT67">
        <v>0</v>
      </c>
      <c r="AU67">
        <v>0</v>
      </c>
      <c r="AV67">
        <v>0</v>
      </c>
    </row>
    <row r="68" spans="1:48" ht="21" customHeight="1">
      <c r="A68" s="92" t="s">
        <v>177</v>
      </c>
      <c r="B68" s="306" t="s">
        <v>444</v>
      </c>
      <c r="C68" s="304">
        <v>0.7</v>
      </c>
      <c r="D68" s="299">
        <v>-24557.656480000001</v>
      </c>
      <c r="E68" s="299">
        <v>-17190.359536</v>
      </c>
      <c r="O68" t="s">
        <v>55</v>
      </c>
      <c r="S68" s="206" t="s">
        <v>82</v>
      </c>
      <c r="T68" s="335" t="s">
        <v>1005</v>
      </c>
      <c r="U68" s="210">
        <f>IFERROR(INDEX('РЕЕСТР РИСКОВ_2023'!$K$39:$AQ$272,MATCH(Check!T68,'РЕЕСТР РИСКОВ_2023'!$K$39:$K$272,0),19),"")</f>
        <v>0.5</v>
      </c>
      <c r="V68" s="211">
        <f>IFERROR(INDEX('РЕЕСТР РИСКОВ_2023'!$K$39:$AQ$272,MATCH(Check!T68,'РЕЕСТР РИСКОВ_2023'!$K$39:$K$272,0),20),"")</f>
        <v>0</v>
      </c>
      <c r="W68" s="211">
        <f>IFERROR(INDEX('РЕЕСТР РИСКОВ_2023'!$K$39:$AQ$272,MATCH(Check!T68,'РЕЕСТР РИСКОВ_2023'!$K$39:$K$272,0),21),"")</f>
        <v>0</v>
      </c>
      <c r="X68" s="211">
        <f>IFERROR(INDEX('РЕЕСТР РИСКОВ_2023'!$K$39:$AT$272,MATCH(Check!T68,'РЕЕСТР РИСКОВ_2023'!$K$39:$K$272,0),36),"")</f>
        <v>0</v>
      </c>
      <c r="Z68" s="126" t="s">
        <v>22</v>
      </c>
      <c r="AA68" s="360" t="str">
        <f t="shared" si="13"/>
        <v>ВЕРОЯТНОСТЬ  1  ВЛИЯНИЕ  1</v>
      </c>
      <c r="AB68" s="210">
        <f>IFERROR(INDEX('РЕЕСТР РИСКОВ_2023'!$K$39:$AQ$272,MATCH(Check!Z68,'РЕЕСТР РИСКОВ_2023'!$Q$39:$Q$272,0),14),"")</f>
        <v>0</v>
      </c>
      <c r="AC68" s="264">
        <f>IFERROR(INDEX('РЕЕСТР РИСКОВ_2023'!$K$39:$AQ$272,MATCH(Check!Z68,'РЕЕСТР РИСКОВ_2023'!$Q$39:$Q$272,0),15),"")</f>
        <v>0.95</v>
      </c>
      <c r="AD68" s="264">
        <f>IFERROR(INDEX('РЕЕСТР РИСКОВ_2023'!$K$39:$AQ$272,MATCH(Check!Z68,'РЕЕСТР РИСКОВ_2023'!$Q$39:$Q$272,0),16),"")</f>
        <v>-23.292999999999999</v>
      </c>
      <c r="AE68" s="264">
        <f>IFERROR(INDEX('РЕЕСТР РИСКОВ_2023'!$K$39:$AQ$272,MATCH(Check!Z68,'РЕЕСТР РИСКОВ_2023'!$Q$39:$Q$272,0),30),"")</f>
        <v>0.95</v>
      </c>
      <c r="AQ68" t="s">
        <v>82</v>
      </c>
      <c r="AR68" t="s">
        <v>1598</v>
      </c>
      <c r="AS68">
        <v>0.5</v>
      </c>
      <c r="AT68">
        <v>0</v>
      </c>
      <c r="AU68">
        <v>0</v>
      </c>
      <c r="AV68">
        <v>0</v>
      </c>
    </row>
    <row r="69" spans="1:48" ht="21" customHeight="1">
      <c r="A69" s="92" t="s">
        <v>158</v>
      </c>
      <c r="B69" s="306" t="s">
        <v>445</v>
      </c>
      <c r="C69" s="304">
        <v>0.5</v>
      </c>
      <c r="D69" s="299">
        <v>-51692.480000000003</v>
      </c>
      <c r="E69" s="299">
        <v>-25846.240000000002</v>
      </c>
      <c r="S69" s="206" t="s">
        <v>82</v>
      </c>
      <c r="T69" s="335" t="s">
        <v>1598</v>
      </c>
      <c r="U69" s="210">
        <f>IFERROR(INDEX('РЕЕСТР РИСКОВ_2023'!$K$39:$AQ$272,MATCH(Check!T69,'РЕЕСТР РИСКОВ_2023'!$K$39:$K$272,0),19),"")</f>
        <v>0.5</v>
      </c>
      <c r="V69" s="211">
        <f>IFERROR(INDEX('РЕЕСТР РИСКОВ_2023'!$K$39:$AQ$272,MATCH(Check!T69,'РЕЕСТР РИСКОВ_2023'!$K$39:$K$272,0),20),"")</f>
        <v>0</v>
      </c>
      <c r="W69" s="211">
        <f>IFERROR(INDEX('РЕЕСТР РИСКОВ_2023'!$K$39:$AQ$272,MATCH(Check!T69,'РЕЕСТР РИСКОВ_2023'!$K$39:$K$272,0),21),"")</f>
        <v>0</v>
      </c>
      <c r="X69" s="211">
        <f>IFERROR(INDEX('РЕЕСТР РИСКОВ_2023'!$K$39:$AT$272,MATCH(Check!T69,'РЕЕСТР РИСКОВ_2023'!$K$39:$K$272,0),36),"")</f>
        <v>0</v>
      </c>
      <c r="Z69" s="126" t="s">
        <v>611</v>
      </c>
      <c r="AA69" s="360" t="str">
        <f t="shared" si="13"/>
        <v>ВЕРОЯТНОСТЬ  5  ВЛИЯНИЕ  1</v>
      </c>
      <c r="AB69" s="210" t="str">
        <f>IFERROR(INDEX('РЕЕСТР РИСКОВ_2023'!$K$39:$AQ$272,MATCH(Check!Z69,'РЕЕСТР РИСКОВ_2023'!$Q$39:$Q$272,0),14),"")</f>
        <v/>
      </c>
      <c r="AC69" s="264" t="str">
        <f>IFERROR(INDEX('РЕЕСТР РИСКОВ_2023'!$K$39:$AQ$272,MATCH(Check!Z69,'РЕЕСТР РИСКОВ_2023'!$Q$39:$Q$272,0),15),"")</f>
        <v/>
      </c>
      <c r="AD69" s="264" t="str">
        <f>IFERROR(INDEX('РЕЕСТР РИСКОВ_2023'!$K$39:$AQ$272,MATCH(Check!Z69,'РЕЕСТР РИСКОВ_2023'!$Q$39:$Q$272,0),16),"")</f>
        <v/>
      </c>
      <c r="AE69" s="264" t="str">
        <f>IFERROR(INDEX('РЕЕСТР РИСКОВ_2023'!$K$39:$AQ$272,MATCH(Check!Z69,'РЕЕСТР РИСКОВ_2023'!$Q$39:$Q$272,0),30),"")</f>
        <v/>
      </c>
      <c r="AQ69" t="s">
        <v>83</v>
      </c>
      <c r="AR69" t="s">
        <v>3</v>
      </c>
      <c r="AS69">
        <v>0.25</v>
      </c>
      <c r="AT69">
        <v>-269.72699999999998</v>
      </c>
      <c r="AU69">
        <v>-67.431749999999994</v>
      </c>
      <c r="AV69">
        <v>-33.715874999999997</v>
      </c>
    </row>
    <row r="70" spans="1:48" ht="40.5" customHeight="1">
      <c r="A70" s="92" t="s">
        <v>158</v>
      </c>
      <c r="B70" s="306" t="s">
        <v>417</v>
      </c>
      <c r="C70" s="304">
        <v>0.25</v>
      </c>
      <c r="D70" s="299">
        <v>-550</v>
      </c>
      <c r="E70" s="299">
        <v>-137.5</v>
      </c>
      <c r="S70" s="206" t="s">
        <v>83</v>
      </c>
      <c r="T70" s="400" t="s">
        <v>3</v>
      </c>
      <c r="U70" s="210">
        <f>IFERROR(INDEX('РЕЕСТР РИСКОВ_2023'!$K$39:$AQ$272,MATCH(Check!T70,'РЕЕСТР РИСКОВ_2023'!$K$39:$K$272,0),19),"")</f>
        <v>0.25</v>
      </c>
      <c r="V70" s="211">
        <f>IFERROR(INDEX('РЕЕСТР РИСКОВ_2023'!$K$39:$AQ$272,MATCH(Check!T70,'РЕЕСТР РИСКОВ_2023'!$K$39:$K$272,0),20),"")</f>
        <v>-269.72699999999998</v>
      </c>
      <c r="W70" s="211">
        <f>IFERROR(INDEX('РЕЕСТР РИСКОВ_2023'!$K$39:$AQ$272,MATCH(Check!T70,'РЕЕСТР РИСКОВ_2023'!$K$39:$K$272,0),21),"")</f>
        <v>-67.431749999999994</v>
      </c>
      <c r="X70" s="211">
        <f>IFERROR(INDEX('РЕЕСТР РИСКОВ_2023'!$K$39:$AT$272,MATCH(Check!T70,'РЕЕСТР РИСКОВ_2023'!$K$39:$K$272,0),36),"")</f>
        <v>-33.715874999999997</v>
      </c>
      <c r="Z70" s="126" t="s">
        <v>1408</v>
      </c>
      <c r="AA70" s="360" t="str">
        <f t="shared" si="13"/>
        <v>ВЕРОЯТНОСТЬ  1  ВЛИЯНИЕ  1</v>
      </c>
      <c r="AB70" s="210">
        <f>IFERROR(INDEX('РЕЕСТР РИСКОВ_2023'!$K$39:$AQ$272,MATCH(Check!Z70,'РЕЕСТР РИСКОВ_2023'!$Q$39:$Q$272,0),14),"")</f>
        <v>0</v>
      </c>
      <c r="AC70" s="264">
        <f>IFERROR(INDEX('РЕЕСТР РИСКОВ_2023'!$K$39:$AQ$272,MATCH(Check!Z70,'РЕЕСТР РИСКОВ_2023'!$Q$39:$Q$272,0),15),"")</f>
        <v>0.3</v>
      </c>
      <c r="AD70" s="264">
        <f>IFERROR(INDEX('РЕЕСТР РИСКОВ_2023'!$K$39:$AQ$272,MATCH(Check!Z70,'РЕЕСТР РИСКОВ_2023'!$Q$39:$Q$272,0),16),"")</f>
        <v>-955.01400000000001</v>
      </c>
      <c r="AE70" s="264">
        <f>IFERROR(INDEX('РЕЕСТР РИСКОВ_2023'!$K$39:$AQ$272,MATCH(Check!Z70,'РЕЕСТР РИСКОВ_2023'!$Q$39:$Q$272,0),30),"")</f>
        <v>0.15</v>
      </c>
      <c r="AQ70" t="s">
        <v>85</v>
      </c>
      <c r="AR70" t="s">
        <v>37</v>
      </c>
      <c r="AS70">
        <v>0.45179023155256937</v>
      </c>
      <c r="AT70">
        <v>-29603.176149999999</v>
      </c>
      <c r="AU70">
        <v>-13374.425807499998</v>
      </c>
      <c r="AV70">
        <v>-14390</v>
      </c>
    </row>
    <row r="71" spans="1:48" ht="37.5" customHeight="1">
      <c r="A71" s="92" t="s">
        <v>158</v>
      </c>
      <c r="B71" s="306" t="s">
        <v>29</v>
      </c>
      <c r="C71" s="304">
        <v>0.25</v>
      </c>
      <c r="D71" s="299">
        <v>-20000</v>
      </c>
      <c r="E71" s="299">
        <v>-5000</v>
      </c>
      <c r="S71" s="206" t="s">
        <v>85</v>
      </c>
      <c r="T71" s="339" t="s">
        <v>37</v>
      </c>
      <c r="U71" s="210">
        <v>0.05</v>
      </c>
      <c r="V71" s="211">
        <v>-4332.5230000000001</v>
      </c>
      <c r="W71" s="211">
        <v>-216.62615000000002</v>
      </c>
      <c r="X71" s="211">
        <v>-108.31307500000001</v>
      </c>
      <c r="Z71" s="126" t="s">
        <v>1069</v>
      </c>
      <c r="AA71" s="360" t="str">
        <f t="shared" si="13"/>
        <v>ВЕРОЯТНОСТЬ  1  ВЛИЯНИЕ  1</v>
      </c>
      <c r="AB71" s="210">
        <f>IFERROR(INDEX('РЕЕСТР РИСКОВ_2023'!$K$39:$AQ$272,MATCH(Check!Z71,'РЕЕСТР РИСКОВ_2023'!$Q$39:$Q$272,0),14),"")</f>
        <v>0</v>
      </c>
      <c r="AC71" s="264">
        <f>IFERROR(INDEX('РЕЕСТР РИСКОВ_2023'!$K$39:$AQ$272,MATCH(Check!Z71,'РЕЕСТР РИСКОВ_2023'!$Q$39:$Q$272,0),15),"")</f>
        <v>0.54800000000000004</v>
      </c>
      <c r="AD71" s="264">
        <f>IFERROR(INDEX('РЕЕСТР РИСКОВ_2023'!$K$39:$AQ$272,MATCH(Check!Z71,'РЕЕСТР РИСКОВ_2023'!$Q$39:$Q$272,0),16),"")</f>
        <v>-11907.465410000001</v>
      </c>
      <c r="AE71" s="264">
        <f>IFERROR(INDEX('РЕЕСТР РИСКОВ_2023'!$K$39:$AQ$272,MATCH(Check!Z71,'РЕЕСТР РИСКОВ_2023'!$Q$39:$Q$272,0),30),"")</f>
        <v>0.27400000000000002</v>
      </c>
      <c r="AQ71" t="s">
        <v>85</v>
      </c>
      <c r="AR71" t="s">
        <v>390</v>
      </c>
      <c r="AS71">
        <v>0</v>
      </c>
      <c r="AT71">
        <v>0</v>
      </c>
      <c r="AU71">
        <v>0</v>
      </c>
      <c r="AV71">
        <v>0</v>
      </c>
    </row>
    <row r="72" spans="1:48" ht="21" customHeight="1">
      <c r="A72" s="92" t="s">
        <v>177</v>
      </c>
      <c r="B72" s="306" t="s">
        <v>30</v>
      </c>
      <c r="C72" s="304">
        <v>0.25</v>
      </c>
      <c r="D72" s="299">
        <v>-17000</v>
      </c>
      <c r="E72" s="299">
        <v>-4250</v>
      </c>
      <c r="S72" s="206" t="s">
        <v>85</v>
      </c>
      <c r="T72" s="338" t="s">
        <v>390</v>
      </c>
      <c r="U72" s="210">
        <v>0.4</v>
      </c>
      <c r="V72" s="211">
        <v>-16003</v>
      </c>
      <c r="W72" s="211">
        <v>-6401.2000000000007</v>
      </c>
      <c r="X72" s="211">
        <v>-6401.2000000000007</v>
      </c>
      <c r="Z72" s="126" t="s">
        <v>1076</v>
      </c>
      <c r="AA72" s="360" t="str">
        <f t="shared" si="13"/>
        <v>ВЕРОЯТНОСТЬ  1  ВЛИЯНИЕ  1</v>
      </c>
      <c r="AB72" s="210">
        <f>IFERROR(INDEX('РЕЕСТР РИСКОВ_2023'!$K$39:$AQ$272,MATCH(Check!Z72,'РЕЕСТР РИСКОВ_2023'!$Q$39:$Q$272,0),14),"")</f>
        <v>0</v>
      </c>
      <c r="AC72" s="264">
        <f>IFERROR(INDEX('РЕЕСТР РИСКОВ_2023'!$K$39:$AQ$272,MATCH(Check!Z72,'РЕЕСТР РИСКОВ_2023'!$Q$39:$Q$272,0),15),"")</f>
        <v>0.60299999999999998</v>
      </c>
      <c r="AD72" s="264">
        <f>IFERROR(INDEX('РЕЕСТР РИСКОВ_2023'!$K$39:$AQ$272,MATCH(Check!Z72,'РЕЕСТР РИСКОВ_2023'!$Q$39:$Q$272,0),16),"")</f>
        <v>-750</v>
      </c>
      <c r="AE72" s="264">
        <f>IFERROR(INDEX('РЕЕСТР РИСКОВ_2023'!$K$39:$AQ$272,MATCH(Check!Z72,'РЕЕСТР РИСКОВ_2023'!$Q$39:$Q$272,0),30),"")</f>
        <v>0.60299999999999998</v>
      </c>
      <c r="AQ72" t="s">
        <v>85</v>
      </c>
      <c r="AR72" t="s">
        <v>391</v>
      </c>
      <c r="AS72">
        <v>0</v>
      </c>
      <c r="AT72">
        <v>0</v>
      </c>
      <c r="AU72">
        <v>0</v>
      </c>
      <c r="AV72">
        <v>0</v>
      </c>
    </row>
    <row r="73" spans="1:48" ht="21" customHeight="1">
      <c r="A73" s="92" t="s">
        <v>177</v>
      </c>
      <c r="B73" s="306" t="s">
        <v>162</v>
      </c>
      <c r="C73" s="304">
        <v>0.72558195737776954</v>
      </c>
      <c r="D73" s="299">
        <v>-14792.75</v>
      </c>
      <c r="E73" s="299">
        <v>-10733.352500000001</v>
      </c>
      <c r="S73" s="206" t="s">
        <v>85</v>
      </c>
      <c r="T73" t="s">
        <v>391</v>
      </c>
      <c r="U73" s="210">
        <v>0.47</v>
      </c>
      <c r="V73" s="211">
        <v>-48905</v>
      </c>
      <c r="W73" s="211">
        <v>-22985.35</v>
      </c>
      <c r="X73" s="211">
        <v>-11492.674999999999</v>
      </c>
      <c r="Z73" s="126" t="s">
        <v>1080</v>
      </c>
      <c r="AA73" s="360" t="str">
        <f t="shared" si="13"/>
        <v>ВЕРОЯТНОСТЬ  5  ВЛИЯНИЕ  1</v>
      </c>
      <c r="AB73" s="210" t="str">
        <f>IFERROR(INDEX('РЕЕСТР РИСКОВ_2023'!$K$39:$AQ$272,MATCH(Check!Z73,'РЕЕСТР РИСКОВ_2023'!$Q$39:$Q$272,0),14),"")</f>
        <v/>
      </c>
      <c r="AC73" s="264" t="str">
        <f>IFERROR(INDEX('РЕЕСТР РИСКОВ_2023'!$K$39:$AQ$272,MATCH(Check!Z73,'РЕЕСТР РИСКОВ_2023'!$Q$39:$Q$272,0),15),"")</f>
        <v/>
      </c>
      <c r="AD73" s="264" t="str">
        <f>IFERROR(INDEX('РЕЕСТР РИСКОВ_2023'!$K$39:$AQ$272,MATCH(Check!Z73,'РЕЕСТР РИСКОВ_2023'!$Q$39:$Q$272,0),16),"")</f>
        <v/>
      </c>
      <c r="AE73" s="264" t="str">
        <f>IFERROR(INDEX('РЕЕСТР РИСКОВ_2023'!$K$39:$AQ$272,MATCH(Check!Z73,'РЕЕСТР РИСКОВ_2023'!$Q$39:$Q$272,0),30),"")</f>
        <v/>
      </c>
      <c r="AQ73" t="s">
        <v>161</v>
      </c>
      <c r="AR73" t="s">
        <v>48</v>
      </c>
      <c r="AS73">
        <v>0.4</v>
      </c>
      <c r="AT73">
        <v>-401.4</v>
      </c>
      <c r="AU73">
        <v>-160.56</v>
      </c>
      <c r="AV73">
        <v>-80.28</v>
      </c>
    </row>
    <row r="74" spans="1:48" ht="43.5" customHeight="1">
      <c r="A74" s="92" t="s">
        <v>111</v>
      </c>
      <c r="B74" s="306" t="s">
        <v>386</v>
      </c>
      <c r="C74" s="304">
        <v>0.4</v>
      </c>
      <c r="D74" s="299">
        <v>-3900</v>
      </c>
      <c r="E74" s="299">
        <v>-1560</v>
      </c>
      <c r="S74" s="206" t="s">
        <v>161</v>
      </c>
      <c r="T74" s="126" t="s">
        <v>48</v>
      </c>
      <c r="U74" s="210">
        <f>IFERROR(INDEX('РЕЕСТР РИСКОВ_2023'!$K$39:$AQ$272,MATCH(Check!T74,'РЕЕСТР РИСКОВ_2023'!$K$39:$K$272,0),19),"")</f>
        <v>0.4</v>
      </c>
      <c r="V74" s="211">
        <f>IFERROR(INDEX('РЕЕСТР РИСКОВ_2023'!$K$39:$AQ$272,MATCH(Check!T74,'РЕЕСТР РИСКОВ_2023'!$K$39:$K$272,0),20),"")</f>
        <v>-401.4</v>
      </c>
      <c r="W74" s="211">
        <f>IFERROR(INDEX('РЕЕСТР РИСКОВ_2023'!$K$39:$AQ$272,MATCH(Check!T74,'РЕЕСТР РИСКОВ_2023'!$K$39:$K$272,0),21),"")</f>
        <v>-160.56</v>
      </c>
      <c r="X74" s="211">
        <f>IFERROR(INDEX('РЕЕСТР РИСКОВ_2023'!$K$39:$AT$272,MATCH(Check!T74,'РЕЕСТР РИСКОВ_2023'!$K$39:$K$272,0),36),"")</f>
        <v>-80.28</v>
      </c>
      <c r="Z74" s="126" t="s">
        <v>1084</v>
      </c>
      <c r="AA74" s="360" t="str">
        <f t="shared" si="13"/>
        <v>ВЕРОЯТНОСТЬ  1  ВЛИЯНИЕ  1</v>
      </c>
      <c r="AB74" s="210">
        <f>IFERROR(INDEX('РЕЕСТР РИСКОВ_2023'!$K$39:$AQ$272,MATCH(Check!Z74,'РЕЕСТР РИСКОВ_2023'!$Q$39:$Q$272,0),14),"")</f>
        <v>0</v>
      </c>
      <c r="AC74" s="264">
        <f>IFERROR(INDEX('РЕЕСТР РИСКОВ_2023'!$K$39:$AQ$272,MATCH(Check!Z74,'РЕЕСТР РИСКОВ_2023'!$Q$39:$Q$272,0),15),"")</f>
        <v>0.76</v>
      </c>
      <c r="AD74" s="264">
        <f>IFERROR(INDEX('РЕЕСТР РИСКОВ_2023'!$K$39:$AQ$272,MATCH(Check!Z74,'РЕЕСТР РИСКОВ_2023'!$Q$39:$Q$272,0),16),"")</f>
        <v>-563.62962962962956</v>
      </c>
      <c r="AE74" s="264">
        <f>IFERROR(INDEX('РЕЕСТР РИСКОВ_2023'!$K$39:$AQ$272,MATCH(Check!Z74,'РЕЕСТР РИСКОВ_2023'!$Q$39:$Q$272,0),30),"")</f>
        <v>0.38</v>
      </c>
      <c r="AQ74" t="s">
        <v>161</v>
      </c>
      <c r="AR74" t="s">
        <v>934</v>
      </c>
      <c r="AS74">
        <v>0.45</v>
      </c>
      <c r="AT74">
        <v>-15</v>
      </c>
      <c r="AU74">
        <v>-6.75</v>
      </c>
      <c r="AV74">
        <v>-0.37968750000000001</v>
      </c>
    </row>
    <row r="75" spans="1:48" ht="21" customHeight="1">
      <c r="A75" s="92" t="s">
        <v>177</v>
      </c>
      <c r="B75" s="306" t="s">
        <v>387</v>
      </c>
      <c r="C75" s="304">
        <v>0.7</v>
      </c>
      <c r="D75" s="299">
        <v>-42400</v>
      </c>
      <c r="E75" s="299">
        <v>-29679.999999999996</v>
      </c>
      <c r="S75" s="206" t="s">
        <v>161</v>
      </c>
      <c r="T75" s="126" t="s">
        <v>934</v>
      </c>
      <c r="U75" s="210">
        <f>IFERROR(INDEX('РЕЕСТР РИСКОВ_2023'!$K$39:$AQ$272,MATCH(Check!T75,'РЕЕСТР РИСКОВ_2023'!$K$39:$K$272,0),19),"")</f>
        <v>0.45</v>
      </c>
      <c r="V75" s="211">
        <f>IFERROR(INDEX('РЕЕСТР РИСКОВ_2023'!$K$39:$AQ$272,MATCH(Check!T75,'РЕЕСТР РИСКОВ_2023'!$K$39:$K$272,0),20),"")</f>
        <v>-15</v>
      </c>
      <c r="W75" s="211">
        <f>IFERROR(INDEX('РЕЕСТР РИСКОВ_2023'!$K$39:$AQ$272,MATCH(Check!T75,'РЕЕСТР РИСКОВ_2023'!$K$39:$K$272,0),21),"")</f>
        <v>-6.75</v>
      </c>
      <c r="X75" s="211">
        <f>IFERROR(INDEX('РЕЕСТР РИСКОВ_2023'!$K$39:$AT$272,MATCH(Check!T75,'РЕЕСТР РИСКОВ_2023'!$K$39:$K$272,0),36),"")</f>
        <v>-0.37968750000000001</v>
      </c>
      <c r="Z75" s="126" t="s">
        <v>1214</v>
      </c>
      <c r="AA75" s="360" t="str">
        <f t="shared" si="13"/>
        <v>ВЕРОЯТНОСТЬ  5  ВЛИЯНИЕ  1</v>
      </c>
      <c r="AB75" s="210" t="str">
        <f>IFERROR(INDEX('РЕЕСТР РИСКОВ_2023'!$K$39:$AQ$272,MATCH(Check!Z75,'РЕЕСТР РИСКОВ_2023'!$Q$39:$Q$272,0),14),"")</f>
        <v/>
      </c>
      <c r="AC75" s="264" t="str">
        <f>IFERROR(INDEX('РЕЕСТР РИСКОВ_2023'!$K$39:$AQ$272,MATCH(Check!Z75,'РЕЕСТР РИСКОВ_2023'!$Q$39:$Q$272,0),15),"")</f>
        <v/>
      </c>
      <c r="AD75" s="264" t="str">
        <f>IFERROR(INDEX('РЕЕСТР РИСКОВ_2023'!$K$39:$AQ$272,MATCH(Check!Z75,'РЕЕСТР РИСКОВ_2023'!$Q$39:$Q$272,0),16),"")</f>
        <v/>
      </c>
      <c r="AE75" s="264" t="str">
        <f>IFERROR(INDEX('РЕЕСТР РИСКОВ_2023'!$K$39:$AQ$272,MATCH(Check!Z75,'РЕЕСТР РИСКОВ_2023'!$Q$39:$Q$272,0),30),"")</f>
        <v/>
      </c>
      <c r="AQ75" t="s">
        <v>161</v>
      </c>
      <c r="AR75" t="s">
        <v>476</v>
      </c>
      <c r="AS75">
        <v>0.75</v>
      </c>
      <c r="AT75">
        <v>-399</v>
      </c>
      <c r="AU75">
        <v>-299.25</v>
      </c>
      <c r="AV75">
        <v>-224.4375</v>
      </c>
    </row>
    <row r="76" spans="1:48" ht="21" customHeight="1">
      <c r="A76" s="92" t="s">
        <v>177</v>
      </c>
      <c r="B76" s="306" t="s">
        <v>33</v>
      </c>
      <c r="C76" s="304">
        <v>0.8</v>
      </c>
      <c r="D76" s="299">
        <v>-23969</v>
      </c>
      <c r="E76" s="299">
        <v>-19175.2</v>
      </c>
      <c r="S76" s="206" t="s">
        <v>161</v>
      </c>
      <c r="T76" t="s">
        <v>476</v>
      </c>
      <c r="U76" s="210">
        <f>IFERROR(INDEX('РЕЕСТР РИСКОВ_2023'!$K$39:$AQ$272,MATCH(Check!T76,'РЕЕСТР РИСКОВ_2023'!$K$39:$K$272,0),19),"")</f>
        <v>0.75</v>
      </c>
      <c r="V76" s="211">
        <f>IFERROR(INDEX('РЕЕСТР РИСКОВ_2023'!$K$39:$AQ$272,MATCH(Check!T76,'РЕЕСТР РИСКОВ_2023'!$K$39:$K$272,0),20),"")</f>
        <v>-399</v>
      </c>
      <c r="W76" s="211">
        <f>IFERROR(INDEX('РЕЕСТР РИСКОВ_2023'!$K$39:$AQ$272,MATCH(Check!T76,'РЕЕСТР РИСКОВ_2023'!$K$39:$K$272,0),21),"")</f>
        <v>-299.25</v>
      </c>
      <c r="X76" s="211">
        <f>IFERROR(INDEX('РЕЕСТР РИСКОВ_2023'!$K$39:$AT$272,MATCH(Check!T76,'РЕЕСТР РИСКОВ_2023'!$K$39:$K$272,0),36),"")</f>
        <v>-224.4375</v>
      </c>
      <c r="Z76" s="126" t="s">
        <v>1092</v>
      </c>
      <c r="AA76" s="360" t="str">
        <f t="shared" ref="AA76:AA107" si="16">"ВЕРОЯТНОСТЬ  "&amp;IF(AB76&lt;0.05,1,IF((AB76&gt;=0.05)*(AB76&lt;0.25),2,IF((AB76&gt;=0.25)*(AB76&lt;0.5),3,IF((AB76&gt;=0.5)*(AB76&lt;0.75),4,5))))&amp;"  ВЛИЯНИЕ  "&amp;IF(AC76&gt;-200,1,IF((AC76&lt;=-200)*(AC76&gt;-500),2,IF((AC76&lt;=-500)*(AC76&gt;-1000),3,IF((AC76&lt;=-1000)*(AC76&gt;-3000),4,5))))</f>
        <v>ВЕРОЯТНОСТЬ  1  ВЛИЯНИЕ  1</v>
      </c>
      <c r="AB76" s="210">
        <f>IFERROR(INDEX('РЕЕСТР РИСКОВ_2023'!$K$39:$AQ$272,MATCH(Check!Z76,'РЕЕСТР РИСКОВ_2023'!$Q$39:$Q$272,0),14),"")</f>
        <v>0</v>
      </c>
      <c r="AC76" s="264">
        <f>IFERROR(INDEX('РЕЕСТР РИСКОВ_2023'!$K$39:$AQ$272,MATCH(Check!Z76,'РЕЕСТР РИСКОВ_2023'!$Q$39:$Q$272,0),15),"")</f>
        <v>0.4</v>
      </c>
      <c r="AD76" s="264">
        <f>IFERROR(INDEX('РЕЕСТР РИСКОВ_2023'!$K$39:$AQ$272,MATCH(Check!Z76,'РЕЕСТР РИСКОВ_2023'!$Q$39:$Q$272,0),16),"")</f>
        <v>-4</v>
      </c>
      <c r="AE76" s="264">
        <f>IFERROR(INDEX('РЕЕСТР РИСКОВ_2023'!$K$39:$AQ$272,MATCH(Check!Z76,'РЕЕСТР РИСКОВ_2023'!$Q$39:$Q$272,0),30),"")</f>
        <v>0.2</v>
      </c>
      <c r="AQ76" t="s">
        <v>1394</v>
      </c>
      <c r="AR76" t="s">
        <v>869</v>
      </c>
      <c r="AS76">
        <v>0.8</v>
      </c>
      <c r="AT76">
        <v>-75</v>
      </c>
      <c r="AU76">
        <v>-60</v>
      </c>
      <c r="AV76">
        <v>-48</v>
      </c>
    </row>
    <row r="77" spans="1:48" ht="39" customHeight="1">
      <c r="A77" s="92" t="s">
        <v>177</v>
      </c>
      <c r="B77" s="306" t="s">
        <v>34</v>
      </c>
      <c r="C77" s="304">
        <v>0</v>
      </c>
      <c r="D77" s="299">
        <v>-8811.99</v>
      </c>
      <c r="E77" s="299">
        <v>0</v>
      </c>
      <c r="S77" s="206" t="s">
        <v>1394</v>
      </c>
      <c r="T77" t="s">
        <v>869</v>
      </c>
      <c r="U77" s="210">
        <f>IFERROR(INDEX('РЕЕСТР РИСКОВ_2023'!$K$39:$AQ$272,MATCH(Check!T77,'РЕЕСТР РИСКОВ_2023'!$K$39:$K$272,0),19),"")</f>
        <v>0.8</v>
      </c>
      <c r="V77" s="211">
        <f>IFERROR(INDEX('РЕЕСТР РИСКОВ_2023'!$K$39:$AQ$272,MATCH(Check!T77,'РЕЕСТР РИСКОВ_2023'!$K$39:$K$272,0),20),"")</f>
        <v>-75</v>
      </c>
      <c r="W77" s="211">
        <f>IFERROR(INDEX('РЕЕСТР РИСКОВ_2023'!$K$39:$AQ$272,MATCH(Check!T77,'РЕЕСТР РИСКОВ_2023'!$K$39:$K$272,0),21),"")</f>
        <v>-60</v>
      </c>
      <c r="X77" s="211">
        <f>IFERROR(INDEX('РЕЕСТР РИСКОВ_2023'!$K$39:$AT$272,MATCH(Check!T77,'РЕЕСТР РИСКОВ_2023'!$K$39:$K$272,0),36),"")</f>
        <v>-48</v>
      </c>
      <c r="Z77" s="126" t="s">
        <v>1094</v>
      </c>
      <c r="AA77" s="360" t="str">
        <f t="shared" si="16"/>
        <v>ВЕРОЯТНОСТЬ  1  ВЛИЯНИЕ  1</v>
      </c>
      <c r="AB77" s="210">
        <f>IFERROR(INDEX('РЕЕСТР РИСКОВ_2023'!$K$39:$AQ$272,MATCH(Check!Z77,'РЕЕСТР РИСКОВ_2023'!$Q$39:$Q$272,0),14),"")</f>
        <v>0</v>
      </c>
      <c r="AC77" s="264">
        <f>IFERROR(INDEX('РЕЕСТР РИСКОВ_2023'!$K$39:$AQ$272,MATCH(Check!Z77,'РЕЕСТР РИСКОВ_2023'!$Q$39:$Q$272,0),15),"")</f>
        <v>0.4</v>
      </c>
      <c r="AD77" s="264">
        <f>IFERROR(INDEX('РЕЕСТР РИСКОВ_2023'!$K$39:$AQ$272,MATCH(Check!Z77,'РЕЕСТР РИСКОВ_2023'!$Q$39:$Q$272,0),16),"")</f>
        <v>-4.3479999999999999</v>
      </c>
      <c r="AE77" s="264">
        <f>IFERROR(INDEX('РЕЕСТР РИСКОВ_2023'!$K$39:$AQ$272,MATCH(Check!Z77,'РЕЕСТР РИСКОВ_2023'!$Q$39:$Q$272,0),30),"")</f>
        <v>0.4</v>
      </c>
      <c r="AQ77" t="s">
        <v>1394</v>
      </c>
      <c r="AR77" t="s">
        <v>53</v>
      </c>
      <c r="AS77">
        <v>0.8</v>
      </c>
      <c r="AT77">
        <v>0</v>
      </c>
      <c r="AU77">
        <v>0</v>
      </c>
      <c r="AV77">
        <v>0</v>
      </c>
    </row>
    <row r="78" spans="1:48" ht="21" customHeight="1">
      <c r="A78" s="92" t="s">
        <v>447</v>
      </c>
      <c r="B78" s="306" t="s">
        <v>388</v>
      </c>
      <c r="C78" s="304">
        <v>0.6</v>
      </c>
      <c r="D78" s="299">
        <v>-13656</v>
      </c>
      <c r="E78" s="299">
        <v>-8193.6</v>
      </c>
      <c r="S78" s="206" t="s">
        <v>1394</v>
      </c>
      <c r="T78" t="s">
        <v>53</v>
      </c>
      <c r="U78" s="210">
        <f>IFERROR(INDEX('РЕЕСТР РИСКОВ_2023'!$K$39:$AQ$272,MATCH(Check!T78,'РЕЕСТР РИСКОВ_2023'!$K$39:$K$272,0),19),"")</f>
        <v>0.8</v>
      </c>
      <c r="V78" s="211">
        <f>IFERROR(INDEX('РЕЕСТР РИСКОВ_2023'!$K$39:$AQ$272,MATCH(Check!T78,'РЕЕСТР РИСКОВ_2023'!$K$39:$K$272,0),20),"")</f>
        <v>0</v>
      </c>
      <c r="W78" s="211">
        <f>IFERROR(INDEX('РЕЕСТР РИСКОВ_2023'!$K$39:$AQ$272,MATCH(Check!T78,'РЕЕСТР РИСКОВ_2023'!$K$39:$K$272,0),21),"")</f>
        <v>0</v>
      </c>
      <c r="X78" s="211">
        <f>IFERROR(INDEX('РЕЕСТР РИСКОВ_2023'!$K$39:$AT$272,MATCH(Check!T78,'РЕЕСТР РИСКОВ_2023'!$K$39:$K$272,0),36),"")</f>
        <v>0</v>
      </c>
      <c r="Y78" s="126"/>
      <c r="Z78" t="s">
        <v>1096</v>
      </c>
      <c r="AA78" s="360" t="str">
        <f t="shared" si="16"/>
        <v>ВЕРОЯТНОСТЬ  1  ВЛИЯНИЕ  1</v>
      </c>
      <c r="AB78" s="210">
        <f>IFERROR(INDEX('РЕЕСТР РИСКОВ_2023'!$K$39:$AQ$272,MATCH(Check!Z78,'РЕЕСТР РИСКОВ_2023'!$Q$39:$Q$272,0),14),"")</f>
        <v>0</v>
      </c>
      <c r="AC78" s="264">
        <f>IFERROR(INDEX('РЕЕСТР РИСКОВ_2023'!$K$39:$AQ$272,MATCH(Check!Z78,'РЕЕСТР РИСКОВ_2023'!$Q$39:$Q$272,0),15),"")</f>
        <v>0.25</v>
      </c>
      <c r="AD78" s="264">
        <f>IFERROR(INDEX('РЕЕСТР РИСКОВ_2023'!$K$39:$AQ$272,MATCH(Check!Z78,'РЕЕСТР РИСКОВ_2023'!$Q$39:$Q$272,0),16),"")</f>
        <v>-3.2610000000000001</v>
      </c>
      <c r="AE78" s="264">
        <f>IFERROR(INDEX('РЕЕСТР РИСКОВ_2023'!$K$39:$AQ$272,MATCH(Check!Z78,'РЕЕСТР РИСКОВ_2023'!$Q$39:$Q$272,0),30),"")</f>
        <v>0.25</v>
      </c>
      <c r="AQ78" t="s">
        <v>1394</v>
      </c>
      <c r="AR78" t="s">
        <v>41</v>
      </c>
      <c r="AS78">
        <v>0.4</v>
      </c>
      <c r="AT78">
        <v>-69886.5</v>
      </c>
      <c r="AU78">
        <v>-27954.600000000002</v>
      </c>
      <c r="AV78">
        <v>-13977.300000000001</v>
      </c>
    </row>
    <row r="79" spans="1:48" ht="38.25" customHeight="1">
      <c r="A79" s="92" t="s">
        <v>447</v>
      </c>
      <c r="B79" s="306" t="s">
        <v>319</v>
      </c>
      <c r="C79" s="304">
        <v>0.8</v>
      </c>
      <c r="D79" s="299"/>
      <c r="E79" s="299">
        <v>0</v>
      </c>
      <c r="S79" s="206" t="s">
        <v>1394</v>
      </c>
      <c r="T79" t="s">
        <v>41</v>
      </c>
      <c r="U79" s="210">
        <f>IFERROR(INDEX('РЕЕСТР РИСКОВ_2023'!$K$39:$AQ$272,MATCH(Check!T79,'РЕЕСТР РИСКОВ_2023'!$K$39:$K$272,0),19),"")</f>
        <v>0.4</v>
      </c>
      <c r="V79" s="211">
        <f>IFERROR(INDEX('РЕЕСТР РИСКОВ_2023'!$K$39:$AQ$272,MATCH(Check!T79,'РЕЕСТР РИСКОВ_2023'!$K$39:$K$272,0),20),"")</f>
        <v>-69886.5</v>
      </c>
      <c r="W79" s="211">
        <f>IFERROR(INDEX('РЕЕСТР РИСКОВ_2023'!$K$39:$AQ$272,MATCH(Check!T79,'РЕЕСТР РИСКОВ_2023'!$K$39:$K$272,0),21),"")</f>
        <v>-27954.600000000002</v>
      </c>
      <c r="X79" s="211">
        <f>IFERROR(INDEX('РЕЕСТР РИСКОВ_2023'!$K$39:$AT$272,MATCH(Check!T79,'РЕЕСТР РИСКОВ_2023'!$K$39:$K$272,0),36),"")</f>
        <v>-13977.300000000001</v>
      </c>
      <c r="Y79" s="126"/>
      <c r="Z79" s="126" t="s">
        <v>509</v>
      </c>
      <c r="AA79" s="360" t="str">
        <f t="shared" si="16"/>
        <v>ВЕРОЯТНОСТЬ  1  ВЛИЯНИЕ  1</v>
      </c>
      <c r="AB79" s="210">
        <f>IFERROR(INDEX('РЕЕСТР РИСКОВ_2023'!$K$39:$AQ$272,MATCH(Check!Z79,'РЕЕСТР РИСКОВ_2023'!$Q$39:$Q$272,0),14),"")</f>
        <v>0</v>
      </c>
      <c r="AC79" s="264">
        <f>IFERROR(INDEX('РЕЕСТР РИСКОВ_2023'!$K$39:$AQ$272,MATCH(Check!Z79,'РЕЕСТР РИСКОВ_2023'!$Q$39:$Q$272,0),15),"")</f>
        <v>0.05</v>
      </c>
      <c r="AD79" s="264">
        <f>IFERROR(INDEX('РЕЕСТР РИСКОВ_2023'!$K$39:$AQ$272,MATCH(Check!Z79,'РЕЕСТР РИСКОВ_2023'!$Q$39:$Q$272,0),16),"")</f>
        <v>-2.1739999999999999</v>
      </c>
      <c r="AE79" s="264">
        <f>IFERROR(INDEX('РЕЕСТР РИСКОВ_2023'!$K$39:$AQ$272,MATCH(Check!Z79,'РЕЕСТР РИСКОВ_2023'!$Q$39:$Q$272,0),30),"")</f>
        <v>0.05</v>
      </c>
      <c r="AQ79" t="s">
        <v>68</v>
      </c>
      <c r="AR79" t="s">
        <v>169</v>
      </c>
      <c r="AS79">
        <v>1</v>
      </c>
      <c r="AT79">
        <v>0</v>
      </c>
      <c r="AU79">
        <v>0</v>
      </c>
      <c r="AV79">
        <v>0</v>
      </c>
    </row>
    <row r="80" spans="1:48" ht="38.25" customHeight="1">
      <c r="A80" s="92" t="s">
        <v>296</v>
      </c>
      <c r="B80" s="306" t="s">
        <v>64</v>
      </c>
      <c r="C80" s="304">
        <v>0.05</v>
      </c>
      <c r="D80" s="299"/>
      <c r="E80" s="299">
        <v>0</v>
      </c>
      <c r="S80" s="206" t="s">
        <v>68</v>
      </c>
      <c r="T80" t="s">
        <v>169</v>
      </c>
      <c r="U80" s="210">
        <f>IFERROR(INDEX('РЕЕСТР РИСКОВ_2023'!$K$39:$AQ$272,MATCH(Check!T80,'РЕЕСТР РИСКОВ_2023'!$K$39:$K$272,0),19),"")</f>
        <v>1</v>
      </c>
      <c r="V80" s="211">
        <f>IFERROR(INDEX('РЕЕСТР РИСКОВ_2023'!$K$39:$AQ$272,MATCH(Check!T80,'РЕЕСТР РИСКОВ_2023'!$K$39:$K$272,0),20),"")</f>
        <v>0</v>
      </c>
      <c r="W80" s="211">
        <f>IFERROR(INDEX('РЕЕСТР РИСКОВ_2023'!$K$39:$AQ$272,MATCH(Check!T80,'РЕЕСТР РИСКОВ_2023'!$K$39:$K$272,0),21),"")</f>
        <v>0</v>
      </c>
      <c r="X80" s="211">
        <f>IFERROR(INDEX('РЕЕСТР РИСКОВ_2023'!$K$39:$AT$272,MATCH(Check!T80,'РЕЕСТР РИСКОВ_2023'!$K$39:$K$272,0),36),"")</f>
        <v>0</v>
      </c>
      <c r="Y80" s="126"/>
      <c r="Z80" t="s">
        <v>510</v>
      </c>
      <c r="AA80" s="360" t="str">
        <f t="shared" si="16"/>
        <v>ВЕРОЯТНОСТЬ  1  ВЛИЯНИЕ  1</v>
      </c>
      <c r="AB80" s="210">
        <f>IFERROR(INDEX('РЕЕСТР РИСКОВ_2023'!$K$39:$AQ$272,MATCH(Check!Z80,'РЕЕСТР РИСКОВ_2023'!$Q$39:$Q$272,0),14),"")</f>
        <v>0</v>
      </c>
      <c r="AC80" s="264">
        <f>IFERROR(INDEX('РЕЕСТР РИСКОВ_2023'!$K$39:$AQ$272,MATCH(Check!Z80,'РЕЕСТР РИСКОВ_2023'!$Q$39:$Q$272,0),15),"")</f>
        <v>0.05</v>
      </c>
      <c r="AD80" s="264">
        <f>IFERROR(INDEX('РЕЕСТР РИСКОВ_2023'!$K$39:$AQ$272,MATCH(Check!Z80,'РЕЕСТР РИСКОВ_2023'!$Q$39:$Q$272,0),16),"")</f>
        <v>-0.65654799999999991</v>
      </c>
      <c r="AE80" s="264">
        <f>IFERROR(INDEX('РЕЕСТР РИСКОВ_2023'!$K$39:$AQ$272,MATCH(Check!Z80,'РЕЕСТР РИСКОВ_2023'!$Q$39:$Q$272,0),30),"")</f>
        <v>0.05</v>
      </c>
      <c r="AQ80" t="s">
        <v>68</v>
      </c>
      <c r="AR80" t="s">
        <v>826</v>
      </c>
      <c r="AS80">
        <v>1</v>
      </c>
      <c r="AT80">
        <v>0</v>
      </c>
      <c r="AU80">
        <v>0</v>
      </c>
      <c r="AV80">
        <v>0</v>
      </c>
    </row>
    <row r="81" spans="1:48" ht="21" customHeight="1">
      <c r="A81" s="92" t="s">
        <v>158</v>
      </c>
      <c r="B81" s="306" t="s">
        <v>168</v>
      </c>
      <c r="C81" s="304">
        <v>0.4</v>
      </c>
      <c r="D81" s="299">
        <v>-3937.3299104399994</v>
      </c>
      <c r="E81" s="299">
        <v>-1574.9319641759998</v>
      </c>
      <c r="S81" s="206" t="s">
        <v>68</v>
      </c>
      <c r="T81" t="s">
        <v>826</v>
      </c>
      <c r="U81" s="210">
        <f>IFERROR(INDEX('РЕЕСТР РИСКОВ_2023'!$K$39:$AQ$272,MATCH(Check!T81,'РЕЕСТР РИСКОВ_2023'!$K$39:$K$272,0),19),"")</f>
        <v>1</v>
      </c>
      <c r="V81" s="211">
        <f>IFERROR(INDEX('РЕЕСТР РИСКОВ_2023'!$K$39:$AQ$272,MATCH(Check!T81,'РЕЕСТР РИСКОВ_2023'!$K$39:$K$272,0),20),"")</f>
        <v>0</v>
      </c>
      <c r="W81" s="211">
        <f>IFERROR(INDEX('РЕЕСТР РИСКОВ_2023'!$K$39:$AQ$272,MATCH(Check!T81,'РЕЕСТР РИСКОВ_2023'!$K$39:$K$272,0),21),"")</f>
        <v>0</v>
      </c>
      <c r="X81" s="211">
        <f>IFERROR(INDEX('РЕЕСТР РИСКОВ_2023'!$K$39:$AT$272,MATCH(Check!T81,'РЕЕСТР РИСКОВ_2023'!$K$39:$K$272,0),36),"")</f>
        <v>0</v>
      </c>
      <c r="Y81" s="126"/>
      <c r="Z81" t="s">
        <v>511</v>
      </c>
      <c r="AA81" s="360" t="str">
        <f t="shared" si="16"/>
        <v>ВЕРОЯТНОСТЬ  1  ВЛИЯНИЕ  1</v>
      </c>
      <c r="AB81" s="210">
        <f>IFERROR(INDEX('РЕЕСТР РИСКОВ_2023'!$K$39:$AQ$272,MATCH(Check!Z81,'РЕЕСТР РИСКОВ_2023'!$Q$39:$Q$272,0),14),"")</f>
        <v>0</v>
      </c>
      <c r="AC81" s="264">
        <f>IFERROR(INDEX('РЕЕСТР РИСКОВ_2023'!$K$39:$AQ$272,MATCH(Check!Z81,'РЕЕСТР РИСКОВ_2023'!$Q$39:$Q$272,0),15),"")</f>
        <v>0.05</v>
      </c>
      <c r="AD81" s="264">
        <f>IFERROR(INDEX('РЕЕСТР РИСКОВ_2023'!$K$39:$AQ$272,MATCH(Check!Z81,'РЕЕСТР РИСКОВ_2023'!$Q$39:$Q$272,0),16),"")</f>
        <v>-0.6522</v>
      </c>
      <c r="AE81" s="264">
        <f>IFERROR(INDEX('РЕЕСТР РИСКОВ_2023'!$K$39:$AQ$272,MATCH(Check!Z81,'РЕЕСТР РИСКОВ_2023'!$Q$39:$Q$272,0),30),"")</f>
        <v>0.05</v>
      </c>
      <c r="AQ81" t="s">
        <v>68</v>
      </c>
      <c r="AR81" t="s">
        <v>827</v>
      </c>
      <c r="AS81">
        <v>0</v>
      </c>
      <c r="AT81">
        <v>0</v>
      </c>
      <c r="AU81">
        <v>0</v>
      </c>
      <c r="AV81">
        <v>0</v>
      </c>
    </row>
    <row r="82" spans="1:48" ht="34.5" customHeight="1">
      <c r="A82" s="92" t="s">
        <v>421</v>
      </c>
      <c r="B82" s="306" t="s">
        <v>38</v>
      </c>
      <c r="C82" s="304">
        <v>0.25</v>
      </c>
      <c r="D82" s="299">
        <v>-3100</v>
      </c>
      <c r="E82" s="299">
        <v>-775</v>
      </c>
      <c r="S82" s="206" t="s">
        <v>68</v>
      </c>
      <c r="T82" t="s">
        <v>827</v>
      </c>
      <c r="U82" s="210">
        <f>IFERROR(INDEX('РЕЕСТР РИСКОВ_2023'!$K$39:$AQ$272,MATCH(Check!T82,'РЕЕСТР РИСКОВ_2023'!$K$39:$K$272,0),19),"")</f>
        <v>0</v>
      </c>
      <c r="V82" s="211">
        <f>IFERROR(INDEX('РЕЕСТР РИСКОВ_2023'!$K$39:$AQ$272,MATCH(Check!T82,'РЕЕСТР РИСКОВ_2023'!$K$39:$K$272,0),20),"")</f>
        <v>0</v>
      </c>
      <c r="W82" s="211">
        <f>IFERROR(INDEX('РЕЕСТР РИСКОВ_2023'!$K$39:$AQ$272,MATCH(Check!T82,'РЕЕСТР РИСКОВ_2023'!$K$39:$K$272,0),21),"")</f>
        <v>0</v>
      </c>
      <c r="X82" s="211">
        <f>IFERROR(INDEX('РЕЕСТР РИСКОВ_2023'!$K$39:$AT$272,MATCH(Check!T82,'РЕЕСТР РИСКОВ_2023'!$K$39:$K$272,0),36),"")</f>
        <v>0</v>
      </c>
      <c r="Y82" s="126"/>
      <c r="Z82" s="126" t="s">
        <v>512</v>
      </c>
      <c r="AA82" s="360" t="str">
        <f t="shared" si="16"/>
        <v>ВЕРОЯТНОСТЬ  1  ВЛИЯНИЕ  1</v>
      </c>
      <c r="AB82" s="210">
        <f>IFERROR(INDEX('РЕЕСТР РИСКОВ_2023'!$K$39:$AQ$272,MATCH(Check!Z82,'РЕЕСТР РИСКОВ_2023'!$Q$39:$Q$272,0),14),"")</f>
        <v>0</v>
      </c>
      <c r="AC82" s="264">
        <f>IFERROR(INDEX('РЕЕСТР РИСКОВ_2023'!$K$39:$AQ$272,MATCH(Check!Z82,'РЕЕСТР РИСКОВ_2023'!$Q$39:$Q$272,0),15),"")</f>
        <v>0.05</v>
      </c>
      <c r="AD82" s="264">
        <f>IFERROR(INDEX('РЕЕСТР РИСКОВ_2023'!$K$39:$AQ$272,MATCH(Check!Z82,'РЕЕСТР РИСКОВ_2023'!$Q$39:$Q$272,0),16),"")</f>
        <v>-0.6522</v>
      </c>
      <c r="AE82" s="264">
        <f>IFERROR(INDEX('РЕЕСТР РИСКОВ_2023'!$K$39:$AQ$272,MATCH(Check!Z82,'РЕЕСТР РИСКОВ_2023'!$Q$39:$Q$272,0),30),"")</f>
        <v>0.05</v>
      </c>
      <c r="AQ82" t="s">
        <v>68</v>
      </c>
      <c r="AR82" t="s">
        <v>836</v>
      </c>
      <c r="AS82">
        <v>0</v>
      </c>
      <c r="AT82">
        <v>0</v>
      </c>
      <c r="AU82">
        <v>0</v>
      </c>
      <c r="AV82">
        <v>0</v>
      </c>
    </row>
    <row r="83" spans="1:48" ht="21" customHeight="1">
      <c r="A83" s="92" t="s">
        <v>177</v>
      </c>
      <c r="B83" s="306" t="s">
        <v>411</v>
      </c>
      <c r="C83" s="304">
        <v>0.05</v>
      </c>
      <c r="D83" s="299">
        <v>0</v>
      </c>
      <c r="E83" s="299">
        <v>0</v>
      </c>
      <c r="S83" s="206" t="s">
        <v>68</v>
      </c>
      <c r="T83" t="s">
        <v>836</v>
      </c>
      <c r="U83" s="210">
        <f>IFERROR(INDEX('РЕЕСТР РИСКОВ_2023'!$K$39:$AQ$272,MATCH(Check!T83,'РЕЕСТР РИСКОВ_2023'!$K$39:$K$272,0),19),"")</f>
        <v>0</v>
      </c>
      <c r="V83" s="211">
        <f>IFERROR(INDEX('РЕЕСТР РИСКОВ_2023'!$K$39:$AQ$272,MATCH(Check!T83,'РЕЕСТР РИСКОВ_2023'!$K$39:$K$272,0),20),"")</f>
        <v>0</v>
      </c>
      <c r="W83" s="211">
        <f>IFERROR(INDEX('РЕЕСТР РИСКОВ_2023'!$K$39:$AQ$272,MATCH(Check!T83,'РЕЕСТР РИСКОВ_2023'!$K$39:$K$272,0),21),"")</f>
        <v>0</v>
      </c>
      <c r="X83" s="211">
        <f>IFERROR(INDEX('РЕЕСТР РИСКОВ_2023'!$K$39:$AT$272,MATCH(Check!T83,'РЕЕСТР РИСКОВ_2023'!$K$39:$K$272,0),36),"")</f>
        <v>0</v>
      </c>
      <c r="Y83" s="126"/>
      <c r="Z83" s="126" t="s">
        <v>1656</v>
      </c>
      <c r="AA83" s="360" t="str">
        <f t="shared" si="16"/>
        <v>ВЕРОЯТНОСТЬ  5  ВЛИЯНИЕ  1</v>
      </c>
      <c r="AB83" s="210" t="str">
        <f>IFERROR(INDEX('РЕЕСТР РИСКОВ_2023'!$K$39:$AQ$272,MATCH(Check!Z83,'РЕЕСТР РИСКОВ_2023'!$Q$39:$Q$272,0),14),"")</f>
        <v/>
      </c>
      <c r="AC83" s="264" t="str">
        <f>IFERROR(INDEX('РЕЕСТР РИСКОВ_2023'!$K$39:$AQ$272,MATCH(Check!Z83,'РЕЕСТР РИСКОВ_2023'!$Q$39:$Q$272,0),15),"")</f>
        <v/>
      </c>
      <c r="AD83" s="264" t="str">
        <f>IFERROR(INDEX('РЕЕСТР РИСКОВ_2023'!$K$39:$AQ$272,MATCH(Check!Z83,'РЕЕСТР РИСКОВ_2023'!$Q$39:$Q$272,0),16),"")</f>
        <v/>
      </c>
      <c r="AE83" s="264" t="str">
        <f>IFERROR(INDEX('РЕЕСТР РИСКОВ_2023'!$K$39:$AQ$272,MATCH(Check!Z83,'РЕЕСТР РИСКОВ_2023'!$Q$39:$Q$272,0),30),"")</f>
        <v/>
      </c>
      <c r="AQ83" t="s">
        <v>68</v>
      </c>
      <c r="AR83" t="s">
        <v>829</v>
      </c>
      <c r="AS83">
        <v>0</v>
      </c>
      <c r="AT83">
        <v>0</v>
      </c>
      <c r="AU83">
        <v>0</v>
      </c>
      <c r="AV83">
        <v>0</v>
      </c>
    </row>
    <row r="84" spans="1:48" ht="21" customHeight="1">
      <c r="A84" s="92" t="s">
        <v>111</v>
      </c>
      <c r="B84" s="306" t="s">
        <v>412</v>
      </c>
      <c r="C84" s="304">
        <v>0.05</v>
      </c>
      <c r="D84" s="299">
        <v>0</v>
      </c>
      <c r="E84" s="299">
        <v>0</v>
      </c>
      <c r="S84" s="206" t="s">
        <v>68</v>
      </c>
      <c r="T84" t="s">
        <v>829</v>
      </c>
      <c r="U84" s="210">
        <f>IFERROR(INDEX('РЕЕСТР РИСКОВ_2023'!$K$39:$AQ$272,MATCH(Check!T84,'РЕЕСТР РИСКОВ_2023'!$K$39:$K$272,0),19),"")</f>
        <v>0</v>
      </c>
      <c r="V84" s="211">
        <f>IFERROR(INDEX('РЕЕСТР РИСКОВ_2023'!$K$39:$AQ$272,MATCH(Check!T84,'РЕЕСТР РИСКОВ_2023'!$K$39:$K$272,0),20),"")</f>
        <v>0</v>
      </c>
      <c r="W84" s="211">
        <f>IFERROR(INDEX('РЕЕСТР РИСКОВ_2023'!$K$39:$AQ$272,MATCH(Check!T84,'РЕЕСТР РИСКОВ_2023'!$K$39:$K$272,0),21),"")</f>
        <v>0</v>
      </c>
      <c r="X84" s="211">
        <f>IFERROR(INDEX('РЕЕСТР РИСКОВ_2023'!$K$39:$AT$272,MATCH(Check!T84,'РЕЕСТР РИСКОВ_2023'!$K$39:$K$272,0),36),"")</f>
        <v>0</v>
      </c>
      <c r="Y84" s="126"/>
      <c r="Z84" s="126" t="s">
        <v>1215</v>
      </c>
      <c r="AA84" s="360" t="str">
        <f t="shared" si="16"/>
        <v>ВЕРОЯТНОСТЬ  5  ВЛИЯНИЕ  1</v>
      </c>
      <c r="AB84" s="210" t="str">
        <f>IFERROR(INDEX('РЕЕСТР РИСКОВ_2023'!$K$39:$AQ$272,MATCH(Check!Z84,'РЕЕСТР РИСКОВ_2023'!$Q$39:$Q$272,0),14),"")</f>
        <v/>
      </c>
      <c r="AC84" s="264" t="str">
        <f>IFERROR(INDEX('РЕЕСТР РИСКОВ_2023'!$K$39:$AQ$272,MATCH(Check!Z84,'РЕЕСТР РИСКОВ_2023'!$Q$39:$Q$272,0),15),"")</f>
        <v/>
      </c>
      <c r="AD84" s="264" t="str">
        <f>IFERROR(INDEX('РЕЕСТР РИСКОВ_2023'!$K$39:$AQ$272,MATCH(Check!Z84,'РЕЕСТР РИСКОВ_2023'!$Q$39:$Q$272,0),16),"")</f>
        <v/>
      </c>
      <c r="AE84" s="264" t="str">
        <f>IFERROR(INDEX('РЕЕСТР РИСКОВ_2023'!$K$39:$AQ$272,MATCH(Check!Z84,'РЕЕСТР РИСКОВ_2023'!$Q$39:$Q$272,0),30),"")</f>
        <v/>
      </c>
      <c r="AQ84" t="s">
        <v>68</v>
      </c>
      <c r="AR84" t="s">
        <v>830</v>
      </c>
      <c r="AS84">
        <v>0</v>
      </c>
      <c r="AT84">
        <v>0</v>
      </c>
      <c r="AU84">
        <v>0</v>
      </c>
      <c r="AV84">
        <v>0</v>
      </c>
    </row>
    <row r="85" spans="1:48" ht="21" customHeight="1">
      <c r="A85" s="92" t="s">
        <v>177</v>
      </c>
      <c r="B85" s="306" t="s">
        <v>415</v>
      </c>
      <c r="C85" s="304">
        <v>0</v>
      </c>
      <c r="D85" s="299">
        <v>0</v>
      </c>
      <c r="E85" s="299">
        <v>0</v>
      </c>
      <c r="S85" s="206" t="s">
        <v>68</v>
      </c>
      <c r="T85" t="s">
        <v>830</v>
      </c>
      <c r="U85" s="210">
        <f>IFERROR(INDEX('РЕЕСТР РИСКОВ_2023'!$K$39:$AQ$272,MATCH(Check!T85,'РЕЕСТР РИСКОВ_2023'!$K$39:$K$272,0),19),"")</f>
        <v>0</v>
      </c>
      <c r="V85" s="211">
        <f>IFERROR(INDEX('РЕЕСТР РИСКОВ_2023'!$K$39:$AQ$272,MATCH(Check!T85,'РЕЕСТР РИСКОВ_2023'!$K$39:$K$272,0),20),"")</f>
        <v>0</v>
      </c>
      <c r="W85" s="211">
        <f>IFERROR(INDEX('РЕЕСТР РИСКОВ_2023'!$K$39:$AQ$272,MATCH(Check!T85,'РЕЕСТР РИСКОВ_2023'!$K$39:$K$272,0),21),"")</f>
        <v>0</v>
      </c>
      <c r="X85" s="211">
        <f>IFERROR(INDEX('РЕЕСТР РИСКОВ_2023'!$K$39:$AT$272,MATCH(Check!T85,'РЕЕСТР РИСКОВ_2023'!$K$39:$K$272,0),36),"")</f>
        <v>0</v>
      </c>
      <c r="Z85" s="126" t="s">
        <v>1638</v>
      </c>
      <c r="AA85" s="360" t="str">
        <f t="shared" si="16"/>
        <v>ВЕРОЯТНОСТЬ  1  ВЛИЯНИЕ  1</v>
      </c>
      <c r="AB85" s="210">
        <f>IFERROR(INDEX('РЕЕСТР РИСКОВ_2023'!$K$39:$AQ$272,MATCH(Check!Z85,'РЕЕСТР РИСКОВ_2023'!$Q$39:$Q$272,0),14),"")</f>
        <v>0</v>
      </c>
      <c r="AC85" s="264">
        <f>IFERROR(INDEX('РЕЕСТР РИСКОВ_2023'!$K$39:$AQ$272,MATCH(Check!Z85,'РЕЕСТР РИСКОВ_2023'!$Q$39:$Q$272,0),15),"")</f>
        <v>0.3</v>
      </c>
      <c r="AD85" s="264">
        <f>IFERROR(INDEX('РЕЕСТР РИСКОВ_2023'!$K$39:$AQ$272,MATCH(Check!Z85,'РЕЕСТР РИСКОВ_2023'!$Q$39:$Q$272,0),16),"")</f>
        <v>0</v>
      </c>
      <c r="AE85" s="264">
        <f>IFERROR(INDEX('РЕЕСТР РИСКОВ_2023'!$K$39:$AQ$272,MATCH(Check!Z85,'РЕЕСТР РИСКОВ_2023'!$Q$39:$Q$272,0),30),"")</f>
        <v>0</v>
      </c>
      <c r="AQ85" t="s">
        <v>68</v>
      </c>
      <c r="AR85" t="s">
        <v>831</v>
      </c>
      <c r="AS85">
        <v>0</v>
      </c>
      <c r="AT85">
        <v>0</v>
      </c>
      <c r="AU85">
        <v>0</v>
      </c>
      <c r="AV85">
        <v>0</v>
      </c>
    </row>
    <row r="86" spans="1:48" ht="21" customHeight="1">
      <c r="A86" s="92" t="s">
        <v>177</v>
      </c>
      <c r="B86" s="306" t="s">
        <v>413</v>
      </c>
      <c r="C86" s="304">
        <v>0</v>
      </c>
      <c r="D86" s="299">
        <v>0</v>
      </c>
      <c r="E86" s="299">
        <v>0</v>
      </c>
      <c r="S86" s="206" t="s">
        <v>68</v>
      </c>
      <c r="T86" t="s">
        <v>831</v>
      </c>
      <c r="U86" s="210">
        <f>IFERROR(INDEX('РЕЕСТР РИСКОВ_2023'!$K$39:$AQ$272,MATCH(Check!T86,'РЕЕСТР РИСКОВ_2023'!$K$39:$K$272,0),19),"")</f>
        <v>0</v>
      </c>
      <c r="V86" s="211">
        <f>IFERROR(INDEX('РЕЕСТР РИСКОВ_2023'!$K$39:$AQ$272,MATCH(Check!T86,'РЕЕСТР РИСКОВ_2023'!$K$39:$K$272,0),20),"")</f>
        <v>0</v>
      </c>
      <c r="W86" s="211">
        <f>IFERROR(INDEX('РЕЕСТР РИСКОВ_2023'!$K$39:$AQ$272,MATCH(Check!T86,'РЕЕСТР РИСКОВ_2023'!$K$39:$K$272,0),21),"")</f>
        <v>0</v>
      </c>
      <c r="X86" s="211">
        <f>IFERROR(INDEX('РЕЕСТР РИСКОВ_2023'!$K$39:$AT$272,MATCH(Check!T86,'РЕЕСТР РИСКОВ_2023'!$K$39:$K$272,0),36),"")</f>
        <v>0</v>
      </c>
      <c r="Y86" s="126"/>
      <c r="Z86" t="s">
        <v>1188</v>
      </c>
      <c r="AA86" s="360" t="str">
        <f t="shared" si="16"/>
        <v>ВЕРОЯТНОСТЬ  1  ВЛИЯНИЕ  1</v>
      </c>
      <c r="AB86" s="210">
        <f>IFERROR(INDEX('РЕЕСТР РИСКОВ_2023'!$K$39:$AQ$272,MATCH(Check!Z86,'РЕЕСТР РИСКОВ_2023'!$Q$39:$Q$272,0),14),"")</f>
        <v>0</v>
      </c>
      <c r="AC86" s="264">
        <f>IFERROR(INDEX('РЕЕСТР РИСКОВ_2023'!$K$39:$AQ$272,MATCH(Check!Z86,'РЕЕСТР РИСКОВ_2023'!$Q$39:$Q$272,0),15),"")</f>
        <v>0.01</v>
      </c>
      <c r="AD86" s="264">
        <f>IFERROR(INDEX('РЕЕСТР РИСКОВ_2023'!$K$39:$AQ$272,MATCH(Check!Z86,'РЕЕСТР РИСКОВ_2023'!$Q$39:$Q$272,0),16),"")</f>
        <v>0</v>
      </c>
      <c r="AE86" s="264">
        <f>IFERROR(INDEX('РЕЕСТР РИСКОВ_2023'!$K$39:$AQ$272,MATCH(Check!Z44,'РЕЕСТР РИСКОВ_2023'!$Q$39:$Q$272,0),30),"")</f>
        <v>0</v>
      </c>
      <c r="AQ86" t="s">
        <v>68</v>
      </c>
      <c r="AR86" t="s">
        <v>832</v>
      </c>
      <c r="AS86">
        <v>0</v>
      </c>
      <c r="AT86">
        <v>0</v>
      </c>
      <c r="AU86">
        <v>0</v>
      </c>
      <c r="AV86">
        <v>0</v>
      </c>
    </row>
    <row r="87" spans="1:48" ht="21" customHeight="1">
      <c r="A87" s="92" t="s">
        <v>173</v>
      </c>
      <c r="B87" s="306" t="s">
        <v>414</v>
      </c>
      <c r="C87" s="304">
        <v>0</v>
      </c>
      <c r="D87" s="299">
        <v>0</v>
      </c>
      <c r="E87" s="299">
        <v>0</v>
      </c>
      <c r="S87" s="206" t="s">
        <v>68</v>
      </c>
      <c r="T87" s="126" t="s">
        <v>832</v>
      </c>
      <c r="U87" s="210">
        <f>IFERROR(INDEX('РЕЕСТР РИСКОВ_2023'!$K$39:$AQ$272,MATCH(Check!T87,'РЕЕСТР РИСКОВ_2023'!$K$39:$K$272,0),19),"")</f>
        <v>0</v>
      </c>
      <c r="V87" s="211">
        <f>IFERROR(INDEX('РЕЕСТР РИСКОВ_2023'!$K$39:$AQ$272,MATCH(Check!T87,'РЕЕСТР РИСКОВ_2023'!$K$39:$K$272,0),20),"")</f>
        <v>0</v>
      </c>
      <c r="W87" s="211">
        <f>IFERROR(INDEX('РЕЕСТР РИСКОВ_2023'!$K$39:$AQ$272,MATCH(Check!T87,'РЕЕСТР РИСКОВ_2023'!$K$39:$K$272,0),21),"")</f>
        <v>0</v>
      </c>
      <c r="X87" s="211">
        <f>IFERROR(INDEX('РЕЕСТР РИСКОВ_2023'!$K$39:$AT$272,MATCH(Check!T87,'РЕЕСТР РИСКОВ_2023'!$K$39:$K$272,0),36),"")</f>
        <v>0</v>
      </c>
      <c r="Y87" s="126"/>
      <c r="Z87" s="126" t="s">
        <v>1402</v>
      </c>
      <c r="AA87" s="360" t="str">
        <f t="shared" si="16"/>
        <v>ВЕРОЯТНОСТЬ  1  ВЛИЯНИЕ  1</v>
      </c>
      <c r="AB87" s="210">
        <f>IFERROR(INDEX('РЕЕСТР РИСКОВ_2023'!$K$39:$AQ$272,MATCH(Check!Z87,'РЕЕСТР РИСКОВ_2023'!$Q$39:$Q$272,0),14),"")</f>
        <v>0</v>
      </c>
      <c r="AC87" s="264">
        <f>IFERROR(INDEX('РЕЕСТР РИСКОВ_2023'!$K$39:$AQ$272,MATCH(Check!Z87,'РЕЕСТР РИСКОВ_2023'!$Q$39:$Q$272,0),15),"")</f>
        <v>0</v>
      </c>
      <c r="AD87" s="264">
        <f>IFERROR(INDEX('РЕЕСТР РИСКОВ_2023'!$K$39:$AQ$272,MATCH(Check!Z87,'РЕЕСТР РИСКОВ_2023'!$Q$39:$Q$272,0),16),"")</f>
        <v>0</v>
      </c>
      <c r="AE87" s="264">
        <f>IFERROR(INDEX('РЕЕСТР РИСКОВ_2023'!$K$39:$AQ$272,MATCH(Check!Z110,'РЕЕСТР РИСКОВ_2023'!$Q$39:$Q$272,0),30),"")</f>
        <v>0.125</v>
      </c>
      <c r="AQ87" t="s">
        <v>68</v>
      </c>
      <c r="AR87" t="s">
        <v>837</v>
      </c>
      <c r="AS87">
        <v>0</v>
      </c>
      <c r="AT87">
        <v>0</v>
      </c>
      <c r="AU87">
        <v>0</v>
      </c>
      <c r="AV87">
        <v>0</v>
      </c>
    </row>
    <row r="88" spans="1:48" ht="21" customHeight="1">
      <c r="A88" s="92" t="s">
        <v>173</v>
      </c>
      <c r="B88" s="306" t="s">
        <v>241</v>
      </c>
      <c r="C88" s="304">
        <v>0.6</v>
      </c>
      <c r="D88" s="299">
        <v>-12.6</v>
      </c>
      <c r="E88" s="299">
        <v>-7.56</v>
      </c>
      <c r="S88" s="206" t="s">
        <v>68</v>
      </c>
      <c r="T88" t="s">
        <v>837</v>
      </c>
      <c r="U88" s="210">
        <f>IFERROR(INDEX('РЕЕСТР РИСКОВ_2023'!$K$39:$AQ$272,MATCH(Check!T88,'РЕЕСТР РИСКОВ_2023'!$K$39:$K$272,0),19),"")</f>
        <v>0</v>
      </c>
      <c r="V88" s="211">
        <f>IFERROR(INDEX('РЕЕСТР РИСКОВ_2023'!$K$39:$AQ$272,MATCH(Check!T88,'РЕЕСТР РИСКОВ_2023'!$K$39:$K$272,0),20),"")</f>
        <v>0</v>
      </c>
      <c r="W88" s="211">
        <f>IFERROR(INDEX('РЕЕСТР РИСКОВ_2023'!$K$39:$AQ$272,MATCH(Check!T88,'РЕЕСТР РИСКОВ_2023'!$K$39:$K$272,0),21),"")</f>
        <v>0</v>
      </c>
      <c r="X88" s="211">
        <f>IFERROR(INDEX('РЕЕСТР РИСКОВ_2023'!$K$39:$AT$272,MATCH(Check!T88,'РЕЕСТР РИСКОВ_2023'!$K$39:$K$272,0),36),"")</f>
        <v>0</v>
      </c>
      <c r="Y88" s="126"/>
      <c r="Z88" s="126" t="s">
        <v>1403</v>
      </c>
      <c r="AA88" s="360" t="str">
        <f t="shared" si="16"/>
        <v>ВЕРОЯТНОСТЬ  1  ВЛИЯНИЕ  1</v>
      </c>
      <c r="AB88" s="210">
        <f>IFERROR(INDEX('РЕЕСТР РИСКОВ_2023'!$K$39:$AQ$272,MATCH(Check!Z88,'РЕЕСТР РИСКОВ_2023'!$Q$39:$Q$272,0),14),"")</f>
        <v>0</v>
      </c>
      <c r="AC88" s="264">
        <f>IFERROR(INDEX('РЕЕСТР РИСКОВ_2023'!$K$39:$AQ$272,MATCH(Check!Z88,'РЕЕСТР РИСКОВ_2023'!$Q$39:$Q$272,0),15),"")</f>
        <v>0</v>
      </c>
      <c r="AD88" s="264">
        <f>IFERROR(INDEX('РЕЕСТР РИСКОВ_2023'!$K$39:$AQ$272,MATCH(Check!Z88,'РЕЕСТР РИСКОВ_2023'!$Q$39:$Q$272,0),16),"")</f>
        <v>0</v>
      </c>
      <c r="AE88" s="264" t="str">
        <f>IFERROR(INDEX('РЕЕСТР РИСКОВ_2023'!$K$39:$AQ$272,MATCH(Check!Z45,'РЕЕСТР РИСКОВ_2023'!$Q$39:$Q$272,0),30),"")</f>
        <v/>
      </c>
      <c r="AQ88" t="s">
        <v>68</v>
      </c>
      <c r="AR88" t="s">
        <v>834</v>
      </c>
      <c r="AS88">
        <v>0</v>
      </c>
      <c r="AT88">
        <v>0</v>
      </c>
      <c r="AU88">
        <v>0</v>
      </c>
      <c r="AV88">
        <v>0</v>
      </c>
    </row>
    <row r="89" spans="1:48" ht="21" customHeight="1">
      <c r="A89" s="92" t="s">
        <v>173</v>
      </c>
      <c r="B89" s="306" t="s">
        <v>243</v>
      </c>
      <c r="C89" s="304">
        <v>0.03</v>
      </c>
      <c r="D89" s="299"/>
      <c r="E89" s="299">
        <v>0</v>
      </c>
      <c r="S89" s="206" t="s">
        <v>68</v>
      </c>
      <c r="T89" s="126" t="s">
        <v>834</v>
      </c>
      <c r="U89" s="210">
        <f>IFERROR(INDEX('РЕЕСТР РИСКОВ_2023'!$K$39:$AQ$272,MATCH(Check!T89,'РЕЕСТР РИСКОВ_2023'!$K$39:$K$272,0),19),"")</f>
        <v>0</v>
      </c>
      <c r="V89" s="211">
        <f>IFERROR(INDEX('РЕЕСТР РИСКОВ_2023'!$K$39:$AQ$272,MATCH(Check!T89,'РЕЕСТР РИСКОВ_2023'!$K$39:$K$272,0),20),"")</f>
        <v>0</v>
      </c>
      <c r="W89" s="211">
        <f>IFERROR(INDEX('РЕЕСТР РИСКОВ_2023'!$K$39:$AQ$272,MATCH(Check!T89,'РЕЕСТР РИСКОВ_2023'!$K$39:$K$272,0),21),"")</f>
        <v>0</v>
      </c>
      <c r="X89" s="211">
        <f>IFERROR(INDEX('РЕЕСТР РИСКОВ_2023'!$K$39:$AT$272,MATCH(Check!T89,'РЕЕСТР РИСКОВ_2023'!$K$39:$K$272,0),36),"")</f>
        <v>0</v>
      </c>
      <c r="Z89" s="126" t="s">
        <v>1404</v>
      </c>
      <c r="AA89" s="360" t="str">
        <f t="shared" si="16"/>
        <v>ВЕРОЯТНОСТЬ  1  ВЛИЯНИЕ  1</v>
      </c>
      <c r="AB89" s="210">
        <f>IFERROR(INDEX('РЕЕСТР РИСКОВ_2023'!$K$39:$AQ$272,MATCH(Check!Z89,'РЕЕСТР РИСКОВ_2023'!$Q$39:$Q$272,0),14),"")</f>
        <v>0</v>
      </c>
      <c r="AC89" s="264">
        <f>IFERROR(INDEX('РЕЕСТР РИСКОВ_2023'!$K$39:$AQ$272,MATCH(Check!Z89,'РЕЕСТР РИСКОВ_2023'!$Q$39:$Q$272,0),15),"")</f>
        <v>0</v>
      </c>
      <c r="AD89" s="264">
        <f>IFERROR(INDEX('РЕЕСТР РИСКОВ_2023'!$K$39:$AQ$272,MATCH(Check!Z89,'РЕЕСТР РИСКОВ_2023'!$Q$39:$Q$272,0),16),"")</f>
        <v>0</v>
      </c>
      <c r="AE89" s="264">
        <f>IFERROR(INDEX('РЕЕСТР РИСКОВ_2023'!$K$39:$AQ$272,MATCH(Check!Z89,'РЕЕСТР РИСКОВ_2023'!$Q$39:$Q$272,0),30),"")</f>
        <v>0</v>
      </c>
      <c r="AG89" t="s">
        <v>608</v>
      </c>
      <c r="AH89" s="94">
        <v>0.4</v>
      </c>
      <c r="AI89">
        <v>-14800</v>
      </c>
      <c r="AJ89">
        <v>-5920</v>
      </c>
      <c r="AQ89" t="s">
        <v>68</v>
      </c>
      <c r="AR89" t="s">
        <v>835</v>
      </c>
      <c r="AS89">
        <v>0</v>
      </c>
      <c r="AT89">
        <v>0</v>
      </c>
      <c r="AU89">
        <v>0</v>
      </c>
      <c r="AV89">
        <v>0</v>
      </c>
    </row>
    <row r="90" spans="1:48" ht="36.75" customHeight="1">
      <c r="A90" s="92" t="s">
        <v>112</v>
      </c>
      <c r="B90" s="306" t="s">
        <v>51</v>
      </c>
      <c r="C90" s="304">
        <v>0</v>
      </c>
      <c r="D90" s="299"/>
      <c r="E90" s="299">
        <v>0</v>
      </c>
      <c r="S90" s="206" t="s">
        <v>68</v>
      </c>
      <c r="T90" t="s">
        <v>835</v>
      </c>
      <c r="U90" s="210">
        <f>IFERROR(INDEX('РЕЕСТР РИСКОВ_2023'!$K$39:$AQ$272,MATCH(Check!T90,'РЕЕСТР РИСКОВ_2023'!$K$39:$K$272,0),19),"")</f>
        <v>0</v>
      </c>
      <c r="V90" s="211">
        <f>IFERROR(INDEX('РЕЕСТР РИСКОВ_2023'!$K$39:$AQ$272,MATCH(Check!T90,'РЕЕСТР РИСКОВ_2023'!$K$39:$K$272,0),20),"")</f>
        <v>0</v>
      </c>
      <c r="W90" s="211">
        <f>IFERROR(INDEX('РЕЕСТР РИСКОВ_2023'!$K$39:$AQ$272,MATCH(Check!T90,'РЕЕСТР РИСКОВ_2023'!$K$39:$K$272,0),21),"")</f>
        <v>0</v>
      </c>
      <c r="X90" s="211">
        <f>IFERROR(INDEX('РЕЕСТР РИСКОВ_2023'!$K$39:$AT$272,MATCH(Check!T90,'РЕЕСТР РИСКОВ_2023'!$K$39:$K$272,0),36),"")</f>
        <v>0</v>
      </c>
      <c r="Z90" s="126" t="s">
        <v>1216</v>
      </c>
      <c r="AA90" s="360" t="str">
        <f t="shared" si="16"/>
        <v>ВЕРОЯТНОСТЬ  5  ВЛИЯНИЕ  1</v>
      </c>
      <c r="AB90" s="210" t="str">
        <f>IFERROR(INDEX('РЕЕСТР РИСКОВ_2023'!$K$39:$AQ$272,MATCH(Check!Z90,'РЕЕСТР РИСКОВ_2023'!$Q$39:$Q$272,0),14),"")</f>
        <v/>
      </c>
      <c r="AC90" s="264" t="str">
        <f>IFERROR(INDEX('РЕЕСТР РИСКОВ_2023'!$K$39:$AQ$272,MATCH(Check!Z90,'РЕЕСТР РИСКОВ_2023'!$Q$39:$Q$272,0),15),"")</f>
        <v/>
      </c>
      <c r="AD90" s="264" t="str">
        <f>IFERROR(INDEX('РЕЕСТР РИСКОВ_2023'!$K$39:$AQ$272,MATCH(Check!Z90,'РЕЕСТР РИСКОВ_2023'!$Q$39:$Q$272,0),16),"")</f>
        <v/>
      </c>
      <c r="AE90" s="264" t="str">
        <f>IFERROR(INDEX('РЕЕСТР РИСКОВ_2023'!$K$39:$AQ$272,MATCH(Check!Z90,'РЕЕСТР РИСКОВ_2023'!$Q$39:$Q$272,0),30),"")</f>
        <v/>
      </c>
      <c r="AG90" t="s">
        <v>526</v>
      </c>
      <c r="AH90" s="94">
        <v>0.8</v>
      </c>
      <c r="AI90">
        <v>-502.92200000000003</v>
      </c>
      <c r="AJ90">
        <v>-402.33760000000007</v>
      </c>
      <c r="AQ90" t="s">
        <v>66</v>
      </c>
      <c r="AR90" t="s">
        <v>40</v>
      </c>
      <c r="AS90">
        <v>0.4</v>
      </c>
      <c r="AT90">
        <v>0</v>
      </c>
      <c r="AU90">
        <v>0</v>
      </c>
      <c r="AV90">
        <v>0</v>
      </c>
    </row>
    <row r="91" spans="1:48" ht="21" customHeight="1">
      <c r="A91" s="92" t="s">
        <v>173</v>
      </c>
      <c r="B91" s="306" t="s">
        <v>47</v>
      </c>
      <c r="C91" s="304">
        <v>0.4</v>
      </c>
      <c r="D91" s="299"/>
      <c r="E91" s="299">
        <v>0</v>
      </c>
      <c r="S91" s="204" t="s">
        <v>66</v>
      </c>
      <c r="T91" s="126" t="s">
        <v>40</v>
      </c>
      <c r="U91" s="210">
        <f>IFERROR(INDEX('РЕЕСТР РИСКОВ_2023'!$K$39:$AQ$272,MATCH(Check!T91,'РЕЕСТР РИСКОВ_2023'!$K$39:$K$272,0),19),"")</f>
        <v>0.4</v>
      </c>
      <c r="V91" s="211">
        <f>IFERROR(INDEX('РЕЕСТР РИСКОВ_2023'!$K$39:$AQ$272,MATCH(Check!T91,'РЕЕСТР РИСКОВ_2023'!$K$39:$K$272,0),20),"")</f>
        <v>0</v>
      </c>
      <c r="W91" s="211">
        <f>IFERROR(INDEX('РЕЕСТР РИСКОВ_2023'!$K$39:$AQ$272,MATCH(Check!T91,'РЕЕСТР РИСКОВ_2023'!$K$39:$K$272,0),21),"")</f>
        <v>0</v>
      </c>
      <c r="X91" s="211">
        <f>IFERROR(INDEX('РЕЕСТР РИСКОВ_2023'!$K$39:$AT$272,MATCH(Check!T91,'РЕЕСТР РИСКОВ_2023'!$K$39:$K$272,0),36),"")</f>
        <v>0</v>
      </c>
      <c r="Z91" s="126" t="s">
        <v>1020</v>
      </c>
      <c r="AA91" s="360" t="str">
        <f t="shared" si="16"/>
        <v>ВЕРОЯТНОСТЬ  5  ВЛИЯНИЕ  1</v>
      </c>
      <c r="AB91" s="210" t="str">
        <f>IFERROR(INDEX('РЕЕСТР РИСКОВ_2023'!$K$39:$AQ$272,MATCH(Check!Z91,'РЕЕСТР РИСКОВ_2023'!$Q$39:$Q$272,0),14),"")</f>
        <v/>
      </c>
      <c r="AC91" s="264" t="str">
        <f>IFERROR(INDEX('РЕЕСТР РИСКОВ_2023'!$K$39:$AQ$272,MATCH(Check!Z91,'РЕЕСТР РИСКОВ_2023'!$Q$39:$Q$272,0),15),"")</f>
        <v/>
      </c>
      <c r="AD91" s="264" t="str">
        <f>IFERROR(INDEX('РЕЕСТР РИСКОВ_2023'!$K$39:$AQ$272,MATCH(Check!Z91,'РЕЕСТР РИСКОВ_2023'!$Q$39:$Q$272,0),16),"")</f>
        <v/>
      </c>
      <c r="AE91" s="264" t="str">
        <f>IFERROR(INDEX('РЕЕСТР РИСКОВ_2023'!$K$39:$AQ$272,MATCH(Check!Z91,'РЕЕСТР РИСКОВ_2023'!$Q$39:$Q$272,0),30),"")</f>
        <v/>
      </c>
      <c r="AG91" t="s">
        <v>307</v>
      </c>
      <c r="AH91" s="94">
        <v>1</v>
      </c>
      <c r="AI91">
        <v>-5500</v>
      </c>
      <c r="AJ91">
        <v>-5500</v>
      </c>
      <c r="AQ91" t="s">
        <v>66</v>
      </c>
      <c r="AR91" t="s">
        <v>55</v>
      </c>
      <c r="AS91">
        <v>0.25</v>
      </c>
      <c r="AT91">
        <v>0</v>
      </c>
      <c r="AU91">
        <v>0</v>
      </c>
      <c r="AV91">
        <v>0</v>
      </c>
    </row>
    <row r="92" spans="1:48" ht="21" customHeight="1">
      <c r="A92" s="92" t="s">
        <v>173</v>
      </c>
      <c r="B92" s="306" t="s">
        <v>341</v>
      </c>
      <c r="C92" s="304">
        <v>0.8</v>
      </c>
      <c r="D92" s="299">
        <v>-2233.35</v>
      </c>
      <c r="E92" s="299">
        <v>-1786.68</v>
      </c>
      <c r="M92">
        <v>-1786.68</v>
      </c>
      <c r="S92" s="204" t="s">
        <v>66</v>
      </c>
      <c r="T92" s="126" t="s">
        <v>55</v>
      </c>
      <c r="U92" s="210">
        <f>IFERROR(INDEX('РЕЕСТР РИСКОВ_2023'!$K$39:$AQ$272,MATCH(Check!T92,'РЕЕСТР РИСКОВ_2023'!$K$39:$K$272,0),19),"")</f>
        <v>0.25</v>
      </c>
      <c r="V92" s="211">
        <f>IFERROR(INDEX('РЕЕСТР РИСКОВ_2023'!$K$39:$AQ$272,MATCH(Check!T92,'РЕЕСТР РИСКОВ_2023'!$K$39:$K$272,0),20),"")</f>
        <v>0</v>
      </c>
      <c r="W92" s="211">
        <f>IFERROR(INDEX('РЕЕСТР РИСКОВ_2023'!$K$39:$AQ$272,MATCH(Check!T92,'РЕЕСТР РИСКОВ_2023'!$K$39:$K$272,0),21),"")</f>
        <v>0</v>
      </c>
      <c r="X92" s="211">
        <f>IFERROR(INDEX('РЕЕСТР РИСКОВ_2023'!$K$39:$AT$272,MATCH(Check!T92,'РЕЕСТР РИСКОВ_2023'!$K$39:$K$272,0),36),"")</f>
        <v>0</v>
      </c>
      <c r="Y92" s="126"/>
      <c r="Z92" s="126" t="s">
        <v>1021</v>
      </c>
      <c r="AA92" s="360" t="str">
        <f t="shared" si="16"/>
        <v>ВЕРОЯТНОСТЬ  1  ВЛИЯНИЕ  1</v>
      </c>
      <c r="AB92" s="210">
        <f>IFERROR(INDEX('РЕЕСТР РИСКОВ_2023'!$K$39:$AQ$272,MATCH(Check!Z92,'РЕЕСТР РИСКОВ_2023'!$Q$39:$Q$272,0),14),"")</f>
        <v>0</v>
      </c>
      <c r="AC92" s="264">
        <f>IFERROR(INDEX('РЕЕСТР РИСКОВ_2023'!$K$39:$AQ$272,MATCH(Check!Z92,'РЕЕСТР РИСКОВ_2023'!$Q$39:$Q$272,0),15),"")</f>
        <v>0.25</v>
      </c>
      <c r="AD92" s="264">
        <f>IFERROR(INDEX('РЕЕСТР РИСКОВ_2023'!$K$39:$AQ$272,MATCH(Check!Z92,'РЕЕСТР РИСКОВ_2023'!$Q$39:$Q$272,0),16),"")</f>
        <v>0</v>
      </c>
      <c r="AE92" s="264">
        <f>IFERROR(INDEX('РЕЕСТР РИСКОВ_2023'!$K$39:$AQ$272,MATCH(Check!Z54,'РЕЕСТР РИСКОВ_2023'!$Q$39:$Q$272,0),30),"")</f>
        <v>2.5000000000000001E-2</v>
      </c>
      <c r="AG92" t="s">
        <v>31</v>
      </c>
      <c r="AH92" s="94">
        <v>0.95</v>
      </c>
      <c r="AI92">
        <v>-1173</v>
      </c>
      <c r="AJ92">
        <v>-1114.3499999999999</v>
      </c>
      <c r="AQ92" t="s">
        <v>66</v>
      </c>
      <c r="AR92" t="s">
        <v>1007</v>
      </c>
      <c r="AS92">
        <v>0.25</v>
      </c>
      <c r="AT92">
        <v>0</v>
      </c>
      <c r="AU92">
        <v>0</v>
      </c>
      <c r="AV92">
        <v>0</v>
      </c>
    </row>
    <row r="93" spans="1:48" ht="21" customHeight="1">
      <c r="A93" s="92" t="s">
        <v>173</v>
      </c>
      <c r="B93" s="306" t="s">
        <v>244</v>
      </c>
      <c r="C93" s="304">
        <v>0</v>
      </c>
      <c r="D93" s="299">
        <v>0</v>
      </c>
      <c r="E93" s="299">
        <v>0</v>
      </c>
      <c r="S93" s="204" t="s">
        <v>66</v>
      </c>
      <c r="T93" s="126" t="s">
        <v>1007</v>
      </c>
      <c r="U93" s="210">
        <f>IFERROR(INDEX('РЕЕСТР РИСКОВ_2023'!$K$39:$AQ$272,MATCH(Check!T93,'РЕЕСТР РИСКОВ_2023'!$K$39:$K$272,0),19),"")</f>
        <v>0.25</v>
      </c>
      <c r="V93" s="211">
        <f>IFERROR(INDEX('РЕЕСТР РИСКОВ_2023'!$K$39:$AQ$272,MATCH(Check!T93,'РЕЕСТР РИСКОВ_2023'!$K$39:$K$272,0),20),"")</f>
        <v>0</v>
      </c>
      <c r="W93" s="211">
        <f>IFERROR(INDEX('РЕЕСТР РИСКОВ_2023'!$K$39:$AQ$272,MATCH(Check!T93,'РЕЕСТР РИСКОВ_2023'!$K$39:$K$272,0),21),"")</f>
        <v>0</v>
      </c>
      <c r="X93" s="211">
        <f>IFERROR(INDEX('РЕЕСТР РИСКОВ_2023'!$K$39:$AT$272,MATCH(Check!T93,'РЕЕСТР РИСКОВ_2023'!$K$39:$K$272,0),36),"")</f>
        <v>0</v>
      </c>
      <c r="Y93" s="126"/>
      <c r="Z93" s="126" t="s">
        <v>1631</v>
      </c>
      <c r="AA93" s="360" t="str">
        <f t="shared" si="16"/>
        <v>ВЕРОЯТНОСТЬ  5  ВЛИЯНИЕ  1</v>
      </c>
      <c r="AB93" s="210" t="str">
        <f>IFERROR(INDEX('РЕЕСТР РИСКОВ_2023'!$K$39:$AQ$272,MATCH(Check!Z93,'РЕЕСТР РИСКОВ_2023'!$Q$39:$Q$272,0),14),"")</f>
        <v/>
      </c>
      <c r="AC93" s="264" t="str">
        <f>IFERROR(INDEX('РЕЕСТР РИСКОВ_2023'!$K$39:$AQ$272,MATCH(Check!Z93,'РЕЕСТР РИСКОВ_2023'!$Q$39:$Q$272,0),15),"")</f>
        <v/>
      </c>
      <c r="AD93" s="264" t="str">
        <f>IFERROR(INDEX('РЕЕСТР РИСКОВ_2023'!$K$39:$AQ$272,MATCH(Check!Z93,'РЕЕСТР РИСКОВ_2023'!$Q$39:$Q$272,0),16),"")</f>
        <v/>
      </c>
      <c r="AE93" s="264" t="str">
        <f>IFERROR(INDEX('РЕЕСТР РИСКОВ_2023'!$K$39:$AQ$272,MATCH(Check!Z93,'РЕЕСТР РИСКОВ_2023'!$Q$39:$Q$272,0),30),"")</f>
        <v/>
      </c>
      <c r="AG93" t="s">
        <v>32</v>
      </c>
      <c r="AH93" s="94">
        <v>0.4</v>
      </c>
      <c r="AI93">
        <v>-3900</v>
      </c>
      <c r="AJ93">
        <v>-1560</v>
      </c>
      <c r="AQ93" t="s">
        <v>66</v>
      </c>
      <c r="AR93" t="s">
        <v>1175</v>
      </c>
      <c r="AS93">
        <v>0</v>
      </c>
      <c r="AT93">
        <v>0</v>
      </c>
      <c r="AU93">
        <v>0</v>
      </c>
      <c r="AV93">
        <v>0</v>
      </c>
    </row>
    <row r="94" spans="1:48" ht="21" customHeight="1">
      <c r="A94" s="92" t="s">
        <v>112</v>
      </c>
      <c r="B94" s="306" t="s">
        <v>253</v>
      </c>
      <c r="C94" s="304">
        <v>0</v>
      </c>
      <c r="D94" s="299">
        <v>0</v>
      </c>
      <c r="E94" s="299">
        <v>0</v>
      </c>
      <c r="S94" s="204" t="s">
        <v>66</v>
      </c>
      <c r="T94" s="126" t="s">
        <v>1175</v>
      </c>
      <c r="U94" s="210">
        <f>IFERROR(INDEX('РЕЕСТР РИСКОВ_2023'!$K$39:$AQ$272,MATCH(Check!T94,'РЕЕСТР РИСКОВ_2023'!$K$39:$K$272,0),19),"")</f>
        <v>0</v>
      </c>
      <c r="V94" s="211">
        <f>IFERROR(INDEX('РЕЕСТР РИСКОВ_2023'!$K$39:$AQ$272,MATCH(Check!T94,'РЕЕСТР РИСКОВ_2023'!$K$39:$K$272,0),20),"")</f>
        <v>0</v>
      </c>
      <c r="W94" s="211">
        <f>IFERROR(INDEX('РЕЕСТР РИСКОВ_2023'!$K$39:$AQ$272,MATCH(Check!T94,'РЕЕСТР РИСКОВ_2023'!$K$39:$K$272,0),21),"")</f>
        <v>0</v>
      </c>
      <c r="X94" s="211">
        <f>IFERROR(INDEX('РЕЕСТР РИСКОВ_2023'!$K$39:$AT$272,MATCH(Check!T94,'РЕЕСТР РИСКОВ_2023'!$K$39:$K$272,0),36),"")</f>
        <v>0</v>
      </c>
      <c r="Z94" s="126" t="s">
        <v>1642</v>
      </c>
      <c r="AA94" s="360" t="str">
        <f t="shared" si="16"/>
        <v>ВЕРОЯТНОСТЬ  4  ВЛИЯНИЕ  5</v>
      </c>
      <c r="AB94" s="210">
        <v>0.7</v>
      </c>
      <c r="AC94" s="264">
        <v>-42400</v>
      </c>
      <c r="AD94" s="264">
        <v>-29679.999999999996</v>
      </c>
      <c r="AE94" s="264" t="str">
        <f>IFERROR(INDEX('РЕЕСТР РИСКОВ_2023'!$K$39:$AQ$272,MATCH(Check!Z94,'РЕЕСТР РИСКОВ_2023'!$Q$39:$Q$272,0),30),"")</f>
        <v/>
      </c>
      <c r="AG94" t="s">
        <v>52</v>
      </c>
      <c r="AH94" s="94">
        <v>0.7</v>
      </c>
      <c r="AI94">
        <v>-42400</v>
      </c>
      <c r="AJ94">
        <v>-29679.999999999996</v>
      </c>
      <c r="AQ94" t="s">
        <v>838</v>
      </c>
      <c r="AR94" t="s">
        <v>1211</v>
      </c>
      <c r="AS94" t="s">
        <v>578</v>
      </c>
      <c r="AT94" t="s">
        <v>578</v>
      </c>
      <c r="AU94" t="s">
        <v>578</v>
      </c>
      <c r="AV94" t="s">
        <v>578</v>
      </c>
    </row>
    <row r="95" spans="1:48" ht="54.75" customHeight="1">
      <c r="A95" s="92" t="s">
        <v>173</v>
      </c>
      <c r="B95" s="306" t="s">
        <v>156</v>
      </c>
      <c r="C95" s="304">
        <v>0.15</v>
      </c>
      <c r="D95" s="299">
        <v>0</v>
      </c>
      <c r="E95" s="299">
        <v>0</v>
      </c>
      <c r="S95" s="204" t="s">
        <v>838</v>
      </c>
      <c r="T95" s="126" t="s">
        <v>1211</v>
      </c>
      <c r="U95" s="210" t="str">
        <f>IFERROR(INDEX('РЕЕСТР РИСКОВ_2023'!$K$39:$AQ$272,MATCH(Check!T95,'РЕЕСТР РИСКОВ_2023'!$K$39:$K$272,0),19),"")</f>
        <v/>
      </c>
      <c r="V95" s="211" t="str">
        <f>IFERROR(INDEX('РЕЕСТР РИСКОВ_2023'!$K$39:$AQ$272,MATCH(Check!T95,'РЕЕСТР РИСКОВ_2023'!$K$39:$K$272,0),20),"")</f>
        <v/>
      </c>
      <c r="W95" s="211" t="str">
        <f>IFERROR(INDEX('РЕЕСТР РИСКОВ_2023'!$K$39:$AQ$272,MATCH(Check!T95,'РЕЕСТР РИСКОВ_2023'!$K$39:$K$272,0),21),"")</f>
        <v/>
      </c>
      <c r="X95" s="211" t="str">
        <f>IFERROR(INDEX('РЕЕСТР РИСКОВ_2023'!$K$39:$AT$272,MATCH(Check!T95,'РЕЕСТР РИСКОВ_2023'!$K$39:$K$272,0),36),"")</f>
        <v/>
      </c>
      <c r="Y95" s="126"/>
      <c r="Z95" s="126" t="s">
        <v>1640</v>
      </c>
      <c r="AA95" s="360" t="str">
        <f t="shared" si="16"/>
        <v>ВЕРОЯТНОСТЬ  5  ВЛИЯНИЕ  1</v>
      </c>
      <c r="AB95" s="210" t="str">
        <f>IFERROR(INDEX('РЕЕСТР РИСКОВ_2023'!$K$39:$AQ$272,MATCH(Check!Z95,'РЕЕСТР РИСКОВ_2023'!$Q$39:$Q$272,0),14),"")</f>
        <v/>
      </c>
      <c r="AC95" s="264" t="str">
        <f>IFERROR(INDEX('РЕЕСТР РИСКОВ_2023'!$K$39:$AQ$272,MATCH(Check!Z95,'РЕЕСТР РИСКОВ_2023'!$Q$39:$Q$272,0),15),"")</f>
        <v/>
      </c>
      <c r="AD95" s="264" t="str">
        <f>IFERROR(INDEX('РЕЕСТР РИСКОВ_2023'!$K$39:$AQ$272,MATCH(Check!Z95,'РЕЕСТР РИСКОВ_2023'!$Q$39:$Q$272,0),16),"")</f>
        <v/>
      </c>
      <c r="AE95" s="264" t="str">
        <f>IFERROR(INDEX('РЕЕСТР РИСКОВ_2023'!$K$39:$AQ$272,MATCH(Check!Z95,'РЕЕСТР РИСКОВ_2023'!$Q$39:$Q$272,0),30),"")</f>
        <v/>
      </c>
      <c r="AG95" t="s">
        <v>35</v>
      </c>
      <c r="AH95" s="94">
        <v>0</v>
      </c>
      <c r="AI95">
        <v>-8811.99</v>
      </c>
      <c r="AJ95">
        <v>0</v>
      </c>
      <c r="AK95" t="s">
        <v>441</v>
      </c>
      <c r="AQ95" t="s">
        <v>838</v>
      </c>
      <c r="AR95" t="s">
        <v>1212</v>
      </c>
      <c r="AS95" t="s">
        <v>578</v>
      </c>
      <c r="AT95" t="s">
        <v>578</v>
      </c>
      <c r="AU95" t="s">
        <v>578</v>
      </c>
      <c r="AV95" t="s">
        <v>578</v>
      </c>
    </row>
    <row r="96" spans="1:48" ht="39.75" customHeight="1">
      <c r="A96" s="92" t="s">
        <v>158</v>
      </c>
      <c r="B96" s="306" t="s">
        <v>350</v>
      </c>
      <c r="C96" s="304">
        <v>0</v>
      </c>
      <c r="D96" s="299">
        <v>0</v>
      </c>
      <c r="E96" s="299">
        <v>0</v>
      </c>
      <c r="S96" s="204" t="s">
        <v>838</v>
      </c>
      <c r="T96" s="126" t="s">
        <v>1212</v>
      </c>
      <c r="U96" s="210" t="str">
        <f>IFERROR(INDEX('РЕЕСТР РИСКОВ_2023'!$K$39:$AQ$272,MATCH(Check!T96,'РЕЕСТР РИСКОВ_2023'!$K$39:$K$272,0),19),"")</f>
        <v/>
      </c>
      <c r="V96" s="211" t="str">
        <f>IFERROR(INDEX('РЕЕСТР РИСКОВ_2023'!$K$39:$AQ$272,MATCH(Check!T96,'РЕЕСТР РИСКОВ_2023'!$K$39:$K$272,0),20),"")</f>
        <v/>
      </c>
      <c r="W96" s="211" t="str">
        <f>IFERROR(INDEX('РЕЕСТР РИСКОВ_2023'!$K$39:$AQ$272,MATCH(Check!T96,'РЕЕСТР РИСКОВ_2023'!$K$39:$K$272,0),21),"")</f>
        <v/>
      </c>
      <c r="X96" s="211" t="str">
        <f>IFERROR(INDEX('РЕЕСТР РИСКОВ_2023'!$K$39:$AT$272,MATCH(Check!T96,'РЕЕСТР РИСКОВ_2023'!$K$39:$K$272,0),36),"")</f>
        <v/>
      </c>
      <c r="Y96" s="126"/>
      <c r="Z96" s="126" t="s">
        <v>1644</v>
      </c>
      <c r="AA96" s="360" t="str">
        <f t="shared" si="16"/>
        <v>ВЕРОЯТНОСТЬ  4  ВЛИЯНИЕ  5</v>
      </c>
      <c r="AB96" s="210">
        <v>0.6</v>
      </c>
      <c r="AC96" s="264">
        <v>-13656</v>
      </c>
      <c r="AD96" s="264">
        <v>-8193.6</v>
      </c>
      <c r="AE96" s="264" t="str">
        <f>IFERROR(INDEX('РЕЕСТР РИСКОВ_2023'!$K$39:$AQ$272,MATCH(Check!Z96,'РЕЕСТР РИСКОВ_2023'!$Q$39:$Q$272,0),30),"")</f>
        <v/>
      </c>
      <c r="AG96" t="s">
        <v>581</v>
      </c>
      <c r="AH96" s="94">
        <v>0.6</v>
      </c>
      <c r="AI96">
        <v>-13656</v>
      </c>
      <c r="AJ96">
        <v>-8193.6</v>
      </c>
      <c r="AK96" t="s">
        <v>377</v>
      </c>
      <c r="AQ96" t="s">
        <v>844</v>
      </c>
      <c r="AR96" t="s">
        <v>606</v>
      </c>
      <c r="AS96">
        <v>0</v>
      </c>
      <c r="AT96">
        <v>0</v>
      </c>
      <c r="AU96">
        <v>0</v>
      </c>
      <c r="AV96">
        <v>0</v>
      </c>
    </row>
    <row r="97" spans="1:48" ht="21" customHeight="1">
      <c r="A97" s="92" t="s">
        <v>158</v>
      </c>
      <c r="B97" s="306" t="s">
        <v>3</v>
      </c>
      <c r="C97" s="304">
        <v>0.25</v>
      </c>
      <c r="D97" s="299">
        <v>-67.431749999999994</v>
      </c>
      <c r="E97" s="299">
        <v>-16.857937499999998</v>
      </c>
      <c r="S97" s="204" t="s">
        <v>844</v>
      </c>
      <c r="T97" s="126" t="s">
        <v>606</v>
      </c>
      <c r="U97" s="210">
        <f>IFERROR(INDEX('РЕЕСТР РИСКОВ_2023'!$K$39:$AQ$272,MATCH(Check!T97,'РЕЕСТР РИСКОВ_2023'!$K$39:$K$272,0),19),"")</f>
        <v>0</v>
      </c>
      <c r="V97" s="211">
        <f>IFERROR(INDEX('РЕЕСТР РИСКОВ_2023'!$K$39:$AQ$272,MATCH(Check!T97,'РЕЕСТР РИСКОВ_2023'!$K$39:$K$272,0),20),"")</f>
        <v>0</v>
      </c>
      <c r="W97" s="211">
        <f>IFERROR(INDEX('РЕЕСТР РИСКОВ_2023'!$K$39:$AQ$272,MATCH(Check!T97,'РЕЕСТР РИСКОВ_2023'!$K$39:$K$272,0),21),"")</f>
        <v>0</v>
      </c>
      <c r="X97" s="211">
        <f>IFERROR(INDEX('РЕЕСТР РИСКОВ_2023'!$K$39:$AT$272,MATCH(Check!T97,'РЕЕСТР РИСКОВ_2023'!$K$39:$K$272,0),36),"")</f>
        <v>0</v>
      </c>
      <c r="Z97" s="126" t="s">
        <v>35</v>
      </c>
      <c r="AA97" s="360" t="str">
        <f t="shared" si="16"/>
        <v>ВЕРОЯТНОСТЬ  5  ВЛИЯНИЕ  1</v>
      </c>
      <c r="AB97" s="210">
        <v>0.8</v>
      </c>
      <c r="AC97" s="264"/>
      <c r="AD97" s="264">
        <v>0</v>
      </c>
      <c r="AE97" s="264">
        <f>IFERROR(INDEX('РЕЕСТР РИСКОВ_2023'!$K$39:$AQ$272,MATCH(Check!Z97,'РЕЕСТР РИСКОВ_2023'!$Q$39:$Q$272,0),30),"")</f>
        <v>0.25</v>
      </c>
      <c r="AG97" t="s">
        <v>353</v>
      </c>
      <c r="AH97" s="94">
        <v>0.8</v>
      </c>
      <c r="AJ97">
        <v>0</v>
      </c>
      <c r="AQ97" t="s">
        <v>844</v>
      </c>
      <c r="AR97" t="s">
        <v>856</v>
      </c>
      <c r="AS97">
        <v>0.25</v>
      </c>
      <c r="AT97">
        <v>0</v>
      </c>
      <c r="AU97">
        <v>0</v>
      </c>
      <c r="AV97">
        <v>0</v>
      </c>
    </row>
    <row r="98" spans="1:48" ht="41.25" customHeight="1">
      <c r="A98" s="92" t="s">
        <v>158</v>
      </c>
      <c r="B98" s="306" t="s">
        <v>37</v>
      </c>
      <c r="C98" s="304">
        <v>0.05</v>
      </c>
      <c r="D98" s="299">
        <v>-5358</v>
      </c>
      <c r="E98" s="299">
        <v>-267.90000000000003</v>
      </c>
      <c r="S98" s="204" t="s">
        <v>844</v>
      </c>
      <c r="T98" s="126" t="s">
        <v>856</v>
      </c>
      <c r="U98" s="210">
        <f>IFERROR(INDEX('РЕЕСТР РИСКОВ_2023'!$K$39:$AQ$272,MATCH(Check!T98,'РЕЕСТР РИСКОВ_2023'!$K$39:$K$272,0),19),"")</f>
        <v>0.25</v>
      </c>
      <c r="V98" s="211">
        <f>IFERROR(INDEX('РЕЕСТР РИСКОВ_2023'!$K$39:$AQ$272,MATCH(Check!T98,'РЕЕСТР РИСКОВ_2023'!$K$39:$K$272,0),20),"")</f>
        <v>0</v>
      </c>
      <c r="W98" s="211">
        <f>IFERROR(INDEX('РЕЕСТР РИСКОВ_2023'!$K$39:$AQ$272,MATCH(Check!T98,'РЕЕСТР РИСКОВ_2023'!$K$39:$K$272,0),21),"")</f>
        <v>0</v>
      </c>
      <c r="X98" s="211">
        <f>IFERROR(INDEX('РЕЕСТР РИСКОВ_2023'!$K$39:$AT$272,MATCH(Check!T98,'РЕЕСТР РИСКОВ_2023'!$K$39:$K$272,0),36),"")</f>
        <v>0</v>
      </c>
      <c r="Y98" s="126"/>
      <c r="Z98" s="126" t="s">
        <v>1657</v>
      </c>
      <c r="AA98" s="360" t="str">
        <f t="shared" si="16"/>
        <v>ВЕРОЯТНОСТЬ  2  ВЛИЯНИЕ  1</v>
      </c>
      <c r="AB98" s="210">
        <v>0.05</v>
      </c>
      <c r="AC98" s="264"/>
      <c r="AD98" s="264">
        <v>0</v>
      </c>
      <c r="AE98" s="264" t="str">
        <f>IFERROR(INDEX('РЕЕСТР РИСКОВ_2023'!$K$39:$AQ$272,MATCH(Check!Z98,'РЕЕСТР РИСКОВ_2023'!$Q$39:$Q$272,0),30),"")</f>
        <v/>
      </c>
      <c r="AG98" t="s">
        <v>65</v>
      </c>
      <c r="AH98" s="94">
        <v>0.05</v>
      </c>
      <c r="AJ98">
        <v>0</v>
      </c>
      <c r="AQ98" t="s">
        <v>844</v>
      </c>
      <c r="AR98" t="s">
        <v>1036</v>
      </c>
      <c r="AS98">
        <v>0.05</v>
      </c>
      <c r="AT98">
        <v>-50000</v>
      </c>
      <c r="AU98">
        <v>-2500</v>
      </c>
      <c r="AV98">
        <v>0</v>
      </c>
    </row>
    <row r="99" spans="1:48" ht="39" customHeight="1">
      <c r="A99" s="92" t="s">
        <v>158</v>
      </c>
      <c r="B99" s="306" t="s">
        <v>36</v>
      </c>
      <c r="C99" s="304">
        <v>0.4</v>
      </c>
      <c r="D99" s="299">
        <v>-11868</v>
      </c>
      <c r="E99" s="299">
        <v>-4747.2</v>
      </c>
      <c r="S99" s="204" t="s">
        <v>844</v>
      </c>
      <c r="T99" s="126" t="s">
        <v>1036</v>
      </c>
      <c r="U99" s="210">
        <f>IFERROR(INDEX('РЕЕСТР РИСКОВ_2023'!$K$39:$AQ$272,MATCH(Check!T99,'РЕЕСТР РИСКОВ_2023'!$K$39:$K$272,0),19),"")</f>
        <v>0.05</v>
      </c>
      <c r="V99" s="211">
        <f>IFERROR(INDEX('РЕЕСТР РИСКОВ_2023'!$K$39:$AQ$272,MATCH(Check!T99,'РЕЕСТР РИСКОВ_2023'!$K$39:$K$272,0),20),"")</f>
        <v>-50000</v>
      </c>
      <c r="W99" s="211">
        <f>IFERROR(INDEX('РЕЕСТР РИСКОВ_2023'!$K$39:$AQ$272,MATCH(Check!T99,'РЕЕСТР РИСКОВ_2023'!$K$39:$K$272,0),21),"")</f>
        <v>-2500</v>
      </c>
      <c r="X99" s="211">
        <f>IFERROR(INDEX('РЕЕСТР РИСКОВ_2023'!$K$39:$AT$272,MATCH(Check!T99,'РЕЕСТР РИСКОВ_2023'!$K$39:$K$272,0),36),"")</f>
        <v>0</v>
      </c>
      <c r="Y99" s="126"/>
      <c r="Z99" s="126" t="s">
        <v>65</v>
      </c>
      <c r="AA99" s="360" t="str">
        <f t="shared" si="16"/>
        <v>ВЕРОЯТНОСТЬ  5  ВЛИЯНИЕ  1</v>
      </c>
      <c r="AB99" s="210" t="str">
        <f>IFERROR(INDEX('РЕЕСТР РИСКОВ_2023'!$K$39:$AQ$272,MATCH(Check!Z99,'РЕЕСТР РИСКОВ_2023'!$Q$39:$Q$272,0),14),"")</f>
        <v/>
      </c>
      <c r="AC99" s="264" t="str">
        <f>IFERROR(INDEX('РЕЕСТР РИСКОВ_2023'!$K$39:$AQ$272,MATCH(Check!Z99,'РЕЕСТР РИСКОВ_2023'!$Q$39:$Q$272,0),15),"")</f>
        <v/>
      </c>
      <c r="AD99" s="264" t="str">
        <f>IFERROR(INDEX('РЕЕСТР РИСКОВ_2023'!$K$39:$AQ$272,MATCH(Check!Z99,'РЕЕСТР РИСКОВ_2023'!$Q$39:$Q$272,0),16),"")</f>
        <v/>
      </c>
      <c r="AE99" s="264">
        <f>IFERROR(INDEX('РЕЕСТР РИСКОВ_2023'!$K$39:$AQ$272,MATCH(Check!Z115,'РЕЕСТР РИСКОВ_2023'!$Q$39:$Q$272,0),30),"")</f>
        <v>0.25</v>
      </c>
      <c r="AG99" t="s">
        <v>521</v>
      </c>
      <c r="AH99" s="94">
        <v>0.9</v>
      </c>
      <c r="AI99">
        <v>-3757.2213425399996</v>
      </c>
      <c r="AJ99">
        <v>-3381.4992082859999</v>
      </c>
      <c r="AQ99" t="s">
        <v>845</v>
      </c>
      <c r="AR99" t="s">
        <v>854</v>
      </c>
      <c r="AS99">
        <v>0.4</v>
      </c>
      <c r="AT99">
        <v>0</v>
      </c>
      <c r="AU99">
        <v>0</v>
      </c>
      <c r="AV99">
        <v>0</v>
      </c>
    </row>
    <row r="100" spans="1:48" ht="21" customHeight="1">
      <c r="A100" s="92" t="s">
        <v>111</v>
      </c>
      <c r="B100" s="306" t="s">
        <v>27</v>
      </c>
      <c r="C100" s="304">
        <v>0.5</v>
      </c>
      <c r="D100" s="299">
        <v>-32861</v>
      </c>
      <c r="E100" s="299">
        <v>-16430.5</v>
      </c>
      <c r="S100" s="204" t="s">
        <v>845</v>
      </c>
      <c r="T100" s="126" t="s">
        <v>854</v>
      </c>
      <c r="U100" s="210">
        <f>IFERROR(INDEX('РЕЕСТР РИСКОВ_2023'!$K$39:$AQ$272,MATCH(Check!T100,'РЕЕСТР РИСКОВ_2023'!$K$39:$K$272,0),19),"")</f>
        <v>0.4</v>
      </c>
      <c r="V100" s="211">
        <f>IFERROR(INDEX('РЕЕСТР РИСКОВ_2023'!$K$39:$AQ$272,MATCH(Check!T100,'РЕЕСТР РИСКОВ_2023'!$K$39:$K$272,0),20),"")</f>
        <v>0</v>
      </c>
      <c r="W100" s="211">
        <f>IFERROR(INDEX('РЕЕСТР РИСКОВ_2023'!$K$39:$AQ$272,MATCH(Check!T100,'РЕЕСТР РИСКОВ_2023'!$K$39:$K$272,0),21),"")</f>
        <v>0</v>
      </c>
      <c r="X100" s="211">
        <f>IFERROR(INDEX('РЕЕСТР РИСКОВ_2023'!$K$39:$AT$272,MATCH(Check!T100,'РЕЕСТР РИСКОВ_2023'!$K$39:$K$272,0),36),"")</f>
        <v>0</v>
      </c>
      <c r="Y100" s="126"/>
      <c r="Z100" s="359" t="s">
        <v>21</v>
      </c>
      <c r="AA100" s="360" t="str">
        <f t="shared" si="16"/>
        <v>ВЕРОЯТНОСТЬ  1  ВЛИЯНИЕ  1</v>
      </c>
      <c r="AB100" s="210">
        <f>IFERROR(INDEX('РЕЕСТР РИСКОВ_2023'!$K$39:$AQ$272,MATCH(Check!Z100,'РЕЕСТР РИСКОВ_2023'!$Q$39:$Q$272,0),14),"")</f>
        <v>0</v>
      </c>
      <c r="AC100" s="264">
        <f>IFERROR(INDEX('РЕЕСТР РИСКОВ_2023'!$K$39:$AQ$272,MATCH(Check!Z100,'РЕЕСТР РИСКОВ_2023'!$Q$39:$Q$272,0),15),"")</f>
        <v>0.25</v>
      </c>
      <c r="AD100" s="264">
        <f>IFERROR(INDEX('РЕЕСТР РИСКОВ_2023'!$K$39:$AQ$272,MATCH(Check!Z100,'РЕЕСТР РИСКОВ_2023'!$Q$39:$Q$272,0),16),"")</f>
        <v>-3100</v>
      </c>
      <c r="AE100" s="264">
        <f>IFERROR(INDEX('РЕЕСТР РИСКОВ_2023'!$K$39:$AQ$272,MATCH(Check!Z23,'РЕЕСТР РИСКОВ_2023'!$Q$39:$Q$272,0),30),"")</f>
        <v>0</v>
      </c>
      <c r="AG100" t="s">
        <v>21</v>
      </c>
      <c r="AH100" s="94">
        <v>0.25</v>
      </c>
      <c r="AI100">
        <v>-3100</v>
      </c>
      <c r="AJ100">
        <v>-775</v>
      </c>
      <c r="AQ100" t="s">
        <v>845</v>
      </c>
      <c r="AR100" t="s">
        <v>855</v>
      </c>
      <c r="AS100">
        <v>0.25</v>
      </c>
      <c r="AT100">
        <v>0</v>
      </c>
      <c r="AU100">
        <v>0</v>
      </c>
      <c r="AV100">
        <v>0</v>
      </c>
    </row>
    <row r="101" spans="1:48" ht="21" customHeight="1">
      <c r="A101" s="92" t="s">
        <v>111</v>
      </c>
      <c r="B101" s="306" t="s">
        <v>48</v>
      </c>
      <c r="C101" s="304">
        <v>0.4</v>
      </c>
      <c r="D101" s="299">
        <v>-197.04000000000002</v>
      </c>
      <c r="E101" s="299">
        <v>-78.816000000000017</v>
      </c>
      <c r="S101" s="204" t="s">
        <v>845</v>
      </c>
      <c r="T101" t="s">
        <v>855</v>
      </c>
      <c r="U101" s="210">
        <f>IFERROR(INDEX('РЕЕСТР РИСКОВ_2023'!$K$39:$AQ$272,MATCH(Check!T101,'РЕЕСТР РИСКОВ_2023'!$K$39:$K$272,0),19),"")</f>
        <v>0.25</v>
      </c>
      <c r="V101" s="211">
        <f>IFERROR(INDEX('РЕЕСТР РИСКОВ_2023'!$K$39:$AQ$272,MATCH(Check!T101,'РЕЕСТР РИСКОВ_2023'!$K$39:$K$272,0),20),"")</f>
        <v>0</v>
      </c>
      <c r="W101" s="211">
        <f>IFERROR(INDEX('РЕЕСТР РИСКОВ_2023'!$K$39:$AQ$272,MATCH(Check!T101,'РЕЕСТР РИСКОВ_2023'!$K$39:$K$272,0),21),"")</f>
        <v>0</v>
      </c>
      <c r="X101" s="211">
        <f>IFERROR(INDEX('РЕЕСТР РИСКОВ_2023'!$K$39:$AT$272,MATCH(Check!T101,'РЕЕСТР РИСКОВ_2023'!$K$39:$K$272,0),36),"")</f>
        <v>0</v>
      </c>
      <c r="Y101" s="126"/>
      <c r="Z101" s="126" t="s">
        <v>1635</v>
      </c>
      <c r="AA101" s="360" t="str">
        <f t="shared" si="16"/>
        <v>ВЕРОЯТНОСТЬ  1  ВЛИЯНИЕ  1</v>
      </c>
      <c r="AB101" s="210">
        <f>IFERROR(INDEX('РЕЕСТР РИСКОВ_2023'!$K$39:$AQ$272,MATCH(Check!Z101,'РЕЕСТР РИСКОВ_2023'!$Q$39:$Q$272,0),14),"")</f>
        <v>0</v>
      </c>
      <c r="AC101" s="264">
        <f>IFERROR(INDEX('РЕЕСТР РИСКОВ_2023'!$K$39:$AQ$272,MATCH(Check!Z101,'РЕЕСТР РИСКОВ_2023'!$Q$39:$Q$272,0),15),"")</f>
        <v>0.4</v>
      </c>
      <c r="AD101" s="264">
        <f>IFERROR(INDEX('РЕЕСТР РИСКОВ_2023'!$K$39:$AQ$272,MATCH(Check!Z101,'РЕЕСТР РИСКОВ_2023'!$Q$39:$Q$272,0),16),"")</f>
        <v>-5003</v>
      </c>
      <c r="AE101" s="264">
        <f>IFERROR(INDEX('РЕЕСТР РИСКОВ_2023'!$K$39:$AQ$272,MATCH(Check!Z101,'РЕЕСТР РИСКОВ_2023'!$Q$39:$Q$272,0),30),"")</f>
        <v>0.2</v>
      </c>
      <c r="AQ101" t="s">
        <v>845</v>
      </c>
      <c r="AR101" t="s">
        <v>851</v>
      </c>
      <c r="AS101">
        <v>0.4</v>
      </c>
      <c r="AT101">
        <v>0</v>
      </c>
      <c r="AU101">
        <v>0</v>
      </c>
      <c r="AV101">
        <v>0</v>
      </c>
    </row>
    <row r="102" spans="1:48" ht="21" customHeight="1">
      <c r="A102" s="92" t="s">
        <v>111</v>
      </c>
      <c r="B102" s="306" t="s">
        <v>49</v>
      </c>
      <c r="C102" s="304">
        <v>0.45</v>
      </c>
      <c r="D102" s="299">
        <v>-12.6</v>
      </c>
      <c r="E102" s="299">
        <v>-5.67</v>
      </c>
      <c r="S102" s="204" t="s">
        <v>845</v>
      </c>
      <c r="T102" s="126" t="s">
        <v>851</v>
      </c>
      <c r="U102" s="210">
        <f>IFERROR(INDEX('РЕЕСТР РИСКОВ_2023'!$K$39:$AQ$272,MATCH(Check!T102,'РЕЕСТР РИСКОВ_2023'!$K$39:$K$272,0),19),"")</f>
        <v>0.4</v>
      </c>
      <c r="V102" s="211">
        <f>IFERROR(INDEX('РЕЕСТР РИСКОВ_2023'!$K$39:$AQ$272,MATCH(Check!T102,'РЕЕСТР РИСКОВ_2023'!$K$39:$K$272,0),20),"")</f>
        <v>0</v>
      </c>
      <c r="W102" s="211">
        <f>IFERROR(INDEX('РЕЕСТР РИСКОВ_2023'!$K$39:$AQ$272,MATCH(Check!T102,'РЕЕСТР РИСКОВ_2023'!$K$39:$K$272,0),21),"")</f>
        <v>0</v>
      </c>
      <c r="X102" s="211">
        <f>IFERROR(INDEX('РЕЕСТР РИСКОВ_2023'!$K$39:$AT$272,MATCH(Check!T102,'РЕЕСТР РИСКОВ_2023'!$K$39:$K$272,0),36),"")</f>
        <v>0</v>
      </c>
      <c r="Y102" s="126"/>
      <c r="Z102" s="126" t="s">
        <v>1658</v>
      </c>
      <c r="AA102" s="360" t="str">
        <f t="shared" si="16"/>
        <v>ВЕРОЯТНОСТЬ  5  ВЛИЯНИЕ  1</v>
      </c>
      <c r="AB102" s="210" t="str">
        <f>IFERROR(INDEX('РЕЕСТР РИСКОВ_2023'!$K$39:$AQ$272,MATCH(Check!Z102,'РЕЕСТР РИСКОВ_2023'!$Q$39:$Q$272,0),14),"")</f>
        <v/>
      </c>
      <c r="AC102" s="264" t="str">
        <f>IFERROR(INDEX('РЕЕСТР РИСКОВ_2023'!$K$39:$AQ$272,MATCH(Check!Z102,'РЕЕСТР РИСКОВ_2023'!$Q$39:$Q$272,0),15),"")</f>
        <v/>
      </c>
      <c r="AD102" s="264" t="str">
        <f>IFERROR(INDEX('РЕЕСТР РИСКОВ_2023'!$K$39:$AQ$272,MATCH(Check!Z102,'РЕЕСТР РИСКОВ_2023'!$Q$39:$Q$272,0),16),"")</f>
        <v/>
      </c>
      <c r="AE102" s="264" t="str">
        <f>IFERROR(INDEX('РЕЕСТР РИСКОВ_2023'!$K$39:$AQ$272,MATCH(Check!Z102,'РЕЕСТР РИСКОВ_2023'!$Q$39:$Q$272,0),30),"")</f>
        <v/>
      </c>
      <c r="AG102" t="s">
        <v>154</v>
      </c>
      <c r="AK102" t="s">
        <v>130</v>
      </c>
      <c r="AQ102" t="s">
        <v>846</v>
      </c>
      <c r="AR102" t="s">
        <v>852</v>
      </c>
      <c r="AS102">
        <v>0.25</v>
      </c>
      <c r="AT102">
        <v>0</v>
      </c>
      <c r="AU102">
        <v>0</v>
      </c>
      <c r="AV102">
        <v>0</v>
      </c>
    </row>
    <row r="103" spans="1:48" ht="21" customHeight="1">
      <c r="A103" s="92" t="s">
        <v>173</v>
      </c>
      <c r="B103" s="306" t="s">
        <v>43</v>
      </c>
      <c r="C103" s="304">
        <v>0.8</v>
      </c>
      <c r="D103" s="299">
        <v>-340</v>
      </c>
      <c r="E103" s="299">
        <v>-272</v>
      </c>
      <c r="S103" s="204" t="s">
        <v>846</v>
      </c>
      <c r="T103" s="126" t="s">
        <v>852</v>
      </c>
      <c r="U103" s="210">
        <f>IFERROR(INDEX('РЕЕСТР РИСКОВ_2023'!$K$39:$AQ$272,MATCH(Check!T103,'РЕЕСТР РИСКОВ_2023'!$K$39:$K$272,0),19),"")</f>
        <v>0.25</v>
      </c>
      <c r="V103" s="211">
        <f>IFERROR(INDEX('РЕЕСТР РИСКОВ_2023'!$K$39:$AQ$272,MATCH(Check!T103,'РЕЕСТР РИСКОВ_2023'!$K$39:$K$272,0),20),"")</f>
        <v>0</v>
      </c>
      <c r="W103" s="211">
        <f>IFERROR(INDEX('РЕЕСТР РИСКОВ_2023'!$K$39:$AQ$272,MATCH(Check!T103,'РЕЕСТР РИСКОВ_2023'!$K$39:$K$272,0),21),"")</f>
        <v>0</v>
      </c>
      <c r="X103" s="211">
        <f>IFERROR(INDEX('РЕЕСТР РИСКОВ_2023'!$K$39:$AT$272,MATCH(Check!T103,'РЕЕСТР РИСКОВ_2023'!$K$39:$K$272,0),36),"")</f>
        <v>0</v>
      </c>
      <c r="Y103" s="126"/>
      <c r="Z103" s="126" t="s">
        <v>1415</v>
      </c>
      <c r="AA103" s="360" t="str">
        <f t="shared" si="16"/>
        <v>ВЕРОЯТНОСТЬ  5  ВЛИЯНИЕ  1</v>
      </c>
      <c r="AB103" s="210" t="str">
        <f>IFERROR(INDEX('РЕЕСТР РИСКОВ_2023'!$K$39:$AQ$272,MATCH(Check!Z103,'РЕЕСТР РИСКОВ_2023'!$Q$39:$Q$272,0),14),"")</f>
        <v/>
      </c>
      <c r="AC103" s="264" t="str">
        <f>IFERROR(INDEX('РЕЕСТР РИСКОВ_2023'!$K$39:$AQ$272,MATCH(Check!Z103,'РЕЕСТР РИСКОВ_2023'!$Q$39:$Q$272,0),15),"")</f>
        <v/>
      </c>
      <c r="AD103" s="264" t="str">
        <f>IFERROR(INDEX('РЕЕСТР РИСКОВ_2023'!$K$39:$AQ$272,MATCH(Check!Z103,'РЕЕСТР РИСКОВ_2023'!$Q$39:$Q$272,0),16),"")</f>
        <v/>
      </c>
      <c r="AE103" s="264" t="str">
        <f>IFERROR(INDEX('РЕЕСТР РИСКОВ_2023'!$K$39:$AQ$272,MATCH(Check!Z103,'РЕЕСТР РИСКОВ_2023'!$Q$39:$Q$272,0),30),"")</f>
        <v/>
      </c>
      <c r="AG103" t="s">
        <v>308</v>
      </c>
      <c r="AK103" t="s">
        <v>130</v>
      </c>
      <c r="AQ103" t="s">
        <v>846</v>
      </c>
      <c r="AR103" t="s">
        <v>853</v>
      </c>
      <c r="AS103">
        <v>0</v>
      </c>
      <c r="AT103">
        <v>0</v>
      </c>
      <c r="AU103">
        <v>0</v>
      </c>
      <c r="AV103">
        <v>0</v>
      </c>
    </row>
    <row r="104" spans="1:48" ht="39.75" customHeight="1">
      <c r="A104" s="92" t="s">
        <v>173</v>
      </c>
      <c r="B104" s="306" t="s">
        <v>50</v>
      </c>
      <c r="C104" s="304">
        <v>0.8</v>
      </c>
      <c r="D104" s="299">
        <v>-60</v>
      </c>
      <c r="E104" s="299">
        <v>-48</v>
      </c>
      <c r="S104" s="204" t="s">
        <v>846</v>
      </c>
      <c r="T104" s="126" t="s">
        <v>853</v>
      </c>
      <c r="U104" s="210">
        <f>IFERROR(INDEX('РЕЕСТР РИСКОВ_2023'!$K$39:$AQ$272,MATCH(Check!T104,'РЕЕСТР РИСКОВ_2023'!$K$39:$K$272,0),19),"")</f>
        <v>0</v>
      </c>
      <c r="V104" s="211">
        <f>IFERROR(INDEX('РЕЕСТР РИСКОВ_2023'!$K$39:$AQ$272,MATCH(Check!T104,'РЕЕСТР РИСКОВ_2023'!$K$39:$K$272,0),20),"")</f>
        <v>0</v>
      </c>
      <c r="W104" s="211">
        <f>IFERROR(INDEX('РЕЕСТР РИСКОВ_2023'!$K$39:$AQ$272,MATCH(Check!T104,'РЕЕСТР РИСКОВ_2023'!$K$39:$K$272,0),21),"")</f>
        <v>0</v>
      </c>
      <c r="X104" s="211">
        <f>IFERROR(INDEX('РЕЕСТР РИСКОВ_2023'!$K$39:$AT$272,MATCH(Check!T104,'РЕЕСТР РИСКОВ_2023'!$K$39:$K$272,0),36),"")</f>
        <v>0</v>
      </c>
      <c r="Z104" s="126" t="s">
        <v>1418</v>
      </c>
      <c r="AA104" s="360" t="str">
        <f t="shared" si="16"/>
        <v>ВЕРОЯТНОСТЬ  5  ВЛИЯНИЕ  1</v>
      </c>
      <c r="AB104" s="210" t="str">
        <f>IFERROR(INDEX('РЕЕСТР РИСКОВ_2023'!$K$39:$AQ$272,MATCH(Check!Z104,'РЕЕСТР РИСКОВ_2023'!$Q$39:$Q$272,0),14),"")</f>
        <v/>
      </c>
      <c r="AC104" s="264" t="str">
        <f>IFERROR(INDEX('РЕЕСТР РИСКОВ_2023'!$K$39:$AQ$272,MATCH(Check!Z104,'РЕЕСТР РИСКОВ_2023'!$Q$39:$Q$272,0),15),"")</f>
        <v/>
      </c>
      <c r="AD104" s="264" t="str">
        <f>IFERROR(INDEX('РЕЕСТР РИСКОВ_2023'!$K$39:$AQ$272,MATCH(Check!Z104,'РЕЕСТР РИСКОВ_2023'!$Q$39:$Q$272,0),16),"")</f>
        <v/>
      </c>
      <c r="AE104" s="264" t="str">
        <f>IFERROR(INDEX('РЕЕСТР РИСКОВ_2023'!$K$39:$AQ$272,MATCH(Check!Z104,'РЕЕСТР РИСКОВ_2023'!$Q$39:$Q$272,0),30),"")</f>
        <v/>
      </c>
      <c r="AQ104" t="s">
        <v>1384</v>
      </c>
      <c r="AR104" t="s">
        <v>1065</v>
      </c>
      <c r="AS104">
        <v>0.4</v>
      </c>
      <c r="AT104">
        <v>-13600</v>
      </c>
      <c r="AU104">
        <v>-5440</v>
      </c>
      <c r="AV104">
        <v>-1632</v>
      </c>
    </row>
    <row r="105" spans="1:48" ht="21" customHeight="1">
      <c r="A105" s="92" t="s">
        <v>173</v>
      </c>
      <c r="B105" s="306" t="s">
        <v>53</v>
      </c>
      <c r="C105" s="304">
        <v>0.8</v>
      </c>
      <c r="D105" s="299"/>
      <c r="E105" s="299">
        <v>0</v>
      </c>
      <c r="S105" s="204" t="s">
        <v>1384</v>
      </c>
      <c r="T105" t="s">
        <v>1065</v>
      </c>
      <c r="U105" s="210">
        <f>IFERROR(INDEX('РЕЕСТР РИСКОВ_2023'!$K$39:$AQ$272,MATCH(Check!T105,'РЕЕСТР РИСКОВ_2023'!$K$39:$K$272,0),19),"")</f>
        <v>0.4</v>
      </c>
      <c r="V105" s="211">
        <f>IFERROR(INDEX('РЕЕСТР РИСКОВ_2023'!$K$39:$AQ$272,MATCH(Check!T105,'РЕЕСТР РИСКОВ_2023'!$K$39:$K$272,0),20),"")</f>
        <v>-13600</v>
      </c>
      <c r="W105" s="211">
        <f>IFERROR(INDEX('РЕЕСТР РИСКОВ_2023'!$K$39:$AQ$272,MATCH(Check!T105,'РЕЕСТР РИСКОВ_2023'!$K$39:$K$272,0),21),"")</f>
        <v>-5440</v>
      </c>
      <c r="X105" s="211">
        <f>IFERROR(INDEX('РЕЕСТР РИСКОВ_2023'!$K$39:$AT$272,MATCH(Check!T105,'РЕЕСТР РИСКОВ_2023'!$K$39:$K$272,0),36),"")</f>
        <v>-1632</v>
      </c>
      <c r="Y105" s="126"/>
      <c r="Z105" s="126" t="s">
        <v>1659</v>
      </c>
      <c r="AA105" s="360" t="str">
        <f t="shared" si="16"/>
        <v>ВЕРОЯТНОСТЬ  5  ВЛИЯНИЕ  1</v>
      </c>
      <c r="AB105" s="210" t="str">
        <f>IFERROR(INDEX('РЕЕСТР РИСКОВ_2023'!$K$39:$AQ$272,MATCH(Check!Z105,'РЕЕСТР РИСКОВ_2023'!$Q$39:$Q$272,0),14),"")</f>
        <v/>
      </c>
      <c r="AC105" s="264" t="str">
        <f>IFERROR(INDEX('РЕЕСТР РИСКОВ_2023'!$K$39:$AQ$272,MATCH(Check!Z105,'РЕЕСТР РИСКОВ_2023'!$Q$39:$Q$272,0),15),"")</f>
        <v/>
      </c>
      <c r="AD105" s="264" t="str">
        <f>IFERROR(INDEX('РЕЕСТР РИСКОВ_2023'!$K$39:$AQ$272,MATCH(Check!Z105,'РЕЕСТР РИСКОВ_2023'!$Q$39:$Q$272,0),16),"")</f>
        <v/>
      </c>
      <c r="AE105" s="264" t="str">
        <f>IFERROR(INDEX('РЕЕСТР РИСКОВ_2023'!$K$39:$AQ$272,MATCH(Check!Z105,'РЕЕСТР РИСКОВ_2023'!$Q$39:$Q$272,0),30),"")</f>
        <v/>
      </c>
      <c r="AQ105" t="s">
        <v>1384</v>
      </c>
      <c r="AR105" t="s">
        <v>857</v>
      </c>
      <c r="AS105">
        <v>0.25</v>
      </c>
      <c r="AT105">
        <v>0</v>
      </c>
      <c r="AU105">
        <v>0</v>
      </c>
      <c r="AV105">
        <v>0</v>
      </c>
    </row>
    <row r="106" spans="1:48" ht="21" customHeight="1">
      <c r="A106" s="92" t="s">
        <v>112</v>
      </c>
      <c r="B106" s="306" t="s">
        <v>41</v>
      </c>
      <c r="C106" s="304">
        <v>0.4</v>
      </c>
      <c r="D106" s="299"/>
      <c r="E106" s="299">
        <v>0</v>
      </c>
      <c r="S106" s="204" t="s">
        <v>1384</v>
      </c>
      <c r="T106" t="s">
        <v>857</v>
      </c>
      <c r="U106" s="210">
        <f>IFERROR(INDEX('РЕЕСТР РИСКОВ_2023'!$K$39:$AQ$272,MATCH(Check!T106,'РЕЕСТР РИСКОВ_2023'!$K$39:$K$272,0),19),"")</f>
        <v>0.25</v>
      </c>
      <c r="V106" s="211">
        <f>IFERROR(INDEX('РЕЕСТР РИСКОВ_2023'!$K$39:$AQ$272,MATCH(Check!T106,'РЕЕСТР РИСКОВ_2023'!$K$39:$K$272,0),20),"")</f>
        <v>0</v>
      </c>
      <c r="W106" s="211">
        <f>IFERROR(INDEX('РЕЕСТР РИСКОВ_2023'!$K$39:$AQ$272,MATCH(Check!T106,'РЕЕСТР РИСКОВ_2023'!$K$39:$K$272,0),21),"")</f>
        <v>0</v>
      </c>
      <c r="X106" s="211">
        <f>IFERROR(INDEX('РЕЕСТР РИСКОВ_2023'!$K$39:$AT$272,MATCH(Check!T106,'РЕЕСТР РИСКОВ_2023'!$K$39:$K$272,0),36),"")</f>
        <v>0</v>
      </c>
      <c r="Y106" s="126"/>
      <c r="Z106" s="126" t="s">
        <v>1660</v>
      </c>
      <c r="AA106" s="360" t="str">
        <f t="shared" si="16"/>
        <v>ВЕРОЯТНОСТЬ  5  ВЛИЯНИЕ  1</v>
      </c>
      <c r="AB106" s="210" t="str">
        <f>IFERROR(INDEX('РЕЕСТР РИСКОВ_2023'!$K$39:$AQ$272,MATCH(Check!Z106,'РЕЕСТР РИСКОВ_2023'!$Q$39:$Q$272,0),14),"")</f>
        <v/>
      </c>
      <c r="AC106" s="264" t="str">
        <f>IFERROR(INDEX('РЕЕСТР РИСКОВ_2023'!$K$39:$AQ$272,MATCH(Check!Z106,'РЕЕСТР РИСКОВ_2023'!$Q$39:$Q$272,0),15),"")</f>
        <v/>
      </c>
      <c r="AD106" s="264" t="str">
        <f>IFERROR(INDEX('РЕЕСТР РИСКОВ_2023'!$K$39:$AQ$272,MATCH(Check!Z106,'РЕЕСТР РИСКОВ_2023'!$Q$39:$Q$272,0),16),"")</f>
        <v/>
      </c>
      <c r="AE106" s="264" t="str">
        <f>IFERROR(INDEX('РЕЕСТР РИСКОВ_2023'!$K$39:$AQ$272,MATCH(Check!Z106,'РЕЕСТР РИСКОВ_2023'!$Q$39:$Q$272,0),30),"")</f>
        <v/>
      </c>
      <c r="AQ106" t="s">
        <v>1384</v>
      </c>
      <c r="AR106" t="s">
        <v>45</v>
      </c>
      <c r="AS106">
        <v>0.25</v>
      </c>
      <c r="AT106">
        <v>0</v>
      </c>
      <c r="AU106">
        <v>0</v>
      </c>
      <c r="AV106">
        <v>0</v>
      </c>
    </row>
    <row r="107" spans="1:48" ht="21" customHeight="1">
      <c r="A107" s="92" t="s">
        <v>112</v>
      </c>
      <c r="B107" s="306" t="s">
        <v>169</v>
      </c>
      <c r="C107" s="304">
        <v>1</v>
      </c>
      <c r="D107" s="299"/>
      <c r="E107" s="299">
        <v>0</v>
      </c>
      <c r="S107" s="204" t="s">
        <v>1384</v>
      </c>
      <c r="T107" t="s">
        <v>45</v>
      </c>
      <c r="U107" s="210">
        <f>IFERROR(INDEX('РЕЕСТР РИСКОВ_2023'!$K$39:$AQ$272,MATCH(Check!T107,'РЕЕСТР РИСКОВ_2023'!$K$39:$K$272,0),19),"")</f>
        <v>0.25</v>
      </c>
      <c r="V107" s="211">
        <f>IFERROR(INDEX('РЕЕСТР РИСКОВ_2023'!$K$39:$AQ$272,MATCH(Check!T107,'РЕЕСТР РИСКОВ_2023'!$K$39:$K$272,0),20),"")</f>
        <v>0</v>
      </c>
      <c r="W107" s="211">
        <f>IFERROR(INDEX('РЕЕСТР РИСКОВ_2023'!$K$39:$AQ$272,MATCH(Check!T107,'РЕЕСТР РИСКОВ_2023'!$K$39:$K$272,0),21),"")</f>
        <v>0</v>
      </c>
      <c r="X107" s="211">
        <f>IFERROR(INDEX('РЕЕСТР РИСКОВ_2023'!$K$39:$AT$272,MATCH(Check!T107,'РЕЕСТР РИСКОВ_2023'!$K$39:$K$272,0),36),"")</f>
        <v>-7.8125E-3</v>
      </c>
      <c r="Y107" s="126"/>
      <c r="Z107" s="126" t="s">
        <v>157</v>
      </c>
      <c r="AA107" s="360" t="str">
        <f t="shared" si="16"/>
        <v>ВЕРОЯТНОСТЬ  5  ВЛИЯНИЕ  1</v>
      </c>
      <c r="AB107" s="210" t="str">
        <f>IFERROR(INDEX('РЕЕСТР РИСКОВ_2023'!$K$39:$AQ$272,MATCH(Check!Z107,'РЕЕСТР РИСКОВ_2023'!$Q$39:$Q$272,0),14),"")</f>
        <v/>
      </c>
      <c r="AC107" s="264" t="str">
        <f>IFERROR(INDEX('РЕЕСТР РИСКОВ_2023'!$K$39:$AQ$272,MATCH(Check!Z107,'РЕЕСТР РИСКОВ_2023'!$Q$39:$Q$272,0),15),"")</f>
        <v/>
      </c>
      <c r="AD107" s="264" t="str">
        <f>IFERROR(INDEX('РЕЕСТР РИСКОВ_2023'!$K$39:$AQ$272,MATCH(Check!Z107,'РЕЕСТР РИСКОВ_2023'!$Q$39:$Q$272,0),16),"")</f>
        <v/>
      </c>
      <c r="AE107" s="264" t="str">
        <f>IFERROR(INDEX('РЕЕСТР РИСКОВ_2023'!$K$39:$AQ$272,MATCH(Check!Z107,'РЕЕСТР РИСКОВ_2023'!$Q$39:$Q$272,0),30),"")</f>
        <v/>
      </c>
      <c r="AQ107" t="s">
        <v>1384</v>
      </c>
      <c r="AR107" t="s">
        <v>1558</v>
      </c>
      <c r="AS107">
        <v>0.9</v>
      </c>
      <c r="AT107">
        <v>0</v>
      </c>
      <c r="AU107">
        <v>0</v>
      </c>
      <c r="AV107">
        <v>0</v>
      </c>
    </row>
    <row r="108" spans="1:48" ht="21" customHeight="1">
      <c r="A108" s="92" t="s">
        <v>158</v>
      </c>
      <c r="B108" s="306" t="s">
        <v>40</v>
      </c>
      <c r="C108" s="304">
        <v>0.4</v>
      </c>
      <c r="D108" s="299"/>
      <c r="E108" s="299">
        <v>0</v>
      </c>
      <c r="S108" s="204" t="s">
        <v>1384</v>
      </c>
      <c r="T108" t="s">
        <v>1558</v>
      </c>
      <c r="U108" s="210">
        <f>IFERROR(INDEX('РЕЕСТР РИСКОВ_2023'!$K$39:$AQ$272,MATCH(Check!T108,'РЕЕСТР РИСКОВ_2023'!$K$39:$K$272,0),19),"")</f>
        <v>0.9</v>
      </c>
      <c r="V108" s="211">
        <f>IFERROR(INDEX('РЕЕСТР РИСКОВ_2023'!$K$39:$AQ$272,MATCH(Check!T108,'РЕЕСТР РИСКОВ_2023'!$K$39:$K$272,0),20),"")</f>
        <v>0</v>
      </c>
      <c r="W108" s="211">
        <f>IFERROR(INDEX('РЕЕСТР РИСКОВ_2023'!$K$39:$AQ$272,MATCH(Check!T108,'РЕЕСТР РИСКОВ_2023'!$K$39:$K$272,0),21),"")</f>
        <v>0</v>
      </c>
      <c r="X108" s="211">
        <f>IFERROR(INDEX('РЕЕСТР РИСКОВ_2023'!$K$39:$AT$272,MATCH(Check!T108,'РЕЕСТР РИСКОВ_2023'!$K$39:$K$272,0),36),"")</f>
        <v>0</v>
      </c>
      <c r="Z108" s="126" t="s">
        <v>1427</v>
      </c>
      <c r="AA108" s="360" t="str">
        <f t="shared" ref="AA108:AA124" si="17">"ВЕРОЯТНОСТЬ  "&amp;IF(AB108&lt;0.05,1,IF((AB108&gt;=0.05)*(AB108&lt;0.25),2,IF((AB108&gt;=0.25)*(AB108&lt;0.5),3,IF((AB108&gt;=0.5)*(AB108&lt;0.75),4,5))))&amp;"  ВЛИЯНИЕ  "&amp;IF(AC108&gt;-200,1,IF((AC108&lt;=-200)*(AC108&gt;-500),2,IF((AC108&lt;=-500)*(AC108&gt;-1000),3,IF((AC108&lt;=-1000)*(AC108&gt;-3000),4,5))))</f>
        <v>ВЕРОЯТНОСТЬ  1  ВЛИЯНИЕ  1</v>
      </c>
      <c r="AB108" s="210">
        <f>IFERROR(INDEX('РЕЕСТР РИСКОВ_2023'!$K$39:$AQ$272,MATCH(Check!Z108,'РЕЕСТР РИСКОВ_2023'!$Q$39:$Q$272,0),14),"")</f>
        <v>0</v>
      </c>
      <c r="AC108" s="264">
        <f>IFERROR(INDEX('РЕЕСТР РИСКОВ_2023'!$K$39:$AQ$272,MATCH(Check!Z108,'РЕЕСТР РИСКОВ_2023'!$Q$39:$Q$272,0),15),"")</f>
        <v>0.25</v>
      </c>
      <c r="AD108" s="264">
        <f>IFERROR(INDEX('РЕЕСТР РИСКОВ_2023'!$K$39:$AQ$272,MATCH(Check!Z108,'РЕЕСТР РИСКОВ_2023'!$Q$39:$Q$272,0),16),"")</f>
        <v>0</v>
      </c>
      <c r="AE108" s="264">
        <f>IFERROR(INDEX('РЕЕСТР РИСКОВ_2023'!$K$39:$AQ$272,MATCH(Check!Z108,'РЕЕСТР РИСКОВ_2023'!$Q$39:$Q$272,0),30),"")</f>
        <v>0.125</v>
      </c>
      <c r="AQ108" t="s">
        <v>1384</v>
      </c>
      <c r="AR108" t="s">
        <v>1561</v>
      </c>
      <c r="AS108">
        <v>1</v>
      </c>
      <c r="AT108">
        <v>0</v>
      </c>
      <c r="AU108">
        <v>0</v>
      </c>
      <c r="AV108">
        <v>0</v>
      </c>
    </row>
    <row r="109" spans="1:48" ht="21" customHeight="1">
      <c r="B109" s="306" t="s">
        <v>55</v>
      </c>
      <c r="C109" s="304">
        <v>0.25</v>
      </c>
      <c r="D109" s="299"/>
      <c r="E109" s="299">
        <v>0</v>
      </c>
      <c r="S109" s="204" t="s">
        <v>1384</v>
      </c>
      <c r="T109" t="s">
        <v>1561</v>
      </c>
      <c r="U109" s="210">
        <f>IFERROR(INDEX('РЕЕСТР РИСКОВ_2023'!$K$39:$AQ$272,MATCH(Check!T109,'РЕЕСТР РИСКОВ_2023'!$K$39:$K$272,0),19),"")</f>
        <v>1</v>
      </c>
      <c r="V109" s="211">
        <f>IFERROR(INDEX('РЕЕСТР РИСКОВ_2023'!$K$39:$AQ$272,MATCH(Check!T109,'РЕЕСТР РИСКОВ_2023'!$K$39:$K$272,0),20),"")</f>
        <v>0</v>
      </c>
      <c r="W109" s="211">
        <f>IFERROR(INDEX('РЕЕСТР РИСКОВ_2023'!$K$39:$AQ$272,MATCH(Check!T109,'РЕЕСТР РИСКОВ_2023'!$K$39:$K$272,0),21),"")</f>
        <v>0</v>
      </c>
      <c r="X109" s="211">
        <f>IFERROR(INDEX('РЕЕСТР РИСКОВ_2023'!$K$39:$AT$272,MATCH(Check!T109,'РЕЕСТР РИСКОВ_2023'!$K$39:$K$272,0),36),"")</f>
        <v>0</v>
      </c>
      <c r="Y109" s="126"/>
      <c r="Z109" s="126" t="s">
        <v>1429</v>
      </c>
      <c r="AA109" s="360" t="str">
        <f t="shared" si="17"/>
        <v>ВЕРОЯТНОСТЬ  1  ВЛИЯНИЕ  1</v>
      </c>
      <c r="AB109" s="210">
        <f>IFERROR(INDEX('РЕЕСТР РИСКОВ_2023'!$K$39:$AQ$272,MATCH(Check!Z109,'РЕЕСТР РИСКОВ_2023'!$Q$39:$Q$272,0),14),"")</f>
        <v>0</v>
      </c>
      <c r="AC109" s="264">
        <f>IFERROR(INDEX('РЕЕСТР РИСКОВ_2023'!$K$39:$AQ$272,MATCH(Check!Z109,'РЕЕСТР РИСКОВ_2023'!$Q$39:$Q$272,0),15),"")</f>
        <v>0.4</v>
      </c>
      <c r="AD109" s="264">
        <f>IFERROR(INDEX('РЕЕСТР РИСКОВ_2023'!$K$39:$AQ$272,MATCH(Check!Z109,'РЕЕСТР РИСКОВ_2023'!$Q$39:$Q$272,0),16),"")</f>
        <v>0</v>
      </c>
      <c r="AE109" s="264">
        <f>IFERROR(INDEX('РЕЕСТР РИСКОВ_2023'!$K$39:$AQ$272,MATCH(Check!Z109,'РЕЕСТР РИСКОВ_2023'!$Q$39:$Q$272,0),30),"")</f>
        <v>0.2</v>
      </c>
      <c r="AQ109" t="s">
        <v>1384</v>
      </c>
      <c r="AR109" t="s">
        <v>1565</v>
      </c>
      <c r="AS109">
        <v>1</v>
      </c>
      <c r="AT109">
        <v>0</v>
      </c>
      <c r="AU109">
        <v>0</v>
      </c>
      <c r="AV109">
        <v>0</v>
      </c>
    </row>
    <row r="110" spans="1:48" ht="21" customHeight="1">
      <c r="F110" s="94"/>
      <c r="S110" s="204" t="s">
        <v>1384</v>
      </c>
      <c r="T110" t="s">
        <v>1565</v>
      </c>
      <c r="U110" s="210">
        <f>IFERROR(INDEX('РЕЕСТР РИСКОВ_2023'!$K$39:$AQ$272,MATCH(Check!T110,'РЕЕСТР РИСКОВ_2023'!$K$39:$K$272,0),19),"")</f>
        <v>1</v>
      </c>
      <c r="V110" s="211">
        <f>IFERROR(INDEX('РЕЕСТР РИСКОВ_2023'!$K$39:$AQ$272,MATCH(Check!T110,'РЕЕСТР РИСКОВ_2023'!$K$39:$K$272,0),20),"")</f>
        <v>0</v>
      </c>
      <c r="W110" s="211">
        <f>IFERROR(INDEX('РЕЕСТР РИСКОВ_2023'!$K$39:$AQ$272,MATCH(Check!T110,'РЕЕСТР РИСКОВ_2023'!$K$39:$K$272,0),21),"")</f>
        <v>0</v>
      </c>
      <c r="X110" s="211">
        <f>IFERROR(INDEX('РЕЕСТР РИСКОВ_2023'!$K$39:$AT$272,MATCH(Check!T110,'РЕЕСТР РИСКОВ_2023'!$K$39:$K$272,0),36),"")</f>
        <v>0</v>
      </c>
      <c r="Y110" s="126"/>
      <c r="Z110" s="126" t="s">
        <v>1431</v>
      </c>
      <c r="AA110" s="360" t="str">
        <f t="shared" si="17"/>
        <v>ВЕРОЯТНОСТЬ  1  ВЛИЯНИЕ  1</v>
      </c>
      <c r="AB110" s="210">
        <f>IFERROR(INDEX('РЕЕСТР РИСКОВ_2023'!$K$39:$AQ$272,MATCH(Check!Z110,'РЕЕСТР РИСКОВ_2023'!$Q$39:$Q$272,0),14),"")</f>
        <v>0</v>
      </c>
      <c r="AC110" s="264">
        <f>IFERROR(INDEX('РЕЕСТР РИСКОВ_2023'!$K$39:$AQ$272,MATCH(Check!Z110,'РЕЕСТР РИСКОВ_2023'!$Q$39:$Q$272,0),15),"")</f>
        <v>0.25</v>
      </c>
      <c r="AD110" s="264">
        <f>IFERROR(INDEX('РЕЕСТР РИСКОВ_2023'!$K$39:$AQ$272,MATCH(Check!Z110,'РЕЕСТР РИСКОВ_2023'!$Q$39:$Q$272,0),16),"")</f>
        <v>0</v>
      </c>
      <c r="AE110" s="264">
        <f>IFERROR(INDEX('РЕЕСТР РИСКОВ_2023'!$K$39:$AQ$272,MATCH(Check!Z92,'РЕЕСТР РИСКОВ_2023'!$Q$39:$Q$272,0),30),"")</f>
        <v>0.25</v>
      </c>
      <c r="AQ110" t="s">
        <v>1384</v>
      </c>
      <c r="AR110" t="s">
        <v>1568</v>
      </c>
      <c r="AS110">
        <v>1</v>
      </c>
      <c r="AT110">
        <v>0</v>
      </c>
      <c r="AU110">
        <v>0</v>
      </c>
      <c r="AV110">
        <v>0</v>
      </c>
    </row>
    <row r="111" spans="1:48" ht="21" customHeight="1">
      <c r="F111" s="94"/>
      <c r="S111" s="204" t="s">
        <v>1384</v>
      </c>
      <c r="T111" t="s">
        <v>1568</v>
      </c>
      <c r="U111" s="210">
        <f>IFERROR(INDEX('РЕЕСТР РИСКОВ_2023'!$K$39:$AQ$272,MATCH(Check!T111,'РЕЕСТР РИСКОВ_2023'!$K$39:$K$272,0),19),"")</f>
        <v>1</v>
      </c>
      <c r="V111" s="211">
        <f>IFERROR(INDEX('РЕЕСТР РИСКОВ_2023'!$K$39:$AQ$272,MATCH(Check!T111,'РЕЕСТР РИСКОВ_2023'!$K$39:$K$272,0),20),"")</f>
        <v>0</v>
      </c>
      <c r="W111" s="211">
        <f>IFERROR(INDEX('РЕЕСТР РИСКОВ_2023'!$K$39:$AQ$272,MATCH(Check!T111,'РЕЕСТР РИСКОВ_2023'!$K$39:$K$272,0),21),"")</f>
        <v>0</v>
      </c>
      <c r="X111" s="211">
        <f>IFERROR(INDEX('РЕЕСТР РИСКОВ_2023'!$K$39:$AT$272,MATCH(Check!T111,'РЕЕСТР РИСКОВ_2023'!$K$39:$K$272,0),36),"")</f>
        <v>0</v>
      </c>
      <c r="Y111" s="126"/>
      <c r="Z111" s="126" t="s">
        <v>1433</v>
      </c>
      <c r="AA111" s="360" t="str">
        <f t="shared" si="17"/>
        <v>ВЕРОЯТНОСТЬ  1  ВЛИЯНИЕ  1</v>
      </c>
      <c r="AB111" s="210">
        <f>IFERROR(INDEX('РЕЕСТР РИСКОВ_2023'!$K$39:$AQ$272,MATCH(Check!Z111,'РЕЕСТР РИСКОВ_2023'!$Q$39:$Q$272,0),14),"")</f>
        <v>0</v>
      </c>
      <c r="AC111" s="264">
        <f>IFERROR(INDEX('РЕЕСТР РИСКОВ_2023'!$K$39:$AQ$272,MATCH(Check!Z111,'РЕЕСТР РИСКОВ_2023'!$Q$39:$Q$272,0),15),"")</f>
        <v>0.25</v>
      </c>
      <c r="AD111" s="264">
        <f>IFERROR(INDEX('РЕЕСТР РИСКОВ_2023'!$K$39:$AQ$272,MATCH(Check!Z111,'РЕЕСТР РИСКОВ_2023'!$Q$39:$Q$272,0),16),"")</f>
        <v>0</v>
      </c>
      <c r="AE111" s="264">
        <f>IFERROR(INDEX('РЕЕСТР РИСКОВ_2023'!$K$39:$AQ$272,MATCH(Check!Z111,'РЕЕСТР РИСКОВ_2023'!$Q$39:$Q$272,0),30),"")</f>
        <v>0.125</v>
      </c>
      <c r="AQ111" t="s">
        <v>1393</v>
      </c>
      <c r="AR111" t="s">
        <v>1054</v>
      </c>
      <c r="AS111">
        <v>0.05</v>
      </c>
      <c r="AT111">
        <v>0</v>
      </c>
      <c r="AU111">
        <v>0</v>
      </c>
      <c r="AV111">
        <v>0</v>
      </c>
    </row>
    <row r="112" spans="1:48" ht="21" customHeight="1">
      <c r="F112" s="94"/>
      <c r="S112" s="401" t="s">
        <v>1393</v>
      </c>
      <c r="T112" t="s">
        <v>1054</v>
      </c>
      <c r="U112" s="210">
        <f>IFERROR(INDEX('РЕЕСТР РИСКОВ_2023'!$K$39:$AQ$300,MATCH(Check!T112,'РЕЕСТР РИСКОВ_2023'!$K$39:$K$300,0),19),"")</f>
        <v>0.05</v>
      </c>
      <c r="V112" s="211">
        <f>IFERROR(INDEX('РЕЕСТР РИСКОВ_2023'!$K$39:$AQ$300,MATCH(Check!T112,'РЕЕСТР РИСКОВ_2023'!$K$39:$K$300,0),20),"")</f>
        <v>0</v>
      </c>
      <c r="W112" s="211">
        <f>IFERROR(INDEX('РЕЕСТР РИСКОВ_2023'!$K$39:$AQ$300,MATCH(Check!T112,'РЕЕСТР РИСКОВ_2023'!$K$39:$K$300,0),21),"")</f>
        <v>0</v>
      </c>
      <c r="X112" s="211">
        <f>IFERROR(INDEX('РЕЕСТР РИСКОВ_2023'!$K$39:$AT$300,MATCH(Check!T112,'РЕЕСТР РИСКОВ_2023'!$K$39:$K$300,0),36),"")</f>
        <v>0</v>
      </c>
      <c r="Y112" s="126"/>
      <c r="Z112" s="126" t="s">
        <v>1435</v>
      </c>
      <c r="AA112" s="360" t="str">
        <f t="shared" si="17"/>
        <v>ВЕРОЯТНОСТЬ  1  ВЛИЯНИЕ  1</v>
      </c>
      <c r="AB112" s="210">
        <f>IFERROR(INDEX('РЕЕСТР РИСКОВ_2023'!$K$39:$AQ$272,MATCH(Check!Z112,'РЕЕСТР РИСКОВ_2023'!$Q$39:$Q$272,0),14),"")</f>
        <v>0</v>
      </c>
      <c r="AC112" s="264">
        <f>IFERROR(INDEX('РЕЕСТР РИСКОВ_2023'!$K$39:$AQ$272,MATCH(Check!Z112,'РЕЕСТР РИСКОВ_2023'!$Q$39:$Q$272,0),15),"")</f>
        <v>0.45</v>
      </c>
      <c r="AD112" s="264">
        <f>IFERROR(INDEX('РЕЕСТР РИСКОВ_2023'!$K$39:$AQ$272,MATCH(Check!Z112,'РЕЕСТР РИСКОВ_2023'!$Q$39:$Q$272,0),16),"")</f>
        <v>0</v>
      </c>
      <c r="AE112" s="264">
        <f>IFERROR(INDEX('РЕЕСТР РИСКОВ_2023'!$K$39:$AQ$272,MATCH(Check!Z112,'РЕЕСТР РИСКОВ_2023'!$Q$39:$Q$272,0),30),"")</f>
        <v>0.22500000000000001</v>
      </c>
      <c r="AQ112" t="s">
        <v>402</v>
      </c>
      <c r="AR112" t="s">
        <v>121</v>
      </c>
      <c r="AS112">
        <v>0.7</v>
      </c>
      <c r="AT112">
        <v>-88000</v>
      </c>
      <c r="AU112">
        <v>-61599.999999999993</v>
      </c>
      <c r="AV112">
        <v>0</v>
      </c>
    </row>
    <row r="113" spans="6:48" ht="21" customHeight="1">
      <c r="F113" s="94"/>
      <c r="S113" s="401" t="s">
        <v>402</v>
      </c>
      <c r="T113" t="s">
        <v>121</v>
      </c>
      <c r="U113" s="210">
        <f>IFERROR(INDEX('РЕЕСТР РИСКОВ_2023'!$K$39:$AQ$300,MATCH(Check!T113,'РЕЕСТР РИСКОВ_2023'!$K$39:$K$300,0),19),"")</f>
        <v>0.7</v>
      </c>
      <c r="V113" s="211">
        <f>IFERROR(INDEX('РЕЕСТР РИСКОВ_2023'!$K$39:$AQ$300,MATCH(Check!T113,'РЕЕСТР РИСКОВ_2023'!$K$39:$K$300,0),20),"")</f>
        <v>-88000</v>
      </c>
      <c r="W113" s="211">
        <f>IFERROR(INDEX('РЕЕСТР РИСКОВ_2023'!$K$39:$AQ$300,MATCH(Check!T113,'РЕЕСТР РИСКОВ_2023'!$K$39:$K$300,0),21),"")</f>
        <v>-61599.999999999993</v>
      </c>
      <c r="X113" s="211">
        <f>IFERROR(INDEX('РЕЕСТР РИСКОВ_2023'!$K$39:$AT$300,MATCH(Check!T113,'РЕЕСТР РИСКОВ_2023'!$K$39:$K$300,0),36),"")</f>
        <v>-43119.999999999993</v>
      </c>
      <c r="Y113" s="126"/>
      <c r="Z113" s="126" t="s">
        <v>1438</v>
      </c>
      <c r="AA113" s="360" t="str">
        <f t="shared" si="17"/>
        <v>ВЕРОЯТНОСТЬ  1  ВЛИЯНИЕ  1</v>
      </c>
      <c r="AB113" s="210">
        <f>IFERROR(INDEX('РЕЕСТР РИСКОВ_2023'!$K$39:$AQ$272,MATCH(Check!Z113,'РЕЕСТР РИСКОВ_2023'!$Q$39:$Q$272,0),14),"")</f>
        <v>0</v>
      </c>
      <c r="AC113" s="264">
        <f>IFERROR(INDEX('РЕЕСТР РИСКОВ_2023'!$K$39:$AQ$272,MATCH(Check!Z113,'РЕЕСТР РИСКОВ_2023'!$Q$39:$Q$272,0),15),"")</f>
        <v>0.75</v>
      </c>
      <c r="AD113" s="264">
        <f>IFERROR(INDEX('РЕЕСТР РИСКОВ_2023'!$K$39:$AQ$272,MATCH(Check!Z113,'РЕЕСТР РИСКОВ_2023'!$Q$39:$Q$272,0),16),"")</f>
        <v>0</v>
      </c>
      <c r="AE113" s="264">
        <f>IFERROR(INDEX('РЕЕСТР РИСКОВ_2023'!$K$39:$AQ$272,MATCH(Check!Z113,'РЕЕСТР РИСКОВ_2023'!$Q$39:$Q$272,0),30),"")</f>
        <v>0.375</v>
      </c>
      <c r="AQ113" t="s">
        <v>402</v>
      </c>
      <c r="AR113" t="s">
        <v>122</v>
      </c>
      <c r="AS113">
        <v>0</v>
      </c>
      <c r="AT113">
        <v>0</v>
      </c>
      <c r="AU113">
        <v>0</v>
      </c>
      <c r="AV113">
        <v>0</v>
      </c>
    </row>
    <row r="114" spans="6:48" ht="21" customHeight="1">
      <c r="F114" s="94"/>
      <c r="S114" s="401" t="s">
        <v>402</v>
      </c>
      <c r="T114" t="s">
        <v>122</v>
      </c>
      <c r="U114" s="210">
        <f>IFERROR(INDEX('РЕЕСТР РИСКОВ_2023'!$K$39:$AQ$300,MATCH(Check!T114,'РЕЕСТР РИСКОВ_2023'!$K$39:$K$300,0),19),"")</f>
        <v>0</v>
      </c>
      <c r="V114" s="211">
        <f>IFERROR(INDEX('РЕЕСТР РИСКОВ_2023'!$K$39:$AQ$300,MATCH(Check!T114,'РЕЕСТР РИСКОВ_2023'!$K$39:$K$300,0),20),"")</f>
        <v>0</v>
      </c>
      <c r="W114" s="211">
        <f>IFERROR(INDEX('РЕЕСТР РИСКОВ_2023'!$K$39:$AQ$300,MATCH(Check!T114,'РЕЕСТР РИСКОВ_2023'!$K$39:$K$300,0),21),"")</f>
        <v>0</v>
      </c>
      <c r="X114" s="211">
        <f>IFERROR(INDEX('РЕЕСТР РИСКОВ_2023'!$K$39:$AT$300,MATCH(Check!T114,'РЕЕСТР РИСКОВ_2023'!$K$39:$K$300,0),36),"")</f>
        <v>0</v>
      </c>
      <c r="Y114" s="126"/>
      <c r="Z114" s="126" t="s">
        <v>1661</v>
      </c>
      <c r="AA114" s="360" t="str">
        <f t="shared" si="17"/>
        <v>ВЕРОЯТНОСТЬ  5  ВЛИЯНИЕ  1</v>
      </c>
      <c r="AB114" s="210" t="str">
        <f>IFERROR(INDEX('РЕЕСТР РИСКОВ_2023'!$K$39:$AQ$272,MATCH(Check!Z114,'РЕЕСТР РИСКОВ_2023'!$Q$39:$Q$272,0),14),"")</f>
        <v/>
      </c>
      <c r="AC114" s="264" t="str">
        <f>IFERROR(INDEX('РЕЕСТР РИСКОВ_2023'!$K$39:$AQ$272,MATCH(Check!Z114,'РЕЕСТР РИСКОВ_2023'!$Q$39:$Q$272,0),15),"")</f>
        <v/>
      </c>
      <c r="AD114" s="264" t="str">
        <f>IFERROR(INDEX('РЕЕСТР РИСКОВ_2023'!$K$39:$AQ$272,MATCH(Check!Z114,'РЕЕСТР РИСКОВ_2023'!$Q$39:$Q$272,0),16),"")</f>
        <v/>
      </c>
      <c r="AE114" s="264" t="str">
        <f>IFERROR(INDEX('РЕЕСТР РИСКОВ_2023'!$K$39:$AQ$272,MATCH(Check!Z114,'РЕЕСТР РИСКОВ_2023'!$Q$39:$Q$272,0),30),"")</f>
        <v/>
      </c>
      <c r="AQ114" t="s">
        <v>402</v>
      </c>
      <c r="AR114" t="s">
        <v>1346</v>
      </c>
      <c r="AS114">
        <v>0</v>
      </c>
      <c r="AT114">
        <v>0</v>
      </c>
      <c r="AU114">
        <v>0</v>
      </c>
      <c r="AV114">
        <v>0</v>
      </c>
    </row>
    <row r="115" spans="6:48" ht="21" customHeight="1">
      <c r="S115" s="401" t="s">
        <v>402</v>
      </c>
      <c r="T115" t="s">
        <v>1346</v>
      </c>
      <c r="U115" s="210">
        <f>IFERROR(INDEX('РЕЕСТР РИСКОВ_2023'!$K$39:$AQ$300,MATCH(Check!T115,'РЕЕСТР РИСКОВ_2023'!$K$39:$K$300,0),19),"")</f>
        <v>0</v>
      </c>
      <c r="V115" s="211">
        <f>IFERROR(INDEX('РЕЕСТР РИСКОВ_2023'!$K$39:$AQ$300,MATCH(Check!T115,'РЕЕСТР РИСКОВ_2023'!$K$39:$K$300,0),20),"")</f>
        <v>0</v>
      </c>
      <c r="W115" s="211">
        <f>IFERROR(INDEX('РЕЕСТР РИСКОВ_2023'!$K$39:$AQ$300,MATCH(Check!T115,'РЕЕСТР РИСКОВ_2023'!$K$39:$K$300,0),21),"")</f>
        <v>0</v>
      </c>
      <c r="X115" s="211">
        <f>IFERROR(INDEX('РЕЕСТР РИСКОВ_2023'!$K$39:$AT$300,MATCH(Check!T115,'РЕЕСТР РИСКОВ_2023'!$K$39:$K$300,0),36),"")</f>
        <v>0</v>
      </c>
      <c r="Y115" s="126"/>
      <c r="Z115" s="126" t="s">
        <v>1442</v>
      </c>
      <c r="AA115" s="360" t="str">
        <f t="shared" si="17"/>
        <v>ВЕРОЯТНОСТЬ  1  ВЛИЯНИЕ  1</v>
      </c>
      <c r="AB115" s="210">
        <f>IFERROR(INDEX('РЕЕСТР РИСКОВ_2023'!$K$39:$AQ$272,MATCH(Check!Z115,'РЕЕСТР РИСКОВ_2023'!$Q$39:$Q$272,0),14),"")</f>
        <v>0</v>
      </c>
      <c r="AC115" s="264">
        <f>IFERROR(INDEX('РЕЕСТР РИСКОВ_2023'!$K$39:$AQ$272,MATCH(Check!Z115,'РЕЕСТР РИСКОВ_2023'!$Q$39:$Q$272,0),15),"")</f>
        <v>0.5</v>
      </c>
      <c r="AD115" s="264">
        <f>IFERROR(INDEX('РЕЕСТР РИСКОВ_2023'!$K$39:$AQ$272,MATCH(Check!Z115,'РЕЕСТР РИСКОВ_2023'!$Q$39:$Q$272,0),16),"")</f>
        <v>0</v>
      </c>
      <c r="AE115" s="264">
        <f>IFERROR(INDEX('РЕЕСТР РИСКОВ_2023'!$K$39:$AQ$272,MATCH(Check!Z100,'РЕЕСТР РИСКОВ_2023'!$Q$39:$Q$272,0),30),"")</f>
        <v>0.125</v>
      </c>
      <c r="AQ115" t="s">
        <v>402</v>
      </c>
      <c r="AR115" t="s">
        <v>1323</v>
      </c>
      <c r="AS115">
        <v>0.05</v>
      </c>
      <c r="AT115">
        <v>0</v>
      </c>
      <c r="AU115">
        <v>0</v>
      </c>
      <c r="AV115">
        <v>0</v>
      </c>
    </row>
    <row r="116" spans="6:48" ht="21" customHeight="1">
      <c r="S116" s="401" t="s">
        <v>402</v>
      </c>
      <c r="T116" t="s">
        <v>1323</v>
      </c>
      <c r="U116" s="210">
        <f>IFERROR(INDEX('РЕЕСТР РИСКОВ_2023'!$K$39:$AQ$300,MATCH(Check!T116,'РЕЕСТР РИСКОВ_2023'!$K$39:$K$300,0),19),"")</f>
        <v>0.05</v>
      </c>
      <c r="V116" s="211">
        <f>IFERROR(INDEX('РЕЕСТР РИСКОВ_2023'!$K$39:$AQ$300,MATCH(Check!T116,'РЕЕСТР РИСКОВ_2023'!$K$39:$K$300,0),20),"")</f>
        <v>0</v>
      </c>
      <c r="W116" s="211">
        <f>IFERROR(INDEX('РЕЕСТР РИСКОВ_2023'!$K$39:$AQ$300,MATCH(Check!T116,'РЕЕСТР РИСКОВ_2023'!$K$39:$K$300,0),21),"")</f>
        <v>0</v>
      </c>
      <c r="X116" s="211">
        <f>IFERROR(INDEX('РЕЕСТР РИСКОВ_2023'!$K$39:$AT$300,MATCH(Check!T116,'РЕЕСТР РИСКОВ_2023'!$K$39:$K$300,0),36),"")</f>
        <v>0</v>
      </c>
      <c r="Y116" s="126"/>
      <c r="Z116" s="126" t="s">
        <v>1443</v>
      </c>
      <c r="AA116" s="360" t="str">
        <f t="shared" si="17"/>
        <v>ВЕРОЯТНОСТЬ  1  ВЛИЯНИЕ  1</v>
      </c>
      <c r="AB116" s="210">
        <f>IFERROR(INDEX('РЕЕСТР РИСКОВ_2023'!$K$39:$AQ$272,MATCH(Check!Z116,'РЕЕСТР РИСКОВ_2023'!$Q$39:$Q$272,0),14),"")</f>
        <v>0</v>
      </c>
      <c r="AC116" s="264">
        <f>IFERROR(INDEX('РЕЕСТР РИСКОВ_2023'!$K$39:$AQ$272,MATCH(Check!Z116,'РЕЕСТР РИСКОВ_2023'!$Q$39:$Q$272,0),15),"")</f>
        <v>0.5</v>
      </c>
      <c r="AD116" s="264">
        <f>IFERROR(INDEX('РЕЕСТР РИСКОВ_2023'!$K$39:$AQ$272,MATCH(Check!Z116,'РЕЕСТР РИСКОВ_2023'!$Q$39:$Q$272,0),16),"")</f>
        <v>0</v>
      </c>
      <c r="AE116" s="264">
        <f>IFERROR(INDEX('РЕЕСТР РИСКОВ_2023'!$K$39:$AQ$272,MATCH(Check!Z116,'РЕЕСТР РИСКОВ_2023'!$Q$39:$Q$272,0),30),"")</f>
        <v>0.25</v>
      </c>
      <c r="AQ116" t="s">
        <v>1367</v>
      </c>
      <c r="AR116" t="s">
        <v>1336</v>
      </c>
      <c r="AS116">
        <v>0.5</v>
      </c>
      <c r="AT116">
        <v>0</v>
      </c>
      <c r="AU116">
        <v>0</v>
      </c>
      <c r="AV116">
        <v>0</v>
      </c>
    </row>
    <row r="117" spans="6:48" ht="21" customHeight="1">
      <c r="S117" s="401" t="s">
        <v>1367</v>
      </c>
      <c r="T117" t="s">
        <v>1336</v>
      </c>
      <c r="U117" s="210">
        <f>IFERROR(INDEX('РЕЕСТР РИСКОВ_2023'!$K$39:$AQ$300,MATCH(Check!T117,'РЕЕСТР РИСКОВ_2023'!$K$39:$K$300,0),19),"")</f>
        <v>0.5</v>
      </c>
      <c r="V117" s="211">
        <f>IFERROR(INDEX('РЕЕСТР РИСКОВ_2023'!$K$39:$AQ$300,MATCH(Check!T117,'РЕЕСТР РИСКОВ_2023'!$K$39:$K$300,0),20),"")</f>
        <v>0</v>
      </c>
      <c r="W117" s="211">
        <f>IFERROR(INDEX('РЕЕСТР РИСКОВ_2023'!$K$39:$AQ$300,MATCH(Check!T117,'РЕЕСТР РИСКОВ_2023'!$K$39:$K$300,0),21),"")</f>
        <v>0</v>
      </c>
      <c r="X117" s="211">
        <f>IFERROR(INDEX('РЕЕСТР РИСКОВ_2023'!$K$39:$AT$300,MATCH(Check!T117,'РЕЕСТР РИСКОВ_2023'!$K$39:$K$300,0),36),"")</f>
        <v>0</v>
      </c>
      <c r="Y117" s="126"/>
      <c r="Z117" s="126" t="s">
        <v>1444</v>
      </c>
      <c r="AA117" s="360" t="str">
        <f t="shared" si="17"/>
        <v>ВЕРОЯТНОСТЬ  1  ВЛИЯНИЕ  1</v>
      </c>
      <c r="AB117" s="210">
        <f>IFERROR(INDEX('РЕЕСТР РИСКОВ_2023'!$K$39:$AQ$272,MATCH(Check!Z117,'РЕЕСТР РИСКОВ_2023'!$Q$39:$Q$272,0),14),"")</f>
        <v>0</v>
      </c>
      <c r="AC117" s="264">
        <f>IFERROR(INDEX('РЕЕСТР РИСКОВ_2023'!$K$39:$AQ$272,MATCH(Check!Z117,'РЕЕСТР РИСКОВ_2023'!$Q$39:$Q$272,0),15),"")</f>
        <v>0.5</v>
      </c>
      <c r="AD117" s="264">
        <f>IFERROR(INDEX('РЕЕСТР РИСКОВ_2023'!$K$39:$AQ$272,MATCH(Check!Z117,'РЕЕСТР РИСКОВ_2023'!$Q$39:$Q$272,0),16),"")</f>
        <v>0</v>
      </c>
      <c r="AE117" s="264">
        <f>IFERROR(INDEX('РЕЕСТР РИСКОВ_2023'!$K$39:$AQ$272,MATCH(Check!Z117,'РЕЕСТР РИСКОВ_2023'!$Q$39:$Q$272,0),30),"")</f>
        <v>0.25</v>
      </c>
      <c r="AQ117" t="s">
        <v>1367</v>
      </c>
      <c r="AR117" t="s">
        <v>1324</v>
      </c>
      <c r="AS117">
        <v>0</v>
      </c>
      <c r="AT117">
        <v>0</v>
      </c>
      <c r="AU117">
        <v>0</v>
      </c>
      <c r="AV117">
        <v>0</v>
      </c>
    </row>
    <row r="118" spans="6:48" ht="21" customHeight="1">
      <c r="S118" s="401" t="s">
        <v>1367</v>
      </c>
      <c r="T118" t="s">
        <v>1324</v>
      </c>
      <c r="U118" s="210">
        <f>IFERROR(INDEX('РЕЕСТР РИСКОВ_2023'!$K$39:$AQ$300,MATCH(Check!T118,'РЕЕСТР РИСКОВ_2023'!$K$39:$K$300,0),19),"")</f>
        <v>0</v>
      </c>
      <c r="V118" s="211">
        <f>IFERROR(INDEX('РЕЕСТР РИСКОВ_2023'!$K$39:$AQ$300,MATCH(Check!T118,'РЕЕСТР РИСКОВ_2023'!$K$39:$K$300,0),20),"")</f>
        <v>0</v>
      </c>
      <c r="W118" s="211">
        <f>IFERROR(INDEX('РЕЕСТР РИСКОВ_2023'!$K$39:$AQ$300,MATCH(Check!T118,'РЕЕСТР РИСКОВ_2023'!$K$39:$K$300,0),21),"")</f>
        <v>0</v>
      </c>
      <c r="X118" s="211">
        <f>IFERROR(INDEX('РЕЕСТР РИСКОВ_2023'!$K$39:$AT$300,MATCH(Check!T118,'РЕЕСТР РИСКОВ_2023'!$K$39:$K$300,0),36),"")</f>
        <v>0</v>
      </c>
      <c r="Y118" s="126"/>
      <c r="Z118" s="126" t="s">
        <v>1447</v>
      </c>
      <c r="AA118" s="360" t="str">
        <f t="shared" si="17"/>
        <v>ВЕРОЯТНОСТЬ  1  ВЛИЯНИЕ  1</v>
      </c>
      <c r="AB118" s="210">
        <f>IFERROR(INDEX('РЕЕСТР РИСКОВ_2023'!$K$39:$AQ$272,MATCH(Check!Z118,'РЕЕСТР РИСКОВ_2023'!$Q$39:$Q$272,0),14),"")</f>
        <v>0</v>
      </c>
      <c r="AC118" s="264">
        <f>IFERROR(INDEX('РЕЕСТР РИСКОВ_2023'!$K$39:$AQ$272,MATCH(Check!Z118,'РЕЕСТР РИСКОВ_2023'!$Q$39:$Q$272,0),15),"")</f>
        <v>0.5</v>
      </c>
      <c r="AD118" s="264">
        <f>IFERROR(INDEX('РЕЕСТР РИСКОВ_2023'!$K$39:$AQ$272,MATCH(Check!Z118,'РЕЕСТР РИСКОВ_2023'!$Q$39:$Q$272,0),16),"")</f>
        <v>0</v>
      </c>
      <c r="AE118" s="264">
        <f>IFERROR(INDEX('РЕЕСТР РИСКОВ_2023'!$K$39:$AQ$272,MATCH(Check!Z118,'РЕЕСТР РИСКОВ_2023'!$Q$39:$Q$272,0),30),"")</f>
        <v>0.25</v>
      </c>
      <c r="AQ118" t="s">
        <v>1367</v>
      </c>
      <c r="AR118" t="s">
        <v>1325</v>
      </c>
      <c r="AS118">
        <v>0</v>
      </c>
      <c r="AT118">
        <v>0</v>
      </c>
      <c r="AU118">
        <v>0</v>
      </c>
      <c r="AV118">
        <v>0</v>
      </c>
    </row>
    <row r="119" spans="6:48" ht="21" customHeight="1">
      <c r="S119" s="401" t="s">
        <v>1367</v>
      </c>
      <c r="T119" t="s">
        <v>1325</v>
      </c>
      <c r="U119" s="210">
        <f>IFERROR(INDEX('РЕЕСТР РИСКОВ_2023'!$K$39:$AQ$300,MATCH(Check!T119,'РЕЕСТР РИСКОВ_2023'!$K$39:$K$300,0),19),"")</f>
        <v>0</v>
      </c>
      <c r="V119" s="211">
        <f>IFERROR(INDEX('РЕЕСТР РИСКОВ_2023'!$K$39:$AQ$300,MATCH(Check!T119,'РЕЕСТР РИСКОВ_2023'!$K$39:$K$300,0),20),"")</f>
        <v>0</v>
      </c>
      <c r="W119" s="211">
        <f>IFERROR(INDEX('РЕЕСТР РИСКОВ_2023'!$K$39:$AQ$300,MATCH(Check!T119,'РЕЕСТР РИСКОВ_2023'!$K$39:$K$300,0),21),"")</f>
        <v>0</v>
      </c>
      <c r="X119" s="211">
        <f>IFERROR(INDEX('РЕЕСТР РИСКОВ_2023'!$K$39:$AT$300,MATCH(Check!T119,'РЕЕСТР РИСКОВ_2023'!$K$39:$K$300,0),36),"")</f>
        <v>0</v>
      </c>
      <c r="Y119" s="126"/>
      <c r="Z119" s="126" t="s">
        <v>1662</v>
      </c>
      <c r="AA119" s="360" t="str">
        <f t="shared" si="17"/>
        <v>ВЕРОЯТНОСТЬ  5  ВЛИЯНИЕ  1</v>
      </c>
      <c r="AB119" s="210" t="str">
        <f>IFERROR(INDEX('РЕЕСТР РИСКОВ_2023'!$K$39:$AQ$272,MATCH(Check!Z119,'РЕЕСТР РИСКОВ_2023'!$Q$39:$Q$272,0),14),"")</f>
        <v/>
      </c>
      <c r="AC119" s="264" t="str">
        <f>IFERROR(INDEX('РЕЕСТР РИСКОВ_2023'!$K$39:$AQ$272,MATCH(Check!Z119,'РЕЕСТР РИСКОВ_2023'!$Q$39:$Q$272,0),15),"")</f>
        <v/>
      </c>
      <c r="AD119" s="264" t="str">
        <f>IFERROR(INDEX('РЕЕСТР РИСКОВ_2023'!$K$39:$AQ$272,MATCH(Check!Z119,'РЕЕСТР РИСКОВ_2023'!$Q$39:$Q$272,0),16),"")</f>
        <v/>
      </c>
      <c r="AE119" s="264" t="str">
        <f>IFERROR(INDEX('РЕЕСТР РИСКОВ_2023'!$K$39:$AQ$272,MATCH(Check!Z119,'РЕЕСТР РИСКОВ_2023'!$Q$39:$Q$272,0),30),"")</f>
        <v/>
      </c>
      <c r="AQ119" t="s">
        <v>87</v>
      </c>
      <c r="AR119" t="s">
        <v>1389</v>
      </c>
      <c r="AS119">
        <v>0.4</v>
      </c>
      <c r="AT119">
        <v>-1800</v>
      </c>
      <c r="AU119">
        <v>-720</v>
      </c>
      <c r="AV119">
        <v>-216</v>
      </c>
    </row>
    <row r="120" spans="6:48" ht="21" customHeight="1">
      <c r="S120" s="204" t="s">
        <v>87</v>
      </c>
      <c r="T120" t="s">
        <v>1389</v>
      </c>
      <c r="U120" s="210">
        <f>IFERROR(INDEX('РЕЕСТР РИСКОВ_2023'!$K$39:$AQ$300,MATCH(Check!T120,'РЕЕСТР РИСКОВ_2023'!$K$39:$K$300,0),19),"")</f>
        <v>0.4</v>
      </c>
      <c r="V120" s="211">
        <f>IFERROR(INDEX('РЕЕСТР РИСКОВ_2023'!$K$39:$AQ$300,MATCH(Check!T120,'РЕЕСТР РИСКОВ_2023'!$K$39:$K$300,0),20),"")</f>
        <v>-1800</v>
      </c>
      <c r="W120" s="211">
        <f>IFERROR(INDEX('РЕЕСТР РИСКОВ_2023'!$K$39:$AQ$300,MATCH(Check!T120,'РЕЕСТР РИСКОВ_2023'!$K$39:$K$300,0),21),"")</f>
        <v>-720</v>
      </c>
      <c r="X120" s="211">
        <f>IFERROR(INDEX('РЕЕСТР РИСКОВ_2023'!$K$39:$AT$300,MATCH(Check!T120,'РЕЕСТР РИСКОВ_2023'!$K$39:$K$300,0),36),"")</f>
        <v>-216</v>
      </c>
      <c r="Y120" s="126"/>
      <c r="Z120" s="126" t="s">
        <v>1599</v>
      </c>
      <c r="AA120" s="360" t="str">
        <f t="shared" si="17"/>
        <v>ВЕРОЯТНОСТЬ  5  ВЛИЯНИЕ  1</v>
      </c>
      <c r="AB120" s="210" t="str">
        <f>IFERROR(INDEX('РЕЕСТР РИСКОВ_2023'!$K$39:$AQ$272,MATCH(Check!Z120,'РЕЕСТР РИСКОВ_2023'!$Q$39:$Q$272,0),14),"")</f>
        <v/>
      </c>
      <c r="AC120" s="264" t="str">
        <f>IFERROR(INDEX('РЕЕСТР РИСКОВ_2023'!$K$39:$AQ$272,MATCH(Check!Z120,'РЕЕСТР РИСКОВ_2023'!$Q$39:$Q$272,0),15),"")</f>
        <v/>
      </c>
      <c r="AD120" s="264" t="str">
        <f>IFERROR(INDEX('РЕЕСТР РИСКОВ_2023'!$K$39:$AQ$272,MATCH(Check!Z120,'РЕЕСТР РИСКОВ_2023'!$Q$39:$Q$272,0),16),"")</f>
        <v/>
      </c>
      <c r="AE120" s="264" t="str">
        <f>IFERROR(INDEX('РЕЕСТР РИСКОВ_2023'!$K$39:$AQ$272,MATCH(Check!Z120,'РЕЕСТР РИСКОВ_2023'!$Q$39:$Q$272,0),30),"")</f>
        <v/>
      </c>
    </row>
    <row r="121" spans="6:48" ht="21" customHeight="1">
      <c r="X121" s="126"/>
      <c r="Y121" s="126"/>
      <c r="Z121" s="126" t="s">
        <v>419</v>
      </c>
      <c r="AA121" s="360" t="str">
        <f t="shared" si="17"/>
        <v>ВЕРОЯТНОСТЬ  1  ВЛИЯНИЕ  1</v>
      </c>
      <c r="AB121" s="210">
        <f>IFERROR(INDEX('РЕЕСТР РИСКОВ_2023'!$K$39:$AQ$272,MATCH(Check!Z121,'РЕЕСТР РИСКОВ_2023'!$Q$39:$Q$272,0),14),"")</f>
        <v>0</v>
      </c>
      <c r="AC121" s="264">
        <f>IFERROR(INDEX('РЕЕСТР РИСКОВ_2023'!$K$39:$AQ$272,MATCH(Check!Z121,'РЕЕСТР РИСКОВ_2023'!$Q$39:$Q$272,0),15),"")</f>
        <v>0.25</v>
      </c>
      <c r="AD121" s="264">
        <f>IFERROR(INDEX('РЕЕСТР РИСКОВ_2023'!$K$39:$AQ$272,MATCH(Check!Z121,'РЕЕСТР РИСКОВ_2023'!$Q$39:$Q$272,0),16),"")</f>
        <v>-269.72699999999998</v>
      </c>
      <c r="AE121" s="264">
        <f>IFERROR(INDEX('РЕЕСТР РИСКОВ_2023'!$K$39:$AQ$272,MATCH(Check!Z121,'РЕЕСТР РИСКОВ_2023'!$Q$39:$Q$272,0),30),"")</f>
        <v>0.125</v>
      </c>
    </row>
    <row r="122" spans="6:48" ht="57.6">
      <c r="Z122" s="126" t="s">
        <v>429</v>
      </c>
      <c r="AA122" s="360" t="str">
        <f t="shared" si="17"/>
        <v>ВЕРОЯТНОСТЬ  5  ВЛИЯНИЕ  1</v>
      </c>
      <c r="AB122" s="210" t="str">
        <f>IFERROR(INDEX('РЕЕСТР РИСКОВ_2023'!$K$39:$AQ$272,MATCH(Check!Z122,'РЕЕСТР РИСКОВ_2023'!$Q$39:$Q$272,0),14),"")</f>
        <v/>
      </c>
      <c r="AC122" s="264" t="str">
        <f>IFERROR(INDEX('РЕЕСТР РИСКОВ_2023'!$K$39:$AQ$272,MATCH(Check!Z122,'РЕЕСТР РИСКОВ_2023'!$Q$39:$Q$272,0),15),"")</f>
        <v/>
      </c>
      <c r="AD122" s="264" t="str">
        <f>IFERROR(INDEX('РЕЕСТР РИСКОВ_2023'!$K$39:$AQ$272,MATCH(Check!Z122,'РЕЕСТР РИСКОВ_2023'!$Q$39:$Q$272,0),16),"")</f>
        <v/>
      </c>
      <c r="AE122" s="264" t="str">
        <f>IFERROR(INDEX('РЕЕСТР РИСКОВ_2023'!$K$39:$AQ$272,MATCH(Check!Z122,'РЕЕСТР РИСКОВ_2023'!$Q$39:$Q$272,0),30),"")</f>
        <v/>
      </c>
    </row>
    <row r="123" spans="6:48" ht="72">
      <c r="Z123" s="126" t="s">
        <v>430</v>
      </c>
      <c r="AA123" s="360" t="str">
        <f t="shared" si="17"/>
        <v>ВЕРОЯТНОСТЬ  3  ВЛИЯНИЕ  5</v>
      </c>
      <c r="AB123" s="210">
        <v>0.4</v>
      </c>
      <c r="AC123" s="264">
        <v>-11868</v>
      </c>
      <c r="AD123" s="264">
        <v>-4747.2</v>
      </c>
      <c r="AE123" s="264" t="str">
        <f>IFERROR(INDEX('РЕЕСТР РИСКОВ_2023'!$K$39:$AQ$272,MATCH(Check!Z123,'РЕЕСТР РИСКОВ_2023'!$Q$39:$Q$272,0),30),"")</f>
        <v/>
      </c>
    </row>
    <row r="124" spans="6:48" ht="28.8">
      <c r="Z124" s="126" t="s">
        <v>308</v>
      </c>
      <c r="AA124" s="360" t="str">
        <f t="shared" si="17"/>
        <v>ВЕРОЯТНОСТЬ  1  ВЛИЯНИЕ  1</v>
      </c>
      <c r="AB124" s="210">
        <f>IFERROR(INDEX('РЕЕСТР РИСКОВ_2023'!$K$39:$AQ$272,MATCH(Check!Z124,'РЕЕСТР РИСКОВ_2023'!$Q$39:$Q$272,0),14),"")</f>
        <v>0</v>
      </c>
      <c r="AC124" s="264">
        <f>IFERROR(INDEX('РЕЕСТР РИСКОВ_2023'!$K$39:$AQ$272,MATCH(Check!Z124,'РЕЕСТР РИСКОВ_2023'!$Q$39:$Q$272,0),15),"")</f>
        <v>0.47</v>
      </c>
      <c r="AD124" s="264">
        <f>IFERROR(INDEX('РЕЕСТР РИСКОВ_2023'!$K$39:$AQ$272,MATCH(Check!Z124,'РЕЕСТР РИСКОВ_2023'!$Q$39:$Q$272,0),16),"")</f>
        <v>-48905</v>
      </c>
      <c r="AE124" s="264">
        <f>IFERROR(INDEX('РЕЕСТР РИСКОВ_2023'!$K$39:$AQ$272,MATCH(Check!Z64,'РЕЕСТР РИСКОВ_2023'!$Q$39:$Q$272,0),30),"")</f>
        <v>0</v>
      </c>
    </row>
    <row r="125" spans="6:48" ht="100.8">
      <c r="Z125" s="126" t="s">
        <v>19</v>
      </c>
      <c r="AA125" s="360" t="str">
        <f t="shared" ref="AA125:AA131" si="18">"ВЕРОЯТНОСТЬ  "&amp;IF(AB125&lt;0.05,1,IF((AB125&gt;=0.05)*(AB125&lt;0.25),2,IF((AB125&gt;=0.25)*(AB125&lt;0.5),3,IF((AB125&gt;=0.5)*(AB125&lt;0.75),4,5))))&amp;"  ВЛИЯНИЕ  "&amp;IF(AC125&gt;-200,1,IF((AC125&lt;=-200)*(AC125&gt;-500),2,IF((AC125&lt;=-500)*(AC125&gt;-1000),3,IF((AC125&lt;=-1000)*(AC125&gt;-3000),4,5))))</f>
        <v>ВЕРОЯТНОСТЬ  5  ВЛИЯНИЕ  1</v>
      </c>
      <c r="AB125" s="210" t="str">
        <f>IFERROR(INDEX('РЕЕСТР РИСКОВ_2023'!$K$39:$AQ$272,MATCH(Check!Z125,'РЕЕСТР РИСКОВ_2023'!$Q$39:$Q$272,0),14),"")</f>
        <v/>
      </c>
      <c r="AC125" s="264" t="str">
        <f>IFERROR(INDEX('РЕЕСТР РИСКОВ_2023'!$K$39:$AQ$272,MATCH(Check!Z125,'РЕЕСТР РИСКОВ_2023'!$Q$39:$Q$272,0),15),"")</f>
        <v/>
      </c>
      <c r="AD125" s="264" t="str">
        <f>IFERROR(INDEX('РЕЕСТР РИСКОВ_2023'!$K$39:$AQ$272,MATCH(Check!Z125,'РЕЕСТР РИСКОВ_2023'!$Q$39:$Q$272,0),16),"")</f>
        <v/>
      </c>
      <c r="AE125" s="264" t="str">
        <f>IFERROR(INDEX('РЕЕСТР РИСКОВ_2023'!$K$39:$AQ$272,MATCH(Check!Z125,'РЕЕСТР РИСКОВ_2023'!$Q$39:$Q$272,0),30),"")</f>
        <v/>
      </c>
    </row>
    <row r="126" spans="6:48" ht="115.2">
      <c r="Z126" s="126" t="s">
        <v>481</v>
      </c>
      <c r="AA126" s="360" t="str">
        <f t="shared" si="18"/>
        <v>ВЕРОЯТНОСТЬ  5  ВЛИЯНИЕ  1</v>
      </c>
      <c r="AB126" s="210" t="str">
        <f>IFERROR(INDEX('РЕЕСТР РИСКОВ_2023'!$K$39:$AQ$272,MATCH(Check!Z126,'РЕЕСТР РИСКОВ_2023'!$Q$39:$Q$272,0),14),"")</f>
        <v/>
      </c>
      <c r="AC126" s="264" t="str">
        <f>IFERROR(INDEX('РЕЕСТР РИСКОВ_2023'!$K$39:$AQ$272,MATCH(Check!Z126,'РЕЕСТР РИСКОВ_2023'!$Q$39:$Q$272,0),15),"")</f>
        <v/>
      </c>
      <c r="AD126" s="264" t="str">
        <f>IFERROR(INDEX('РЕЕСТР РИСКОВ_2023'!$K$39:$AQ$272,MATCH(Check!Z126,'РЕЕСТР РИСКОВ_2023'!$Q$39:$Q$272,0),16),"")</f>
        <v/>
      </c>
      <c r="AE126" s="264" t="str">
        <f>IFERROR(INDEX('РЕЕСТР РИСКОВ_2023'!$K$39:$AQ$272,MATCH(Check!Z126,'РЕЕСТР РИСКОВ_2023'!$Q$39:$Q$272,0),30),"")</f>
        <v/>
      </c>
    </row>
    <row r="127" spans="6:48" ht="28.8">
      <c r="Z127" s="126" t="s">
        <v>1601</v>
      </c>
      <c r="AA127" s="360" t="str">
        <f t="shared" si="18"/>
        <v>ВЕРОЯТНОСТЬ  1  ВЛИЯНИЕ  1</v>
      </c>
      <c r="AB127" s="210">
        <f>IFERROR(INDEX('РЕЕСТР РИСКОВ_2023'!$K$39:$AQ$272,MATCH(Check!Z127,'РЕЕСТР РИСКОВ_2023'!$Q$39:$Q$272,0),14),"")</f>
        <v>0</v>
      </c>
      <c r="AC127" s="264">
        <f>IFERROR(INDEX('РЕЕСТР РИСКОВ_2023'!$K$39:$AQ$272,MATCH(Check!Z127,'РЕЕСТР РИСКОВ_2023'!$Q$39:$Q$272,0),15),"")</f>
        <v>0.8</v>
      </c>
      <c r="AD127" s="264">
        <f>IFERROR(INDEX('РЕЕСТР РИСКОВ_2023'!$K$39:$AQ$272,MATCH(Check!Z127,'РЕЕСТР РИСКОВ_2023'!$Q$39:$Q$272,0),16),"")</f>
        <v>-75</v>
      </c>
      <c r="AE127" s="264">
        <f>IFERROR(INDEX('РЕЕСТР РИСКОВ_2023'!$K$39:$AQ$272,MATCH(Check!Z127,'РЕЕСТР РИСКОВ_2023'!$Q$39:$Q$272,0),30),"")</f>
        <v>0.8</v>
      </c>
    </row>
    <row r="128" spans="6:48" ht="28.8">
      <c r="Z128" s="126" t="s">
        <v>1663</v>
      </c>
      <c r="AA128" s="360" t="str">
        <f t="shared" si="18"/>
        <v>ВЕРОЯТНОСТЬ  5  ВЛИЯНИЕ  1</v>
      </c>
      <c r="AB128" s="210" t="str">
        <f>IFERROR(INDEX('РЕЕСТР РИСКОВ_2023'!$K$39:$AQ$272,MATCH(Check!Z128,'РЕЕСТР РИСКОВ_2023'!$Q$39:$Q$272,0),14),"")</f>
        <v/>
      </c>
      <c r="AC128" s="264" t="str">
        <f>IFERROR(INDEX('РЕЕСТР РИСКОВ_2023'!$K$39:$AQ$272,MATCH(Check!Z128,'РЕЕСТР РИСКОВ_2023'!$Q$39:$Q$272,0),15),"")</f>
        <v/>
      </c>
      <c r="AD128" s="264" t="str">
        <f>IFERROR(INDEX('РЕЕСТР РИСКОВ_2023'!$K$39:$AQ$272,MATCH(Check!Z128,'РЕЕСТР РИСКОВ_2023'!$Q$39:$Q$272,0),16),"")</f>
        <v/>
      </c>
      <c r="AE128" s="264" t="str">
        <f>IFERROR(INDEX('РЕЕСТР РИСКОВ_2023'!$K$39:$AQ$272,MATCH(Check!Z128,'РЕЕСТР РИСКОВ_2023'!$Q$39:$Q$272,0),30),"")</f>
        <v/>
      </c>
    </row>
    <row r="129" spans="25:31" ht="43.2">
      <c r="Z129" s="126" t="s">
        <v>1603</v>
      </c>
      <c r="AA129" s="360" t="str">
        <f t="shared" si="18"/>
        <v>ВЕРОЯТНОСТЬ  1  ВЛИЯНИЕ  1</v>
      </c>
      <c r="AB129" s="210">
        <f>IFERROR(INDEX('РЕЕСТР РИСКОВ_2023'!$K$39:$AQ$272,MATCH(Check!Z129,'РЕЕСТР РИСКОВ_2023'!$Q$39:$Q$272,0),14),"")</f>
        <v>0</v>
      </c>
      <c r="AC129" s="264">
        <f>IFERROR(INDEX('РЕЕСТР РИСКОВ_2023'!$K$39:$AQ$272,MATCH(Check!Z129,'РЕЕСТР РИСКОВ_2023'!$Q$39:$Q$272,0),15),"")</f>
        <v>0.4</v>
      </c>
      <c r="AD129" s="264">
        <f>IFERROR(INDEX('РЕЕСТР РИСКОВ_2023'!$K$39:$AQ$272,MATCH(Check!Z129,'РЕЕСТР РИСКОВ_2023'!$Q$39:$Q$272,0),16),"")</f>
        <v>-69886.5</v>
      </c>
      <c r="AE129" s="264">
        <f>IFERROR(INDEX('РЕЕСТР РИСКОВ_2023'!$K$39:$AQ$272,MATCH(Check!Z129,'РЕЕСТР РИСКОВ_2023'!$Q$39:$Q$272,0),30),"")</f>
        <v>0.2</v>
      </c>
    </row>
    <row r="130" spans="25:31" ht="187.2">
      <c r="Z130" s="126" t="s">
        <v>645</v>
      </c>
      <c r="AA130" s="360" t="str">
        <f t="shared" si="18"/>
        <v>ВЕРОЯТНОСТЬ  5  ВЛИЯНИЕ  1</v>
      </c>
      <c r="AB130" s="210" t="str">
        <f>IFERROR(INDEX('РЕЕСТР РИСКОВ_2023'!$K$39:$AQ$272,MATCH(Check!Z130,'РЕЕСТР РИСКОВ_2023'!$Q$39:$Q$272,0),14),"")</f>
        <v/>
      </c>
      <c r="AC130" s="264" t="str">
        <f>IFERROR(INDEX('РЕЕСТР РИСКОВ_2023'!$K$39:$AQ$272,MATCH(Check!Z130,'РЕЕСТР РИСКОВ_2023'!$Q$39:$Q$272,0),15),"")</f>
        <v/>
      </c>
      <c r="AD130" s="264" t="str">
        <f>IFERROR(INDEX('РЕЕСТР РИСКОВ_2023'!$K$39:$AQ$272,MATCH(Check!Z130,'РЕЕСТР РИСКОВ_2023'!$Q$39:$Q$272,0),16),"")</f>
        <v/>
      </c>
      <c r="AE130" s="264" t="str">
        <f>IFERROR(INDEX('РЕЕСТР РИСКОВ_2023'!$K$39:$AQ$272,MATCH(Check!Z130,'РЕЕСТР РИСКОВ_2023'!$Q$39:$Q$272,0),30),"")</f>
        <v/>
      </c>
    </row>
    <row r="131" spans="25:31">
      <c r="Z131" s="126" t="s">
        <v>817</v>
      </c>
      <c r="AA131" s="360" t="str">
        <f t="shared" si="18"/>
        <v>ВЕРОЯТНОСТЬ  5  ВЛИЯНИЕ  1</v>
      </c>
      <c r="AB131" s="210" t="str">
        <f>IFERROR(INDEX('РЕЕСТР РИСКОВ_2023'!$K$39:$AQ$272,MATCH(Check!Z131,'РЕЕСТР РИСКОВ_2023'!$Q$39:$Q$272,0),14),"")</f>
        <v/>
      </c>
      <c r="AC131" s="264" t="str">
        <f>IFERROR(INDEX('РЕЕСТР РИСКОВ_2023'!$K$39:$AQ$272,MATCH(Check!Z131,'РЕЕСТР РИСКОВ_2023'!$Q$39:$Q$272,0),15),"")</f>
        <v/>
      </c>
      <c r="AD131" s="264" t="str">
        <f>IFERROR(INDEX('РЕЕСТР РИСКОВ_2023'!$K$39:$AQ$272,MATCH(Check!Z131,'РЕЕСТР РИСКОВ_2023'!$Q$39:$Q$272,0),16),"")</f>
        <v/>
      </c>
      <c r="AE131" s="264" t="str">
        <f>IFERROR(INDEX('РЕЕСТР РИСКОВ_2023'!$K$39:$AQ$272,MATCH(Check!Z131,'РЕЕСТР РИСКОВ_2023'!$Q$39:$Q$272,0),30),"")</f>
        <v/>
      </c>
    </row>
    <row r="132" spans="25:31">
      <c r="Z132" s="126" t="s">
        <v>651</v>
      </c>
      <c r="AA132" s="360" t="str">
        <f>"ВЕРОЯТНОСТЬ  "&amp;IF(AB132&lt;0.05,1,IF((AB132&gt;=0.05)*(AB132&lt;0.25),2,IF((AB132&gt;=0.25)*(AB132&lt;0.5),3,IF((AB132&gt;=0.5)*(AB132&lt;0.75),4,5))))&amp;"  ВЛИЯНИЕ  "&amp;IF(AC132&gt;-200,1,IF((AC132&lt;=-200)*(AC132&gt;-500),2,IF((AC132&lt;=-500)*(AC132&gt;-1000),3,IF((AC132&lt;=-1000)*(AC132&gt;-3000),4,5))))</f>
        <v>ВЕРОЯТНОСТЬ  1  ВЛИЯНИЕ  1</v>
      </c>
      <c r="AB132" s="210">
        <f>IFERROR(INDEX('РЕЕСТР РИСКОВ_2023'!$K$39:$AQ$272,MATCH(Check!Z132,'РЕЕСТР РИСКОВ_2023'!$Q$39:$Q$272,0),14),"")</f>
        <v>0</v>
      </c>
      <c r="AC132" s="264">
        <f>IFERROR(INDEX('РЕЕСТР РИСКОВ_2023'!$K$39:$AQ$272,MATCH(Check!Z132,'РЕЕСТР РИСКОВ_2023'!$Q$39:$Q$272,0),15),"")</f>
        <v>0.2</v>
      </c>
      <c r="AD132" s="264">
        <f>IFERROR(INDEX('РЕЕСТР РИСКОВ_2023'!$K$39:$AQ$272,MATCH(Check!Z132,'РЕЕСТР РИСКОВ_2023'!$Q$39:$Q$272,0),16),"")</f>
        <v>0</v>
      </c>
      <c r="AE132" s="264">
        <f>IFERROR(INDEX('РЕЕСТР РИСКОВ_2023'!$K$39:$AQ$272,MATCH(Check!Z132,'РЕЕСТР РИСКОВ_2023'!$Q$39:$Q$272,0),30),"")</f>
        <v>0</v>
      </c>
    </row>
    <row r="133" spans="25:31">
      <c r="Z133" s="126" t="s">
        <v>652</v>
      </c>
      <c r="AA133" s="360" t="str">
        <f>"ВЕРОЯТНОСТЬ  "&amp;IF(AB133&lt;0.05,1,IF((AB133&gt;=0.05)*(AB133&lt;0.25),2,IF((AB133&gt;=0.25)*(AB133&lt;0.5),3,IF((AB133&gt;=0.5)*(AB133&lt;0.75),4,5))))&amp;"  ВЛИЯНИЕ  "&amp;IF(AC133&gt;-200,1,IF((AC133&lt;=-200)*(AC133&gt;-500),2,IF((AC133&lt;=-500)*(AC133&gt;-1000),3,IF((AC133&lt;=-1000)*(AC133&gt;-3000),4,5))))</f>
        <v>ВЕРОЯТНОСТЬ  1  ВЛИЯНИЕ  1</v>
      </c>
      <c r="AB133" s="210">
        <f>IFERROR(INDEX('РЕЕСТР РИСКОВ_2023'!$K$39:$AQ$272,MATCH(Check!Z133,'РЕЕСТР РИСКОВ_2023'!$Q$39:$Q$272,0),14),"")</f>
        <v>0</v>
      </c>
      <c r="AC133" s="264">
        <f>IFERROR(INDEX('РЕЕСТР РИСКОВ_2023'!$K$39:$AQ$272,MATCH(Check!Z133,'РЕЕСТР РИСКОВ_2023'!$Q$39:$Q$272,0),15),"")</f>
        <v>0.5</v>
      </c>
      <c r="AD133" s="264">
        <f>IFERROR(INDEX('РЕЕСТР РИСКОВ_2023'!$K$39:$AQ$272,MATCH(Check!Z133,'РЕЕСТР РИСКОВ_2023'!$Q$39:$Q$272,0),16),"")</f>
        <v>0</v>
      </c>
      <c r="AE133" s="264">
        <f>IFERROR(INDEX('РЕЕСТР РИСКОВ_2023'!$K$39:$AQ$272,MATCH(Check!Z133,'РЕЕСТР РИСКОВ_2023'!$Q$39:$Q$272,0),30),"")</f>
        <v>0</v>
      </c>
    </row>
    <row r="134" spans="25:31" ht="43.2">
      <c r="Z134" s="126" t="s">
        <v>653</v>
      </c>
    </row>
    <row r="135" spans="25:31">
      <c r="Z135" s="126" t="s">
        <v>654</v>
      </c>
    </row>
    <row r="136" spans="25:31" ht="28.8">
      <c r="Z136" s="126" t="s">
        <v>655</v>
      </c>
    </row>
    <row r="137" spans="25:31">
      <c r="Y137" t="s">
        <v>612</v>
      </c>
      <c r="Z137" s="126" t="s">
        <v>656</v>
      </c>
      <c r="AA137" s="360" t="s">
        <v>609</v>
      </c>
      <c r="AB137" s="94">
        <v>1</v>
      </c>
      <c r="AC137">
        <v>-39097</v>
      </c>
      <c r="AD137">
        <v>-39097</v>
      </c>
      <c r="AE137">
        <v>-39097</v>
      </c>
    </row>
    <row r="138" spans="25:31">
      <c r="Y138" t="s">
        <v>613</v>
      </c>
      <c r="Z138" s="126" t="s">
        <v>657</v>
      </c>
      <c r="AA138" s="360" t="s">
        <v>609</v>
      </c>
      <c r="AB138" s="94">
        <v>0.9</v>
      </c>
      <c r="AC138">
        <v>-3877</v>
      </c>
      <c r="AD138">
        <v>-3489.3</v>
      </c>
      <c r="AE138">
        <v>0</v>
      </c>
    </row>
    <row r="139" spans="25:31">
      <c r="Y139" t="s">
        <v>614</v>
      </c>
      <c r="Z139" s="126" t="s">
        <v>658</v>
      </c>
      <c r="AA139" s="360" t="s">
        <v>609</v>
      </c>
      <c r="AB139" s="94">
        <v>0.85</v>
      </c>
      <c r="AC139">
        <v>-3339</v>
      </c>
      <c r="AD139">
        <v>-2838.15</v>
      </c>
      <c r="AE139">
        <v>-34.375</v>
      </c>
    </row>
    <row r="140" spans="25:31">
      <c r="Y140" t="s">
        <v>615</v>
      </c>
      <c r="Z140" s="126" t="s">
        <v>818</v>
      </c>
      <c r="AA140" s="360" t="s">
        <v>622</v>
      </c>
      <c r="AB140" s="94">
        <v>0.7</v>
      </c>
      <c r="AC140">
        <v>-705</v>
      </c>
      <c r="AD140">
        <v>-493.49999999999994</v>
      </c>
      <c r="AE140">
        <v>-3665.6847635224995</v>
      </c>
    </row>
    <row r="141" spans="25:31" ht="28.8">
      <c r="Y141" t="s">
        <v>616</v>
      </c>
      <c r="Z141" s="126" t="s">
        <v>660</v>
      </c>
      <c r="AA141" s="360" t="s">
        <v>621</v>
      </c>
      <c r="AB141" s="94">
        <v>0.72</v>
      </c>
      <c r="AC141">
        <v>-6475.58</v>
      </c>
      <c r="AD141">
        <v>-4662.4175999999998</v>
      </c>
      <c r="AE141">
        <v>-1000</v>
      </c>
    </row>
    <row r="142" spans="25:31">
      <c r="Z142" s="126" t="s">
        <v>819</v>
      </c>
      <c r="AA142" s="360" t="s">
        <v>609</v>
      </c>
      <c r="AB142" s="94">
        <v>0.8</v>
      </c>
      <c r="AC142">
        <v>-5000</v>
      </c>
      <c r="AD142">
        <v>-4000</v>
      </c>
      <c r="AE142">
        <v>-1233</v>
      </c>
    </row>
    <row r="143" spans="25:31">
      <c r="Z143" s="126" t="s">
        <v>662</v>
      </c>
      <c r="AA143" s="360" t="s">
        <v>609</v>
      </c>
      <c r="AB143" s="94">
        <v>1</v>
      </c>
      <c r="AC143">
        <v>-19386</v>
      </c>
      <c r="AD143">
        <v>-19386</v>
      </c>
      <c r="AE143">
        <v>-2838.15</v>
      </c>
    </row>
    <row r="144" spans="25:31">
      <c r="Z144" s="126" t="s">
        <v>820</v>
      </c>
      <c r="AA144" s="360" t="s">
        <v>619</v>
      </c>
      <c r="AB144" s="94">
        <v>0.5</v>
      </c>
      <c r="AC144">
        <v>-2200</v>
      </c>
      <c r="AD144">
        <v>-1100</v>
      </c>
      <c r="AE144">
        <v>-4250</v>
      </c>
    </row>
    <row r="145" spans="26:31">
      <c r="Z145" s="126" t="s">
        <v>821</v>
      </c>
      <c r="AA145" s="360" t="s">
        <v>609</v>
      </c>
      <c r="AB145" s="94">
        <v>1</v>
      </c>
      <c r="AC145">
        <v>-46285</v>
      </c>
      <c r="AD145">
        <v>-46285</v>
      </c>
      <c r="AE145">
        <v>-145.41380522794276</v>
      </c>
    </row>
    <row r="146" spans="26:31" ht="28.8">
      <c r="Z146" s="126" t="s">
        <v>664</v>
      </c>
      <c r="AA146" s="360" t="s">
        <v>619</v>
      </c>
      <c r="AB146" s="94">
        <v>0.5</v>
      </c>
      <c r="AC146">
        <v>-1070</v>
      </c>
      <c r="AD146">
        <v>-535</v>
      </c>
      <c r="AE146">
        <v>-1925.6000000000001</v>
      </c>
    </row>
    <row r="147" spans="26:31" ht="28.8">
      <c r="Z147" s="126" t="s">
        <v>666</v>
      </c>
      <c r="AA147" s="360" t="s">
        <v>609</v>
      </c>
      <c r="AB147" s="94">
        <v>1</v>
      </c>
      <c r="AC147">
        <v>-29500</v>
      </c>
      <c r="AD147">
        <v>-29500</v>
      </c>
      <c r="AE147">
        <v>-5000</v>
      </c>
    </row>
    <row r="148" spans="26:31">
      <c r="Z148" t="s">
        <v>670</v>
      </c>
      <c r="AA148" s="360" t="s">
        <v>609</v>
      </c>
      <c r="AB148" s="94">
        <v>0.95</v>
      </c>
      <c r="AC148">
        <v>-3858.6155405499994</v>
      </c>
      <c r="AD148">
        <v>-3665.6847635224995</v>
      </c>
      <c r="AE148">
        <v>-15078.400000000001</v>
      </c>
    </row>
    <row r="149" spans="26:31">
      <c r="Z149" t="s">
        <v>667</v>
      </c>
      <c r="AA149" s="360" t="s">
        <v>617</v>
      </c>
      <c r="AB149" s="94">
        <v>0.8</v>
      </c>
      <c r="AC149">
        <v>-2407</v>
      </c>
      <c r="AD149">
        <v>-1925.6000000000001</v>
      </c>
      <c r="AE149">
        <v>-19386</v>
      </c>
    </row>
    <row r="150" spans="26:31">
      <c r="Z150" t="s">
        <v>668</v>
      </c>
      <c r="AA150" s="360" t="s">
        <v>609</v>
      </c>
      <c r="AB150" s="94">
        <v>0.8</v>
      </c>
      <c r="AC150">
        <v>-18848</v>
      </c>
      <c r="AD150">
        <v>-15078.400000000001</v>
      </c>
      <c r="AE150">
        <v>-29500</v>
      </c>
    </row>
    <row r="151" spans="26:31">
      <c r="Z151" t="s">
        <v>822</v>
      </c>
      <c r="AA151" s="360" t="s">
        <v>617</v>
      </c>
      <c r="AB151" s="94">
        <v>1</v>
      </c>
      <c r="AC151">
        <v>-1233</v>
      </c>
      <c r="AD151">
        <v>-1233</v>
      </c>
      <c r="AE151">
        <v>-845.37480207149997</v>
      </c>
    </row>
    <row r="152" spans="26:31">
      <c r="Z152" t="s">
        <v>671</v>
      </c>
      <c r="AA152" s="360" t="s">
        <v>617</v>
      </c>
      <c r="AB152" s="94">
        <v>0.8</v>
      </c>
      <c r="AC152">
        <v>-2669.6403372047098</v>
      </c>
      <c r="AD152">
        <v>-2669.6403372047098</v>
      </c>
      <c r="AE152">
        <v>0</v>
      </c>
    </row>
    <row r="153" spans="26:31">
      <c r="Z153" t="s">
        <v>672</v>
      </c>
      <c r="AA153" s="360" t="s">
        <v>622</v>
      </c>
      <c r="AB153" s="94">
        <v>0.6</v>
      </c>
      <c r="AC153">
        <v>-969.42536818628503</v>
      </c>
      <c r="AD153">
        <v>-969.42536818628503</v>
      </c>
      <c r="AE153" t="s">
        <v>578</v>
      </c>
    </row>
    <row r="154" spans="26:31">
      <c r="Z154" t="s">
        <v>673</v>
      </c>
      <c r="AA154" s="360" t="s">
        <v>621</v>
      </c>
      <c r="AB154" s="94">
        <v>0.5</v>
      </c>
      <c r="AC154">
        <v>-76000</v>
      </c>
      <c r="AD154">
        <v>-38000</v>
      </c>
      <c r="AE154">
        <v>-1100</v>
      </c>
    </row>
    <row r="155" spans="26:31">
      <c r="Z155" t="s">
        <v>674</v>
      </c>
      <c r="AA155" s="360" t="s">
        <v>618</v>
      </c>
      <c r="AB155" s="94">
        <v>0.25</v>
      </c>
      <c r="AC155">
        <v>-550</v>
      </c>
      <c r="AD155">
        <v>-137.5</v>
      </c>
      <c r="AE155">
        <v>-46285</v>
      </c>
    </row>
    <row r="156" spans="26:31">
      <c r="Z156" t="s">
        <v>675</v>
      </c>
      <c r="AA156" s="360" t="s">
        <v>620</v>
      </c>
      <c r="AB156" s="94">
        <v>0.25</v>
      </c>
      <c r="AC156">
        <v>-20000</v>
      </c>
      <c r="AD156">
        <v>-5000</v>
      </c>
      <c r="AE156">
        <v>-4001.3449999999998</v>
      </c>
    </row>
    <row r="157" spans="26:31">
      <c r="Z157" t="s">
        <v>676</v>
      </c>
      <c r="AA157" s="360" t="s">
        <v>620</v>
      </c>
      <c r="AB157" s="94">
        <v>0.25</v>
      </c>
      <c r="AC157">
        <v>-17000</v>
      </c>
      <c r="AD157">
        <v>-4250</v>
      </c>
      <c r="AE157">
        <v>-535</v>
      </c>
    </row>
    <row r="158" spans="26:31">
      <c r="Z158" t="s">
        <v>677</v>
      </c>
      <c r="AA158" s="360" t="s">
        <v>617</v>
      </c>
      <c r="AB158" s="94">
        <v>0.95</v>
      </c>
      <c r="AC158">
        <v>-1173</v>
      </c>
      <c r="AD158">
        <v>-1114.3499999999999</v>
      </c>
      <c r="AE158">
        <v>-533.92806744094196</v>
      </c>
    </row>
    <row r="159" spans="26:31">
      <c r="Z159" t="s">
        <v>678</v>
      </c>
      <c r="AA159" s="360" t="s">
        <v>609</v>
      </c>
      <c r="AB159" s="94">
        <v>0.9</v>
      </c>
      <c r="AC159">
        <v>-3757.2213425399996</v>
      </c>
      <c r="AD159">
        <v>-3381.4992082859999</v>
      </c>
      <c r="AE159">
        <v>-3151.75</v>
      </c>
    </row>
    <row r="160" spans="26:31">
      <c r="Z160" t="s">
        <v>823</v>
      </c>
      <c r="AA160" s="360" t="s">
        <v>620</v>
      </c>
      <c r="AB160" s="94">
        <v>0.25</v>
      </c>
      <c r="AC160">
        <v>-3100</v>
      </c>
      <c r="AD160">
        <v>-775</v>
      </c>
      <c r="AE160">
        <v>-123.37499999999999</v>
      </c>
    </row>
    <row r="161" spans="26:31">
      <c r="Z161" t="s">
        <v>824</v>
      </c>
      <c r="AA161" s="360" t="s">
        <v>620</v>
      </c>
      <c r="AB161" s="94">
        <v>0.47</v>
      </c>
      <c r="AC161">
        <v>-34054</v>
      </c>
      <c r="AD161">
        <v>-16005.38</v>
      </c>
      <c r="AE161">
        <v>-1114.3499999999999</v>
      </c>
    </row>
    <row r="162" spans="26:31">
      <c r="Z162" t="s">
        <v>682</v>
      </c>
      <c r="AA162" s="360" t="s">
        <v>609</v>
      </c>
      <c r="AB162" s="94">
        <v>1</v>
      </c>
      <c r="AC162">
        <v>-12607</v>
      </c>
      <c r="AD162">
        <v>-12607</v>
      </c>
      <c r="AE162">
        <v>-193.75</v>
      </c>
    </row>
    <row r="163" spans="26:31">
      <c r="Z163" t="s">
        <v>681</v>
      </c>
    </row>
    <row r="164" spans="26:31">
      <c r="Z164" t="s">
        <v>683</v>
      </c>
    </row>
    <row r="165" spans="26:31">
      <c r="Z165" t="s">
        <v>684</v>
      </c>
    </row>
    <row r="166" spans="26:31">
      <c r="Z166" t="s">
        <v>685</v>
      </c>
    </row>
    <row r="167" spans="26:31">
      <c r="Z167" s="126" t="s">
        <v>686</v>
      </c>
    </row>
    <row r="168" spans="26:31">
      <c r="Z168" s="126" t="s">
        <v>687</v>
      </c>
    </row>
    <row r="169" spans="26:31">
      <c r="Z169" t="s">
        <v>688</v>
      </c>
    </row>
    <row r="170" spans="26:31">
      <c r="Z170" t="s">
        <v>689</v>
      </c>
    </row>
    <row r="171" spans="26:31">
      <c r="Z171" t="s">
        <v>690</v>
      </c>
    </row>
    <row r="172" spans="26:31">
      <c r="Z172" t="s">
        <v>691</v>
      </c>
    </row>
    <row r="173" spans="26:31">
      <c r="Z173" t="s">
        <v>692</v>
      </c>
    </row>
    <row r="174" spans="26:31">
      <c r="Z174" t="s">
        <v>693</v>
      </c>
    </row>
    <row r="175" spans="26:31">
      <c r="Z175" t="s">
        <v>825</v>
      </c>
    </row>
    <row r="176" spans="26:31" ht="144">
      <c r="Z176" s="126" t="s">
        <v>1051</v>
      </c>
    </row>
    <row r="177" spans="26:26" ht="302.39999999999998">
      <c r="Z177" s="126" t="s">
        <v>1157</v>
      </c>
    </row>
    <row r="178" spans="26:26" ht="115.2">
      <c r="Z178" s="126" t="s">
        <v>1217</v>
      </c>
    </row>
    <row r="179" spans="26:26" ht="57.6">
      <c r="Z179" s="126" t="s">
        <v>1218</v>
      </c>
    </row>
    <row r="180" spans="26:26">
      <c r="Z180" t="s">
        <v>1012</v>
      </c>
    </row>
    <row r="181" spans="26:26">
      <c r="Z181" t="s">
        <v>1219</v>
      </c>
    </row>
    <row r="182" spans="26:26" ht="28.8">
      <c r="Z182" s="126" t="s">
        <v>1040</v>
      </c>
    </row>
    <row r="183" spans="26:26" ht="28.8">
      <c r="Z183" s="126" t="s">
        <v>1042</v>
      </c>
    </row>
    <row r="184" spans="26:26" ht="28.8">
      <c r="Z184" s="126" t="s">
        <v>1044</v>
      </c>
    </row>
    <row r="185" spans="26:26" ht="28.8">
      <c r="Z185" s="126" t="s">
        <v>1046</v>
      </c>
    </row>
    <row r="186" spans="26:26" ht="28.8">
      <c r="Z186" s="126" t="s">
        <v>1048</v>
      </c>
    </row>
    <row r="187" spans="26:26" ht="28.8">
      <c r="Z187" s="126" t="s">
        <v>1066</v>
      </c>
    </row>
    <row r="188" spans="26:26" ht="57.6">
      <c r="Z188" s="126" t="s">
        <v>1068</v>
      </c>
    </row>
    <row r="189" spans="26:26" ht="43.2">
      <c r="Z189" s="126" t="s">
        <v>46</v>
      </c>
    </row>
    <row r="190" spans="26:26" ht="72">
      <c r="Z190" s="126" t="s">
        <v>1664</v>
      </c>
    </row>
    <row r="191" spans="26:26" ht="43.2">
      <c r="Z191" s="126" t="s">
        <v>1665</v>
      </c>
    </row>
    <row r="192" spans="26:26" ht="28.8">
      <c r="Z192" s="126" t="s">
        <v>1566</v>
      </c>
    </row>
    <row r="193" spans="26:26" ht="28.8">
      <c r="Z193" s="126" t="s">
        <v>1569</v>
      </c>
    </row>
    <row r="194" spans="26:26">
      <c r="Z194" s="126" t="s">
        <v>1206</v>
      </c>
    </row>
    <row r="195" spans="26:26">
      <c r="Z195" s="126" t="s">
        <v>396</v>
      </c>
    </row>
    <row r="196" spans="26:26">
      <c r="Z196" s="126" t="s">
        <v>1335</v>
      </c>
    </row>
    <row r="197" spans="26:26">
      <c r="Z197" s="126" t="s">
        <v>1337</v>
      </c>
    </row>
    <row r="198" spans="26:26">
      <c r="Z198" s="126" t="s">
        <v>1618</v>
      </c>
    </row>
    <row r="199" spans="26:26">
      <c r="Z199" s="126" t="s">
        <v>1338</v>
      </c>
    </row>
    <row r="200" spans="26:26">
      <c r="Z200" s="126" t="s">
        <v>423</v>
      </c>
    </row>
    <row r="201" spans="26:26">
      <c r="Z201" s="126" t="s">
        <v>1539</v>
      </c>
    </row>
    <row r="202" spans="26:26">
      <c r="Z202" s="126" t="s">
        <v>1540</v>
      </c>
    </row>
    <row r="203" spans="26:26">
      <c r="Z203" t="s">
        <v>392</v>
      </c>
    </row>
    <row r="204" spans="26:26">
      <c r="Z204" s="126" t="s">
        <v>1335</v>
      </c>
    </row>
    <row r="205" spans="26:26">
      <c r="Z205" t="s">
        <v>1337</v>
      </c>
    </row>
    <row r="206" spans="26:26">
      <c r="Z206" t="s">
        <v>1338</v>
      </c>
    </row>
    <row r="207" spans="26:26">
      <c r="Z207" t="s">
        <v>423</v>
      </c>
    </row>
    <row r="208" spans="26:26">
      <c r="Z208" t="s">
        <v>1344</v>
      </c>
    </row>
  </sheetData>
  <autoFilter ref="T4:AE133"/>
  <mergeCells count="6">
    <mergeCell ref="AI2:AL2"/>
    <mergeCell ref="AI16:AL16"/>
    <mergeCell ref="AI30:AL30"/>
    <mergeCell ref="AH41:AK41"/>
    <mergeCell ref="M3:N3"/>
    <mergeCell ref="P3:Q3"/>
  </mergeCells>
  <conditionalFormatting sqref="C4">
    <cfRule type="cellIs" dxfId="84" priority="120" operator="between">
      <formula>0.75</formula>
      <formula>1</formula>
    </cfRule>
    <cfRule type="cellIs" dxfId="83" priority="121" operator="between">
      <formula>0.5</formula>
      <formula>0.74</formula>
    </cfRule>
    <cfRule type="cellIs" dxfId="82" priority="122" operator="between">
      <formula>0.25</formula>
      <formula>0.49</formula>
    </cfRule>
    <cfRule type="cellIs" dxfId="81" priority="123" operator="between">
      <formula>0.01</formula>
      <formula>0.24</formula>
    </cfRule>
  </conditionalFormatting>
  <conditionalFormatting sqref="C5 C8">
    <cfRule type="cellIs" dxfId="80" priority="116" operator="between">
      <formula>0.75</formula>
      <formula>1</formula>
    </cfRule>
    <cfRule type="cellIs" dxfId="79" priority="117" operator="between">
      <formula>0.5</formula>
      <formula>0.74</formula>
    </cfRule>
    <cfRule type="cellIs" dxfId="78" priority="118" operator="between">
      <formula>0.25</formula>
      <formula>0.49</formula>
    </cfRule>
    <cfRule type="cellIs" dxfId="77" priority="119" operator="between">
      <formula>0.01</formula>
      <formula>0.24</formula>
    </cfRule>
  </conditionalFormatting>
  <conditionalFormatting sqref="C38">
    <cfRule type="cellIs" dxfId="76" priority="107" operator="between">
      <formula>0.75</formula>
      <formula>1</formula>
    </cfRule>
    <cfRule type="cellIs" dxfId="75" priority="108" operator="between">
      <formula>0.5</formula>
      <formula>0.74</formula>
    </cfRule>
    <cfRule type="cellIs" dxfId="74" priority="109" operator="between">
      <formula>0.25</formula>
      <formula>0.49</formula>
    </cfRule>
    <cfRule type="cellIs" dxfId="73" priority="110" operator="between">
      <formula>0.01</formula>
      <formula>0.24</formula>
    </cfRule>
  </conditionalFormatting>
  <conditionalFormatting sqref="C73:C109 C39:C70">
    <cfRule type="cellIs" dxfId="72" priority="103" operator="between">
      <formula>0.75</formula>
      <formula>1</formula>
    </cfRule>
    <cfRule type="cellIs" dxfId="71" priority="104" operator="between">
      <formula>0.5</formula>
      <formula>0.74</formula>
    </cfRule>
    <cfRule type="cellIs" dxfId="70" priority="105" operator="between">
      <formula>0.25</formula>
      <formula>0.49</formula>
    </cfRule>
    <cfRule type="cellIs" dxfId="69" priority="106" operator="between">
      <formula>0.01</formula>
      <formula>0.24</formula>
    </cfRule>
  </conditionalFormatting>
  <conditionalFormatting sqref="D8:E8 F6:F8 F10:F13 F21:F31 F15:F19 D4:F5">
    <cfRule type="cellIs" dxfId="68" priority="98" operator="lessThan">
      <formula>-3000</formula>
    </cfRule>
    <cfRule type="cellIs" dxfId="67" priority="99" operator="between">
      <formula>-1001</formula>
      <formula>-3000</formula>
    </cfRule>
    <cfRule type="cellIs" dxfId="66" priority="100" operator="between">
      <formula>-501</formula>
      <formula>-1000</formula>
    </cfRule>
    <cfRule type="cellIs" dxfId="65" priority="101" operator="between">
      <formula>-201</formula>
      <formula>-500</formula>
    </cfRule>
    <cfRule type="cellIs" dxfId="64" priority="102" operator="between">
      <formula>0</formula>
      <formula>-200</formula>
    </cfRule>
  </conditionalFormatting>
  <conditionalFormatting sqref="D38:E70 D73:E109">
    <cfRule type="cellIs" dxfId="63" priority="93" operator="lessThan">
      <formula>-3000</formula>
    </cfRule>
    <cfRule type="cellIs" dxfId="62" priority="94" operator="between">
      <formula>-1001</formula>
      <formula>-3000</formula>
    </cfRule>
    <cfRule type="cellIs" dxfId="61" priority="95" operator="between">
      <formula>-501</formula>
      <formula>-1000</formula>
    </cfRule>
    <cfRule type="cellIs" dxfId="60" priority="96" operator="between">
      <formula>-201</formula>
      <formula>-500</formula>
    </cfRule>
    <cfRule type="cellIs" dxfId="59" priority="97" operator="between">
      <formula>0</formula>
      <formula>-200</formula>
    </cfRule>
  </conditionalFormatting>
  <conditionalFormatting sqref="C71:C72">
    <cfRule type="cellIs" dxfId="58" priority="89" operator="between">
      <formula>0.75</formula>
      <formula>1</formula>
    </cfRule>
    <cfRule type="cellIs" dxfId="57" priority="90" operator="between">
      <formula>0.5</formula>
      <formula>0.74</formula>
    </cfRule>
    <cfRule type="cellIs" dxfId="56" priority="91" operator="between">
      <formula>0.25</formula>
      <formula>0.49</formula>
    </cfRule>
    <cfRule type="cellIs" dxfId="55" priority="92" operator="between">
      <formula>0.01</formula>
      <formula>0.24</formula>
    </cfRule>
  </conditionalFormatting>
  <conditionalFormatting sqref="D71:E72">
    <cfRule type="cellIs" dxfId="54" priority="84" operator="lessThan">
      <formula>-3000</formula>
    </cfRule>
    <cfRule type="cellIs" dxfId="53" priority="85" operator="between">
      <formula>-1001</formula>
      <formula>-3000</formula>
    </cfRule>
    <cfRule type="cellIs" dxfId="52" priority="86" operator="between">
      <formula>-501</formula>
      <formula>-1000</formula>
    </cfRule>
    <cfRule type="cellIs" dxfId="51" priority="87" operator="between">
      <formula>-201</formula>
      <formula>-500</formula>
    </cfRule>
    <cfRule type="cellIs" dxfId="50" priority="88" operator="between">
      <formula>0</formula>
      <formula>-200</formula>
    </cfRule>
  </conditionalFormatting>
  <conditionalFormatting sqref="AA4:AA133">
    <cfRule type="containsText" dxfId="49" priority="79" operator="containsText" text="ВЕРОЯТНОСТЬ  5  ВЛИЯНИЕ  5">
      <formula>NOT(ISERROR(SEARCH("ВЕРОЯТНОСТЬ  5  ВЛИЯНИЕ  5",AA4)))</formula>
    </cfRule>
  </conditionalFormatting>
  <conditionalFormatting sqref="AA4:AA133">
    <cfRule type="containsText" dxfId="48" priority="77" operator="containsText" text="ВЕРОЯТНОСТЬ  4  ВЛИЯНИЕ  5">
      <formula>NOT(ISERROR(SEARCH("ВЕРОЯТНОСТЬ  4  ВЛИЯНИЕ  5",AA4)))</formula>
    </cfRule>
    <cfRule type="containsText" dxfId="47" priority="78" operator="containsText" text="ВЕРОЯТНОСТЬ  5  ВЛИЯНИЕ  4">
      <formula>NOT(ISERROR(SEARCH("ВЕРОЯТНОСТЬ  5  ВЛИЯНИЕ  4",AA4)))</formula>
    </cfRule>
  </conditionalFormatting>
  <conditionalFormatting sqref="AA4:AA133">
    <cfRule type="containsText" dxfId="46" priority="71" operator="containsText" text="ВЕРОЯТНОСТЬ  4  ВЛИЯНИЕ  3">
      <formula>NOT(ISERROR(SEARCH("ВЕРОЯТНОСТЬ  4  ВЛИЯНИЕ  3",AA4)))</formula>
    </cfRule>
    <cfRule type="containsText" dxfId="45" priority="72" operator="containsText" text="ВЕРОЯТНОСТЬ  3  ВЛИЯНИЕ  4">
      <formula>NOT(ISERROR(SEARCH("ВЕРОЯТНОСТЬ  3  ВЛИЯНИЕ  4",AA4)))</formula>
    </cfRule>
    <cfRule type="containsText" dxfId="44" priority="73" operator="containsText" text="ВЕРОЯТНОСТЬ  3  ВЛИЯНИЕ  3">
      <formula>NOT(ISERROR(SEARCH("ВЕРОЯТНОСТЬ  3  ВЛИЯНИЕ  3",AA4)))</formula>
    </cfRule>
    <cfRule type="containsText" dxfId="43" priority="74" operator="containsText" text="ВЕРОЯТНОСТЬ  4  ВЛИЯНИЕ  4">
      <formula>NOT(ISERROR(SEARCH("ВЕРОЯТНОСТЬ  4  ВЛИЯНИЕ  4",AA4)))</formula>
    </cfRule>
    <cfRule type="containsText" dxfId="42" priority="75" operator="containsText" text="ВЕРОЯТНОСТЬ  5  ВЛИЯНИЕ  3">
      <formula>NOT(ISERROR(SEARCH("ВЕРОЯТНОСТЬ  5  ВЛИЯНИЕ  3",AA4)))</formula>
    </cfRule>
    <cfRule type="containsText" dxfId="41" priority="76" operator="containsText" text="ВЕРОЯТНОСТЬ  3  ВЛИЯНИЕ  5">
      <formula>NOT(ISERROR(SEARCH("ВЕРОЯТНОСТЬ  3  ВЛИЯНИЕ  5",AA4)))</formula>
    </cfRule>
  </conditionalFormatting>
  <conditionalFormatting sqref="AA137:AA162">
    <cfRule type="containsText" dxfId="40" priority="70" operator="containsText" text="ВЕРОЯТНОСТЬ  5  ВЛИЯНИЕ  5">
      <formula>NOT(ISERROR(SEARCH("ВЕРОЯТНОСТЬ  5  ВЛИЯНИЕ  5",AA137)))</formula>
    </cfRule>
  </conditionalFormatting>
  <conditionalFormatting sqref="AA137:AA162">
    <cfRule type="containsText" dxfId="39" priority="68" operator="containsText" text="ВЕРОЯТНОСТЬ  4  ВЛИЯНИЕ  5">
      <formula>NOT(ISERROR(SEARCH("ВЕРОЯТНОСТЬ  4  ВЛИЯНИЕ  5",AA137)))</formula>
    </cfRule>
    <cfRule type="containsText" dxfId="38" priority="69" operator="containsText" text="ВЕРОЯТНОСТЬ  5  ВЛИЯНИЕ  4">
      <formula>NOT(ISERROR(SEARCH("ВЕРОЯТНОСТЬ  5  ВЛИЯНИЕ  4",AA137)))</formula>
    </cfRule>
  </conditionalFormatting>
  <conditionalFormatting sqref="AA137:AA162">
    <cfRule type="containsText" dxfId="37" priority="62" operator="containsText" text="ВЕРОЯТНОСТЬ  4  ВЛИЯНИЕ  3">
      <formula>NOT(ISERROR(SEARCH("ВЕРОЯТНОСТЬ  4  ВЛИЯНИЕ  3",AA137)))</formula>
    </cfRule>
    <cfRule type="containsText" dxfId="36" priority="63" operator="containsText" text="ВЕРОЯТНОСТЬ  3  ВЛИЯНИЕ  4">
      <formula>NOT(ISERROR(SEARCH("ВЕРОЯТНОСТЬ  3  ВЛИЯНИЕ  4",AA137)))</formula>
    </cfRule>
    <cfRule type="containsText" dxfId="35" priority="64" operator="containsText" text="ВЕРОЯТНОСТЬ  3  ВЛИЯНИЕ  3">
      <formula>NOT(ISERROR(SEARCH("ВЕРОЯТНОСТЬ  3  ВЛИЯНИЕ  3",AA137)))</formula>
    </cfRule>
    <cfRule type="containsText" dxfId="34" priority="65" operator="containsText" text="ВЕРОЯТНОСТЬ  4  ВЛИЯНИЕ  4">
      <formula>NOT(ISERROR(SEARCH("ВЕРОЯТНОСТЬ  4  ВЛИЯНИЕ  4",AA137)))</formula>
    </cfRule>
    <cfRule type="containsText" dxfId="33" priority="66" operator="containsText" text="ВЕРОЯТНОСТЬ  5  ВЛИЯНИЕ  3">
      <formula>NOT(ISERROR(SEARCH("ВЕРОЯТНОСТЬ  5  ВЛИЯНИЕ  3",AA137)))</formula>
    </cfRule>
    <cfRule type="containsText" dxfId="32" priority="67" operator="containsText" text="ВЕРОЯТНОСТЬ  3  ВЛИЯНИЕ  5">
      <formula>NOT(ISERROR(SEARCH("ВЕРОЯТНОСТЬ  3  ВЛИЯНИЕ  5",AA137)))</formula>
    </cfRule>
  </conditionalFormatting>
  <conditionalFormatting sqref="C6:C7">
    <cfRule type="cellIs" dxfId="31" priority="28" operator="between">
      <formula>0.75</formula>
      <formula>1</formula>
    </cfRule>
    <cfRule type="cellIs" dxfId="30" priority="29" operator="between">
      <formula>0.5</formula>
      <formula>0.74</formula>
    </cfRule>
    <cfRule type="cellIs" dxfId="29" priority="30" operator="between">
      <formula>0.25</formula>
      <formula>0.49</formula>
    </cfRule>
    <cfRule type="cellIs" dxfId="28" priority="31" operator="between">
      <formula>0.01</formula>
      <formula>0.24</formula>
    </cfRule>
  </conditionalFormatting>
  <conditionalFormatting sqref="D6:E7">
    <cfRule type="cellIs" dxfId="27" priority="23" operator="lessThan">
      <formula>-3000</formula>
    </cfRule>
    <cfRule type="cellIs" dxfId="26" priority="24" operator="between">
      <formula>-1001</formula>
      <formula>-3000</formula>
    </cfRule>
    <cfRule type="cellIs" dxfId="25" priority="25" operator="between">
      <formula>-501</formula>
      <formula>-1000</formula>
    </cfRule>
    <cfRule type="cellIs" dxfId="24" priority="26" operator="between">
      <formula>-201</formula>
      <formula>-500</formula>
    </cfRule>
    <cfRule type="cellIs" dxfId="23" priority="27" operator="between">
      <formula>0</formula>
      <formula>-200</formula>
    </cfRule>
  </conditionalFormatting>
  <conditionalFormatting sqref="C22:C31 C10:C19">
    <cfRule type="cellIs" dxfId="22" priority="19" operator="between">
      <formula>0.75</formula>
      <formula>1</formula>
    </cfRule>
    <cfRule type="cellIs" dxfId="21" priority="20" operator="between">
      <formula>0.5</formula>
      <formula>0.74</formula>
    </cfRule>
    <cfRule type="cellIs" dxfId="20" priority="21" operator="between">
      <formula>0.25</formula>
      <formula>0.49</formula>
    </cfRule>
    <cfRule type="cellIs" dxfId="19" priority="22" operator="between">
      <formula>0.01</formula>
      <formula>0.24</formula>
    </cfRule>
  </conditionalFormatting>
  <conditionalFormatting sqref="C21:E21 D22:D31 E15 E9:F9 D9:D20 D20:F20 E14:F14">
    <cfRule type="cellIs" dxfId="18" priority="14" operator="lessThan">
      <formula>-3000</formula>
    </cfRule>
    <cfRule type="cellIs" dxfId="17" priority="15" operator="between">
      <formula>-1001</formula>
      <formula>-3000</formula>
    </cfRule>
    <cfRule type="cellIs" dxfId="16" priority="16" operator="between">
      <formula>-501</formula>
      <formula>-1000</formula>
    </cfRule>
    <cfRule type="cellIs" dxfId="15" priority="17" operator="between">
      <formula>-201</formula>
      <formula>-500</formula>
    </cfRule>
    <cfRule type="cellIs" dxfId="14" priority="18" operator="between">
      <formula>0</formula>
      <formula>-200</formula>
    </cfRule>
  </conditionalFormatting>
  <conditionalFormatting sqref="E10:E13 E22:E31 E16:E19">
    <cfRule type="cellIs" dxfId="13" priority="9" operator="lessThan">
      <formula>-3000</formula>
    </cfRule>
    <cfRule type="cellIs" dxfId="12" priority="10" operator="between">
      <formula>-1001</formula>
      <formula>-3000</formula>
    </cfRule>
    <cfRule type="cellIs" dxfId="11" priority="11" operator="between">
      <formula>-501</formula>
      <formula>-1000</formula>
    </cfRule>
    <cfRule type="cellIs" dxfId="10" priority="12" operator="between">
      <formula>-201</formula>
      <formula>-500</formula>
    </cfRule>
    <cfRule type="cellIs" dxfId="9" priority="13" operator="between">
      <formula>0</formula>
      <formula>-200</formula>
    </cfRule>
  </conditionalFormatting>
  <conditionalFormatting sqref="C9">
    <cfRule type="cellIs" dxfId="8" priority="5" operator="between">
      <formula>0.75</formula>
      <formula>1</formula>
    </cfRule>
    <cfRule type="cellIs" dxfId="7" priority="6" operator="between">
      <formula>0.5</formula>
      <formula>0.74</formula>
    </cfRule>
    <cfRule type="cellIs" dxfId="6" priority="7" operator="between">
      <formula>0.25</formula>
      <formula>0.49</formula>
    </cfRule>
    <cfRule type="cellIs" dxfId="5" priority="8" operator="between">
      <formula>0.01</formula>
      <formula>0.24</formula>
    </cfRule>
  </conditionalFormatting>
  <conditionalFormatting sqref="C20">
    <cfRule type="cellIs" dxfId="4" priority="1" operator="between">
      <formula>0.75</formula>
      <formula>1</formula>
    </cfRule>
    <cfRule type="cellIs" dxfId="3" priority="2" operator="between">
      <formula>0.5</formula>
      <formula>0.74</formula>
    </cfRule>
    <cfRule type="cellIs" dxfId="2" priority="3" operator="between">
      <formula>0.25</formula>
      <formula>0.49</formula>
    </cfRule>
    <cfRule type="cellIs" dxfId="1" priority="4" operator="between">
      <formula>0.01</formula>
      <formula>0.24</formula>
    </cfRule>
  </conditionalFormatting>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9394" r:id="rId5" name="Check Box 2">
              <controlPr defaultSize="0" autoFill="0" autoLine="0" autoPict="0">
                <anchor moveWithCells="1">
                  <from>
                    <xdr:col>33</xdr:col>
                    <xdr:colOff>304800</xdr:colOff>
                    <xdr:row>1</xdr:row>
                    <xdr:rowOff>68580</xdr:rowOff>
                  </from>
                  <to>
                    <xdr:col>34</xdr:col>
                    <xdr:colOff>106680</xdr:colOff>
                    <xdr:row>1</xdr:row>
                    <xdr:rowOff>289560</xdr:rowOff>
                  </to>
                </anchor>
              </controlPr>
            </control>
          </mc:Choice>
        </mc:AlternateContent>
      </controls>
    </mc:Choice>
  </mc:AlternateContent>
  <tableParts count="1">
    <tablePart r:id="rId6"/>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FBF1487-7B3E-4D40-811A-7CC76EA0303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11</vt:i4>
      </vt:variant>
    </vt:vector>
  </HeadingPairs>
  <TitlesOfParts>
    <vt:vector size="11" baseType="lpstr">
      <vt:lpstr>Лист3</vt:lpstr>
      <vt:lpstr>ПАНЕЛЬ ИНСТРУМЕНТОВ РИСКОВ</vt:lpstr>
      <vt:lpstr>РЕЕСТР РИСКОВ_2023</vt:lpstr>
      <vt:lpstr>Лист2</vt:lpstr>
      <vt:lpstr>INHERENT MAP</vt:lpstr>
      <vt:lpstr>PLAN@RISK</vt:lpstr>
      <vt:lpstr>CRITICAL RISK CATEGORY</vt:lpstr>
      <vt:lpstr>Forecast MAP (2)</vt:lpstr>
      <vt:lpstr>Для презы СД</vt:lpstr>
      <vt:lpstr>data dash</vt:lpstr>
      <vt:lpstr>Check</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Алия М Шманова</dc:creator>
  <cp:lastModifiedBy>ACER</cp:lastModifiedBy>
  <cp:lastPrinted>2023-01-23T06:25:06Z</cp:lastPrinted>
  <dcterms:created xsi:type="dcterms:W3CDTF">2020-04-29T07:00:29Z</dcterms:created>
  <dcterms:modified xsi:type="dcterms:W3CDTF">2023-04-25T12:54:23Z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6a195632-ad68-45a0-bb35-e38762c02f76</vt:lpwstr>
  </property>
</Properties>
</file>