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Урожайность" sheetId="1" r:id="rId1"/>
    <sheet name="Поект пок и NDVI" sheetId="2" r:id="rId2"/>
    <sheet name="Почва" sheetId="8" r:id="rId3"/>
    <sheet name="Заг4" sheetId="10" r:id="rId4"/>
    <sheet name="Заг5" sheetId="11" r:id="rId5"/>
    <sheet name="Заг6" sheetId="12" r:id="rId6"/>
    <sheet name="Заг 7" sheetId="13" r:id="rId7"/>
  </sheets>
  <calcPr calcId="145621"/>
</workbook>
</file>

<file path=xl/calcChain.xml><?xml version="1.0" encoding="utf-8"?>
<calcChain xmlns="http://schemas.openxmlformats.org/spreadsheetml/2006/main">
  <c r="Q61" i="13" l="1"/>
  <c r="D71" i="13"/>
  <c r="O66" i="12"/>
  <c r="C76" i="12"/>
  <c r="O70" i="11"/>
  <c r="C80" i="11"/>
  <c r="M60" i="10"/>
  <c r="P55" i="2"/>
  <c r="P54" i="2"/>
  <c r="P53" i="2"/>
  <c r="P52" i="2"/>
  <c r="B62" i="2"/>
  <c r="C62" i="2"/>
  <c r="D62" i="2"/>
  <c r="A62" i="2"/>
  <c r="B45" i="1" l="1"/>
  <c r="A45" i="1"/>
  <c r="I22" i="1"/>
  <c r="I23" i="1"/>
  <c r="I24" i="1"/>
  <c r="I25" i="1"/>
  <c r="I26" i="1"/>
  <c r="I27" i="1"/>
  <c r="I28" i="1"/>
  <c r="I29" i="1"/>
  <c r="I30" i="1"/>
  <c r="I21" i="1"/>
  <c r="I31" i="1"/>
  <c r="H31" i="1"/>
  <c r="G31" i="1"/>
  <c r="D30" i="1"/>
  <c r="C30" i="1"/>
  <c r="B30" i="1"/>
  <c r="D29" i="1"/>
  <c r="D28" i="1"/>
  <c r="D27" i="1"/>
  <c r="D26" i="1"/>
  <c r="D25" i="1"/>
  <c r="D24" i="1"/>
  <c r="D23" i="1"/>
  <c r="D22" i="1"/>
  <c r="D21" i="1"/>
  <c r="I14" i="1"/>
  <c r="I13" i="1"/>
  <c r="I12" i="1"/>
  <c r="I11" i="1"/>
  <c r="I10" i="1"/>
  <c r="I9" i="1"/>
  <c r="I8" i="1"/>
  <c r="I7" i="1"/>
  <c r="I6" i="1"/>
  <c r="I5" i="1"/>
  <c r="H14" i="1"/>
  <c r="G14" i="1"/>
  <c r="D6" i="1"/>
  <c r="D7" i="1"/>
  <c r="D8" i="1"/>
  <c r="D9" i="1"/>
  <c r="D10" i="1"/>
  <c r="D11" i="1"/>
  <c r="D12" i="1"/>
  <c r="D13" i="1"/>
  <c r="D14" i="1"/>
  <c r="D5" i="1"/>
  <c r="D15" i="1" s="1"/>
  <c r="C15" i="1"/>
  <c r="B15" i="1"/>
  <c r="L68" i="11" l="1"/>
  <c r="B17" i="11"/>
  <c r="E17" i="11"/>
  <c r="P17" i="11"/>
  <c r="E18" i="11"/>
  <c r="P18" i="11"/>
  <c r="E19" i="11"/>
  <c r="P19" i="11"/>
  <c r="F61" i="11"/>
  <c r="F68" i="11" s="1"/>
  <c r="L57" i="13"/>
  <c r="K57" i="13"/>
  <c r="J57" i="13"/>
  <c r="I57" i="13"/>
  <c r="H57" i="13"/>
  <c r="G57" i="13"/>
  <c r="F57" i="13"/>
  <c r="E57" i="13"/>
  <c r="D57" i="13"/>
  <c r="M56" i="13"/>
  <c r="M55" i="13"/>
  <c r="M54" i="13"/>
  <c r="M53" i="13"/>
  <c r="M52" i="13"/>
  <c r="M51" i="13"/>
  <c r="M50" i="13"/>
  <c r="M49" i="13"/>
  <c r="M48" i="13"/>
  <c r="M47" i="13"/>
  <c r="M57" i="13" s="1"/>
  <c r="P41" i="13"/>
  <c r="E41" i="13"/>
  <c r="P40" i="13"/>
  <c r="E40" i="13"/>
  <c r="P39" i="13"/>
  <c r="E39" i="13"/>
  <c r="P37" i="13"/>
  <c r="E37" i="13"/>
  <c r="P36" i="13"/>
  <c r="E36" i="13"/>
  <c r="P35" i="13"/>
  <c r="E35" i="13"/>
  <c r="P34" i="13"/>
  <c r="E34" i="13"/>
  <c r="P33" i="13"/>
  <c r="P38" i="13" s="1"/>
  <c r="B33" i="13"/>
  <c r="E33" i="13" s="1"/>
  <c r="P31" i="13"/>
  <c r="E31" i="13"/>
  <c r="P30" i="13"/>
  <c r="E30" i="13"/>
  <c r="P29" i="13"/>
  <c r="E29" i="13"/>
  <c r="P28" i="13"/>
  <c r="P32" i="13" s="1"/>
  <c r="E28" i="13"/>
  <c r="B28" i="13"/>
  <c r="P26" i="13"/>
  <c r="E26" i="13"/>
  <c r="P25" i="13"/>
  <c r="E25" i="13"/>
  <c r="P24" i="13"/>
  <c r="P27" i="13" s="1"/>
  <c r="E24" i="13"/>
  <c r="B24" i="13"/>
  <c r="P22" i="13"/>
  <c r="E22" i="13"/>
  <c r="P21" i="13"/>
  <c r="E21" i="13"/>
  <c r="P20" i="13"/>
  <c r="P23" i="13" s="1"/>
  <c r="E20" i="13"/>
  <c r="P19" i="13"/>
  <c r="E19" i="13"/>
  <c r="B19" i="13"/>
  <c r="P17" i="13"/>
  <c r="E17" i="13"/>
  <c r="P16" i="13"/>
  <c r="E16" i="13"/>
  <c r="P15" i="13"/>
  <c r="P18" i="13" s="1"/>
  <c r="E15" i="13"/>
  <c r="B15" i="13"/>
  <c r="P13" i="13"/>
  <c r="P12" i="13"/>
  <c r="P11" i="13"/>
  <c r="P14" i="13" s="1"/>
  <c r="P9" i="13"/>
  <c r="P8" i="13"/>
  <c r="P7" i="13"/>
  <c r="P6" i="13"/>
  <c r="P5" i="13"/>
  <c r="M64" i="12"/>
  <c r="L64" i="12"/>
  <c r="K64" i="12"/>
  <c r="J64" i="12"/>
  <c r="I64" i="12"/>
  <c r="H64" i="12"/>
  <c r="G64" i="12"/>
  <c r="F64" i="12"/>
  <c r="E64" i="12"/>
  <c r="D64" i="12"/>
  <c r="N63" i="12"/>
  <c r="N62" i="12"/>
  <c r="N61" i="12"/>
  <c r="N60" i="12"/>
  <c r="N59" i="12"/>
  <c r="N58" i="12"/>
  <c r="N57" i="12"/>
  <c r="N56" i="12"/>
  <c r="N55" i="12"/>
  <c r="N54" i="12"/>
  <c r="N53" i="12"/>
  <c r="N64" i="12" s="1"/>
  <c r="P47" i="12"/>
  <c r="P48" i="12" s="1"/>
  <c r="E47" i="12"/>
  <c r="P46" i="12"/>
  <c r="E46" i="12"/>
  <c r="P45" i="12"/>
  <c r="E45" i="12"/>
  <c r="P44" i="12"/>
  <c r="E44" i="12"/>
  <c r="B44" i="12"/>
  <c r="P42" i="12"/>
  <c r="E42" i="12"/>
  <c r="P41" i="12"/>
  <c r="P43" i="12" s="1"/>
  <c r="E41" i="12"/>
  <c r="P40" i="12"/>
  <c r="E40" i="12"/>
  <c r="P39" i="12"/>
  <c r="E39" i="12"/>
  <c r="P38" i="12"/>
  <c r="E38" i="12"/>
  <c r="B38" i="12"/>
  <c r="P36" i="12"/>
  <c r="E36" i="12"/>
  <c r="P35" i="12"/>
  <c r="P37" i="12" s="1"/>
  <c r="E35" i="12"/>
  <c r="P34" i="12"/>
  <c r="E34" i="12"/>
  <c r="P33" i="12"/>
  <c r="E33" i="12"/>
  <c r="P32" i="12"/>
  <c r="E32" i="12"/>
  <c r="B32" i="12"/>
  <c r="P30" i="12"/>
  <c r="E30" i="12"/>
  <c r="P29" i="12"/>
  <c r="P31" i="12" s="1"/>
  <c r="E29" i="12"/>
  <c r="P28" i="12"/>
  <c r="E28" i="12"/>
  <c r="B28" i="12"/>
  <c r="P26" i="12"/>
  <c r="E26" i="12"/>
  <c r="P25" i="12"/>
  <c r="P27" i="12" s="1"/>
  <c r="E25" i="12"/>
  <c r="P24" i="12"/>
  <c r="E24" i="12"/>
  <c r="B24" i="12"/>
  <c r="P22" i="12"/>
  <c r="E22" i="12"/>
  <c r="P21" i="12"/>
  <c r="E21" i="12"/>
  <c r="P20" i="12"/>
  <c r="P23" i="12" s="1"/>
  <c r="E20" i="12"/>
  <c r="B20" i="12"/>
  <c r="P18" i="12"/>
  <c r="E18" i="12"/>
  <c r="P17" i="12"/>
  <c r="P19" i="12" s="1"/>
  <c r="E17" i="12"/>
  <c r="B17" i="12"/>
  <c r="P15" i="12"/>
  <c r="E15" i="12"/>
  <c r="P14" i="12"/>
  <c r="E14" i="12"/>
  <c r="P13" i="12"/>
  <c r="E13" i="12"/>
  <c r="P12" i="12"/>
  <c r="P16" i="12" s="1"/>
  <c r="E12" i="12"/>
  <c r="B12" i="12"/>
  <c r="P10" i="12"/>
  <c r="P9" i="12"/>
  <c r="P8" i="12"/>
  <c r="E8" i="12"/>
  <c r="P7" i="12"/>
  <c r="E7" i="12"/>
  <c r="P6" i="12"/>
  <c r="E6" i="12"/>
  <c r="P5" i="12"/>
  <c r="E5" i="12"/>
  <c r="B5" i="12"/>
  <c r="M68" i="11"/>
  <c r="K68" i="11"/>
  <c r="J68" i="11"/>
  <c r="I68" i="11"/>
  <c r="H68" i="11"/>
  <c r="G68" i="11"/>
  <c r="E68" i="11"/>
  <c r="N67" i="11"/>
  <c r="N66" i="11"/>
  <c r="N65" i="11"/>
  <c r="N64" i="11"/>
  <c r="N63" i="11"/>
  <c r="N62" i="11"/>
  <c r="N60" i="11"/>
  <c r="N59" i="11"/>
  <c r="N57" i="11"/>
  <c r="P51" i="11"/>
  <c r="E51" i="11"/>
  <c r="P50" i="11"/>
  <c r="E50" i="11"/>
  <c r="P49" i="11"/>
  <c r="P52" i="11" s="1"/>
  <c r="E49" i="11"/>
  <c r="B49" i="11"/>
  <c r="P47" i="11"/>
  <c r="E47" i="11"/>
  <c r="P46" i="11"/>
  <c r="P48" i="11" s="1"/>
  <c r="E46" i="11"/>
  <c r="P44" i="11"/>
  <c r="E44" i="11"/>
  <c r="E43" i="11"/>
  <c r="P42" i="11"/>
  <c r="E42" i="11"/>
  <c r="P41" i="11"/>
  <c r="E41" i="11"/>
  <c r="P40" i="11"/>
  <c r="E40" i="11"/>
  <c r="P39" i="11"/>
  <c r="E39" i="11"/>
  <c r="B39" i="11"/>
  <c r="P37" i="11"/>
  <c r="E37" i="11"/>
  <c r="P36" i="11"/>
  <c r="E36" i="11"/>
  <c r="P35" i="11"/>
  <c r="E35" i="11"/>
  <c r="P34" i="11"/>
  <c r="P38" i="11" s="1"/>
  <c r="E34" i="11"/>
  <c r="B34" i="11"/>
  <c r="P32" i="11"/>
  <c r="E32" i="11"/>
  <c r="P31" i="11"/>
  <c r="P33" i="11" s="1"/>
  <c r="E31" i="11"/>
  <c r="B31" i="11"/>
  <c r="P29" i="11"/>
  <c r="E29" i="11"/>
  <c r="P28" i="11"/>
  <c r="E28" i="11"/>
  <c r="P27" i="11"/>
  <c r="E27" i="11"/>
  <c r="B27" i="11"/>
  <c r="P25" i="11"/>
  <c r="E25" i="11"/>
  <c r="P24" i="11"/>
  <c r="E24" i="11"/>
  <c r="P23" i="11"/>
  <c r="E23" i="11"/>
  <c r="P22" i="11"/>
  <c r="E22" i="11"/>
  <c r="P21" i="11"/>
  <c r="P26" i="11" s="1"/>
  <c r="E21" i="11"/>
  <c r="B21" i="11"/>
  <c r="P15" i="11"/>
  <c r="E15" i="11"/>
  <c r="P14" i="11"/>
  <c r="E14" i="11"/>
  <c r="P13" i="11"/>
  <c r="E13" i="11"/>
  <c r="P12" i="11"/>
  <c r="P16" i="11" s="1"/>
  <c r="E12" i="11"/>
  <c r="B12" i="11"/>
  <c r="P10" i="11"/>
  <c r="E10" i="11"/>
  <c r="P9" i="11"/>
  <c r="E9" i="11"/>
  <c r="D58" i="11" s="1"/>
  <c r="P8" i="11"/>
  <c r="E8" i="11"/>
  <c r="P7" i="11"/>
  <c r="E7" i="11"/>
  <c r="P6" i="11"/>
  <c r="E6" i="11"/>
  <c r="P5" i="11"/>
  <c r="P11" i="11" s="1"/>
  <c r="E5" i="11"/>
  <c r="B5" i="11"/>
  <c r="P20" i="11" l="1"/>
  <c r="P45" i="11"/>
  <c r="P42" i="13"/>
  <c r="D68" i="11"/>
  <c r="N58" i="11"/>
  <c r="P30" i="11"/>
  <c r="N61" i="11"/>
  <c r="M56" i="10"/>
  <c r="L56" i="10"/>
  <c r="K56" i="10"/>
  <c r="J56" i="10"/>
  <c r="I56" i="10"/>
  <c r="H56" i="10"/>
  <c r="G56" i="10"/>
  <c r="F56" i="10"/>
  <c r="E56" i="10"/>
  <c r="D56" i="10"/>
  <c r="N55" i="10"/>
  <c r="N54" i="10"/>
  <c r="N53" i="10"/>
  <c r="N52" i="10"/>
  <c r="N51" i="10"/>
  <c r="N50" i="10"/>
  <c r="N49" i="10"/>
  <c r="N48" i="10"/>
  <c r="N47" i="10"/>
  <c r="N46" i="10"/>
  <c r="N56" i="10" s="1"/>
  <c r="P41" i="10"/>
  <c r="E41" i="10"/>
  <c r="P40" i="10"/>
  <c r="E40" i="10"/>
  <c r="P39" i="10"/>
  <c r="E39" i="10"/>
  <c r="P38" i="10"/>
  <c r="P42" i="10" s="1"/>
  <c r="E38" i="10"/>
  <c r="B38" i="10"/>
  <c r="P36" i="10"/>
  <c r="P34" i="10"/>
  <c r="E34" i="10"/>
  <c r="P33" i="10"/>
  <c r="P35" i="10" s="1"/>
  <c r="E33" i="10"/>
  <c r="B33" i="10"/>
  <c r="P31" i="10"/>
  <c r="E31" i="10"/>
  <c r="P30" i="10"/>
  <c r="E30" i="10"/>
  <c r="P29" i="10"/>
  <c r="E29" i="10"/>
  <c r="P28" i="10"/>
  <c r="P32" i="10" s="1"/>
  <c r="E28" i="10"/>
  <c r="B28" i="10"/>
  <c r="P26" i="10"/>
  <c r="E26" i="10"/>
  <c r="P25" i="10"/>
  <c r="E25" i="10"/>
  <c r="P24" i="10"/>
  <c r="E24" i="10"/>
  <c r="P23" i="10"/>
  <c r="P27" i="10" s="1"/>
  <c r="E23" i="10"/>
  <c r="B23" i="10"/>
  <c r="P21" i="10"/>
  <c r="E21" i="10"/>
  <c r="P20" i="10"/>
  <c r="P22" i="10" s="1"/>
  <c r="B20" i="10"/>
  <c r="E20" i="10" s="1"/>
  <c r="P18" i="10"/>
  <c r="E18" i="10"/>
  <c r="P17" i="10"/>
  <c r="E17" i="10"/>
  <c r="P16" i="10"/>
  <c r="E16" i="10"/>
  <c r="B16" i="10"/>
  <c r="P14" i="10"/>
  <c r="E14" i="10"/>
  <c r="P12" i="10"/>
  <c r="E12" i="10"/>
  <c r="P11" i="10"/>
  <c r="E11" i="10"/>
  <c r="P10" i="10"/>
  <c r="E10" i="10"/>
  <c r="B10" i="10"/>
  <c r="P8" i="10"/>
  <c r="E8" i="10"/>
  <c r="P7" i="10"/>
  <c r="E7" i="10"/>
  <c r="P6" i="10"/>
  <c r="P5" i="10"/>
  <c r="P9" i="10" s="1"/>
  <c r="P13" i="10" s="1"/>
  <c r="B5" i="10"/>
  <c r="E6" i="10" s="1"/>
  <c r="N68" i="11" l="1"/>
  <c r="E5" i="10"/>
  <c r="F105" i="8"/>
  <c r="F104" i="8"/>
  <c r="F103" i="8"/>
  <c r="F106" i="8" s="1"/>
  <c r="F100" i="8"/>
  <c r="F99" i="8"/>
  <c r="F98" i="8"/>
  <c r="F101" i="8" s="1"/>
  <c r="F95" i="8"/>
  <c r="F94" i="8"/>
  <c r="F93" i="8"/>
  <c r="F96" i="8" s="1"/>
  <c r="F87" i="8"/>
  <c r="H87" i="8" s="1"/>
  <c r="E87" i="8"/>
  <c r="G87" i="8" s="1"/>
  <c r="F86" i="8"/>
  <c r="H86" i="8" s="1"/>
  <c r="E86" i="8"/>
  <c r="G86" i="8" s="1"/>
  <c r="F85" i="8"/>
  <c r="H85" i="8" s="1"/>
  <c r="E85" i="8"/>
  <c r="G85" i="8" s="1"/>
  <c r="O82" i="8"/>
  <c r="Q82" i="8" s="1"/>
  <c r="N82" i="8"/>
  <c r="P82" i="8" s="1"/>
  <c r="F82" i="8"/>
  <c r="H82" i="8" s="1"/>
  <c r="E82" i="8"/>
  <c r="G82" i="8" s="1"/>
  <c r="O81" i="8"/>
  <c r="Q81" i="8" s="1"/>
  <c r="N81" i="8"/>
  <c r="P81" i="8" s="1"/>
  <c r="F81" i="8"/>
  <c r="H81" i="8" s="1"/>
  <c r="E81" i="8"/>
  <c r="G81" i="8" s="1"/>
  <c r="O80" i="8"/>
  <c r="Q80" i="8" s="1"/>
  <c r="Q83" i="8" s="1"/>
  <c r="N80" i="8"/>
  <c r="P80" i="8" s="1"/>
  <c r="F80" i="8"/>
  <c r="H80" i="8" s="1"/>
  <c r="H83" i="8" s="1"/>
  <c r="E80" i="8"/>
  <c r="G80" i="8" s="1"/>
  <c r="O77" i="8"/>
  <c r="Q77" i="8" s="1"/>
  <c r="K105" i="8" s="1"/>
  <c r="O105" i="8" s="1"/>
  <c r="N77" i="8"/>
  <c r="P77" i="8" s="1"/>
  <c r="F77" i="8"/>
  <c r="H77" i="8" s="1"/>
  <c r="B110" i="8" s="1"/>
  <c r="F110" i="8" s="1"/>
  <c r="E77" i="8"/>
  <c r="G77" i="8" s="1"/>
  <c r="O76" i="8"/>
  <c r="Q76" i="8" s="1"/>
  <c r="K104" i="8" s="1"/>
  <c r="O104" i="8" s="1"/>
  <c r="N76" i="8"/>
  <c r="P76" i="8" s="1"/>
  <c r="F76" i="8"/>
  <c r="H76" i="8" s="1"/>
  <c r="B109" i="8" s="1"/>
  <c r="F109" i="8" s="1"/>
  <c r="E76" i="8"/>
  <c r="G76" i="8" s="1"/>
  <c r="O75" i="8"/>
  <c r="Q75" i="8" s="1"/>
  <c r="N75" i="8"/>
  <c r="P75" i="8" s="1"/>
  <c r="F75" i="8"/>
  <c r="H75" i="8" s="1"/>
  <c r="E75" i="8"/>
  <c r="G75" i="8" s="1"/>
  <c r="O72" i="8"/>
  <c r="Q72" i="8" s="1"/>
  <c r="N72" i="8"/>
  <c r="P72" i="8" s="1"/>
  <c r="F72" i="8"/>
  <c r="H72" i="8" s="1"/>
  <c r="E72" i="8"/>
  <c r="G72" i="8" s="1"/>
  <c r="O71" i="8"/>
  <c r="Q71" i="8" s="1"/>
  <c r="N71" i="8"/>
  <c r="P71" i="8" s="1"/>
  <c r="F71" i="8"/>
  <c r="H71" i="8" s="1"/>
  <c r="E71" i="8"/>
  <c r="G71" i="8" s="1"/>
  <c r="O70" i="8"/>
  <c r="Q70" i="8" s="1"/>
  <c r="Q73" i="8" s="1"/>
  <c r="N70" i="8"/>
  <c r="P70" i="8" s="1"/>
  <c r="F70" i="8"/>
  <c r="H70" i="8" s="1"/>
  <c r="H73" i="8" s="1"/>
  <c r="E70" i="8"/>
  <c r="G70" i="8" s="1"/>
  <c r="O67" i="8"/>
  <c r="Q67" i="8" s="1"/>
  <c r="K100" i="8" s="1"/>
  <c r="O100" i="8" s="1"/>
  <c r="N67" i="8"/>
  <c r="P67" i="8" s="1"/>
  <c r="F67" i="8"/>
  <c r="H67" i="8" s="1"/>
  <c r="E67" i="8"/>
  <c r="G67" i="8" s="1"/>
  <c r="O66" i="8"/>
  <c r="Q66" i="8" s="1"/>
  <c r="K99" i="8" s="1"/>
  <c r="O99" i="8" s="1"/>
  <c r="N66" i="8"/>
  <c r="P66" i="8" s="1"/>
  <c r="F66" i="8"/>
  <c r="H66" i="8" s="1"/>
  <c r="E66" i="8"/>
  <c r="G66" i="8" s="1"/>
  <c r="O65" i="8"/>
  <c r="Q65" i="8" s="1"/>
  <c r="N65" i="8"/>
  <c r="P65" i="8" s="1"/>
  <c r="F65" i="8"/>
  <c r="H65" i="8" s="1"/>
  <c r="H68" i="8" s="1"/>
  <c r="E65" i="8"/>
  <c r="G65" i="8" s="1"/>
  <c r="O62" i="8"/>
  <c r="Q62" i="8" s="1"/>
  <c r="N62" i="8"/>
  <c r="P62" i="8" s="1"/>
  <c r="F62" i="8"/>
  <c r="H62" i="8" s="1"/>
  <c r="E62" i="8"/>
  <c r="G62" i="8" s="1"/>
  <c r="O61" i="8"/>
  <c r="Q61" i="8" s="1"/>
  <c r="N61" i="8"/>
  <c r="P61" i="8" s="1"/>
  <c r="F61" i="8"/>
  <c r="H61" i="8" s="1"/>
  <c r="E61" i="8"/>
  <c r="G61" i="8" s="1"/>
  <c r="O60" i="8"/>
  <c r="Q60" i="8" s="1"/>
  <c r="Q63" i="8" s="1"/>
  <c r="N60" i="8"/>
  <c r="P60" i="8" s="1"/>
  <c r="F60" i="8"/>
  <c r="H60" i="8" s="1"/>
  <c r="H63" i="8" s="1"/>
  <c r="E60" i="8"/>
  <c r="G60" i="8" s="1"/>
  <c r="H51" i="8"/>
  <c r="G51" i="8"/>
  <c r="I51" i="8" s="1"/>
  <c r="F51" i="8"/>
  <c r="H50" i="8"/>
  <c r="G50" i="8"/>
  <c r="I50" i="8" s="1"/>
  <c r="F50" i="8"/>
  <c r="H49" i="8"/>
  <c r="G49" i="8"/>
  <c r="I49" i="8" s="1"/>
  <c r="F49" i="8"/>
  <c r="R47" i="8"/>
  <c r="Q47" i="8"/>
  <c r="S47" i="8" s="1"/>
  <c r="P47" i="8"/>
  <c r="H47" i="8"/>
  <c r="G47" i="8"/>
  <c r="I47" i="8" s="1"/>
  <c r="F47" i="8"/>
  <c r="R46" i="8"/>
  <c r="Q46" i="8"/>
  <c r="S46" i="8" s="1"/>
  <c r="P46" i="8"/>
  <c r="H46" i="8"/>
  <c r="F46" i="8"/>
  <c r="G46" i="8" s="1"/>
  <c r="I46" i="8" s="1"/>
  <c r="R45" i="8"/>
  <c r="P45" i="8"/>
  <c r="Q45" i="8" s="1"/>
  <c r="S45" i="8" s="1"/>
  <c r="H45" i="8"/>
  <c r="F45" i="8"/>
  <c r="G45" i="8" s="1"/>
  <c r="I45" i="8" s="1"/>
  <c r="R43" i="8"/>
  <c r="P43" i="8"/>
  <c r="Q43" i="8" s="1"/>
  <c r="S43" i="8" s="1"/>
  <c r="H43" i="8"/>
  <c r="F43" i="8"/>
  <c r="G43" i="8" s="1"/>
  <c r="I43" i="8" s="1"/>
  <c r="R42" i="8"/>
  <c r="P42" i="8"/>
  <c r="Q42" i="8" s="1"/>
  <c r="S42" i="8" s="1"/>
  <c r="H42" i="8"/>
  <c r="F42" i="8"/>
  <c r="G42" i="8" s="1"/>
  <c r="I42" i="8" s="1"/>
  <c r="R41" i="8"/>
  <c r="P41" i="8"/>
  <c r="Q41" i="8" s="1"/>
  <c r="S41" i="8" s="1"/>
  <c r="H41" i="8"/>
  <c r="F41" i="8"/>
  <c r="G41" i="8" s="1"/>
  <c r="I41" i="8" s="1"/>
  <c r="R39" i="8"/>
  <c r="P39" i="8"/>
  <c r="Q39" i="8" s="1"/>
  <c r="S39" i="8" s="1"/>
  <c r="H39" i="8"/>
  <c r="F39" i="8"/>
  <c r="G39" i="8" s="1"/>
  <c r="R38" i="8"/>
  <c r="P38" i="8"/>
  <c r="Q38" i="8" s="1"/>
  <c r="H38" i="8"/>
  <c r="F38" i="8"/>
  <c r="G38" i="8" s="1"/>
  <c r="R37" i="8"/>
  <c r="Q37" i="8"/>
  <c r="S37" i="8" s="1"/>
  <c r="P37" i="8"/>
  <c r="H37" i="8"/>
  <c r="G37" i="8"/>
  <c r="I37" i="8" s="1"/>
  <c r="F37" i="8"/>
  <c r="R35" i="8"/>
  <c r="Q35" i="8"/>
  <c r="S35" i="8" s="1"/>
  <c r="P35" i="8"/>
  <c r="H35" i="8"/>
  <c r="G35" i="8"/>
  <c r="I35" i="8" s="1"/>
  <c r="F35" i="8"/>
  <c r="R34" i="8"/>
  <c r="Q34" i="8"/>
  <c r="S34" i="8" s="1"/>
  <c r="P34" i="8"/>
  <c r="H34" i="8"/>
  <c r="G34" i="8"/>
  <c r="I34" i="8" s="1"/>
  <c r="F34" i="8"/>
  <c r="R33" i="8"/>
  <c r="Q33" i="8"/>
  <c r="S33" i="8" s="1"/>
  <c r="P33" i="8"/>
  <c r="H33" i="8"/>
  <c r="G33" i="8"/>
  <c r="I33" i="8" s="1"/>
  <c r="F33" i="8"/>
  <c r="K98" i="8" l="1"/>
  <c r="O98" i="8" s="1"/>
  <c r="O101" i="8" s="1"/>
  <c r="Q68" i="8"/>
  <c r="B108" i="8"/>
  <c r="F108" i="8" s="1"/>
  <c r="F111" i="8" s="1"/>
  <c r="H78" i="8"/>
  <c r="K103" i="8"/>
  <c r="O103" i="8" s="1"/>
  <c r="O106" i="8" s="1"/>
  <c r="Q78" i="8"/>
  <c r="K93" i="8"/>
  <c r="O93" i="8" s="1"/>
  <c r="H88" i="8"/>
  <c r="K94" i="8"/>
  <c r="O94" i="8" s="1"/>
  <c r="K95" i="8"/>
  <c r="O95" i="8" s="1"/>
  <c r="I38" i="8"/>
  <c r="S38" i="8"/>
  <c r="I39" i="8"/>
  <c r="O96" i="8" l="1"/>
  <c r="G40" i="2" l="1"/>
  <c r="Q50" i="2" l="1"/>
  <c r="R50" i="2"/>
  <c r="Q37" i="2"/>
  <c r="R37" i="2"/>
  <c r="Q24" i="2"/>
  <c r="R24" i="2"/>
  <c r="Q13" i="2"/>
  <c r="R13" i="2"/>
  <c r="H40" i="2"/>
  <c r="H41" i="2"/>
  <c r="H42" i="2"/>
  <c r="H43" i="2"/>
  <c r="H44" i="2"/>
  <c r="H45" i="2"/>
  <c r="H46" i="2"/>
  <c r="H47" i="2"/>
  <c r="H48" i="2"/>
  <c r="H49" i="2"/>
  <c r="G29" i="2" l="1"/>
  <c r="G30" i="2"/>
  <c r="G31" i="2"/>
  <c r="G32" i="2"/>
  <c r="G33" i="2"/>
  <c r="G34" i="2"/>
  <c r="G35" i="2"/>
  <c r="G36" i="2"/>
  <c r="G37" i="2"/>
  <c r="G28" i="2"/>
  <c r="G17" i="2"/>
  <c r="G18" i="2"/>
  <c r="G19" i="2"/>
  <c r="G20" i="2"/>
  <c r="G21" i="2"/>
  <c r="G22" i="2"/>
  <c r="G23" i="2"/>
  <c r="G24" i="2"/>
  <c r="G25" i="2"/>
  <c r="G16" i="2"/>
  <c r="G5" i="2"/>
  <c r="G6" i="2"/>
  <c r="G7" i="2"/>
  <c r="G8" i="2"/>
  <c r="G9" i="2"/>
  <c r="G10" i="2"/>
  <c r="G11" i="2"/>
  <c r="G12" i="2"/>
  <c r="G13" i="2"/>
  <c r="G4" i="2"/>
  <c r="O36" i="2" l="1"/>
  <c r="H36" i="2"/>
  <c r="O49" i="2"/>
  <c r="G49" i="2"/>
  <c r="O11" i="2"/>
  <c r="O12" i="2"/>
  <c r="H13" i="2"/>
  <c r="H12" i="2"/>
  <c r="O48" i="2" l="1"/>
  <c r="G48" i="2"/>
  <c r="O47" i="2"/>
  <c r="G47" i="2"/>
  <c r="O46" i="2"/>
  <c r="G46" i="2"/>
  <c r="O45" i="2"/>
  <c r="G45" i="2"/>
  <c r="O44" i="2"/>
  <c r="G44" i="2"/>
  <c r="O43" i="2"/>
  <c r="G43" i="2"/>
  <c r="O42" i="2"/>
  <c r="G42" i="2"/>
  <c r="O41" i="2"/>
  <c r="G41" i="2"/>
  <c r="O40" i="2"/>
  <c r="O37" i="2" l="1"/>
  <c r="O35" i="2"/>
  <c r="O34" i="2"/>
  <c r="O33" i="2"/>
  <c r="O32" i="2"/>
  <c r="O31" i="2"/>
  <c r="O30" i="2"/>
  <c r="O29" i="2"/>
  <c r="O28" i="2"/>
  <c r="H37" i="2"/>
  <c r="H35" i="2"/>
  <c r="H34" i="2"/>
  <c r="H33" i="2"/>
  <c r="H32" i="2"/>
  <c r="H31" i="2"/>
  <c r="H30" i="2"/>
  <c r="H29" i="2"/>
  <c r="H28" i="2"/>
  <c r="O25" i="2"/>
  <c r="H25" i="2"/>
  <c r="O24" i="2"/>
  <c r="H24" i="2"/>
  <c r="O23" i="2"/>
  <c r="H23" i="2"/>
  <c r="O22" i="2"/>
  <c r="H22" i="2"/>
  <c r="O21" i="2"/>
  <c r="H21" i="2"/>
  <c r="O20" i="2"/>
  <c r="H20" i="2"/>
  <c r="O19" i="2"/>
  <c r="H19" i="2"/>
  <c r="O18" i="2"/>
  <c r="H18" i="2"/>
  <c r="O17" i="2"/>
  <c r="H17" i="2"/>
  <c r="O16" i="2"/>
  <c r="H16" i="2"/>
  <c r="O13" i="2"/>
  <c r="H11" i="2"/>
  <c r="O10" i="2"/>
  <c r="H10" i="2"/>
  <c r="O9" i="2"/>
  <c r="F9" i="2"/>
  <c r="H9" i="2" s="1"/>
  <c r="O8" i="2"/>
  <c r="H8" i="2"/>
  <c r="O7" i="2"/>
  <c r="F7" i="2"/>
  <c r="H7" i="2" s="1"/>
  <c r="O6" i="2"/>
  <c r="F6" i="2"/>
  <c r="H6" i="2" s="1"/>
  <c r="O5" i="2"/>
  <c r="F5" i="2"/>
  <c r="H5" i="2" s="1"/>
  <c r="O4" i="2"/>
  <c r="F4" i="2"/>
  <c r="H4" i="2" l="1"/>
</calcChain>
</file>

<file path=xl/sharedStrings.xml><?xml version="1.0" encoding="utf-8"?>
<sst xmlns="http://schemas.openxmlformats.org/spreadsheetml/2006/main" count="695" uniqueCount="147">
  <si>
    <t>Урожайность</t>
  </si>
  <si>
    <t>Образцы</t>
  </si>
  <si>
    <t>Показатели</t>
  </si>
  <si>
    <t>Зеленая масса</t>
  </si>
  <si>
    <t>Сухая масса</t>
  </si>
  <si>
    <t>Образец 1</t>
  </si>
  <si>
    <t>Образец 2</t>
  </si>
  <si>
    <t>Образец 3</t>
  </si>
  <si>
    <t>Образец 4</t>
  </si>
  <si>
    <t>Образец 5</t>
  </si>
  <si>
    <t xml:space="preserve">Образец 6 </t>
  </si>
  <si>
    <t xml:space="preserve">Образец 7 </t>
  </si>
  <si>
    <t>Образец 8</t>
  </si>
  <si>
    <t xml:space="preserve">Образец 9 </t>
  </si>
  <si>
    <t xml:space="preserve">Образец 10 </t>
  </si>
  <si>
    <t xml:space="preserve">Образец 8 </t>
  </si>
  <si>
    <t>Проективное покрытие</t>
  </si>
  <si>
    <t>Количество пустых клетох</t>
  </si>
  <si>
    <t>общ</t>
  </si>
  <si>
    <t>% соотн п/к</t>
  </si>
  <si>
    <t>Проек. пок %</t>
  </si>
  <si>
    <t>ср</t>
  </si>
  <si>
    <t>образец 1</t>
  </si>
  <si>
    <t>образец 2</t>
  </si>
  <si>
    <t>образец 3</t>
  </si>
  <si>
    <t>образец 4</t>
  </si>
  <si>
    <t>образец 5</t>
  </si>
  <si>
    <t>образец 6</t>
  </si>
  <si>
    <t>образец 7</t>
  </si>
  <si>
    <t>образец 8</t>
  </si>
  <si>
    <t>образец 9</t>
  </si>
  <si>
    <t>образец 10</t>
  </si>
  <si>
    <t>NDVI</t>
  </si>
  <si>
    <t xml:space="preserve">Образцы </t>
  </si>
  <si>
    <t>пастбищная масса, г\м2</t>
  </si>
  <si>
    <t>Растений</t>
  </si>
  <si>
    <t>Вес фракции, г</t>
  </si>
  <si>
    <t>процентное соотношение фракции, %</t>
  </si>
  <si>
    <t>Высота растений , см</t>
  </si>
  <si>
    <t>Круг 2 Загон 4 до выпаса</t>
  </si>
  <si>
    <t>Круг 2 Загон 5 до выпаса</t>
  </si>
  <si>
    <t>Круг 2 Загон 6  до выпаса</t>
  </si>
  <si>
    <t>Круг 2 Загон 7  до выпаса</t>
  </si>
  <si>
    <t>Круг 2 Загон 6 до выпаса</t>
  </si>
  <si>
    <t>Круг 2 Загон 7 до выпаса</t>
  </si>
  <si>
    <t xml:space="preserve">Горизонт, см </t>
  </si>
  <si>
    <t xml:space="preserve">Вес пустого бюкса, г </t>
  </si>
  <si>
    <t xml:space="preserve">Вес бюкса с сырой почвы, г  </t>
  </si>
  <si>
    <t xml:space="preserve">Вес бюкса с сухой почвы, г </t>
  </si>
  <si>
    <t xml:space="preserve">Вес сырой почвы, г </t>
  </si>
  <si>
    <t xml:space="preserve">Вес сухой почвы, г </t>
  </si>
  <si>
    <t>Масс испарившейся влаги, г</t>
  </si>
  <si>
    <t xml:space="preserve">Влага, % </t>
  </si>
  <si>
    <t>Плотность (цилиндр)</t>
  </si>
  <si>
    <t>Глубина</t>
  </si>
  <si>
    <t>масса, г</t>
  </si>
  <si>
    <t>Объемная масса почвы</t>
  </si>
  <si>
    <t>Загон 3 пв</t>
  </si>
  <si>
    <t>0-10см</t>
  </si>
  <si>
    <t>10-20cм</t>
  </si>
  <si>
    <t>20-30см</t>
  </si>
  <si>
    <t>Загон 4 до в обр 1</t>
  </si>
  <si>
    <t>Загон 4 до в обр 2</t>
  </si>
  <si>
    <t>Загон 5 до в обр 1</t>
  </si>
  <si>
    <t>Загон 5 до в обр 2</t>
  </si>
  <si>
    <t>Загон 6 до в обр 1</t>
  </si>
  <si>
    <t>Загон 6 до в обр 2</t>
  </si>
  <si>
    <t>Загон 7 до в обр 1</t>
  </si>
  <si>
    <t>Загон 7 до в обр 2</t>
  </si>
  <si>
    <t>Горизонт</t>
  </si>
  <si>
    <t xml:space="preserve">Масса патрона с почвой, г  </t>
  </si>
  <si>
    <t xml:space="preserve">Масса пустого бюкса, г </t>
  </si>
  <si>
    <t xml:space="preserve">Масса бюкса с сырой почвой,г  </t>
  </si>
  <si>
    <t xml:space="preserve">Масса бюкса с сухой почвой, г </t>
  </si>
  <si>
    <t>Влажность почвы (W), %</t>
  </si>
  <si>
    <t>Масса абсолютно сухой почвы (М),г</t>
  </si>
  <si>
    <t>Объем образца почвы, (V) см2</t>
  </si>
  <si>
    <t>Объемная масса почвы, (d) г/см2</t>
  </si>
  <si>
    <t>Загон 6 пв обр 1</t>
  </si>
  <si>
    <t>0-10</t>
  </si>
  <si>
    <t>10-20</t>
  </si>
  <si>
    <t>20-30</t>
  </si>
  <si>
    <t>Загон 4 пв 1 обр</t>
  </si>
  <si>
    <t>Загон 6 пв обр 2</t>
  </si>
  <si>
    <t>Загон 4 пв 2 обр</t>
  </si>
  <si>
    <t>Загон 7 пв</t>
  </si>
  <si>
    <t>Загон 5 пв 1 обр</t>
  </si>
  <si>
    <t>Загон 5 пв обр 2</t>
  </si>
  <si>
    <t>Заг 1</t>
  </si>
  <si>
    <t>заг 5 обр 2</t>
  </si>
  <si>
    <t xml:space="preserve">Всего </t>
  </si>
  <si>
    <t>Заг 2</t>
  </si>
  <si>
    <t>заг 6 обр 1</t>
  </si>
  <si>
    <t>заг 3</t>
  </si>
  <si>
    <t>заг 6 обр 2</t>
  </si>
  <si>
    <t>заг 4 обр 1</t>
  </si>
  <si>
    <t>заг 7 обр 1</t>
  </si>
  <si>
    <t>заг 4 обр 2</t>
  </si>
  <si>
    <t>заг 7 обр 2</t>
  </si>
  <si>
    <t>заг 5 обр 1</t>
  </si>
  <si>
    <t xml:space="preserve">Горизонт </t>
  </si>
  <si>
    <t>ВУЗ</t>
  </si>
  <si>
    <t>Обемная масса почвы, г/см3</t>
  </si>
  <si>
    <t>Толщина анализируемого слоя почвы, см</t>
  </si>
  <si>
    <t>Запасы продуктивной влаги, мм</t>
  </si>
  <si>
    <t xml:space="preserve">Загон 1 </t>
  </si>
  <si>
    <t>Загон 5</t>
  </si>
  <si>
    <t>Всего</t>
  </si>
  <si>
    <t>Загон 2</t>
  </si>
  <si>
    <t>Загон 6</t>
  </si>
  <si>
    <t>Загон 3</t>
  </si>
  <si>
    <t>Загон 7</t>
  </si>
  <si>
    <t>Загон 4</t>
  </si>
  <si>
    <r>
      <t xml:space="preserve">Мятлик луговой </t>
    </r>
    <r>
      <rPr>
        <i/>
        <sz val="11"/>
        <color theme="1"/>
        <rFont val="Times New Roman"/>
        <family val="1"/>
        <charset val="204"/>
      </rPr>
      <t xml:space="preserve">(Poa pratеnsis) </t>
    </r>
  </si>
  <si>
    <r>
      <t>Люцерна жёлтая (</t>
    </r>
    <r>
      <rPr>
        <i/>
        <sz val="11"/>
        <color rgb="FF202122"/>
        <rFont val="Times New Roman"/>
        <family val="1"/>
        <charset val="204"/>
      </rPr>
      <t>Medicago falcata</t>
    </r>
    <r>
      <rPr>
        <sz val="11"/>
        <color rgb="FF202122"/>
        <rFont val="Times New Roman"/>
        <family val="1"/>
        <charset val="204"/>
      </rPr>
      <t>)</t>
    </r>
  </si>
  <si>
    <t>Полынь горкая (Artemísia absínthium)</t>
  </si>
  <si>
    <t>Вика посевная (Vicia sativa)</t>
  </si>
  <si>
    <t>Вьюнок полевой (convōlvulus arvēnsis)</t>
  </si>
  <si>
    <t>Молочай острый (Euphorbia esula)</t>
  </si>
  <si>
    <r>
      <t xml:space="preserve">Полынь обыкновенная </t>
    </r>
    <r>
      <rPr>
        <i/>
        <sz val="11"/>
        <color theme="1"/>
        <rFont val="Times New Roman"/>
        <family val="1"/>
        <charset val="204"/>
      </rPr>
      <t>(Artemisia vulgaris)</t>
    </r>
  </si>
  <si>
    <t>Образец 6</t>
  </si>
  <si>
    <r>
      <t xml:space="preserve">Одуванчик </t>
    </r>
    <r>
      <rPr>
        <i/>
        <sz val="11"/>
        <color theme="1"/>
        <rFont val="Times New Roman"/>
        <family val="1"/>
        <charset val="204"/>
      </rPr>
      <t xml:space="preserve">(Tarxacum) </t>
    </r>
  </si>
  <si>
    <t>Образец 7</t>
  </si>
  <si>
    <r>
      <t>Кострец безостый (</t>
    </r>
    <r>
      <rPr>
        <i/>
        <sz val="11"/>
        <color rgb="FF202122"/>
        <rFont val="Times New Roman"/>
        <family val="1"/>
        <charset val="204"/>
      </rPr>
      <t>Brōmus inērmis</t>
    </r>
    <r>
      <rPr>
        <sz val="11"/>
        <color rgb="FF202122"/>
        <rFont val="Times New Roman"/>
        <family val="1"/>
        <charset val="204"/>
      </rPr>
      <t>) </t>
    </r>
  </si>
  <si>
    <t>Полынь белоземелый</t>
  </si>
  <si>
    <t>Образец 9</t>
  </si>
  <si>
    <t>Полынь белоземелая (Artemisia terrae-albae)</t>
  </si>
  <si>
    <t>Образец 10</t>
  </si>
  <si>
    <t>Наименование растений</t>
  </si>
  <si>
    <t>Кострец безостый (Brōmus inērmis) </t>
  </si>
  <si>
    <t>Люцерна жёлтая (Medicago falcata)</t>
  </si>
  <si>
    <t>молочай острый</t>
  </si>
  <si>
    <t xml:space="preserve">Мятлик луговой (Poa pratеnsis) </t>
  </si>
  <si>
    <t>одуванчик</t>
  </si>
  <si>
    <t>полынь обыкноваенная</t>
  </si>
  <si>
    <r>
      <t xml:space="preserve">Полынь горкая </t>
    </r>
    <r>
      <rPr>
        <i/>
        <sz val="11"/>
        <color theme="1"/>
        <rFont val="Times New Roman"/>
        <family val="1"/>
        <charset val="204"/>
      </rPr>
      <t>(Artemísia absínthium)</t>
    </r>
  </si>
  <si>
    <r>
      <t xml:space="preserve">Подорожник большой </t>
    </r>
    <r>
      <rPr>
        <i/>
        <sz val="12"/>
        <color theme="1"/>
        <rFont val="Times New Roman"/>
        <family val="1"/>
        <charset val="204"/>
      </rPr>
      <t>(Plantágo májor)</t>
    </r>
  </si>
  <si>
    <r>
      <t xml:space="preserve">Овсяница валисская </t>
    </r>
    <r>
      <rPr>
        <i/>
        <sz val="11"/>
        <color theme="1"/>
        <rFont val="Times New Roman"/>
        <family val="1"/>
        <charset val="204"/>
      </rPr>
      <t>(Festuca valesiaca)</t>
    </r>
  </si>
  <si>
    <t>Полынь обыкновенная (Artemisia vulgaris)</t>
  </si>
  <si>
    <t>Люцерна (Medicágo satíva) (Medicágo satíva)</t>
  </si>
  <si>
    <t xml:space="preserve">Люцерна (Medicágo satíva) </t>
  </si>
  <si>
    <t>Подорожник большой (Plantágo májor)</t>
  </si>
  <si>
    <t>полынь белоземелая</t>
  </si>
  <si>
    <t xml:space="preserve">Люцерна (Medicágo satíva)  (Medicágo satíva) </t>
  </si>
  <si>
    <t>15,,5</t>
  </si>
  <si>
    <r>
      <t xml:space="preserve">Мятлик луговой </t>
    </r>
    <r>
      <rPr>
        <i/>
        <sz val="12"/>
        <color theme="1"/>
        <rFont val="Times New Roman"/>
        <family val="1"/>
        <charset val="204"/>
      </rPr>
      <t xml:space="preserve">(Poa pratеnsis) </t>
    </r>
  </si>
  <si>
    <t>Зеленая масса т/г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</si>
</sst>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"/>
    <numFmt numFmtId="165" formatCode="_-* #,##0.0\ _₽_-;\-* #,##0.0\ _₽_-;_-* &quot;-&quot;??\ _₽_-;_-@_-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color rgb="FF0000FF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202122"/>
      <name val="Times New Roman"/>
      <family val="1"/>
      <charset val="204"/>
    </font>
    <font>
      <i/>
      <sz val="11"/>
      <color rgb="FF20212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B9CDE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202">
    <xf numFmtId="0" fontId="0" fillId="0" borderId="0" xfId="0"/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/>
    <xf numFmtId="0" fontId="6" fillId="0" borderId="1" xfId="0" applyFont="1" applyBorder="1"/>
    <xf numFmtId="0" fontId="4" fillId="5" borderId="1" xfId="0" applyFont="1" applyFill="1" applyBorder="1"/>
    <xf numFmtId="2" fontId="6" fillId="0" borderId="1" xfId="0" applyNumberFormat="1" applyFont="1" applyBorder="1"/>
    <xf numFmtId="2" fontId="4" fillId="5" borderId="1" xfId="0" applyNumberFormat="1" applyFont="1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6" fillId="4" borderId="1" xfId="0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6" fillId="0" borderId="1" xfId="0" applyFont="1" applyBorder="1" applyAlignment="1">
      <alignment horizontal="center" vertical="distributed"/>
    </xf>
    <xf numFmtId="164" fontId="6" fillId="6" borderId="1" xfId="0" applyNumberFormat="1" applyFont="1" applyFill="1" applyBorder="1"/>
    <xf numFmtId="164" fontId="9" fillId="0" borderId="0" xfId="0" applyNumberFormat="1" applyFont="1"/>
    <xf numFmtId="2" fontId="9" fillId="0" borderId="0" xfId="0" applyNumberFormat="1" applyFont="1"/>
    <xf numFmtId="0" fontId="9" fillId="0" borderId="0" xfId="0" applyFont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distributed"/>
    </xf>
    <xf numFmtId="0" fontId="0" fillId="10" borderId="0" xfId="0" applyFill="1"/>
    <xf numFmtId="0" fontId="6" fillId="10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49" fontId="6" fillId="10" borderId="1" xfId="0" applyNumberFormat="1" applyFont="1" applyFill="1" applyBorder="1" applyAlignment="1">
      <alignment horizontal="left"/>
    </xf>
    <xf numFmtId="0" fontId="6" fillId="10" borderId="1" xfId="0" applyFont="1" applyFill="1" applyBorder="1"/>
    <xf numFmtId="2" fontId="6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49" fontId="6" fillId="10" borderId="1" xfId="0" applyNumberFormat="1" applyFont="1" applyFill="1" applyBorder="1" applyProtection="1"/>
    <xf numFmtId="49" fontId="6" fillId="0" borderId="1" xfId="0" applyNumberFormat="1" applyFont="1" applyBorder="1" applyProtection="1"/>
    <xf numFmtId="0" fontId="6" fillId="2" borderId="1" xfId="0" applyFont="1" applyFill="1" applyBorder="1"/>
    <xf numFmtId="2" fontId="6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164" fontId="10" fillId="10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Protection="1"/>
    <xf numFmtId="49" fontId="6" fillId="0" borderId="1" xfId="0" applyNumberFormat="1" applyFont="1" applyFill="1" applyBorder="1" applyProtection="1"/>
    <xf numFmtId="2" fontId="6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10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43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6" fillId="0" borderId="0" xfId="0" applyFont="1"/>
    <xf numFmtId="165" fontId="6" fillId="0" borderId="1" xfId="0" applyNumberFormat="1" applyFont="1" applyBorder="1"/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/>
    <xf numFmtId="165" fontId="6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top"/>
    </xf>
    <xf numFmtId="0" fontId="2" fillId="5" borderId="7" xfId="0" applyFont="1" applyFill="1" applyBorder="1" applyAlignment="1">
      <alignment horizontal="left" vertical="center"/>
    </xf>
    <xf numFmtId="164" fontId="6" fillId="0" borderId="1" xfId="0" applyNumberFormat="1" applyFont="1" applyBorder="1"/>
    <xf numFmtId="164" fontId="6" fillId="0" borderId="1" xfId="0" applyNumberFormat="1" applyFont="1" applyFill="1" applyBorder="1"/>
    <xf numFmtId="164" fontId="6" fillId="0" borderId="0" xfId="0" applyNumberFormat="1" applyFont="1"/>
    <xf numFmtId="164" fontId="6" fillId="0" borderId="9" xfId="0" applyNumberFormat="1" applyFont="1" applyFill="1" applyBorder="1"/>
    <xf numFmtId="164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 vertical="distributed"/>
    </xf>
    <xf numFmtId="0" fontId="6" fillId="10" borderId="6" xfId="0" applyFont="1" applyFill="1" applyBorder="1" applyAlignment="1">
      <alignment horizontal="center" vertical="distributed"/>
    </xf>
    <xf numFmtId="0" fontId="6" fillId="10" borderId="7" xfId="0" applyFont="1" applyFill="1" applyBorder="1" applyAlignment="1">
      <alignment horizontal="center" vertical="distributed"/>
    </xf>
    <xf numFmtId="0" fontId="6" fillId="2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4" fillId="10" borderId="7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8" xfId="1" applyFont="1" applyBorder="1" applyAlignment="1">
      <alignment horizontal="center" vertical="center"/>
    </xf>
    <xf numFmtId="43" fontId="6" fillId="0" borderId="9" xfId="1" applyFont="1" applyBorder="1" applyAlignment="1">
      <alignment horizontal="center" vertical="center"/>
    </xf>
    <xf numFmtId="43" fontId="6" fillId="0" borderId="10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C10" workbookViewId="0">
      <selection activeCell="C34" sqref="C34:Q49"/>
    </sheetView>
  </sheetViews>
  <sheetFormatPr defaultRowHeight="15" x14ac:dyDescent="0.25"/>
  <cols>
    <col min="1" max="1" width="13.5703125" customWidth="1"/>
    <col min="2" max="2" width="15.140625" customWidth="1"/>
    <col min="3" max="3" width="14" customWidth="1"/>
    <col min="4" max="4" width="17.5703125" customWidth="1"/>
    <col min="5" max="5" width="8.5703125" customWidth="1"/>
    <col min="6" max="6" width="14.85546875" customWidth="1"/>
    <col min="7" max="7" width="14.7109375" customWidth="1"/>
    <col min="8" max="8" width="12.7109375" customWidth="1"/>
    <col min="9" max="9" width="17.28515625" customWidth="1"/>
    <col min="10" max="10" width="14.85546875" customWidth="1"/>
    <col min="11" max="11" width="14" customWidth="1"/>
  </cols>
  <sheetData>
    <row r="1" spans="1:11" ht="15.75" x14ac:dyDescent="0.25">
      <c r="A1" s="114" t="s">
        <v>0</v>
      </c>
      <c r="B1" s="115"/>
      <c r="C1" s="115"/>
      <c r="D1" s="116"/>
      <c r="F1" s="120" t="s">
        <v>0</v>
      </c>
      <c r="G1" s="120"/>
      <c r="H1" s="120"/>
      <c r="I1" s="120"/>
    </row>
    <row r="2" spans="1:11" ht="15.75" x14ac:dyDescent="0.25">
      <c r="A2" s="117" t="s">
        <v>39</v>
      </c>
      <c r="B2" s="118"/>
      <c r="C2" s="118"/>
      <c r="D2" s="119"/>
      <c r="F2" s="121" t="s">
        <v>40</v>
      </c>
      <c r="G2" s="121"/>
      <c r="H2" s="121"/>
      <c r="I2" s="121"/>
    </row>
    <row r="3" spans="1:11" ht="15.75" x14ac:dyDescent="0.25">
      <c r="A3" s="122" t="s">
        <v>1</v>
      </c>
      <c r="B3" s="123" t="s">
        <v>2</v>
      </c>
      <c r="C3" s="124"/>
      <c r="D3" s="125"/>
      <c r="F3" s="122" t="s">
        <v>1</v>
      </c>
      <c r="G3" s="122" t="s">
        <v>2</v>
      </c>
      <c r="H3" s="122"/>
      <c r="I3" s="122"/>
    </row>
    <row r="4" spans="1:11" ht="15.75" x14ac:dyDescent="0.25">
      <c r="A4" s="122"/>
      <c r="B4" s="1" t="s">
        <v>3</v>
      </c>
      <c r="C4" s="1" t="s">
        <v>4</v>
      </c>
      <c r="D4" s="1" t="s">
        <v>146</v>
      </c>
      <c r="F4" s="122"/>
      <c r="G4" s="1" t="s">
        <v>3</v>
      </c>
      <c r="H4" s="1" t="s">
        <v>4</v>
      </c>
      <c r="I4" s="1" t="s">
        <v>146</v>
      </c>
    </row>
    <row r="5" spans="1:11" ht="15.75" x14ac:dyDescent="0.25">
      <c r="A5" s="1" t="s">
        <v>5</v>
      </c>
      <c r="B5" s="91">
        <v>143.9</v>
      </c>
      <c r="C5" s="79">
        <v>83.95</v>
      </c>
      <c r="D5" s="91">
        <f>B5*10000/1000000</f>
        <v>1.4390000000000001</v>
      </c>
      <c r="F5" s="1" t="s">
        <v>5</v>
      </c>
      <c r="G5" s="2">
        <v>120.25</v>
      </c>
      <c r="H5" s="79">
        <v>50.55</v>
      </c>
      <c r="I5" s="91">
        <f>G5*10000/1000000</f>
        <v>1.2024999999999999</v>
      </c>
    </row>
    <row r="6" spans="1:11" ht="15.75" x14ac:dyDescent="0.25">
      <c r="A6" s="1" t="s">
        <v>6</v>
      </c>
      <c r="B6" s="91">
        <v>500.7</v>
      </c>
      <c r="C6" s="79">
        <v>105</v>
      </c>
      <c r="D6" s="91">
        <f t="shared" ref="D6:D14" si="0">B6*10000/1000000</f>
        <v>5.0069999999999997</v>
      </c>
      <c r="F6" s="1" t="s">
        <v>6</v>
      </c>
      <c r="G6" s="2">
        <v>265.39999999999998</v>
      </c>
      <c r="H6" s="79">
        <v>95.5</v>
      </c>
      <c r="I6" s="91">
        <f t="shared" ref="I6:I14" si="1">G6*10000/1000000</f>
        <v>2.6539999999999999</v>
      </c>
    </row>
    <row r="7" spans="1:11" ht="15.75" x14ac:dyDescent="0.25">
      <c r="A7" s="1" t="s">
        <v>7</v>
      </c>
      <c r="B7" s="91">
        <v>138.55000000000001</v>
      </c>
      <c r="C7" s="79">
        <v>91.85</v>
      </c>
      <c r="D7" s="91">
        <f t="shared" si="0"/>
        <v>1.3855</v>
      </c>
      <c r="F7" s="1" t="s">
        <v>8</v>
      </c>
      <c r="G7" s="79">
        <v>180.1</v>
      </c>
      <c r="H7" s="79">
        <v>56.2</v>
      </c>
      <c r="I7" s="91">
        <f t="shared" si="1"/>
        <v>1.8009999999999999</v>
      </c>
    </row>
    <row r="8" spans="1:11" ht="15.75" x14ac:dyDescent="0.25">
      <c r="A8" s="1" t="s">
        <v>8</v>
      </c>
      <c r="B8" s="91">
        <v>194.3</v>
      </c>
      <c r="C8" s="79">
        <v>49.8</v>
      </c>
      <c r="D8" s="91">
        <f t="shared" si="0"/>
        <v>1.9430000000000001</v>
      </c>
      <c r="F8" s="1" t="s">
        <v>9</v>
      </c>
      <c r="G8" s="109">
        <v>93.7</v>
      </c>
      <c r="H8" s="109">
        <v>26.95</v>
      </c>
      <c r="I8" s="91">
        <f t="shared" si="1"/>
        <v>0.93700000000000006</v>
      </c>
    </row>
    <row r="9" spans="1:11" ht="15.75" x14ac:dyDescent="0.25">
      <c r="A9" s="1" t="s">
        <v>9</v>
      </c>
      <c r="B9" s="91">
        <v>153.25</v>
      </c>
      <c r="C9" s="79">
        <v>61.4</v>
      </c>
      <c r="D9" s="91">
        <f t="shared" si="0"/>
        <v>1.5325</v>
      </c>
      <c r="F9" s="1" t="s">
        <v>10</v>
      </c>
      <c r="G9" s="79">
        <v>95.15</v>
      </c>
      <c r="H9" s="79">
        <v>50.2</v>
      </c>
      <c r="I9" s="91">
        <f t="shared" si="1"/>
        <v>0.95150000000000001</v>
      </c>
    </row>
    <row r="10" spans="1:11" ht="15.75" x14ac:dyDescent="0.25">
      <c r="A10" s="1" t="s">
        <v>10</v>
      </c>
      <c r="B10" s="91">
        <v>282.45</v>
      </c>
      <c r="C10" s="79">
        <v>103.9</v>
      </c>
      <c r="D10" s="91">
        <f t="shared" si="0"/>
        <v>2.8245</v>
      </c>
      <c r="F10" s="1" t="s">
        <v>11</v>
      </c>
      <c r="G10" s="79">
        <v>77.599999999999994</v>
      </c>
      <c r="H10" s="79">
        <v>32.85</v>
      </c>
      <c r="I10" s="91">
        <f t="shared" si="1"/>
        <v>0.77600000000000002</v>
      </c>
    </row>
    <row r="11" spans="1:11" ht="15.75" x14ac:dyDescent="0.25">
      <c r="A11" s="1" t="s">
        <v>11</v>
      </c>
      <c r="B11" s="91">
        <v>236.6</v>
      </c>
      <c r="C11" s="79">
        <v>153.5</v>
      </c>
      <c r="D11" s="91">
        <f t="shared" si="0"/>
        <v>2.3660000000000001</v>
      </c>
      <c r="F11" s="1" t="s">
        <v>12</v>
      </c>
      <c r="G11" s="79">
        <v>126.45</v>
      </c>
      <c r="H11" s="79">
        <v>89.67</v>
      </c>
      <c r="I11" s="91">
        <f t="shared" si="1"/>
        <v>1.2645</v>
      </c>
    </row>
    <row r="12" spans="1:11" ht="15.75" x14ac:dyDescent="0.25">
      <c r="A12" s="1" t="s">
        <v>15</v>
      </c>
      <c r="B12" s="91">
        <v>141.85</v>
      </c>
      <c r="C12" s="79">
        <v>66.650000000000006</v>
      </c>
      <c r="D12" s="91">
        <f t="shared" si="0"/>
        <v>1.4185000000000001</v>
      </c>
      <c r="F12" s="1" t="s">
        <v>13</v>
      </c>
      <c r="G12" s="79">
        <v>170.95</v>
      </c>
      <c r="H12" s="79">
        <v>56.2</v>
      </c>
      <c r="I12" s="91">
        <f t="shared" si="1"/>
        <v>1.7095</v>
      </c>
    </row>
    <row r="13" spans="1:11" ht="15.75" x14ac:dyDescent="0.25">
      <c r="A13" s="1" t="s">
        <v>13</v>
      </c>
      <c r="B13" s="91">
        <v>265.95</v>
      </c>
      <c r="C13" s="79">
        <v>118.25</v>
      </c>
      <c r="D13" s="91">
        <f t="shared" si="0"/>
        <v>2.6595</v>
      </c>
      <c r="F13" s="1" t="s">
        <v>14</v>
      </c>
      <c r="G13" s="79">
        <v>597</v>
      </c>
      <c r="H13" s="79">
        <v>180.4</v>
      </c>
      <c r="I13" s="91">
        <f t="shared" si="1"/>
        <v>5.97</v>
      </c>
    </row>
    <row r="14" spans="1:11" ht="15.75" x14ac:dyDescent="0.25">
      <c r="A14" s="1" t="s">
        <v>14</v>
      </c>
      <c r="B14" s="91">
        <v>93</v>
      </c>
      <c r="C14" s="79">
        <v>97.9</v>
      </c>
      <c r="D14" s="91">
        <f t="shared" si="0"/>
        <v>0.93</v>
      </c>
      <c r="F14" s="112" t="s">
        <v>21</v>
      </c>
      <c r="G14" s="49">
        <f>AVERAGE(G4:G13)</f>
        <v>191.84444444444446</v>
      </c>
      <c r="H14" s="49">
        <f>AVERAGE(H4:H13)</f>
        <v>70.946666666666658</v>
      </c>
      <c r="I14" s="113">
        <f t="shared" si="1"/>
        <v>1.9184444444444446</v>
      </c>
    </row>
    <row r="15" spans="1:11" ht="15.75" x14ac:dyDescent="0.25">
      <c r="A15" s="112" t="s">
        <v>21</v>
      </c>
      <c r="B15" s="49">
        <f>AVERAGE(B5:B14)</f>
        <v>215.05499999999998</v>
      </c>
      <c r="C15" s="49">
        <f>AVERAGE(C5:C14)</f>
        <v>93.22</v>
      </c>
      <c r="D15" s="49">
        <f>AVERAGE(D5:D14)</f>
        <v>2.1505500000000004</v>
      </c>
      <c r="J15" s="12"/>
      <c r="K15" s="12"/>
    </row>
    <row r="17" spans="1:9" ht="15.75" x14ac:dyDescent="0.25">
      <c r="A17" s="120" t="s">
        <v>0</v>
      </c>
      <c r="B17" s="120"/>
      <c r="C17" s="120"/>
      <c r="D17" s="120"/>
      <c r="F17" s="120" t="s">
        <v>0</v>
      </c>
      <c r="G17" s="120"/>
      <c r="H17" s="120"/>
      <c r="I17" s="120"/>
    </row>
    <row r="18" spans="1:9" ht="15.75" x14ac:dyDescent="0.25">
      <c r="A18" s="121" t="s">
        <v>42</v>
      </c>
      <c r="B18" s="121"/>
      <c r="C18" s="121"/>
      <c r="D18" s="121"/>
      <c r="F18" s="121" t="s">
        <v>41</v>
      </c>
      <c r="G18" s="121"/>
      <c r="H18" s="121"/>
      <c r="I18" s="121"/>
    </row>
    <row r="19" spans="1:9" ht="15.75" x14ac:dyDescent="0.25">
      <c r="A19" s="122" t="s">
        <v>1</v>
      </c>
      <c r="B19" s="122" t="s">
        <v>2</v>
      </c>
      <c r="C19" s="122"/>
      <c r="D19" s="122"/>
      <c r="F19" s="122" t="s">
        <v>1</v>
      </c>
      <c r="G19" s="122" t="s">
        <v>2</v>
      </c>
      <c r="H19" s="122"/>
      <c r="I19" s="122"/>
    </row>
    <row r="20" spans="1:9" ht="15.75" x14ac:dyDescent="0.25">
      <c r="A20" s="122"/>
      <c r="B20" s="1" t="s">
        <v>3</v>
      </c>
      <c r="C20" s="1" t="s">
        <v>4</v>
      </c>
      <c r="D20" s="1" t="s">
        <v>146</v>
      </c>
      <c r="F20" s="122"/>
      <c r="G20" s="1" t="s">
        <v>3</v>
      </c>
      <c r="H20" s="1" t="s">
        <v>4</v>
      </c>
      <c r="I20" s="1" t="s">
        <v>146</v>
      </c>
    </row>
    <row r="21" spans="1:9" ht="15.75" x14ac:dyDescent="0.25">
      <c r="A21" s="1" t="s">
        <v>6</v>
      </c>
      <c r="B21" s="110">
        <v>48.45</v>
      </c>
      <c r="C21" s="111">
        <v>31.3</v>
      </c>
      <c r="D21" s="91">
        <f>B21*10000/1000000</f>
        <v>0.48449999999999999</v>
      </c>
      <c r="F21" s="1" t="s">
        <v>5</v>
      </c>
      <c r="G21" s="2">
        <v>52.65</v>
      </c>
      <c r="H21" s="79">
        <v>20.95</v>
      </c>
      <c r="I21" s="11">
        <f>G21*10000/1000000</f>
        <v>0.52649999999999997</v>
      </c>
    </row>
    <row r="22" spans="1:9" ht="15.75" x14ac:dyDescent="0.25">
      <c r="A22" s="1" t="s">
        <v>7</v>
      </c>
      <c r="B22" s="111">
        <v>92.45</v>
      </c>
      <c r="C22" s="111">
        <v>46.8</v>
      </c>
      <c r="D22" s="91">
        <f t="shared" ref="D22:D29" si="2">B22*10000/1000000</f>
        <v>0.92449999999999999</v>
      </c>
      <c r="F22" s="1" t="s">
        <v>6</v>
      </c>
      <c r="G22" s="2">
        <v>47.3</v>
      </c>
      <c r="H22" s="79">
        <v>23.4</v>
      </c>
      <c r="I22" s="11">
        <f t="shared" ref="I22:I30" si="3">G22*10000/1000000</f>
        <v>0.47299999999999998</v>
      </c>
    </row>
    <row r="23" spans="1:9" ht="15.75" x14ac:dyDescent="0.25">
      <c r="A23" s="1" t="s">
        <v>8</v>
      </c>
      <c r="B23" s="111">
        <v>49.6</v>
      </c>
      <c r="C23" s="111">
        <v>25.7</v>
      </c>
      <c r="D23" s="91">
        <f t="shared" si="2"/>
        <v>0.496</v>
      </c>
      <c r="F23" s="1" t="s">
        <v>7</v>
      </c>
      <c r="G23" s="79">
        <v>173.7</v>
      </c>
      <c r="H23" s="79">
        <v>46.2</v>
      </c>
      <c r="I23" s="11">
        <f t="shared" si="3"/>
        <v>1.7370000000000001</v>
      </c>
    </row>
    <row r="24" spans="1:9" ht="15.75" x14ac:dyDescent="0.25">
      <c r="A24" s="1" t="s">
        <v>9</v>
      </c>
      <c r="B24" s="111">
        <v>42.1</v>
      </c>
      <c r="C24" s="111">
        <v>17.149999999999999</v>
      </c>
      <c r="D24" s="91">
        <f t="shared" si="2"/>
        <v>0.42099999999999999</v>
      </c>
      <c r="F24" s="1" t="s">
        <v>8</v>
      </c>
      <c r="G24" s="79">
        <v>82.25</v>
      </c>
      <c r="H24" s="79">
        <v>28.6</v>
      </c>
      <c r="I24" s="11">
        <f t="shared" si="3"/>
        <v>0.82250000000000001</v>
      </c>
    </row>
    <row r="25" spans="1:9" ht="15.75" x14ac:dyDescent="0.25">
      <c r="A25" s="1" t="s">
        <v>10</v>
      </c>
      <c r="B25" s="111">
        <v>60.9</v>
      </c>
      <c r="C25" s="111">
        <v>25.9</v>
      </c>
      <c r="D25" s="91">
        <f t="shared" si="2"/>
        <v>0.60899999999999999</v>
      </c>
      <c r="F25" s="1" t="s">
        <v>9</v>
      </c>
      <c r="G25" s="79">
        <v>105.4</v>
      </c>
      <c r="H25" s="79">
        <v>93.4</v>
      </c>
      <c r="I25" s="11">
        <f t="shared" si="3"/>
        <v>1.054</v>
      </c>
    </row>
    <row r="26" spans="1:9" ht="15.75" x14ac:dyDescent="0.25">
      <c r="A26" s="1" t="s">
        <v>11</v>
      </c>
      <c r="B26" s="79">
        <v>21.25</v>
      </c>
      <c r="C26" s="79">
        <v>8.65</v>
      </c>
      <c r="D26" s="91">
        <f t="shared" si="2"/>
        <v>0.21249999999999999</v>
      </c>
      <c r="F26" s="1" t="s">
        <v>10</v>
      </c>
      <c r="G26" s="79">
        <v>90.05</v>
      </c>
      <c r="H26" s="79">
        <v>37.35</v>
      </c>
      <c r="I26" s="11">
        <f t="shared" si="3"/>
        <v>0.90049999999999997</v>
      </c>
    </row>
    <row r="27" spans="1:9" ht="15.75" x14ac:dyDescent="0.25">
      <c r="A27" s="1" t="s">
        <v>12</v>
      </c>
      <c r="B27" s="79">
        <v>58.35</v>
      </c>
      <c r="C27" s="79">
        <v>24.35</v>
      </c>
      <c r="D27" s="91">
        <f t="shared" si="2"/>
        <v>0.58350000000000002</v>
      </c>
      <c r="F27" s="1" t="s">
        <v>11</v>
      </c>
      <c r="G27" s="79">
        <v>80.5</v>
      </c>
      <c r="H27" s="79">
        <v>11.6</v>
      </c>
      <c r="I27" s="11">
        <f t="shared" si="3"/>
        <v>0.80500000000000005</v>
      </c>
    </row>
    <row r="28" spans="1:9" ht="15.75" x14ac:dyDescent="0.25">
      <c r="A28" s="1" t="s">
        <v>13</v>
      </c>
      <c r="B28" s="79">
        <v>77.95</v>
      </c>
      <c r="C28" s="79">
        <v>32.15</v>
      </c>
      <c r="D28" s="91">
        <f t="shared" si="2"/>
        <v>0.77949999999999997</v>
      </c>
      <c r="F28" s="1" t="s">
        <v>12</v>
      </c>
      <c r="G28" s="79">
        <v>118.9</v>
      </c>
      <c r="H28" s="79">
        <v>48.25</v>
      </c>
      <c r="I28" s="11">
        <f t="shared" si="3"/>
        <v>1.1890000000000001</v>
      </c>
    </row>
    <row r="29" spans="1:9" ht="15.75" x14ac:dyDescent="0.25">
      <c r="A29" s="1" t="s">
        <v>14</v>
      </c>
      <c r="B29" s="79">
        <v>97.85</v>
      </c>
      <c r="C29" s="79">
        <v>92.3</v>
      </c>
      <c r="D29" s="91">
        <f t="shared" si="2"/>
        <v>0.97850000000000004</v>
      </c>
      <c r="F29" s="1" t="s">
        <v>13</v>
      </c>
      <c r="G29" s="79">
        <v>74.25</v>
      </c>
      <c r="H29" s="79">
        <v>26.95</v>
      </c>
      <c r="I29" s="11">
        <f t="shared" si="3"/>
        <v>0.74250000000000005</v>
      </c>
    </row>
    <row r="30" spans="1:9" ht="15.75" x14ac:dyDescent="0.25">
      <c r="A30" s="112" t="s">
        <v>21</v>
      </c>
      <c r="B30" s="49">
        <f>AVERAGE(B20:B29)</f>
        <v>60.988888888888887</v>
      </c>
      <c r="C30" s="49">
        <f>AVERAGE(C20:C29)</f>
        <v>33.81111111111111</v>
      </c>
      <c r="D30" s="49">
        <f>AVERAGE(D20:D29)</f>
        <v>0.60988888888888892</v>
      </c>
      <c r="F30" s="1" t="s">
        <v>14</v>
      </c>
      <c r="G30" s="79">
        <v>46.15</v>
      </c>
      <c r="H30" s="79">
        <v>17.850000000000001</v>
      </c>
      <c r="I30" s="11">
        <f t="shared" si="3"/>
        <v>0.46150000000000002</v>
      </c>
    </row>
    <row r="31" spans="1:9" ht="15.75" x14ac:dyDescent="0.25">
      <c r="F31" s="112" t="s">
        <v>21</v>
      </c>
      <c r="G31" s="49">
        <f>AVERAGE(G21:G30)</f>
        <v>87.114999999999981</v>
      </c>
      <c r="H31" s="49">
        <f>AVERAGE(H21:H30)</f>
        <v>35.454999999999998</v>
      </c>
      <c r="I31" s="49">
        <f>AVERAGE(I21:I30)</f>
        <v>0.87115000000000009</v>
      </c>
    </row>
    <row r="35" spans="1:16" x14ac:dyDescent="0.25">
      <c r="A35" s="13">
        <v>1.4390000000000001</v>
      </c>
      <c r="B35" s="13">
        <v>1.2024999999999999</v>
      </c>
      <c r="C35" s="13"/>
      <c r="D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5">
      <c r="A36" s="13">
        <v>5.0069999999999997</v>
      </c>
      <c r="B36" s="13">
        <v>2.6539999999999999</v>
      </c>
      <c r="C36" s="13"/>
      <c r="D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5">
      <c r="A37" s="13">
        <v>1.3855</v>
      </c>
      <c r="B37" s="13">
        <v>1.8009999999999999</v>
      </c>
      <c r="C37" s="13"/>
      <c r="D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25">
      <c r="A38" s="13">
        <v>1.9430000000000001</v>
      </c>
      <c r="B38" s="13">
        <v>0.93700000000000006</v>
      </c>
      <c r="C38" s="13"/>
      <c r="D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13">
        <v>1.5325</v>
      </c>
      <c r="B39" s="13">
        <v>0.95150000000000001</v>
      </c>
      <c r="C39" s="13"/>
      <c r="D39" s="13"/>
    </row>
    <row r="40" spans="1:16" x14ac:dyDescent="0.25">
      <c r="A40" s="13">
        <v>2.8245</v>
      </c>
      <c r="B40" s="13">
        <v>0.77600000000000002</v>
      </c>
      <c r="C40" s="13"/>
      <c r="D40" s="13"/>
    </row>
    <row r="41" spans="1:16" x14ac:dyDescent="0.25">
      <c r="A41" s="13">
        <v>2.3660000000000001</v>
      </c>
      <c r="B41" s="13">
        <v>1.2645</v>
      </c>
      <c r="C41" s="13"/>
      <c r="D41" s="13"/>
    </row>
    <row r="42" spans="1:16" x14ac:dyDescent="0.25">
      <c r="A42" s="13">
        <v>1.4185000000000001</v>
      </c>
      <c r="B42" s="13">
        <v>1.7095</v>
      </c>
      <c r="C42" s="13"/>
      <c r="D42" s="13"/>
    </row>
    <row r="43" spans="1:16" x14ac:dyDescent="0.25">
      <c r="A43" s="13">
        <v>2.6595</v>
      </c>
      <c r="B43" s="13">
        <v>5.97</v>
      </c>
      <c r="C43" s="13"/>
      <c r="D43" s="13"/>
    </row>
    <row r="44" spans="1:16" x14ac:dyDescent="0.25">
      <c r="A44" s="13">
        <v>0.93</v>
      </c>
      <c r="B44" s="13">
        <v>1.3</v>
      </c>
      <c r="C44" s="13"/>
      <c r="D44" s="13"/>
    </row>
    <row r="45" spans="1:16" x14ac:dyDescent="0.25">
      <c r="A45" s="13">
        <f>AVERAGE(A35:A44)</f>
        <v>2.1505500000000004</v>
      </c>
      <c r="B45" s="13">
        <f>AVERAGE(B35:B44)</f>
        <v>1.8566000000000003</v>
      </c>
      <c r="C45" s="13"/>
      <c r="D45" s="13"/>
    </row>
  </sheetData>
  <mergeCells count="16">
    <mergeCell ref="F18:I18"/>
    <mergeCell ref="A19:A20"/>
    <mergeCell ref="A3:A4"/>
    <mergeCell ref="F3:F4"/>
    <mergeCell ref="F19:F20"/>
    <mergeCell ref="A17:D17"/>
    <mergeCell ref="A18:D18"/>
    <mergeCell ref="B19:D19"/>
    <mergeCell ref="B3:D3"/>
    <mergeCell ref="G3:I3"/>
    <mergeCell ref="G19:I19"/>
    <mergeCell ref="A1:D1"/>
    <mergeCell ref="A2:D2"/>
    <mergeCell ref="F1:I1"/>
    <mergeCell ref="F2:I2"/>
    <mergeCell ref="F17:I1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43" workbookViewId="0">
      <selection activeCell="F52" sqref="F52:P55"/>
    </sheetView>
  </sheetViews>
  <sheetFormatPr defaultRowHeight="15" x14ac:dyDescent="0.25"/>
  <cols>
    <col min="1" max="1" width="12.5703125" customWidth="1"/>
    <col min="8" max="8" width="16.140625" customWidth="1"/>
    <col min="10" max="10" width="14.5703125" customWidth="1"/>
  </cols>
  <sheetData>
    <row r="1" spans="1:18" x14ac:dyDescent="0.25">
      <c r="A1" s="134" t="s">
        <v>16</v>
      </c>
      <c r="B1" s="135"/>
      <c r="C1" s="135"/>
      <c r="D1" s="135"/>
      <c r="E1" s="135"/>
      <c r="F1" s="135"/>
      <c r="G1" s="135"/>
      <c r="H1" s="135"/>
      <c r="J1" s="136" t="s">
        <v>32</v>
      </c>
      <c r="K1" s="136"/>
      <c r="L1" s="136"/>
      <c r="M1" s="136"/>
      <c r="N1" s="136"/>
      <c r="O1" s="136"/>
    </row>
    <row r="2" spans="1:18" x14ac:dyDescent="0.25">
      <c r="A2" s="137" t="s">
        <v>39</v>
      </c>
      <c r="B2" s="138"/>
      <c r="C2" s="138"/>
      <c r="D2" s="138"/>
      <c r="E2" s="138"/>
      <c r="F2" s="138"/>
      <c r="G2" s="138"/>
      <c r="H2" s="138"/>
      <c r="J2" s="126" t="s">
        <v>39</v>
      </c>
      <c r="K2" s="127"/>
      <c r="L2" s="127"/>
      <c r="M2" s="127"/>
      <c r="N2" s="127"/>
      <c r="O2" s="128"/>
    </row>
    <row r="3" spans="1:18" x14ac:dyDescent="0.25">
      <c r="A3" s="3" t="s">
        <v>1</v>
      </c>
      <c r="B3" s="129" t="s">
        <v>17</v>
      </c>
      <c r="C3" s="129"/>
      <c r="D3" s="129"/>
      <c r="E3" s="129"/>
      <c r="F3" s="4" t="s">
        <v>18</v>
      </c>
      <c r="G3" s="5" t="s">
        <v>19</v>
      </c>
      <c r="H3" s="5" t="s">
        <v>20</v>
      </c>
      <c r="J3" s="3" t="s">
        <v>1</v>
      </c>
      <c r="K3" s="130" t="s">
        <v>2</v>
      </c>
      <c r="L3" s="131"/>
      <c r="M3" s="131"/>
      <c r="N3" s="132"/>
      <c r="O3" s="4" t="s">
        <v>21</v>
      </c>
      <c r="Q3" s="13">
        <v>76.704545454545453</v>
      </c>
      <c r="R3" s="12">
        <v>0.4425</v>
      </c>
    </row>
    <row r="4" spans="1:18" x14ac:dyDescent="0.25">
      <c r="A4" s="6" t="s">
        <v>22</v>
      </c>
      <c r="B4" s="6">
        <v>27</v>
      </c>
      <c r="C4" s="6">
        <v>15</v>
      </c>
      <c r="D4" s="6">
        <v>21</v>
      </c>
      <c r="E4" s="6">
        <v>19</v>
      </c>
      <c r="F4" s="7">
        <f>SUM(B4:E4)</f>
        <v>82</v>
      </c>
      <c r="G4" s="18">
        <f>(F4*100)/352</f>
        <v>23.295454545454547</v>
      </c>
      <c r="H4" s="18">
        <f>100-G4</f>
        <v>76.704545454545453</v>
      </c>
      <c r="J4" s="6" t="s">
        <v>22</v>
      </c>
      <c r="K4" s="6">
        <v>0.36</v>
      </c>
      <c r="L4" s="6">
        <v>0.33</v>
      </c>
      <c r="M4" s="6">
        <v>0.52</v>
      </c>
      <c r="N4" s="8">
        <v>0.56000000000000005</v>
      </c>
      <c r="O4" s="9">
        <f>AVERAGE(K4:N4)</f>
        <v>0.4425</v>
      </c>
      <c r="Q4" s="13">
        <v>79.26136363636364</v>
      </c>
      <c r="R4" s="12">
        <v>0.6925</v>
      </c>
    </row>
    <row r="5" spans="1:18" x14ac:dyDescent="0.25">
      <c r="A5" s="6" t="s">
        <v>23</v>
      </c>
      <c r="B5" s="6">
        <v>24</v>
      </c>
      <c r="C5" s="6">
        <v>21</v>
      </c>
      <c r="D5" s="6">
        <v>13</v>
      </c>
      <c r="E5" s="6">
        <v>15</v>
      </c>
      <c r="F5" s="7">
        <f t="shared" ref="F5:F9" si="0">SUM(B5:E5)</f>
        <v>73</v>
      </c>
      <c r="G5" s="18">
        <f t="shared" ref="G5:G13" si="1">(F5*100)/352</f>
        <v>20.738636363636363</v>
      </c>
      <c r="H5" s="18">
        <f t="shared" ref="H5:H37" si="2">100-G5</f>
        <v>79.26136363636364</v>
      </c>
      <c r="J5" s="6" t="s">
        <v>23</v>
      </c>
      <c r="K5" s="6">
        <v>0.73</v>
      </c>
      <c r="L5" s="8">
        <v>0.71</v>
      </c>
      <c r="M5" s="6">
        <v>0.65</v>
      </c>
      <c r="N5" s="6">
        <v>0.68</v>
      </c>
      <c r="O5" s="9">
        <f t="shared" ref="O5:O13" si="3">AVERAGE(K5:N5)</f>
        <v>0.6925</v>
      </c>
      <c r="Q5" s="13">
        <v>63.636363636363633</v>
      </c>
      <c r="R5" s="12">
        <v>0.4425</v>
      </c>
    </row>
    <row r="6" spans="1:18" x14ac:dyDescent="0.25">
      <c r="A6" s="6" t="s">
        <v>24</v>
      </c>
      <c r="B6" s="6">
        <v>27</v>
      </c>
      <c r="C6" s="6">
        <v>31</v>
      </c>
      <c r="D6" s="6">
        <v>31</v>
      </c>
      <c r="E6" s="6">
        <v>39</v>
      </c>
      <c r="F6" s="7">
        <f t="shared" si="0"/>
        <v>128</v>
      </c>
      <c r="G6" s="18">
        <f t="shared" si="1"/>
        <v>36.363636363636367</v>
      </c>
      <c r="H6" s="18">
        <f t="shared" si="2"/>
        <v>63.636363636363633</v>
      </c>
      <c r="J6" s="6" t="s">
        <v>24</v>
      </c>
      <c r="K6" s="6">
        <v>0.4</v>
      </c>
      <c r="L6" s="6">
        <v>0.45</v>
      </c>
      <c r="M6" s="6">
        <v>0.4</v>
      </c>
      <c r="N6" s="6">
        <v>0.52</v>
      </c>
      <c r="O6" s="9">
        <f t="shared" si="3"/>
        <v>0.4425</v>
      </c>
      <c r="Q6" s="13">
        <v>50.852272727272727</v>
      </c>
      <c r="R6" s="12">
        <v>0.34</v>
      </c>
    </row>
    <row r="7" spans="1:18" x14ac:dyDescent="0.25">
      <c r="A7" s="6" t="s">
        <v>25</v>
      </c>
      <c r="B7" s="6">
        <v>54</v>
      </c>
      <c r="C7" s="6">
        <v>48</v>
      </c>
      <c r="D7" s="6">
        <v>32</v>
      </c>
      <c r="E7" s="6">
        <v>39</v>
      </c>
      <c r="F7" s="7">
        <f t="shared" si="0"/>
        <v>173</v>
      </c>
      <c r="G7" s="18">
        <f t="shared" si="1"/>
        <v>49.147727272727273</v>
      </c>
      <c r="H7" s="18">
        <f t="shared" si="2"/>
        <v>50.852272727272727</v>
      </c>
      <c r="J7" s="6" t="s">
        <v>25</v>
      </c>
      <c r="K7" s="6">
        <v>0.46</v>
      </c>
      <c r="L7" s="6">
        <v>0.35</v>
      </c>
      <c r="M7" s="6">
        <v>0.3</v>
      </c>
      <c r="N7" s="6">
        <v>0.25</v>
      </c>
      <c r="O7" s="9">
        <f t="shared" si="3"/>
        <v>0.34</v>
      </c>
      <c r="Q7" s="13">
        <v>42.613636363636367</v>
      </c>
      <c r="R7" s="12">
        <v>0.35000000000000003</v>
      </c>
    </row>
    <row r="8" spans="1:18" x14ac:dyDescent="0.25">
      <c r="A8" s="6" t="s">
        <v>26</v>
      </c>
      <c r="B8" s="6"/>
      <c r="C8" s="6"/>
      <c r="D8" s="6"/>
      <c r="E8" s="6"/>
      <c r="F8" s="7">
        <v>202</v>
      </c>
      <c r="G8" s="18">
        <f t="shared" si="1"/>
        <v>57.386363636363633</v>
      </c>
      <c r="H8" s="18">
        <f t="shared" si="2"/>
        <v>42.613636363636367</v>
      </c>
      <c r="J8" s="6" t="s">
        <v>26</v>
      </c>
      <c r="K8" s="6">
        <v>0.35</v>
      </c>
      <c r="L8" s="6">
        <v>0.44</v>
      </c>
      <c r="M8" s="6">
        <v>0.33</v>
      </c>
      <c r="N8" s="6">
        <v>0.28000000000000003</v>
      </c>
      <c r="O8" s="9">
        <f t="shared" si="3"/>
        <v>0.35000000000000003</v>
      </c>
      <c r="Q8" s="13">
        <v>79.829545454545453</v>
      </c>
      <c r="R8" s="12">
        <v>0.64249999999999996</v>
      </c>
    </row>
    <row r="9" spans="1:18" x14ac:dyDescent="0.25">
      <c r="A9" s="6" t="s">
        <v>27</v>
      </c>
      <c r="B9" s="6">
        <v>25</v>
      </c>
      <c r="C9" s="6">
        <v>24</v>
      </c>
      <c r="D9" s="6">
        <v>13</v>
      </c>
      <c r="E9" s="6">
        <v>9</v>
      </c>
      <c r="F9" s="7">
        <f t="shared" si="0"/>
        <v>71</v>
      </c>
      <c r="G9" s="18">
        <f t="shared" si="1"/>
        <v>20.170454545454547</v>
      </c>
      <c r="H9" s="18">
        <f t="shared" si="2"/>
        <v>79.829545454545453</v>
      </c>
      <c r="J9" s="6" t="s">
        <v>27</v>
      </c>
      <c r="K9" s="6">
        <v>0.46</v>
      </c>
      <c r="L9" s="6">
        <v>0.77</v>
      </c>
      <c r="M9" s="6">
        <v>0.67</v>
      </c>
      <c r="N9" s="6">
        <v>0.67</v>
      </c>
      <c r="O9" s="9">
        <f t="shared" si="3"/>
        <v>0.64249999999999996</v>
      </c>
      <c r="Q9" s="13">
        <v>81.818181818181813</v>
      </c>
      <c r="R9" s="12">
        <v>0.60499999999999998</v>
      </c>
    </row>
    <row r="10" spans="1:18" x14ac:dyDescent="0.25">
      <c r="A10" s="6" t="s">
        <v>28</v>
      </c>
      <c r="B10" s="6"/>
      <c r="C10" s="6"/>
      <c r="D10" s="6"/>
      <c r="E10" s="6"/>
      <c r="F10" s="7">
        <v>64</v>
      </c>
      <c r="G10" s="18">
        <f t="shared" si="1"/>
        <v>18.181818181818183</v>
      </c>
      <c r="H10" s="18">
        <f t="shared" si="2"/>
        <v>81.818181818181813</v>
      </c>
      <c r="J10" s="6" t="s">
        <v>28</v>
      </c>
      <c r="K10" s="6">
        <v>0.52</v>
      </c>
      <c r="L10" s="6">
        <v>0.57999999999999996</v>
      </c>
      <c r="M10" s="8">
        <v>0.7</v>
      </c>
      <c r="N10" s="6">
        <v>0.62</v>
      </c>
      <c r="O10" s="9">
        <f t="shared" si="3"/>
        <v>0.60499999999999998</v>
      </c>
      <c r="Q10" s="13">
        <v>62.784090909090907</v>
      </c>
      <c r="R10" s="12">
        <v>0.36</v>
      </c>
    </row>
    <row r="11" spans="1:18" x14ac:dyDescent="0.25">
      <c r="A11" s="6" t="s">
        <v>29</v>
      </c>
      <c r="B11" s="6"/>
      <c r="C11" s="6"/>
      <c r="D11" s="6"/>
      <c r="E11" s="6"/>
      <c r="F11" s="7">
        <v>131</v>
      </c>
      <c r="G11" s="18">
        <f t="shared" si="1"/>
        <v>37.215909090909093</v>
      </c>
      <c r="H11" s="18">
        <f>100-G11</f>
        <v>62.784090909090907</v>
      </c>
      <c r="J11" s="6" t="s">
        <v>29</v>
      </c>
      <c r="K11" s="6">
        <v>0.38</v>
      </c>
      <c r="L11" s="6">
        <v>0.39</v>
      </c>
      <c r="M11" s="8">
        <v>0.28000000000000003</v>
      </c>
      <c r="N11" s="6">
        <v>0.39</v>
      </c>
      <c r="O11" s="9">
        <f t="shared" si="3"/>
        <v>0.36</v>
      </c>
      <c r="Q11" s="13">
        <v>54.545454545454547</v>
      </c>
      <c r="R11" s="12">
        <v>0.48</v>
      </c>
    </row>
    <row r="12" spans="1:18" x14ac:dyDescent="0.25">
      <c r="A12" s="6" t="s">
        <v>30</v>
      </c>
      <c r="B12" s="6"/>
      <c r="C12" s="6"/>
      <c r="D12" s="6"/>
      <c r="E12" s="6"/>
      <c r="F12" s="7">
        <v>160</v>
      </c>
      <c r="G12" s="18">
        <f t="shared" si="1"/>
        <v>45.454545454545453</v>
      </c>
      <c r="H12" s="18">
        <f>100-G12</f>
        <v>54.545454545454547</v>
      </c>
      <c r="J12" s="6" t="s">
        <v>30</v>
      </c>
      <c r="K12" s="6">
        <v>0.48</v>
      </c>
      <c r="L12" s="6">
        <v>0.51</v>
      </c>
      <c r="M12" s="8">
        <v>0.45</v>
      </c>
      <c r="N12" s="6">
        <v>0.48</v>
      </c>
      <c r="O12" s="9">
        <f t="shared" si="3"/>
        <v>0.48</v>
      </c>
      <c r="Q12" s="13">
        <v>36.647727272727273</v>
      </c>
      <c r="R12" s="12">
        <v>0.4425</v>
      </c>
    </row>
    <row r="13" spans="1:18" x14ac:dyDescent="0.25">
      <c r="A13" s="15" t="s">
        <v>31</v>
      </c>
      <c r="B13" s="15"/>
      <c r="C13" s="15"/>
      <c r="D13" s="15"/>
      <c r="E13" s="15"/>
      <c r="F13" s="16">
        <v>223</v>
      </c>
      <c r="G13" s="18">
        <f t="shared" si="1"/>
        <v>63.352272727272727</v>
      </c>
      <c r="H13" s="18">
        <f>100-G13</f>
        <v>36.647727272727273</v>
      </c>
      <c r="J13" s="6" t="s">
        <v>31</v>
      </c>
      <c r="K13" s="6">
        <v>0.46</v>
      </c>
      <c r="L13" s="6">
        <v>0.38</v>
      </c>
      <c r="M13" s="6">
        <v>0.45</v>
      </c>
      <c r="N13" s="6">
        <v>0.48</v>
      </c>
      <c r="O13" s="9">
        <f t="shared" si="3"/>
        <v>0.4425</v>
      </c>
      <c r="Q13" s="19">
        <f>AVERAGE(Q3:Q12)</f>
        <v>62.869318181818173</v>
      </c>
      <c r="R13" s="20">
        <f>AVERAGE(R3:R12)</f>
        <v>0.47975000000000001</v>
      </c>
    </row>
    <row r="14" spans="1:18" x14ac:dyDescent="0.25">
      <c r="A14" s="133" t="s">
        <v>40</v>
      </c>
      <c r="B14" s="133"/>
      <c r="C14" s="133"/>
      <c r="D14" s="133"/>
      <c r="E14" s="133"/>
      <c r="F14" s="133"/>
      <c r="G14" s="133"/>
      <c r="H14" s="133"/>
      <c r="J14" s="126" t="s">
        <v>40</v>
      </c>
      <c r="K14" s="127"/>
      <c r="L14" s="127"/>
      <c r="M14" s="127"/>
      <c r="N14" s="127"/>
      <c r="O14" s="128"/>
    </row>
    <row r="15" spans="1:18" x14ac:dyDescent="0.25">
      <c r="A15" s="3" t="s">
        <v>1</v>
      </c>
      <c r="B15" s="129" t="s">
        <v>17</v>
      </c>
      <c r="C15" s="129"/>
      <c r="D15" s="129"/>
      <c r="E15" s="129"/>
      <c r="F15" s="4" t="s">
        <v>18</v>
      </c>
      <c r="G15" s="5" t="s">
        <v>19</v>
      </c>
      <c r="H15" s="5" t="s">
        <v>20</v>
      </c>
      <c r="J15" s="3" t="s">
        <v>1</v>
      </c>
      <c r="K15" s="130" t="s">
        <v>2</v>
      </c>
      <c r="L15" s="131"/>
      <c r="M15" s="131"/>
      <c r="N15" s="132"/>
      <c r="O15" s="4" t="s">
        <v>21</v>
      </c>
      <c r="Q15">
        <v>50.284090909090907</v>
      </c>
      <c r="R15">
        <v>0.4425</v>
      </c>
    </row>
    <row r="16" spans="1:18" x14ac:dyDescent="0.25">
      <c r="A16" s="6" t="s">
        <v>22</v>
      </c>
      <c r="B16" s="6"/>
      <c r="C16" s="6"/>
      <c r="D16" s="6"/>
      <c r="E16" s="6"/>
      <c r="F16" s="7">
        <v>175</v>
      </c>
      <c r="G16" s="18">
        <f>(F16*100)/352</f>
        <v>49.715909090909093</v>
      </c>
      <c r="H16" s="18">
        <f t="shared" si="2"/>
        <v>50.284090909090907</v>
      </c>
      <c r="J16" s="6" t="s">
        <v>22</v>
      </c>
      <c r="K16" s="6">
        <v>0.46</v>
      </c>
      <c r="L16" s="8">
        <v>0.38</v>
      </c>
      <c r="M16" s="6">
        <v>0.45</v>
      </c>
      <c r="N16" s="6">
        <v>0.48</v>
      </c>
      <c r="O16" s="9">
        <f>AVERAGE(K16:N16)</f>
        <v>0.4425</v>
      </c>
      <c r="Q16">
        <v>68.465909090909093</v>
      </c>
      <c r="R16">
        <v>0.38</v>
      </c>
    </row>
    <row r="17" spans="1:18" x14ac:dyDescent="0.25">
      <c r="A17" s="6" t="s">
        <v>23</v>
      </c>
      <c r="B17" s="6"/>
      <c r="C17" s="6"/>
      <c r="D17" s="6"/>
      <c r="E17" s="6"/>
      <c r="F17" s="7">
        <v>111</v>
      </c>
      <c r="G17" s="18">
        <f t="shared" ref="G17:G25" si="4">(F17*100)/352</f>
        <v>31.53409090909091</v>
      </c>
      <c r="H17" s="18">
        <f t="shared" si="2"/>
        <v>68.465909090909093</v>
      </c>
      <c r="J17" s="6" t="s">
        <v>23</v>
      </c>
      <c r="K17" s="6">
        <v>0.46</v>
      </c>
      <c r="L17" s="8">
        <v>0.32</v>
      </c>
      <c r="M17" s="6">
        <v>0.34</v>
      </c>
      <c r="N17" s="6">
        <v>0.4</v>
      </c>
      <c r="O17" s="9">
        <f t="shared" ref="O17:O25" si="5">AVERAGE(K17:N17)</f>
        <v>0.38</v>
      </c>
      <c r="Q17">
        <v>57.670454545454547</v>
      </c>
      <c r="R17">
        <v>0.44750000000000001</v>
      </c>
    </row>
    <row r="18" spans="1:18" x14ac:dyDescent="0.25">
      <c r="A18" s="6" t="s">
        <v>24</v>
      </c>
      <c r="B18" s="6"/>
      <c r="C18" s="6"/>
      <c r="D18" s="6"/>
      <c r="E18" s="6"/>
      <c r="F18" s="7"/>
      <c r="G18" s="18">
        <f t="shared" si="4"/>
        <v>0</v>
      </c>
      <c r="H18" s="18">
        <f t="shared" si="2"/>
        <v>100</v>
      </c>
      <c r="J18" s="6" t="s">
        <v>24</v>
      </c>
      <c r="K18" s="6"/>
      <c r="L18" s="6"/>
      <c r="M18" s="6"/>
      <c r="N18" s="6"/>
      <c r="O18" s="9" t="e">
        <f t="shared" si="5"/>
        <v>#DIV/0!</v>
      </c>
      <c r="Q18">
        <v>54.545454545454547</v>
      </c>
      <c r="R18">
        <v>0.16</v>
      </c>
    </row>
    <row r="19" spans="1:18" x14ac:dyDescent="0.25">
      <c r="A19" s="6" t="s">
        <v>25</v>
      </c>
      <c r="B19" s="6"/>
      <c r="C19" s="6"/>
      <c r="D19" s="6"/>
      <c r="E19" s="6"/>
      <c r="F19" s="7">
        <v>149</v>
      </c>
      <c r="G19" s="18">
        <f t="shared" si="4"/>
        <v>42.329545454545453</v>
      </c>
      <c r="H19" s="18">
        <f t="shared" si="2"/>
        <v>57.670454545454547</v>
      </c>
      <c r="J19" s="6" t="s">
        <v>25</v>
      </c>
      <c r="K19" s="6">
        <v>0.45</v>
      </c>
      <c r="L19" s="6">
        <v>0.53</v>
      </c>
      <c r="M19" s="6">
        <v>0.43</v>
      </c>
      <c r="N19" s="6">
        <v>0.38</v>
      </c>
      <c r="O19" s="9">
        <f t="shared" si="5"/>
        <v>0.44750000000000001</v>
      </c>
      <c r="Q19">
        <v>53.69318181818182</v>
      </c>
      <c r="R19">
        <v>0.30499999999999999</v>
      </c>
    </row>
    <row r="20" spans="1:18" x14ac:dyDescent="0.25">
      <c r="A20" s="6" t="s">
        <v>26</v>
      </c>
      <c r="B20" s="6"/>
      <c r="C20" s="6"/>
      <c r="D20" s="6"/>
      <c r="E20" s="6"/>
      <c r="F20" s="7">
        <v>160</v>
      </c>
      <c r="G20" s="18">
        <f t="shared" si="4"/>
        <v>45.454545454545453</v>
      </c>
      <c r="H20" s="18">
        <f t="shared" si="2"/>
        <v>54.545454545454547</v>
      </c>
      <c r="J20" s="6" t="s">
        <v>26</v>
      </c>
      <c r="K20" s="6">
        <v>0.4</v>
      </c>
      <c r="L20" s="8">
        <v>0.3</v>
      </c>
      <c r="M20" s="8">
        <v>25</v>
      </c>
      <c r="N20" s="6">
        <v>42</v>
      </c>
      <c r="O20" s="9">
        <f t="shared" si="5"/>
        <v>16.925000000000001</v>
      </c>
      <c r="Q20">
        <v>56.25</v>
      </c>
      <c r="R20">
        <v>0.39</v>
      </c>
    </row>
    <row r="21" spans="1:18" x14ac:dyDescent="0.25">
      <c r="A21" s="6" t="s">
        <v>27</v>
      </c>
      <c r="B21" s="6"/>
      <c r="C21" s="6"/>
      <c r="D21" s="6"/>
      <c r="E21" s="6"/>
      <c r="F21" s="7">
        <v>163</v>
      </c>
      <c r="G21" s="18">
        <f t="shared" si="4"/>
        <v>46.30681818181818</v>
      </c>
      <c r="H21" s="18">
        <f t="shared" si="2"/>
        <v>53.69318181818182</v>
      </c>
      <c r="J21" s="6" t="s">
        <v>27</v>
      </c>
      <c r="K21" s="6">
        <v>0.31</v>
      </c>
      <c r="L21" s="6">
        <v>0.33</v>
      </c>
      <c r="M21" s="6">
        <v>0.33</v>
      </c>
      <c r="N21" s="6">
        <v>0.25</v>
      </c>
      <c r="O21" s="9">
        <f t="shared" si="5"/>
        <v>0.30499999999999999</v>
      </c>
      <c r="Q21">
        <v>60.795454545454547</v>
      </c>
      <c r="R21">
        <v>0.37</v>
      </c>
    </row>
    <row r="22" spans="1:18" x14ac:dyDescent="0.25">
      <c r="A22" s="6" t="s">
        <v>28</v>
      </c>
      <c r="B22" s="6"/>
      <c r="C22" s="6"/>
      <c r="D22" s="6"/>
      <c r="E22" s="6"/>
      <c r="F22" s="7">
        <v>154</v>
      </c>
      <c r="G22" s="18">
        <f t="shared" si="4"/>
        <v>43.75</v>
      </c>
      <c r="H22" s="18">
        <f t="shared" si="2"/>
        <v>56.25</v>
      </c>
      <c r="J22" s="6" t="s">
        <v>28</v>
      </c>
      <c r="K22" s="6">
        <v>0.4</v>
      </c>
      <c r="L22" s="6">
        <v>0.4</v>
      </c>
      <c r="M22" s="8">
        <v>0.42</v>
      </c>
      <c r="N22" s="6">
        <v>0.34</v>
      </c>
      <c r="O22" s="9">
        <f t="shared" si="5"/>
        <v>0.39</v>
      </c>
      <c r="Q22">
        <v>53.409090909090907</v>
      </c>
      <c r="R22">
        <v>0.39249999999999996</v>
      </c>
    </row>
    <row r="23" spans="1:18" x14ac:dyDescent="0.25">
      <c r="A23" s="6" t="s">
        <v>29</v>
      </c>
      <c r="B23" s="6"/>
      <c r="C23" s="6"/>
      <c r="D23" s="6"/>
      <c r="E23" s="6"/>
      <c r="F23" s="7">
        <v>138</v>
      </c>
      <c r="G23" s="18">
        <f t="shared" si="4"/>
        <v>39.204545454545453</v>
      </c>
      <c r="H23" s="18">
        <f t="shared" si="2"/>
        <v>60.795454545454547</v>
      </c>
      <c r="J23" s="6" t="s">
        <v>29</v>
      </c>
      <c r="K23" s="6">
        <v>0.44</v>
      </c>
      <c r="L23" s="6">
        <v>0.43</v>
      </c>
      <c r="M23" s="6">
        <v>0.32</v>
      </c>
      <c r="N23" s="6">
        <v>0.28999999999999998</v>
      </c>
      <c r="O23" s="9">
        <f t="shared" si="5"/>
        <v>0.37</v>
      </c>
      <c r="Q23">
        <v>83.23863636363636</v>
      </c>
      <c r="R23">
        <v>0.69499999999999995</v>
      </c>
    </row>
    <row r="24" spans="1:18" x14ac:dyDescent="0.25">
      <c r="A24" s="6" t="s">
        <v>30</v>
      </c>
      <c r="B24" s="6"/>
      <c r="C24" s="6"/>
      <c r="D24" s="6"/>
      <c r="E24" s="6"/>
      <c r="F24" s="7">
        <v>164</v>
      </c>
      <c r="G24" s="18">
        <f t="shared" si="4"/>
        <v>46.590909090909093</v>
      </c>
      <c r="H24" s="18">
        <f t="shared" si="2"/>
        <v>53.409090909090907</v>
      </c>
      <c r="J24" s="6" t="s">
        <v>30</v>
      </c>
      <c r="K24" s="6">
        <v>0.35</v>
      </c>
      <c r="L24" s="8">
        <v>0.42</v>
      </c>
      <c r="M24" s="6">
        <v>0.38</v>
      </c>
      <c r="N24" s="6">
        <v>0.42</v>
      </c>
      <c r="O24" s="9">
        <f t="shared" si="5"/>
        <v>0.39249999999999996</v>
      </c>
      <c r="Q24" s="21">
        <f>AVERAGE(Q15:Q23)</f>
        <v>59.816919191919197</v>
      </c>
      <c r="R24" s="21">
        <f>AVERAGE(R15:R23)</f>
        <v>0.39805555555555555</v>
      </c>
    </row>
    <row r="25" spans="1:18" x14ac:dyDescent="0.25">
      <c r="A25" s="6" t="s">
        <v>31</v>
      </c>
      <c r="B25" s="6"/>
      <c r="C25" s="6"/>
      <c r="D25" s="6"/>
      <c r="E25" s="6"/>
      <c r="F25" s="7">
        <v>59</v>
      </c>
      <c r="G25" s="18">
        <f t="shared" si="4"/>
        <v>16.761363636363637</v>
      </c>
      <c r="H25" s="18">
        <f t="shared" si="2"/>
        <v>83.23863636363636</v>
      </c>
      <c r="J25" s="6" t="s">
        <v>31</v>
      </c>
      <c r="K25" s="8">
        <v>0.7</v>
      </c>
      <c r="L25" s="6">
        <v>0.68</v>
      </c>
      <c r="M25" s="8">
        <v>0.69</v>
      </c>
      <c r="N25" s="6">
        <v>0.71</v>
      </c>
      <c r="O25" s="9">
        <f t="shared" si="5"/>
        <v>0.69499999999999995</v>
      </c>
    </row>
    <row r="26" spans="1:18" x14ac:dyDescent="0.25">
      <c r="A26" s="126" t="s">
        <v>43</v>
      </c>
      <c r="B26" s="127"/>
      <c r="C26" s="127"/>
      <c r="D26" s="127"/>
      <c r="E26" s="127"/>
      <c r="F26" s="127"/>
      <c r="G26" s="127"/>
      <c r="H26" s="128"/>
      <c r="J26" s="126" t="s">
        <v>43</v>
      </c>
      <c r="K26" s="127"/>
      <c r="L26" s="127"/>
      <c r="M26" s="127"/>
      <c r="N26" s="127"/>
      <c r="O26" s="128"/>
    </row>
    <row r="27" spans="1:18" x14ac:dyDescent="0.25">
      <c r="A27" s="3" t="s">
        <v>1</v>
      </c>
      <c r="B27" s="129" t="s">
        <v>17</v>
      </c>
      <c r="C27" s="129"/>
      <c r="D27" s="129"/>
      <c r="E27" s="129"/>
      <c r="F27" s="4" t="s">
        <v>18</v>
      </c>
      <c r="G27" s="5" t="s">
        <v>19</v>
      </c>
      <c r="H27" s="5" t="s">
        <v>20</v>
      </c>
      <c r="J27" s="3" t="s">
        <v>1</v>
      </c>
      <c r="K27" s="130" t="s">
        <v>2</v>
      </c>
      <c r="L27" s="131"/>
      <c r="M27" s="131"/>
      <c r="N27" s="132"/>
      <c r="O27" s="4" t="s">
        <v>21</v>
      </c>
      <c r="Q27">
        <v>60.795454545454547</v>
      </c>
      <c r="R27">
        <v>0.35000000000000003</v>
      </c>
    </row>
    <row r="28" spans="1:18" x14ac:dyDescent="0.25">
      <c r="A28" s="6" t="s">
        <v>22</v>
      </c>
      <c r="B28" s="6"/>
      <c r="C28" s="6"/>
      <c r="D28" s="6"/>
      <c r="E28" s="6"/>
      <c r="F28" s="7">
        <v>138</v>
      </c>
      <c r="G28" s="18">
        <f>(F28*100)/352</f>
        <v>39.204545454545453</v>
      </c>
      <c r="H28" s="18">
        <f t="shared" si="2"/>
        <v>60.795454545454547</v>
      </c>
      <c r="J28" s="6" t="s">
        <v>22</v>
      </c>
      <c r="K28" s="6">
        <v>0.28000000000000003</v>
      </c>
      <c r="L28" s="8">
        <v>0.38</v>
      </c>
      <c r="M28" s="6">
        <v>0.46</v>
      </c>
      <c r="N28" s="6">
        <v>0.28000000000000003</v>
      </c>
      <c r="O28" s="9">
        <f>AVERAGE(K28:N28)</f>
        <v>0.35000000000000003</v>
      </c>
      <c r="Q28">
        <v>54.261363636363633</v>
      </c>
      <c r="R28">
        <v>0.31</v>
      </c>
    </row>
    <row r="29" spans="1:18" x14ac:dyDescent="0.25">
      <c r="A29" s="6" t="s">
        <v>23</v>
      </c>
      <c r="B29" s="6"/>
      <c r="C29" s="6"/>
      <c r="D29" s="6"/>
      <c r="E29" s="6"/>
      <c r="F29" s="7">
        <v>161</v>
      </c>
      <c r="G29" s="18">
        <f t="shared" ref="G29:G37" si="6">(F29*100)/352</f>
        <v>45.738636363636367</v>
      </c>
      <c r="H29" s="18">
        <f t="shared" si="2"/>
        <v>54.261363636363633</v>
      </c>
      <c r="J29" s="6" t="s">
        <v>23</v>
      </c>
      <c r="K29" s="6">
        <v>0.23</v>
      </c>
      <c r="L29" s="8">
        <v>0.38</v>
      </c>
      <c r="M29" s="6">
        <v>0.28000000000000003</v>
      </c>
      <c r="N29" s="6">
        <v>0.35</v>
      </c>
      <c r="O29" s="9">
        <f t="shared" ref="O29:O37" si="7">AVERAGE(K29:N29)</f>
        <v>0.31</v>
      </c>
      <c r="Q29">
        <v>59.090909090909093</v>
      </c>
      <c r="R29">
        <v>0.48</v>
      </c>
    </row>
    <row r="30" spans="1:18" x14ac:dyDescent="0.25">
      <c r="A30" s="6" t="s">
        <v>24</v>
      </c>
      <c r="B30" s="6"/>
      <c r="C30" s="6"/>
      <c r="D30" s="6"/>
      <c r="E30" s="6"/>
      <c r="F30" s="7">
        <v>144</v>
      </c>
      <c r="G30" s="18">
        <f t="shared" si="6"/>
        <v>40.909090909090907</v>
      </c>
      <c r="H30" s="18">
        <f t="shared" si="2"/>
        <v>59.090909090909093</v>
      </c>
      <c r="J30" s="6" t="s">
        <v>24</v>
      </c>
      <c r="K30" s="6">
        <v>0.4</v>
      </c>
      <c r="L30" s="6">
        <v>0.42</v>
      </c>
      <c r="M30" s="6">
        <v>0.48</v>
      </c>
      <c r="N30" s="6">
        <v>0.62</v>
      </c>
      <c r="O30" s="9">
        <f t="shared" si="7"/>
        <v>0.48</v>
      </c>
      <c r="Q30">
        <v>49.147727272727273</v>
      </c>
      <c r="R30">
        <v>0.38500000000000001</v>
      </c>
    </row>
    <row r="31" spans="1:18" x14ac:dyDescent="0.25">
      <c r="A31" s="6" t="s">
        <v>25</v>
      </c>
      <c r="B31" s="6"/>
      <c r="C31" s="6"/>
      <c r="D31" s="6"/>
      <c r="E31" s="6"/>
      <c r="F31" s="7">
        <v>179</v>
      </c>
      <c r="G31" s="18">
        <f t="shared" si="6"/>
        <v>50.852272727272727</v>
      </c>
      <c r="H31" s="18">
        <f t="shared" si="2"/>
        <v>49.147727272727273</v>
      </c>
      <c r="J31" s="6" t="s">
        <v>25</v>
      </c>
      <c r="K31" s="6">
        <v>0.39</v>
      </c>
      <c r="L31" s="6">
        <v>0.41</v>
      </c>
      <c r="M31" s="6">
        <v>0.39</v>
      </c>
      <c r="N31" s="6">
        <v>0.35</v>
      </c>
      <c r="O31" s="9">
        <f t="shared" si="7"/>
        <v>0.38500000000000001</v>
      </c>
      <c r="Q31">
        <v>44.31818181818182</v>
      </c>
      <c r="R31">
        <v>0.36</v>
      </c>
    </row>
    <row r="32" spans="1:18" x14ac:dyDescent="0.25">
      <c r="A32" s="6" t="s">
        <v>26</v>
      </c>
      <c r="B32" s="6"/>
      <c r="C32" s="6"/>
      <c r="D32" s="6"/>
      <c r="E32" s="6"/>
      <c r="F32" s="7">
        <v>196</v>
      </c>
      <c r="G32" s="18">
        <f t="shared" si="6"/>
        <v>55.68181818181818</v>
      </c>
      <c r="H32" s="18">
        <f t="shared" si="2"/>
        <v>44.31818181818182</v>
      </c>
      <c r="J32" s="6" t="s">
        <v>26</v>
      </c>
      <c r="K32" s="6">
        <v>0.35</v>
      </c>
      <c r="L32" s="8">
        <v>0.36</v>
      </c>
      <c r="M32" s="8">
        <v>0.34</v>
      </c>
      <c r="N32" s="6">
        <v>0.39</v>
      </c>
      <c r="O32" s="9">
        <f t="shared" si="7"/>
        <v>0.36</v>
      </c>
      <c r="Q32">
        <v>55.397727272727273</v>
      </c>
      <c r="R32">
        <v>0.33249999999999996</v>
      </c>
    </row>
    <row r="33" spans="1:18" x14ac:dyDescent="0.25">
      <c r="A33" s="6" t="s">
        <v>27</v>
      </c>
      <c r="B33" s="6"/>
      <c r="C33" s="6"/>
      <c r="D33" s="6"/>
      <c r="E33" s="6"/>
      <c r="F33" s="7">
        <v>157</v>
      </c>
      <c r="G33" s="18">
        <f t="shared" si="6"/>
        <v>44.602272727272727</v>
      </c>
      <c r="H33" s="18">
        <f t="shared" si="2"/>
        <v>55.397727272727273</v>
      </c>
      <c r="J33" s="6" t="s">
        <v>27</v>
      </c>
      <c r="K33" s="6">
        <v>0.41</v>
      </c>
      <c r="L33" s="6">
        <v>0.28999999999999998</v>
      </c>
      <c r="M33" s="6">
        <v>0.39</v>
      </c>
      <c r="N33" s="6">
        <v>0.24</v>
      </c>
      <c r="O33" s="9">
        <f t="shared" si="7"/>
        <v>0.33249999999999996</v>
      </c>
      <c r="Q33">
        <v>49.715909090909093</v>
      </c>
      <c r="R33">
        <v>0.34749999999999998</v>
      </c>
    </row>
    <row r="34" spans="1:18" x14ac:dyDescent="0.25">
      <c r="A34" s="6" t="s">
        <v>28</v>
      </c>
      <c r="B34" s="6"/>
      <c r="C34" s="6"/>
      <c r="D34" s="6"/>
      <c r="E34" s="6"/>
      <c r="F34" s="7">
        <v>177</v>
      </c>
      <c r="G34" s="18">
        <f t="shared" si="6"/>
        <v>50.284090909090907</v>
      </c>
      <c r="H34" s="18">
        <f t="shared" si="2"/>
        <v>49.715909090909093</v>
      </c>
      <c r="J34" s="6" t="s">
        <v>28</v>
      </c>
      <c r="K34" s="6">
        <v>0.31</v>
      </c>
      <c r="L34" s="6">
        <v>0.39</v>
      </c>
      <c r="M34" s="8">
        <v>0.39</v>
      </c>
      <c r="N34" s="6">
        <v>0.3</v>
      </c>
      <c r="O34" s="9">
        <f t="shared" si="7"/>
        <v>0.34749999999999998</v>
      </c>
      <c r="Q34">
        <v>56.25</v>
      </c>
      <c r="R34">
        <v>0.35000000000000003</v>
      </c>
    </row>
    <row r="35" spans="1:18" x14ac:dyDescent="0.25">
      <c r="A35" s="6" t="s">
        <v>29</v>
      </c>
      <c r="B35" s="6"/>
      <c r="C35" s="6"/>
      <c r="D35" s="6"/>
      <c r="E35" s="6"/>
      <c r="F35" s="7">
        <v>154</v>
      </c>
      <c r="G35" s="18">
        <f t="shared" si="6"/>
        <v>43.75</v>
      </c>
      <c r="H35" s="18">
        <f t="shared" si="2"/>
        <v>56.25</v>
      </c>
      <c r="J35" s="6" t="s">
        <v>29</v>
      </c>
      <c r="K35" s="6">
        <v>0.35</v>
      </c>
      <c r="L35" s="6">
        <v>0.38</v>
      </c>
      <c r="M35" s="6">
        <v>0.33</v>
      </c>
      <c r="N35" s="6">
        <v>0.34</v>
      </c>
      <c r="O35" s="9">
        <f t="shared" si="7"/>
        <v>0.35000000000000003</v>
      </c>
      <c r="Q35">
        <v>60.227272727272727</v>
      </c>
      <c r="R35">
        <v>0.3175</v>
      </c>
    </row>
    <row r="36" spans="1:18" x14ac:dyDescent="0.25">
      <c r="A36" s="6" t="s">
        <v>30</v>
      </c>
      <c r="B36" s="6"/>
      <c r="C36" s="6"/>
      <c r="D36" s="6"/>
      <c r="E36" s="6"/>
      <c r="F36" s="7">
        <v>140</v>
      </c>
      <c r="G36" s="18">
        <f t="shared" si="6"/>
        <v>39.772727272727273</v>
      </c>
      <c r="H36" s="18">
        <f t="shared" si="2"/>
        <v>60.227272727272727</v>
      </c>
      <c r="J36" s="6" t="s">
        <v>30</v>
      </c>
      <c r="K36" s="6">
        <v>0.4</v>
      </c>
      <c r="L36" s="6">
        <v>0.35</v>
      </c>
      <c r="M36" s="6">
        <v>0.27</v>
      </c>
      <c r="N36" s="6">
        <v>0.25</v>
      </c>
      <c r="O36" s="9">
        <f t="shared" si="7"/>
        <v>0.3175</v>
      </c>
      <c r="Q36">
        <v>51.704545454545453</v>
      </c>
      <c r="R36">
        <v>0.28500000000000003</v>
      </c>
    </row>
    <row r="37" spans="1:18" x14ac:dyDescent="0.25">
      <c r="A37" s="6" t="s">
        <v>31</v>
      </c>
      <c r="B37" s="6"/>
      <c r="C37" s="6"/>
      <c r="D37" s="6"/>
      <c r="E37" s="6"/>
      <c r="F37" s="7">
        <v>170</v>
      </c>
      <c r="G37" s="18">
        <f t="shared" si="6"/>
        <v>48.295454545454547</v>
      </c>
      <c r="H37" s="18">
        <f t="shared" si="2"/>
        <v>51.704545454545453</v>
      </c>
      <c r="J37" s="6" t="s">
        <v>31</v>
      </c>
      <c r="K37" s="6">
        <v>0.26</v>
      </c>
      <c r="L37" s="8">
        <v>0.31</v>
      </c>
      <c r="M37" s="6">
        <v>0.35</v>
      </c>
      <c r="N37" s="6">
        <v>0.22</v>
      </c>
      <c r="O37" s="9">
        <f t="shared" si="7"/>
        <v>0.28500000000000003</v>
      </c>
      <c r="Q37" s="21">
        <f>AVERAGE(Q27:Q36)</f>
        <v>54.090909090909101</v>
      </c>
      <c r="R37" s="21">
        <f>AVERAGE(R27:R36)</f>
        <v>0.35175000000000006</v>
      </c>
    </row>
    <row r="38" spans="1:18" x14ac:dyDescent="0.25">
      <c r="A38" s="126" t="s">
        <v>44</v>
      </c>
      <c r="B38" s="127"/>
      <c r="C38" s="127"/>
      <c r="D38" s="127"/>
      <c r="E38" s="127"/>
      <c r="F38" s="127"/>
      <c r="G38" s="127"/>
      <c r="H38" s="128"/>
      <c r="J38" s="126" t="s">
        <v>44</v>
      </c>
      <c r="K38" s="127"/>
      <c r="L38" s="127"/>
      <c r="M38" s="127"/>
      <c r="N38" s="127"/>
      <c r="O38" s="128"/>
    </row>
    <row r="39" spans="1:18" x14ac:dyDescent="0.25">
      <c r="A39" s="14" t="s">
        <v>1</v>
      </c>
      <c r="B39" s="129" t="s">
        <v>17</v>
      </c>
      <c r="C39" s="129"/>
      <c r="D39" s="129"/>
      <c r="E39" s="129"/>
      <c r="F39" s="4" t="s">
        <v>18</v>
      </c>
      <c r="G39" s="5" t="s">
        <v>19</v>
      </c>
      <c r="H39" s="5" t="s">
        <v>20</v>
      </c>
      <c r="J39" s="14" t="s">
        <v>1</v>
      </c>
      <c r="K39" s="130" t="s">
        <v>2</v>
      </c>
      <c r="L39" s="131"/>
      <c r="M39" s="131"/>
      <c r="N39" s="132"/>
      <c r="O39" s="4" t="s">
        <v>21</v>
      </c>
    </row>
    <row r="40" spans="1:18" x14ac:dyDescent="0.25">
      <c r="A40" s="6" t="s">
        <v>22</v>
      </c>
      <c r="B40" s="6"/>
      <c r="C40" s="6"/>
      <c r="D40" s="6"/>
      <c r="E40" s="6"/>
      <c r="F40" s="7">
        <v>168</v>
      </c>
      <c r="G40" s="18">
        <f>(F40*100)/352</f>
        <v>47.727272727272727</v>
      </c>
      <c r="H40" s="18">
        <f t="shared" ref="H40:H49" si="8">100-G40</f>
        <v>52.272727272727273</v>
      </c>
      <c r="J40" s="6" t="s">
        <v>22</v>
      </c>
      <c r="K40" s="6">
        <v>0.25</v>
      </c>
      <c r="L40" s="8">
        <v>0.3</v>
      </c>
      <c r="M40" s="6">
        <v>0.35</v>
      </c>
      <c r="N40" s="6">
        <v>0.2</v>
      </c>
      <c r="O40" s="9">
        <f>AVERAGE(K40:N40)</f>
        <v>0.27500000000000002</v>
      </c>
      <c r="Q40">
        <v>52.272727272727273</v>
      </c>
      <c r="R40">
        <v>0.27500000000000002</v>
      </c>
    </row>
    <row r="41" spans="1:18" x14ac:dyDescent="0.25">
      <c r="A41" s="6" t="s">
        <v>23</v>
      </c>
      <c r="B41" s="6"/>
      <c r="C41" s="6"/>
      <c r="D41" s="6"/>
      <c r="E41" s="6"/>
      <c r="F41" s="7">
        <v>188</v>
      </c>
      <c r="G41" s="18">
        <f t="shared" ref="G41:G49" si="9">(F41*100)/1000</f>
        <v>18.8</v>
      </c>
      <c r="H41" s="18">
        <f t="shared" si="8"/>
        <v>81.2</v>
      </c>
      <c r="J41" s="6" t="s">
        <v>23</v>
      </c>
      <c r="K41" s="6">
        <v>0.28000000000000003</v>
      </c>
      <c r="L41" s="8">
        <v>0.34</v>
      </c>
      <c r="M41" s="6">
        <v>0.35</v>
      </c>
      <c r="N41" s="6">
        <v>0.27</v>
      </c>
      <c r="O41" s="9">
        <f t="shared" ref="O41:O49" si="10">AVERAGE(K41:N41)</f>
        <v>0.31000000000000005</v>
      </c>
      <c r="Q41">
        <v>81.2</v>
      </c>
      <c r="R41">
        <v>0.31000000000000005</v>
      </c>
    </row>
    <row r="42" spans="1:18" x14ac:dyDescent="0.25">
      <c r="A42" s="6" t="s">
        <v>24</v>
      </c>
      <c r="B42" s="6"/>
      <c r="C42" s="6"/>
      <c r="D42" s="6"/>
      <c r="E42" s="6"/>
      <c r="F42" s="7">
        <v>188</v>
      </c>
      <c r="G42" s="18">
        <f t="shared" si="9"/>
        <v>18.8</v>
      </c>
      <c r="H42" s="18">
        <f t="shared" si="8"/>
        <v>81.2</v>
      </c>
      <c r="J42" s="6" t="s">
        <v>24</v>
      </c>
      <c r="K42" s="6">
        <v>0.24</v>
      </c>
      <c r="L42" s="6">
        <v>0.22</v>
      </c>
      <c r="M42" s="6">
        <v>0.25</v>
      </c>
      <c r="N42" s="6">
        <v>0.23</v>
      </c>
      <c r="O42" s="9">
        <f t="shared" si="10"/>
        <v>0.23499999999999999</v>
      </c>
      <c r="Q42">
        <v>81.2</v>
      </c>
      <c r="R42">
        <v>0.23499999999999999</v>
      </c>
    </row>
    <row r="43" spans="1:18" x14ac:dyDescent="0.25">
      <c r="A43" s="6" t="s">
        <v>25</v>
      </c>
      <c r="B43" s="6"/>
      <c r="C43" s="6"/>
      <c r="D43" s="6"/>
      <c r="E43" s="6"/>
      <c r="F43" s="7">
        <v>138</v>
      </c>
      <c r="G43" s="18">
        <f t="shared" si="9"/>
        <v>13.8</v>
      </c>
      <c r="H43" s="18">
        <f t="shared" si="8"/>
        <v>86.2</v>
      </c>
      <c r="J43" s="6" t="s">
        <v>25</v>
      </c>
      <c r="K43" s="6">
        <v>0.33</v>
      </c>
      <c r="L43" s="6">
        <v>0.38</v>
      </c>
      <c r="M43" s="6">
        <v>0.41</v>
      </c>
      <c r="N43" s="6">
        <v>0.35</v>
      </c>
      <c r="O43" s="9">
        <f t="shared" si="10"/>
        <v>0.36749999999999994</v>
      </c>
      <c r="Q43">
        <v>86.2</v>
      </c>
      <c r="R43">
        <v>0.36749999999999994</v>
      </c>
    </row>
    <row r="44" spans="1:18" x14ac:dyDescent="0.25">
      <c r="A44" s="6" t="s">
        <v>26</v>
      </c>
      <c r="B44" s="6"/>
      <c r="C44" s="6"/>
      <c r="D44" s="6"/>
      <c r="E44" s="6"/>
      <c r="F44" s="7">
        <v>145</v>
      </c>
      <c r="G44" s="18">
        <f t="shared" si="9"/>
        <v>14.5</v>
      </c>
      <c r="H44" s="18">
        <f t="shared" si="8"/>
        <v>85.5</v>
      </c>
      <c r="J44" s="6" t="s">
        <v>26</v>
      </c>
      <c r="K44" s="6">
        <v>0.36</v>
      </c>
      <c r="L44" s="8">
        <v>0.32</v>
      </c>
      <c r="M44" s="8">
        <v>0.25</v>
      </c>
      <c r="N44" s="6">
        <v>0.31</v>
      </c>
      <c r="O44" s="9">
        <f t="shared" si="10"/>
        <v>0.31</v>
      </c>
      <c r="Q44">
        <v>85.5</v>
      </c>
      <c r="R44">
        <v>0.31</v>
      </c>
    </row>
    <row r="45" spans="1:18" x14ac:dyDescent="0.25">
      <c r="A45" s="6" t="s">
        <v>27</v>
      </c>
      <c r="B45" s="6"/>
      <c r="C45" s="6"/>
      <c r="D45" s="6"/>
      <c r="E45" s="6"/>
      <c r="F45" s="7">
        <v>143</v>
      </c>
      <c r="G45" s="18">
        <f t="shared" si="9"/>
        <v>14.3</v>
      </c>
      <c r="H45" s="18">
        <f t="shared" si="8"/>
        <v>85.7</v>
      </c>
      <c r="J45" s="6" t="s">
        <v>27</v>
      </c>
      <c r="K45" s="6">
        <v>0.26</v>
      </c>
      <c r="L45" s="6">
        <v>0.28999999999999998</v>
      </c>
      <c r="M45" s="6">
        <v>0.34</v>
      </c>
      <c r="N45" s="6">
        <v>0.3</v>
      </c>
      <c r="O45" s="9">
        <f t="shared" si="10"/>
        <v>0.29750000000000004</v>
      </c>
      <c r="Q45">
        <v>85.7</v>
      </c>
      <c r="R45">
        <v>0.29750000000000004</v>
      </c>
    </row>
    <row r="46" spans="1:18" x14ac:dyDescent="0.25">
      <c r="A46" s="6" t="s">
        <v>28</v>
      </c>
      <c r="B46" s="6"/>
      <c r="C46" s="6"/>
      <c r="D46" s="6"/>
      <c r="E46" s="6"/>
      <c r="F46" s="7">
        <v>156</v>
      </c>
      <c r="G46" s="18">
        <f t="shared" si="9"/>
        <v>15.6</v>
      </c>
      <c r="H46" s="18">
        <f t="shared" si="8"/>
        <v>84.4</v>
      </c>
      <c r="J46" s="6" t="s">
        <v>28</v>
      </c>
      <c r="K46" s="6">
        <v>0.32</v>
      </c>
      <c r="L46" s="6">
        <v>0.36</v>
      </c>
      <c r="M46" s="8">
        <v>0.37</v>
      </c>
      <c r="N46" s="6">
        <v>0.32</v>
      </c>
      <c r="O46" s="9">
        <f t="shared" si="10"/>
        <v>0.34249999999999997</v>
      </c>
      <c r="Q46">
        <v>84.4</v>
      </c>
      <c r="R46">
        <v>0.34249999999999997</v>
      </c>
    </row>
    <row r="47" spans="1:18" x14ac:dyDescent="0.25">
      <c r="A47" s="6" t="s">
        <v>29</v>
      </c>
      <c r="B47" s="6"/>
      <c r="C47" s="6"/>
      <c r="D47" s="6"/>
      <c r="E47" s="6"/>
      <c r="F47" s="7">
        <v>178</v>
      </c>
      <c r="G47" s="18">
        <f t="shared" si="9"/>
        <v>17.8</v>
      </c>
      <c r="H47" s="18">
        <f t="shared" si="8"/>
        <v>82.2</v>
      </c>
      <c r="J47" s="6" t="s">
        <v>29</v>
      </c>
      <c r="K47" s="6">
        <v>0.27</v>
      </c>
      <c r="L47" s="6">
        <v>0.33</v>
      </c>
      <c r="M47" s="6">
        <v>0.44</v>
      </c>
      <c r="N47" s="6">
        <v>0.27</v>
      </c>
      <c r="O47" s="9">
        <f t="shared" si="10"/>
        <v>0.32750000000000001</v>
      </c>
      <c r="Q47">
        <v>82.2</v>
      </c>
      <c r="R47">
        <v>0.32750000000000001</v>
      </c>
    </row>
    <row r="48" spans="1:18" x14ac:dyDescent="0.25">
      <c r="A48" s="6" t="s">
        <v>30</v>
      </c>
      <c r="B48" s="6"/>
      <c r="C48" s="6"/>
      <c r="D48" s="6"/>
      <c r="E48" s="6"/>
      <c r="F48" s="7">
        <v>190</v>
      </c>
      <c r="G48" s="18">
        <f t="shared" si="9"/>
        <v>19</v>
      </c>
      <c r="H48" s="18">
        <f t="shared" si="8"/>
        <v>81</v>
      </c>
      <c r="J48" s="6" t="s">
        <v>30</v>
      </c>
      <c r="K48" s="6">
        <v>0.31</v>
      </c>
      <c r="L48" s="8">
        <v>0.22</v>
      </c>
      <c r="M48" s="6">
        <v>0.32</v>
      </c>
      <c r="N48" s="6">
        <v>0.34</v>
      </c>
      <c r="O48" s="9">
        <f t="shared" si="10"/>
        <v>0.29750000000000004</v>
      </c>
      <c r="Q48">
        <v>81</v>
      </c>
      <c r="R48">
        <v>0.29750000000000004</v>
      </c>
    </row>
    <row r="49" spans="1:18" x14ac:dyDescent="0.25">
      <c r="A49" s="6" t="s">
        <v>31</v>
      </c>
      <c r="B49" s="6"/>
      <c r="C49" s="6"/>
      <c r="D49" s="6"/>
      <c r="E49" s="6"/>
      <c r="F49" s="7">
        <v>107</v>
      </c>
      <c r="G49" s="18">
        <f t="shared" si="9"/>
        <v>10.7</v>
      </c>
      <c r="H49" s="18">
        <f t="shared" si="8"/>
        <v>89.3</v>
      </c>
      <c r="J49" s="6" t="s">
        <v>31</v>
      </c>
      <c r="K49" s="6">
        <v>0.35</v>
      </c>
      <c r="L49" s="8">
        <v>0.32</v>
      </c>
      <c r="M49" s="6">
        <v>0.41</v>
      </c>
      <c r="N49" s="6">
        <v>0.46</v>
      </c>
      <c r="O49" s="9">
        <f t="shared" si="10"/>
        <v>0.38499999999999995</v>
      </c>
      <c r="Q49">
        <v>89.3</v>
      </c>
      <c r="R49">
        <v>0.38499999999999995</v>
      </c>
    </row>
    <row r="50" spans="1:18" x14ac:dyDescent="0.25">
      <c r="Q50" s="21">
        <f>AVERAGE(Q40:Q49)</f>
        <v>80.897272727272735</v>
      </c>
      <c r="R50" s="21">
        <f>AVERAGE(R40:R49)</f>
        <v>0.31474999999999997</v>
      </c>
    </row>
    <row r="52" spans="1:18" x14ac:dyDescent="0.25">
      <c r="A52" s="13">
        <v>76.704545454545453</v>
      </c>
      <c r="B52" s="13">
        <v>50.284090909090907</v>
      </c>
      <c r="C52" s="13">
        <v>60.795454545454547</v>
      </c>
      <c r="D52" s="13">
        <v>52.272727272727273</v>
      </c>
      <c r="F52" s="13">
        <v>76.704545454545453</v>
      </c>
      <c r="G52" s="13">
        <v>79.26136363636364</v>
      </c>
      <c r="H52" s="13">
        <v>63.636363636363633</v>
      </c>
      <c r="I52" s="13">
        <v>50.852272727272727</v>
      </c>
      <c r="J52" s="13">
        <v>42.613636363636367</v>
      </c>
      <c r="K52" s="13">
        <v>79.829545454545453</v>
      </c>
      <c r="L52" s="13">
        <v>81.818181818181813</v>
      </c>
      <c r="M52" s="13">
        <v>62.784090909090907</v>
      </c>
      <c r="N52" s="13">
        <v>54.545454545454547</v>
      </c>
      <c r="O52" s="13">
        <v>36.647727272727273</v>
      </c>
      <c r="P52" s="19">
        <f>AVERAGE(F52:O52)</f>
        <v>62.869318181818173</v>
      </c>
    </row>
    <row r="53" spans="1:18" x14ac:dyDescent="0.25">
      <c r="A53" s="13">
        <v>79.26136363636364</v>
      </c>
      <c r="B53" s="13">
        <v>68.465909090909093</v>
      </c>
      <c r="C53" s="13">
        <v>54.261363636363633</v>
      </c>
      <c r="D53" s="13">
        <v>81.2</v>
      </c>
      <c r="F53" s="13">
        <v>50.284090909090907</v>
      </c>
      <c r="G53" s="13">
        <v>68.465909090909093</v>
      </c>
      <c r="H53" s="13">
        <v>57</v>
      </c>
      <c r="I53" s="13">
        <v>57</v>
      </c>
      <c r="J53" s="13">
        <v>54.545454545454547</v>
      </c>
      <c r="K53" s="13">
        <v>53.69318181818182</v>
      </c>
      <c r="L53" s="13">
        <v>56.25</v>
      </c>
      <c r="M53" s="13">
        <v>60.795454545454547</v>
      </c>
      <c r="N53" s="13">
        <v>53.409090909090907</v>
      </c>
      <c r="O53" s="13">
        <v>83.23863636363636</v>
      </c>
      <c r="P53" s="19">
        <f>AVERAGE(F53:O53)</f>
        <v>59.468181818181826</v>
      </c>
    </row>
    <row r="54" spans="1:18" x14ac:dyDescent="0.25">
      <c r="A54" s="13">
        <v>63.636363636363633</v>
      </c>
      <c r="B54" s="13">
        <v>57</v>
      </c>
      <c r="C54" s="13">
        <v>59.090909090909093</v>
      </c>
      <c r="D54" s="13">
        <v>81.2</v>
      </c>
      <c r="F54" s="13">
        <v>60.795454545454547</v>
      </c>
      <c r="G54" s="13">
        <v>54.261363636363633</v>
      </c>
      <c r="H54" s="13">
        <v>59.090909090909093</v>
      </c>
      <c r="I54" s="13">
        <v>49.147727272727273</v>
      </c>
      <c r="J54" s="13">
        <v>44.31818181818182</v>
      </c>
      <c r="K54" s="13">
        <v>55.397727272727273</v>
      </c>
      <c r="L54" s="13">
        <v>49.715909090909093</v>
      </c>
      <c r="M54" s="13">
        <v>56.25</v>
      </c>
      <c r="N54" s="13">
        <v>60.227272727272727</v>
      </c>
      <c r="O54" s="13">
        <v>51.704545454545453</v>
      </c>
      <c r="P54" s="19">
        <f>AVERAGE(F54:O54)</f>
        <v>54.090909090909101</v>
      </c>
    </row>
    <row r="55" spans="1:18" x14ac:dyDescent="0.25">
      <c r="A55" s="13">
        <v>50.852272727272727</v>
      </c>
      <c r="B55" s="13">
        <v>57</v>
      </c>
      <c r="C55" s="13">
        <v>49.147727272727273</v>
      </c>
      <c r="D55" s="13">
        <v>86.2</v>
      </c>
      <c r="F55" s="13">
        <v>52.272727272727273</v>
      </c>
      <c r="G55" s="13">
        <v>81.2</v>
      </c>
      <c r="H55" s="13">
        <v>81.2</v>
      </c>
      <c r="I55" s="13">
        <v>86.2</v>
      </c>
      <c r="J55" s="13">
        <v>85.5</v>
      </c>
      <c r="K55" s="13">
        <v>85.7</v>
      </c>
      <c r="L55" s="13">
        <v>84.4</v>
      </c>
      <c r="M55" s="13">
        <v>82.2</v>
      </c>
      <c r="N55" s="13">
        <v>81</v>
      </c>
      <c r="O55" s="13">
        <v>89.3</v>
      </c>
      <c r="P55" s="19">
        <f>AVERAGE(F55:O55)</f>
        <v>80.897272727272735</v>
      </c>
    </row>
    <row r="56" spans="1:18" x14ac:dyDescent="0.25">
      <c r="A56" s="13">
        <v>42.613636363636367</v>
      </c>
      <c r="B56" s="13">
        <v>54.545454545454547</v>
      </c>
      <c r="C56" s="13">
        <v>44.31818181818182</v>
      </c>
      <c r="D56" s="13">
        <v>85.5</v>
      </c>
    </row>
    <row r="57" spans="1:18" x14ac:dyDescent="0.25">
      <c r="A57" s="13">
        <v>79.829545454545453</v>
      </c>
      <c r="B57" s="13">
        <v>53.69318181818182</v>
      </c>
      <c r="C57" s="13">
        <v>55.397727272727273</v>
      </c>
      <c r="D57" s="13">
        <v>85.7</v>
      </c>
    </row>
    <row r="58" spans="1:18" x14ac:dyDescent="0.25">
      <c r="A58" s="13">
        <v>81.818181818181813</v>
      </c>
      <c r="B58" s="13">
        <v>56.25</v>
      </c>
      <c r="C58" s="13">
        <v>49.715909090909093</v>
      </c>
      <c r="D58" s="13">
        <v>84.4</v>
      </c>
    </row>
    <row r="59" spans="1:18" x14ac:dyDescent="0.25">
      <c r="A59" s="13">
        <v>62.784090909090907</v>
      </c>
      <c r="B59" s="13">
        <v>60.795454545454547</v>
      </c>
      <c r="C59" s="13">
        <v>56.25</v>
      </c>
      <c r="D59" s="13">
        <v>82.2</v>
      </c>
    </row>
    <row r="60" spans="1:18" x14ac:dyDescent="0.25">
      <c r="A60" s="13">
        <v>54.545454545454547</v>
      </c>
      <c r="B60" s="13">
        <v>53.409090909090907</v>
      </c>
      <c r="C60" s="13">
        <v>60.227272727272727</v>
      </c>
      <c r="D60" s="13">
        <v>81</v>
      </c>
    </row>
    <row r="61" spans="1:18" x14ac:dyDescent="0.25">
      <c r="A61" s="13">
        <v>36.647727272727273</v>
      </c>
      <c r="B61" s="13">
        <v>83.23863636363636</v>
      </c>
      <c r="C61" s="13">
        <v>51.704545454545453</v>
      </c>
      <c r="D61" s="13">
        <v>89.3</v>
      </c>
    </row>
    <row r="62" spans="1:18" x14ac:dyDescent="0.25">
      <c r="A62" s="19">
        <f>AVERAGE(A52:A61)</f>
        <v>62.869318181818173</v>
      </c>
      <c r="B62" s="19">
        <f t="shared" ref="B62:D62" si="11">AVERAGE(B52:B61)</f>
        <v>59.468181818181826</v>
      </c>
      <c r="C62" s="19">
        <f t="shared" si="11"/>
        <v>54.090909090909101</v>
      </c>
      <c r="D62" s="19">
        <f t="shared" si="11"/>
        <v>80.897272727272735</v>
      </c>
    </row>
  </sheetData>
  <mergeCells count="18">
    <mergeCell ref="A14:H14"/>
    <mergeCell ref="J14:O14"/>
    <mergeCell ref="B15:E15"/>
    <mergeCell ref="K15:N15"/>
    <mergeCell ref="A1:H1"/>
    <mergeCell ref="J1:O1"/>
    <mergeCell ref="A2:H2"/>
    <mergeCell ref="J2:O2"/>
    <mergeCell ref="B3:E3"/>
    <mergeCell ref="K3:N3"/>
    <mergeCell ref="A26:H26"/>
    <mergeCell ref="J26:O26"/>
    <mergeCell ref="A38:H38"/>
    <mergeCell ref="J38:O38"/>
    <mergeCell ref="B39:E39"/>
    <mergeCell ref="K39:N39"/>
    <mergeCell ref="B27:E27"/>
    <mergeCell ref="K27:N27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workbookViewId="0">
      <selection activeCell="I12" sqref="I12"/>
    </sheetView>
  </sheetViews>
  <sheetFormatPr defaultRowHeight="15" x14ac:dyDescent="0.25"/>
  <cols>
    <col min="4" max="4" width="28.85546875" customWidth="1"/>
  </cols>
  <sheetData>
    <row r="1" spans="1:4" x14ac:dyDescent="0.25">
      <c r="A1" s="142" t="s">
        <v>53</v>
      </c>
      <c r="B1" s="142"/>
      <c r="C1" s="142"/>
      <c r="D1" s="142"/>
    </row>
    <row r="2" spans="1:4" x14ac:dyDescent="0.25">
      <c r="A2" s="22" t="s">
        <v>1</v>
      </c>
      <c r="B2" s="22" t="s">
        <v>54</v>
      </c>
      <c r="C2" s="22" t="s">
        <v>55</v>
      </c>
      <c r="D2" s="22" t="s">
        <v>56</v>
      </c>
    </row>
    <row r="3" spans="1:4" x14ac:dyDescent="0.25">
      <c r="A3" s="143" t="s">
        <v>57</v>
      </c>
      <c r="B3" s="10" t="s">
        <v>58</v>
      </c>
      <c r="C3" s="10">
        <v>316.95</v>
      </c>
      <c r="D3" s="11">
        <v>1.149471765221177</v>
      </c>
    </row>
    <row r="4" spans="1:4" x14ac:dyDescent="0.25">
      <c r="A4" s="144"/>
      <c r="B4" s="10" t="s">
        <v>59</v>
      </c>
      <c r="C4" s="10">
        <v>277.8</v>
      </c>
      <c r="D4" s="11">
        <v>0.9862808467927543</v>
      </c>
    </row>
    <row r="5" spans="1:4" x14ac:dyDescent="0.25">
      <c r="A5" s="145"/>
      <c r="B5" s="10" t="s">
        <v>60</v>
      </c>
      <c r="C5" s="10">
        <v>274.8</v>
      </c>
      <c r="D5" s="11">
        <v>1.0222975765514437</v>
      </c>
    </row>
    <row r="6" spans="1:4" x14ac:dyDescent="0.25">
      <c r="A6" s="143" t="s">
        <v>61</v>
      </c>
      <c r="B6" s="10" t="s">
        <v>58</v>
      </c>
      <c r="C6" s="10">
        <v>310.10000000000002</v>
      </c>
      <c r="D6" s="11">
        <v>1.1246291036286074</v>
      </c>
    </row>
    <row r="7" spans="1:4" x14ac:dyDescent="0.25">
      <c r="A7" s="144"/>
      <c r="B7" s="10" t="s">
        <v>59</v>
      </c>
      <c r="C7" s="10">
        <v>271.3</v>
      </c>
      <c r="D7" s="11">
        <v>0.96320372114785535</v>
      </c>
    </row>
    <row r="8" spans="1:4" x14ac:dyDescent="0.25">
      <c r="A8" s="145"/>
      <c r="B8" s="10" t="s">
        <v>60</v>
      </c>
      <c r="C8" s="10">
        <v>286.05</v>
      </c>
      <c r="D8" s="11">
        <v>1.0641492786482549</v>
      </c>
    </row>
    <row r="9" spans="1:4" x14ac:dyDescent="0.25">
      <c r="A9" s="143" t="s">
        <v>62</v>
      </c>
      <c r="B9" s="10" t="s">
        <v>58</v>
      </c>
      <c r="C9" s="10">
        <v>282.64999999999998</v>
      </c>
      <c r="D9" s="11">
        <v>1.0204182798405013</v>
      </c>
    </row>
    <row r="10" spans="1:4" x14ac:dyDescent="0.25">
      <c r="A10" s="144"/>
      <c r="B10" s="10" t="s">
        <v>59</v>
      </c>
      <c r="C10" s="10">
        <v>269.95</v>
      </c>
      <c r="D10" s="11">
        <v>0.9652454902570673</v>
      </c>
    </row>
    <row r="11" spans="1:4" x14ac:dyDescent="0.25">
      <c r="A11" s="145"/>
      <c r="B11" s="10" t="s">
        <v>60</v>
      </c>
      <c r="C11" s="10">
        <v>297.7</v>
      </c>
      <c r="D11" s="11">
        <v>1.0917268313907305</v>
      </c>
    </row>
    <row r="12" spans="1:4" x14ac:dyDescent="0.25">
      <c r="A12" s="143" t="s">
        <v>63</v>
      </c>
      <c r="B12" s="10" t="s">
        <v>58</v>
      </c>
      <c r="C12" s="10">
        <v>334.35</v>
      </c>
      <c r="D12" s="11">
        <v>1.2043946373085224</v>
      </c>
    </row>
    <row r="13" spans="1:4" x14ac:dyDescent="0.25">
      <c r="A13" s="144"/>
      <c r="B13" s="10" t="s">
        <v>59</v>
      </c>
      <c r="C13" s="10">
        <v>298.3</v>
      </c>
      <c r="D13" s="11">
        <v>1.0542091836734695</v>
      </c>
    </row>
    <row r="14" spans="1:4" x14ac:dyDescent="0.25">
      <c r="A14" s="145"/>
      <c r="B14" s="10" t="s">
        <v>60</v>
      </c>
      <c r="C14" s="10">
        <v>289.14999999999998</v>
      </c>
      <c r="D14" s="11">
        <v>1.1059416032278253</v>
      </c>
    </row>
    <row r="15" spans="1:4" x14ac:dyDescent="0.25">
      <c r="A15" s="143" t="s">
        <v>64</v>
      </c>
      <c r="B15" s="10" t="s">
        <v>58</v>
      </c>
      <c r="C15" s="10">
        <v>318.10000000000002</v>
      </c>
      <c r="D15" s="11">
        <v>1.1509062940879824</v>
      </c>
    </row>
    <row r="16" spans="1:4" x14ac:dyDescent="0.25">
      <c r="A16" s="144"/>
      <c r="B16" s="10" t="s">
        <v>59</v>
      </c>
      <c r="C16" s="10">
        <v>292.5</v>
      </c>
      <c r="D16" s="11">
        <v>1.0424628774428264</v>
      </c>
    </row>
    <row r="17" spans="1:19" x14ac:dyDescent="0.25">
      <c r="A17" s="145"/>
      <c r="B17" s="10" t="s">
        <v>60</v>
      </c>
      <c r="C17" s="10">
        <v>302.39999999999998</v>
      </c>
      <c r="D17" s="11">
        <v>1.1405356158013693</v>
      </c>
    </row>
    <row r="18" spans="1:19" x14ac:dyDescent="0.25">
      <c r="A18" s="143" t="s">
        <v>65</v>
      </c>
      <c r="B18" s="10" t="s">
        <v>58</v>
      </c>
      <c r="C18" s="10">
        <v>345.8</v>
      </c>
      <c r="D18" s="11">
        <v>1.2101910828025479</v>
      </c>
    </row>
    <row r="19" spans="1:19" x14ac:dyDescent="0.25">
      <c r="A19" s="144"/>
      <c r="B19" s="10" t="s">
        <v>59</v>
      </c>
      <c r="C19" s="10">
        <v>303.75</v>
      </c>
      <c r="D19" s="11">
        <v>1.0794929670784605</v>
      </c>
    </row>
    <row r="20" spans="1:19" x14ac:dyDescent="0.25">
      <c r="A20" s="145"/>
      <c r="B20" s="10" t="s">
        <v>60</v>
      </c>
      <c r="C20" s="10">
        <v>301</v>
      </c>
      <c r="D20" s="11">
        <v>1.1405144141702044</v>
      </c>
    </row>
    <row r="21" spans="1:19" x14ac:dyDescent="0.25">
      <c r="A21" s="143" t="s">
        <v>66</v>
      </c>
      <c r="B21" s="10" t="s">
        <v>58</v>
      </c>
      <c r="C21" s="10">
        <v>315.55</v>
      </c>
      <c r="D21" s="11">
        <v>1.1519281042024099</v>
      </c>
    </row>
    <row r="22" spans="1:19" x14ac:dyDescent="0.25">
      <c r="A22" s="144"/>
      <c r="B22" s="10" t="s">
        <v>59</v>
      </c>
      <c r="C22" s="10">
        <v>283.60000000000002</v>
      </c>
      <c r="D22" s="11">
        <v>1.0183166164517645</v>
      </c>
    </row>
    <row r="23" spans="1:19" x14ac:dyDescent="0.25">
      <c r="A23" s="145"/>
      <c r="B23" s="10" t="s">
        <v>60</v>
      </c>
      <c r="C23" s="10">
        <v>269.89999999999998</v>
      </c>
      <c r="D23" s="11">
        <v>1.0306265447573562</v>
      </c>
    </row>
    <row r="24" spans="1:19" x14ac:dyDescent="0.25">
      <c r="A24" s="143" t="s">
        <v>67</v>
      </c>
      <c r="B24" s="10" t="s">
        <v>58</v>
      </c>
      <c r="C24" s="10">
        <v>321.7</v>
      </c>
      <c r="D24" s="11">
        <v>1.1400847910174574</v>
      </c>
    </row>
    <row r="25" spans="1:19" x14ac:dyDescent="0.25">
      <c r="A25" s="144"/>
      <c r="B25" s="10" t="s">
        <v>59</v>
      </c>
      <c r="C25" s="10">
        <v>305.25</v>
      </c>
      <c r="D25" s="11">
        <v>1.123884555177268</v>
      </c>
    </row>
    <row r="26" spans="1:19" x14ac:dyDescent="0.25">
      <c r="A26" s="145"/>
      <c r="B26" s="10" t="s">
        <v>60</v>
      </c>
      <c r="C26" s="10">
        <v>310.95</v>
      </c>
      <c r="D26" s="11">
        <v>1.2611214969258113</v>
      </c>
    </row>
    <row r="27" spans="1:19" x14ac:dyDescent="0.25">
      <c r="A27" s="143" t="s">
        <v>68</v>
      </c>
      <c r="B27" s="10" t="s">
        <v>58</v>
      </c>
      <c r="C27" s="10">
        <v>309.89999999999998</v>
      </c>
      <c r="D27" s="11">
        <v>1.1212381657902097</v>
      </c>
    </row>
    <row r="28" spans="1:19" x14ac:dyDescent="0.25">
      <c r="A28" s="144"/>
      <c r="B28" s="10" t="s">
        <v>59</v>
      </c>
      <c r="C28" s="10">
        <v>303.10000000000002</v>
      </c>
      <c r="D28" s="11">
        <v>0.92895419352378072</v>
      </c>
    </row>
    <row r="29" spans="1:19" x14ac:dyDescent="0.25">
      <c r="A29" s="145"/>
      <c r="B29" s="10" t="s">
        <v>60</v>
      </c>
      <c r="C29" s="10">
        <v>231</v>
      </c>
      <c r="D29" s="11">
        <v>0.71772837319641236</v>
      </c>
    </row>
    <row r="31" spans="1:19" ht="75" x14ac:dyDescent="0.25">
      <c r="A31" s="24" t="s">
        <v>69</v>
      </c>
      <c r="B31" s="24" t="s">
        <v>70</v>
      </c>
      <c r="C31" s="24" t="s">
        <v>71</v>
      </c>
      <c r="D31" s="24" t="s">
        <v>72</v>
      </c>
      <c r="E31" s="24" t="s">
        <v>73</v>
      </c>
      <c r="F31" s="24" t="s">
        <v>74</v>
      </c>
      <c r="G31" s="24" t="s">
        <v>75</v>
      </c>
      <c r="H31" s="24" t="s">
        <v>76</v>
      </c>
      <c r="I31" s="24" t="s">
        <v>77</v>
      </c>
      <c r="J31" s="25"/>
      <c r="K31" s="24" t="s">
        <v>69</v>
      </c>
      <c r="L31" s="24" t="s">
        <v>70</v>
      </c>
      <c r="M31" s="24" t="s">
        <v>71</v>
      </c>
      <c r="N31" s="24" t="s">
        <v>72</v>
      </c>
      <c r="O31" s="24" t="s">
        <v>73</v>
      </c>
      <c r="P31" s="24" t="s">
        <v>74</v>
      </c>
      <c r="Q31" s="24" t="s">
        <v>75</v>
      </c>
      <c r="R31" s="24" t="s">
        <v>76</v>
      </c>
      <c r="S31" s="24" t="s">
        <v>77</v>
      </c>
    </row>
    <row r="32" spans="1:19" x14ac:dyDescent="0.25">
      <c r="A32" s="139" t="s">
        <v>57</v>
      </c>
      <c r="B32" s="140"/>
      <c r="C32" s="140"/>
      <c r="D32" s="140"/>
      <c r="E32" s="140"/>
      <c r="F32" s="140"/>
      <c r="G32" s="140"/>
      <c r="H32" s="140"/>
      <c r="I32" s="141"/>
      <c r="J32" s="25"/>
      <c r="K32" s="139" t="s">
        <v>78</v>
      </c>
      <c r="L32" s="140"/>
      <c r="M32" s="140"/>
      <c r="N32" s="140"/>
      <c r="O32" s="140"/>
      <c r="P32" s="140"/>
      <c r="Q32" s="140"/>
      <c r="R32" s="140"/>
      <c r="S32" s="141"/>
    </row>
    <row r="33" spans="1:19" x14ac:dyDescent="0.25">
      <c r="A33" s="26" t="s">
        <v>79</v>
      </c>
      <c r="B33" s="27">
        <v>316.95</v>
      </c>
      <c r="C33" s="28">
        <v>22.35</v>
      </c>
      <c r="D33" s="28">
        <v>64.7</v>
      </c>
      <c r="E33" s="28">
        <v>60.16</v>
      </c>
      <c r="F33" s="29">
        <f>SUM(D33-E33)*100/(E33-C33)</f>
        <v>12.00740544829412</v>
      </c>
      <c r="G33" s="29">
        <f>SUM(B33)*100/(F33+100)</f>
        <v>282.97236127508847</v>
      </c>
      <c r="H33" s="29">
        <f>SUM(3.14*31.36)*10/4</f>
        <v>246.17599999999999</v>
      </c>
      <c r="I33" s="29">
        <f>SUM(G33/H33)</f>
        <v>1.149471765221177</v>
      </c>
      <c r="J33" s="25"/>
      <c r="K33" s="26" t="s">
        <v>79</v>
      </c>
      <c r="L33" s="27">
        <v>345.8</v>
      </c>
      <c r="M33" s="28">
        <v>22.35</v>
      </c>
      <c r="N33" s="28">
        <v>90.6</v>
      </c>
      <c r="O33" s="28">
        <v>81.150000000000006</v>
      </c>
      <c r="P33" s="29">
        <f>SUM(N33-O33)*100/(O33-M33)</f>
        <v>16.071428571428552</v>
      </c>
      <c r="Q33" s="29">
        <f>SUM(L33)*100/(P33+100)</f>
        <v>297.92</v>
      </c>
      <c r="R33" s="29">
        <f>SUM(3.14*31.36)*10/4</f>
        <v>246.17599999999999</v>
      </c>
      <c r="S33" s="28">
        <f>SUM(Q33/R33)</f>
        <v>1.2101910828025479</v>
      </c>
    </row>
    <row r="34" spans="1:19" x14ac:dyDescent="0.25">
      <c r="A34" s="30" t="s">
        <v>80</v>
      </c>
      <c r="B34" s="27">
        <v>277.8</v>
      </c>
      <c r="C34" s="28">
        <v>28.25</v>
      </c>
      <c r="D34" s="28">
        <v>65.95</v>
      </c>
      <c r="E34" s="28">
        <v>61.2</v>
      </c>
      <c r="F34" s="29">
        <f t="shared" ref="F34:F35" si="0">SUM(D34-E34)*100/(E34-C34)</f>
        <v>14.415781487101668</v>
      </c>
      <c r="G34" s="29">
        <f t="shared" ref="G34:G35" si="1">SUM(B34)*100/(F34+100)</f>
        <v>242.79867374005306</v>
      </c>
      <c r="H34" s="29">
        <f t="shared" ref="H34" si="2">SUM(3.14*31.36)*10/4</f>
        <v>246.17599999999999</v>
      </c>
      <c r="I34" s="29">
        <f t="shared" ref="I34:I35" si="3">SUM(G34/H34)</f>
        <v>0.9862808467927543</v>
      </c>
      <c r="J34" s="25"/>
      <c r="K34" s="30" t="s">
        <v>80</v>
      </c>
      <c r="L34" s="27">
        <v>303.75</v>
      </c>
      <c r="M34" s="28">
        <v>28.25</v>
      </c>
      <c r="N34" s="28">
        <v>81</v>
      </c>
      <c r="O34" s="28">
        <v>74.400000000000006</v>
      </c>
      <c r="P34" s="29">
        <f>SUM(N34-O34)*100/(O34-M34)</f>
        <v>14.301191765980484</v>
      </c>
      <c r="Q34" s="29">
        <f>SUM(L34)*100/(P34+100)</f>
        <v>265.74526066350711</v>
      </c>
      <c r="R34" s="29">
        <f t="shared" ref="R34" si="4">SUM(3.14*31.36)*10/4</f>
        <v>246.17599999999999</v>
      </c>
      <c r="S34" s="28">
        <f t="shared" ref="S34:S35" si="5">SUM(Q34/R34)</f>
        <v>1.0794929670784605</v>
      </c>
    </row>
    <row r="35" spans="1:19" x14ac:dyDescent="0.25">
      <c r="A35" s="26" t="s">
        <v>81</v>
      </c>
      <c r="B35" s="27">
        <v>274.8</v>
      </c>
      <c r="C35" s="28">
        <v>22.2</v>
      </c>
      <c r="D35" s="28">
        <v>70.95</v>
      </c>
      <c r="E35" s="28">
        <v>65.06</v>
      </c>
      <c r="F35" s="29">
        <f t="shared" si="0"/>
        <v>13.742417172188521</v>
      </c>
      <c r="G35" s="29">
        <f t="shared" si="1"/>
        <v>241.59852307692307</v>
      </c>
      <c r="H35" s="29">
        <f>SUM(3.14*31.36)*9.6/4</f>
        <v>236.32896</v>
      </c>
      <c r="I35" s="29">
        <f t="shared" si="3"/>
        <v>1.0222975765514437</v>
      </c>
      <c r="J35" s="25"/>
      <c r="K35" s="26" t="s">
        <v>81</v>
      </c>
      <c r="L35" s="27">
        <v>301</v>
      </c>
      <c r="M35" s="28">
        <v>22.2</v>
      </c>
      <c r="N35" s="28">
        <v>79.599999999999994</v>
      </c>
      <c r="O35" s="28">
        <v>73.599999999999994</v>
      </c>
      <c r="P35" s="29">
        <f>SUM(N35-O35)*100/(O35-M35)</f>
        <v>11.673151750972764</v>
      </c>
      <c r="Q35" s="29">
        <f>SUM(L35)*100/(P35+100)</f>
        <v>269.53658536585368</v>
      </c>
      <c r="R35" s="29">
        <f>SUM(3.14*31.36)*9.6/4</f>
        <v>236.32896</v>
      </c>
      <c r="S35" s="28">
        <f t="shared" si="5"/>
        <v>1.1405144141702044</v>
      </c>
    </row>
    <row r="36" spans="1:19" x14ac:dyDescent="0.25">
      <c r="A36" s="139" t="s">
        <v>82</v>
      </c>
      <c r="B36" s="140"/>
      <c r="C36" s="140"/>
      <c r="D36" s="140"/>
      <c r="E36" s="140"/>
      <c r="F36" s="140"/>
      <c r="G36" s="140"/>
      <c r="H36" s="140"/>
      <c r="I36" s="141"/>
      <c r="J36" s="25"/>
      <c r="K36" s="139" t="s">
        <v>83</v>
      </c>
      <c r="L36" s="140"/>
      <c r="M36" s="140"/>
      <c r="N36" s="140"/>
      <c r="O36" s="140"/>
      <c r="P36" s="140"/>
      <c r="Q36" s="140"/>
      <c r="R36" s="140"/>
      <c r="S36" s="141"/>
    </row>
    <row r="37" spans="1:19" x14ac:dyDescent="0.25">
      <c r="A37" s="26" t="s">
        <v>79</v>
      </c>
      <c r="B37" s="27">
        <v>310.10000000000002</v>
      </c>
      <c r="C37" s="28">
        <v>22.35</v>
      </c>
      <c r="D37" s="28">
        <v>64.7</v>
      </c>
      <c r="E37" s="28">
        <v>60.16</v>
      </c>
      <c r="F37" s="29">
        <f>SUM(D37-E37)*100/(E37-C37)</f>
        <v>12.00740544829412</v>
      </c>
      <c r="G37" s="29">
        <f>SUM(B37)*100/(F37+100)</f>
        <v>276.85669421487603</v>
      </c>
      <c r="H37" s="29">
        <f>SUM(3.14*31.36)*10/4</f>
        <v>246.17599999999999</v>
      </c>
      <c r="I37" s="29">
        <f>SUM(G37/H37)</f>
        <v>1.1246291036286074</v>
      </c>
      <c r="J37" s="25"/>
      <c r="K37" s="26" t="s">
        <v>79</v>
      </c>
      <c r="L37" s="27">
        <v>315.55</v>
      </c>
      <c r="M37" s="28">
        <v>22.35</v>
      </c>
      <c r="N37" s="28">
        <v>67.650000000000006</v>
      </c>
      <c r="O37" s="28">
        <v>63.06</v>
      </c>
      <c r="P37" s="29">
        <f>SUM(N37-O37)*100/(O37-M37)</f>
        <v>11.274871039056752</v>
      </c>
      <c r="Q37" s="29">
        <f>SUM(L37)*100/(P37+100)</f>
        <v>283.57705298013246</v>
      </c>
      <c r="R37" s="29">
        <f>SUM(3.14*31.36)*10/4</f>
        <v>246.17599999999999</v>
      </c>
      <c r="S37" s="28">
        <f>SUM(Q37/R37)</f>
        <v>1.1519281042024099</v>
      </c>
    </row>
    <row r="38" spans="1:19" x14ac:dyDescent="0.25">
      <c r="A38" s="30" t="s">
        <v>80</v>
      </c>
      <c r="B38" s="27">
        <v>271.3</v>
      </c>
      <c r="C38" s="28">
        <v>28.25</v>
      </c>
      <c r="D38" s="28">
        <v>65.95</v>
      </c>
      <c r="E38" s="28">
        <v>61.2</v>
      </c>
      <c r="F38" s="29">
        <f t="shared" ref="F38:F39" si="6">SUM(D38-E38)*100/(E38-C38)</f>
        <v>14.415781487101668</v>
      </c>
      <c r="G38" s="29">
        <f t="shared" ref="G38:G39" si="7">SUM(B38)*100/(F38+100)</f>
        <v>237.11763925729443</v>
      </c>
      <c r="H38" s="29">
        <f t="shared" ref="H38" si="8">SUM(3.14*31.36)*10/4</f>
        <v>246.17599999999999</v>
      </c>
      <c r="I38" s="29">
        <f t="shared" ref="I38:I39" si="9">SUM(G38/H38)</f>
        <v>0.96320372114785535</v>
      </c>
      <c r="J38" s="25"/>
      <c r="K38" s="30" t="s">
        <v>80</v>
      </c>
      <c r="L38" s="27">
        <v>283.60000000000002</v>
      </c>
      <c r="M38" s="28">
        <v>28.25</v>
      </c>
      <c r="N38" s="28">
        <v>70.900000000000006</v>
      </c>
      <c r="O38" s="28">
        <v>65.95</v>
      </c>
      <c r="P38" s="29">
        <f>SUM(N38-O38)*100/(O38-M38)</f>
        <v>13.129973474801067</v>
      </c>
      <c r="Q38" s="29">
        <f>SUM(L38)*100/(P38+100)</f>
        <v>250.68511137162957</v>
      </c>
      <c r="R38" s="29">
        <f t="shared" ref="R38" si="10">SUM(3.14*31.36)*10/4</f>
        <v>246.17599999999999</v>
      </c>
      <c r="S38" s="28">
        <f t="shared" ref="S38:S39" si="11">SUM(Q38/R38)</f>
        <v>1.0183166164517645</v>
      </c>
    </row>
    <row r="39" spans="1:19" x14ac:dyDescent="0.25">
      <c r="A39" s="26" t="s">
        <v>81</v>
      </c>
      <c r="B39" s="27">
        <v>286.05</v>
      </c>
      <c r="C39" s="28">
        <v>22.2</v>
      </c>
      <c r="D39" s="28">
        <v>70.95</v>
      </c>
      <c r="E39" s="28">
        <v>65.06</v>
      </c>
      <c r="F39" s="29">
        <f t="shared" si="6"/>
        <v>13.742417172188521</v>
      </c>
      <c r="G39" s="29">
        <f t="shared" si="7"/>
        <v>251.4892923076923</v>
      </c>
      <c r="H39" s="29">
        <f>SUM(3.14*31.36)*9.6/4</f>
        <v>236.32896</v>
      </c>
      <c r="I39" s="29">
        <f t="shared" si="9"/>
        <v>1.0641492786482549</v>
      </c>
      <c r="J39" s="25"/>
      <c r="K39" s="26" t="s">
        <v>81</v>
      </c>
      <c r="L39" s="27">
        <v>269.89999999999998</v>
      </c>
      <c r="M39" s="28">
        <v>22.2</v>
      </c>
      <c r="N39" s="28">
        <v>69.45</v>
      </c>
      <c r="O39" s="28">
        <v>64.84</v>
      </c>
      <c r="P39" s="29">
        <f>SUM(N39-O39)*100/(O39-M39)</f>
        <v>10.811444652908065</v>
      </c>
      <c r="Q39" s="29">
        <f>SUM(L39)*100/(P39+100)</f>
        <v>243.56689947089944</v>
      </c>
      <c r="R39" s="29">
        <f>SUM(3.14*31.36)*9.6/4</f>
        <v>236.32896</v>
      </c>
      <c r="S39" s="28">
        <f t="shared" si="11"/>
        <v>1.0306265447573562</v>
      </c>
    </row>
    <row r="40" spans="1:19" x14ac:dyDescent="0.25">
      <c r="A40" s="139" t="s">
        <v>84</v>
      </c>
      <c r="B40" s="140"/>
      <c r="C40" s="140"/>
      <c r="D40" s="140"/>
      <c r="E40" s="140"/>
      <c r="F40" s="140"/>
      <c r="G40" s="140"/>
      <c r="H40" s="140"/>
      <c r="I40" s="141"/>
      <c r="J40" s="25"/>
      <c r="K40" s="139" t="s">
        <v>85</v>
      </c>
      <c r="L40" s="140"/>
      <c r="M40" s="140"/>
      <c r="N40" s="140"/>
      <c r="O40" s="140"/>
      <c r="P40" s="140"/>
      <c r="Q40" s="140"/>
      <c r="R40" s="140"/>
      <c r="S40" s="141"/>
    </row>
    <row r="41" spans="1:19" x14ac:dyDescent="0.25">
      <c r="A41" s="26" t="s">
        <v>79</v>
      </c>
      <c r="B41" s="27">
        <v>282.64999999999998</v>
      </c>
      <c r="C41" s="28">
        <v>22.35</v>
      </c>
      <c r="D41" s="28">
        <v>74.75</v>
      </c>
      <c r="E41" s="28">
        <v>68.92</v>
      </c>
      <c r="F41" s="29">
        <f>SUM(D41-E41)*100/(E41-C41)</f>
        <v>12.518788919905514</v>
      </c>
      <c r="G41" s="29">
        <f>SUM(B41)*100/(F41+100)</f>
        <v>251.20249045801523</v>
      </c>
      <c r="H41" s="29">
        <f>SUM(3.14*31.36)*10/4</f>
        <v>246.17599999999999</v>
      </c>
      <c r="I41" s="29">
        <f>SUM(G41/H41)</f>
        <v>1.0204182798405013</v>
      </c>
      <c r="J41" s="25"/>
      <c r="K41" s="26" t="s">
        <v>79</v>
      </c>
      <c r="L41" s="27">
        <v>321.7</v>
      </c>
      <c r="M41" s="28">
        <v>22.35</v>
      </c>
      <c r="N41" s="28">
        <v>68.599999999999994</v>
      </c>
      <c r="O41" s="28">
        <v>62.7</v>
      </c>
      <c r="P41" s="29">
        <f>SUM(N41-O41)*100/(O41-M41)</f>
        <v>14.622057001239135</v>
      </c>
      <c r="Q41" s="29">
        <f>SUM(L41)*100/(P41+100)</f>
        <v>280.66151351351357</v>
      </c>
      <c r="R41" s="29">
        <f>SUM(3.14*31.36)*10/4</f>
        <v>246.17599999999999</v>
      </c>
      <c r="S41" s="28">
        <f>SUM(Q41/R41)</f>
        <v>1.1400847910174574</v>
      </c>
    </row>
    <row r="42" spans="1:19" x14ac:dyDescent="0.25">
      <c r="A42" s="30" t="s">
        <v>80</v>
      </c>
      <c r="B42" s="27">
        <v>269.95</v>
      </c>
      <c r="C42" s="28">
        <v>28.25</v>
      </c>
      <c r="D42" s="28">
        <v>70.25</v>
      </c>
      <c r="E42" s="28">
        <v>65.22</v>
      </c>
      <c r="F42" s="29">
        <f t="shared" ref="F42:F43" si="12">SUM(D42-E42)*100/(E42-C42)</f>
        <v>13.605626183391943</v>
      </c>
      <c r="G42" s="29">
        <f t="shared" ref="G42:G43" si="13">SUM(B42)*100/(F42+100)</f>
        <v>237.62027380952378</v>
      </c>
      <c r="H42" s="29">
        <f t="shared" ref="H42" si="14">SUM(3.14*31.36)*10/4</f>
        <v>246.17599999999999</v>
      </c>
      <c r="I42" s="29">
        <f t="shared" ref="I42:I43" si="15">SUM(G42/H42)</f>
        <v>0.9652454902570673</v>
      </c>
      <c r="J42" s="25"/>
      <c r="K42" s="30" t="s">
        <v>80</v>
      </c>
      <c r="L42" s="27">
        <v>305.25</v>
      </c>
      <c r="M42" s="28">
        <v>28.25</v>
      </c>
      <c r="N42" s="28">
        <v>75.25</v>
      </c>
      <c r="O42" s="28">
        <v>70.849999999999994</v>
      </c>
      <c r="P42" s="29">
        <f>SUM(N42-O42)*100/(O42-M42)</f>
        <v>10.328638497652596</v>
      </c>
      <c r="Q42" s="29">
        <f>SUM(L42)*100/(P42+100)</f>
        <v>276.6734042553191</v>
      </c>
      <c r="R42" s="29">
        <f t="shared" ref="R42" si="16">SUM(3.14*31.36)*10/4</f>
        <v>246.17599999999999</v>
      </c>
      <c r="S42" s="28">
        <f t="shared" ref="S42:S43" si="17">SUM(Q42/R42)</f>
        <v>1.123884555177268</v>
      </c>
    </row>
    <row r="43" spans="1:19" x14ac:dyDescent="0.25">
      <c r="A43" s="26" t="s">
        <v>81</v>
      </c>
      <c r="B43" s="27">
        <v>297.7</v>
      </c>
      <c r="C43" s="28">
        <v>22.2</v>
      </c>
      <c r="D43" s="28">
        <v>74.7</v>
      </c>
      <c r="E43" s="28">
        <v>67.7</v>
      </c>
      <c r="F43" s="29">
        <f t="shared" si="12"/>
        <v>15.384615384615385</v>
      </c>
      <c r="G43" s="29">
        <f t="shared" si="13"/>
        <v>258.00666666666666</v>
      </c>
      <c r="H43" s="29">
        <f>SUM(3.14*31.36)*9.6/4</f>
        <v>236.32896</v>
      </c>
      <c r="I43" s="29">
        <f t="shared" si="15"/>
        <v>1.0917268313907305</v>
      </c>
      <c r="J43" s="25"/>
      <c r="K43" s="26" t="s">
        <v>81</v>
      </c>
      <c r="L43" s="27">
        <v>310.95</v>
      </c>
      <c r="M43" s="28">
        <v>22.2</v>
      </c>
      <c r="N43" s="28">
        <v>78.8</v>
      </c>
      <c r="O43" s="28">
        <v>76.45</v>
      </c>
      <c r="P43" s="29">
        <f>SUM(N43-O43)*100/(O43-M43)</f>
        <v>4.3317972350230312</v>
      </c>
      <c r="Q43" s="29">
        <f>SUM(L43)*100/(P43+100)</f>
        <v>298.03953180212017</v>
      </c>
      <c r="R43" s="29">
        <f>SUM(3.14*31.36)*9.6/4</f>
        <v>236.32896</v>
      </c>
      <c r="S43" s="28">
        <f t="shared" si="17"/>
        <v>1.2611214969258113</v>
      </c>
    </row>
    <row r="44" spans="1:19" x14ac:dyDescent="0.25">
      <c r="A44" s="139" t="s">
        <v>86</v>
      </c>
      <c r="B44" s="140"/>
      <c r="C44" s="140"/>
      <c r="D44" s="140"/>
      <c r="E44" s="140"/>
      <c r="F44" s="140"/>
      <c r="G44" s="140"/>
      <c r="H44" s="140"/>
      <c r="I44" s="141"/>
      <c r="J44" s="25"/>
      <c r="K44" s="139" t="s">
        <v>85</v>
      </c>
      <c r="L44" s="140"/>
      <c r="M44" s="140"/>
      <c r="N44" s="140"/>
      <c r="O44" s="140"/>
      <c r="P44" s="140"/>
      <c r="Q44" s="140"/>
      <c r="R44" s="140"/>
      <c r="S44" s="141"/>
    </row>
    <row r="45" spans="1:19" x14ac:dyDescent="0.25">
      <c r="A45" s="26" t="s">
        <v>79</v>
      </c>
      <c r="B45" s="27">
        <v>334.35</v>
      </c>
      <c r="C45" s="28">
        <v>22.35</v>
      </c>
      <c r="D45" s="28">
        <v>74.900000000000006</v>
      </c>
      <c r="E45" s="28">
        <v>68.95</v>
      </c>
      <c r="F45" s="29">
        <f>SUM(D45-E45)*100/(E45-C45)</f>
        <v>12.768240343347644</v>
      </c>
      <c r="G45" s="29">
        <f>SUM(B45)*100/(F45+100)</f>
        <v>296.49305423406281</v>
      </c>
      <c r="H45" s="29">
        <f>SUM(3.14*31.36)*10/4</f>
        <v>246.17599999999999</v>
      </c>
      <c r="I45" s="28">
        <f>SUM(G45/H45)</f>
        <v>1.2043946373085224</v>
      </c>
      <c r="J45" s="25"/>
      <c r="K45" s="26" t="s">
        <v>79</v>
      </c>
      <c r="L45" s="27">
        <v>309.89999999999998</v>
      </c>
      <c r="M45" s="28">
        <v>22.35</v>
      </c>
      <c r="N45" s="28">
        <v>70.099999999999994</v>
      </c>
      <c r="O45" s="28">
        <v>64.88</v>
      </c>
      <c r="P45" s="29">
        <f>SUM(N45-O45)*100/(O45-M45)</f>
        <v>12.273689160592522</v>
      </c>
      <c r="Q45" s="29">
        <f>SUM(L45)*100/(P45+100)</f>
        <v>276.02192670157064</v>
      </c>
      <c r="R45" s="29">
        <f>SUM(3.14*31.36)*10/4</f>
        <v>246.17599999999999</v>
      </c>
      <c r="S45" s="28">
        <f>SUM(Q45/R45)</f>
        <v>1.1212381657902097</v>
      </c>
    </row>
    <row r="46" spans="1:19" x14ac:dyDescent="0.25">
      <c r="A46" s="30" t="s">
        <v>80</v>
      </c>
      <c r="B46" s="27">
        <v>298.3</v>
      </c>
      <c r="C46" s="28">
        <v>28.25</v>
      </c>
      <c r="D46" s="28">
        <v>75.25</v>
      </c>
      <c r="E46" s="28">
        <v>69.14</v>
      </c>
      <c r="F46" s="29">
        <f>SUM(D46-E46)*100/(E46-C46)</f>
        <v>14.942528735632184</v>
      </c>
      <c r="G46" s="29">
        <f>SUM(B46)*100/(F46+100)</f>
        <v>259.52100000000002</v>
      </c>
      <c r="H46" s="29">
        <f t="shared" ref="H46" si="18">SUM(3.14*31.36)*10/4</f>
        <v>246.17599999999999</v>
      </c>
      <c r="I46" s="28">
        <f t="shared" ref="I46:I47" si="19">SUM(G46/H46)</f>
        <v>1.0542091836734695</v>
      </c>
      <c r="J46" s="25"/>
      <c r="K46" s="30" t="s">
        <v>80</v>
      </c>
      <c r="L46" s="27">
        <v>303.10000000000002</v>
      </c>
      <c r="M46" s="28">
        <v>28.25</v>
      </c>
      <c r="N46" s="28">
        <v>70</v>
      </c>
      <c r="O46" s="28">
        <v>59.75</v>
      </c>
      <c r="P46" s="29">
        <f>SUM(N46-O46)*100/(O46-M46)</f>
        <v>32.539682539682538</v>
      </c>
      <c r="Q46" s="29">
        <f>SUM(L46)*100/(P46+100)</f>
        <v>228.68622754491022</v>
      </c>
      <c r="R46" s="29">
        <f t="shared" ref="R46" si="20">SUM(3.14*31.36)*10/4</f>
        <v>246.17599999999999</v>
      </c>
      <c r="S46" s="28">
        <f t="shared" ref="S46:S47" si="21">SUM(Q46/R46)</f>
        <v>0.92895419352378072</v>
      </c>
    </row>
    <row r="47" spans="1:19" x14ac:dyDescent="0.25">
      <c r="A47" s="26" t="s">
        <v>81</v>
      </c>
      <c r="B47" s="27">
        <v>289.14999999999998</v>
      </c>
      <c r="C47" s="28">
        <v>22.2</v>
      </c>
      <c r="D47" s="28">
        <v>81</v>
      </c>
      <c r="E47" s="28">
        <v>75.349999999999994</v>
      </c>
      <c r="F47" s="29">
        <f>SUM(D47-E47)*100/(E47-C47)</f>
        <v>10.630291627469438</v>
      </c>
      <c r="G47" s="29">
        <f>SUM(B47)*100/(F47+100)</f>
        <v>261.36602891156457</v>
      </c>
      <c r="H47" s="29">
        <f>SUM(3.14*31.36)*9.6/4</f>
        <v>236.32896</v>
      </c>
      <c r="I47" s="28">
        <f t="shared" si="19"/>
        <v>1.1059416032278253</v>
      </c>
      <c r="J47" s="25"/>
      <c r="K47" s="26" t="s">
        <v>81</v>
      </c>
      <c r="L47" s="27">
        <v>231</v>
      </c>
      <c r="M47" s="28">
        <v>22.2</v>
      </c>
      <c r="N47" s="28">
        <v>74.7</v>
      </c>
      <c r="O47" s="28">
        <v>60.75</v>
      </c>
      <c r="P47" s="29">
        <f>SUM(N47-O47)*100/(O47-M47)</f>
        <v>36.186770428015571</v>
      </c>
      <c r="Q47" s="29">
        <f>SUM(L47)*100/(P47+100)</f>
        <v>169.62</v>
      </c>
      <c r="R47" s="29">
        <f>SUM(3.14*31.36)*9.6/4</f>
        <v>236.32896</v>
      </c>
      <c r="S47" s="28">
        <f t="shared" si="21"/>
        <v>0.71772837319641236</v>
      </c>
    </row>
    <row r="48" spans="1:19" x14ac:dyDescent="0.25">
      <c r="A48" s="139" t="s">
        <v>87</v>
      </c>
      <c r="B48" s="140"/>
      <c r="C48" s="140"/>
      <c r="D48" s="140"/>
      <c r="E48" s="140"/>
      <c r="F48" s="140"/>
      <c r="G48" s="140"/>
      <c r="H48" s="140"/>
      <c r="I48" s="141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25">
      <c r="A49" s="26" t="s">
        <v>79</v>
      </c>
      <c r="B49" s="27">
        <v>318.10000000000002</v>
      </c>
      <c r="C49" s="28">
        <v>22.35</v>
      </c>
      <c r="D49" s="28">
        <v>70.099999999999994</v>
      </c>
      <c r="E49" s="28">
        <v>64.88</v>
      </c>
      <c r="F49" s="29">
        <f>SUM(D49-E49)*100/(E49-C49)</f>
        <v>12.273689160592522</v>
      </c>
      <c r="G49" s="29">
        <f>SUM(B49)*100/(F49+100)</f>
        <v>283.32550785340317</v>
      </c>
      <c r="H49" s="29">
        <f>SUM(3.14*31.36)*10/4</f>
        <v>246.17599999999999</v>
      </c>
      <c r="I49" s="28">
        <f>SUM(G49/H49)</f>
        <v>1.1509062940879824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25">
      <c r="A50" s="30" t="s">
        <v>80</v>
      </c>
      <c r="B50" s="27">
        <v>292.5</v>
      </c>
      <c r="C50" s="28">
        <v>28.25</v>
      </c>
      <c r="D50" s="28">
        <v>70</v>
      </c>
      <c r="E50" s="28">
        <v>64.88</v>
      </c>
      <c r="F50" s="29">
        <f>SUM(D50-E50)*100/(E50-C50)</f>
        <v>13.977613977613991</v>
      </c>
      <c r="G50" s="29">
        <f>SUM(B50)*100/(F50+100)</f>
        <v>256.62934131736523</v>
      </c>
      <c r="H50" s="29">
        <f t="shared" ref="H50" si="22">SUM(3.14*31.36)*10/4</f>
        <v>246.17599999999999</v>
      </c>
      <c r="I50" s="28">
        <f t="shared" ref="I50:I51" si="23">SUM(G50/H50)</f>
        <v>1.0424628774428264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25">
      <c r="A51" s="26" t="s">
        <v>81</v>
      </c>
      <c r="B51" s="27">
        <v>302.39999999999998</v>
      </c>
      <c r="C51" s="28">
        <v>22.2</v>
      </c>
      <c r="D51" s="28">
        <v>81.099999999999994</v>
      </c>
      <c r="E51" s="28">
        <v>74.7</v>
      </c>
      <c r="F51" s="29">
        <f>SUM(D51-E51)*100/(E51-C51)</f>
        <v>12.190476190476174</v>
      </c>
      <c r="G51" s="29">
        <f>SUM(B51)*100/(F51+100)</f>
        <v>269.54159592529714</v>
      </c>
      <c r="H51" s="29">
        <f>SUM(3.14*31.36)*9.6/4</f>
        <v>236.32896</v>
      </c>
      <c r="I51" s="28">
        <f t="shared" si="23"/>
        <v>1.1405356158013693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8" spans="1:19" ht="60" x14ac:dyDescent="0.25">
      <c r="A58" s="17" t="s">
        <v>45</v>
      </c>
      <c r="B58" s="17" t="s">
        <v>46</v>
      </c>
      <c r="C58" s="17" t="s">
        <v>47</v>
      </c>
      <c r="D58" s="17" t="s">
        <v>48</v>
      </c>
      <c r="E58" s="17" t="s">
        <v>49</v>
      </c>
      <c r="F58" s="17" t="s">
        <v>50</v>
      </c>
      <c r="G58" s="17" t="s">
        <v>51</v>
      </c>
      <c r="H58" s="17" t="s">
        <v>52</v>
      </c>
      <c r="J58" s="17" t="s">
        <v>45</v>
      </c>
      <c r="K58" s="17" t="s">
        <v>46</v>
      </c>
      <c r="L58" s="17" t="s">
        <v>47</v>
      </c>
      <c r="M58" s="17" t="s">
        <v>48</v>
      </c>
      <c r="N58" s="17" t="s">
        <v>49</v>
      </c>
      <c r="O58" s="17" t="s">
        <v>50</v>
      </c>
      <c r="P58" s="17" t="s">
        <v>51</v>
      </c>
      <c r="Q58" s="17" t="s">
        <v>52</v>
      </c>
    </row>
    <row r="59" spans="1:19" x14ac:dyDescent="0.25">
      <c r="A59" s="146" t="s">
        <v>88</v>
      </c>
      <c r="B59" s="147"/>
      <c r="C59" s="147"/>
      <c r="D59" s="147"/>
      <c r="E59" s="147"/>
      <c r="F59" s="147"/>
      <c r="G59" s="147"/>
      <c r="H59" s="148"/>
      <c r="J59" s="146" t="s">
        <v>89</v>
      </c>
      <c r="K59" s="147"/>
      <c r="L59" s="147"/>
      <c r="M59" s="147"/>
      <c r="N59" s="147"/>
      <c r="O59" s="147"/>
      <c r="P59" s="147"/>
      <c r="Q59" s="148"/>
    </row>
    <row r="60" spans="1:19" x14ac:dyDescent="0.25">
      <c r="A60" s="31" t="s">
        <v>79</v>
      </c>
      <c r="B60" s="28">
        <v>22.35</v>
      </c>
      <c r="C60" s="28">
        <v>81.150000000000006</v>
      </c>
      <c r="D60" s="28">
        <v>70.75</v>
      </c>
      <c r="E60" s="29">
        <f>SUM(C60-B60)</f>
        <v>58.800000000000004</v>
      </c>
      <c r="F60" s="29">
        <f>SUM(D60-B60)</f>
        <v>48.4</v>
      </c>
      <c r="G60" s="29">
        <f>SUM(E60-F60)</f>
        <v>10.400000000000006</v>
      </c>
      <c r="H60" s="29">
        <f>SUM(C60-D60)*100/F60</f>
        <v>21.487603305785132</v>
      </c>
      <c r="J60" s="6" t="s">
        <v>79</v>
      </c>
      <c r="K60" s="32">
        <v>22.35</v>
      </c>
      <c r="L60" s="32">
        <v>70.099999999999994</v>
      </c>
      <c r="M60" s="32">
        <v>64.88</v>
      </c>
      <c r="N60" s="33">
        <f>SUM(L60-K60)</f>
        <v>47.749999999999993</v>
      </c>
      <c r="O60" s="33">
        <f>SUM(M60-K60)</f>
        <v>42.529999999999994</v>
      </c>
      <c r="P60" s="33">
        <f>SUM(N60-O60)</f>
        <v>5.2199999999999989</v>
      </c>
      <c r="Q60" s="33">
        <f>SUM(L60-M60)*100/O60</f>
        <v>12.273689160592522</v>
      </c>
    </row>
    <row r="61" spans="1:19" x14ac:dyDescent="0.25">
      <c r="A61" s="34" t="s">
        <v>80</v>
      </c>
      <c r="B61" s="28">
        <v>28.25</v>
      </c>
      <c r="C61" s="28">
        <v>78.2</v>
      </c>
      <c r="D61" s="28">
        <v>68.599999999999994</v>
      </c>
      <c r="E61" s="29">
        <f>SUM(C61-B61)</f>
        <v>49.95</v>
      </c>
      <c r="F61" s="29">
        <f>SUM(D61-B61)</f>
        <v>40.349999999999994</v>
      </c>
      <c r="G61" s="29">
        <f t="shared" ref="G61" si="24">SUM(E61-F61)</f>
        <v>9.6000000000000085</v>
      </c>
      <c r="H61" s="29">
        <f>SUM(C61-D61)*100/F61</f>
        <v>23.791821561338317</v>
      </c>
      <c r="J61" s="35" t="s">
        <v>80</v>
      </c>
      <c r="K61" s="28">
        <v>28.25</v>
      </c>
      <c r="L61" s="32">
        <v>70</v>
      </c>
      <c r="M61" s="32">
        <v>64.88</v>
      </c>
      <c r="N61" s="33">
        <f>SUM(L61-K61)</f>
        <v>41.75</v>
      </c>
      <c r="O61" s="33">
        <f>SUM(M61-K61)</f>
        <v>36.629999999999995</v>
      </c>
      <c r="P61" s="33">
        <f t="shared" ref="P61:P62" si="25">SUM(N61-O61)</f>
        <v>5.1200000000000045</v>
      </c>
      <c r="Q61" s="33">
        <f t="shared" ref="Q61:Q62" si="26">SUM(L61-M61)*100/O61</f>
        <v>13.977613977613991</v>
      </c>
    </row>
    <row r="62" spans="1:19" x14ac:dyDescent="0.25">
      <c r="A62" s="31" t="s">
        <v>81</v>
      </c>
      <c r="B62" s="28">
        <v>22.2</v>
      </c>
      <c r="C62" s="28">
        <v>79.599999999999994</v>
      </c>
      <c r="D62" s="28">
        <v>65.150000000000006</v>
      </c>
      <c r="E62" s="29">
        <f>SUM(C62-B62)</f>
        <v>57.399999999999991</v>
      </c>
      <c r="F62" s="29">
        <f>SUM(D62-B62)</f>
        <v>42.95</v>
      </c>
      <c r="G62" s="29">
        <f>SUM(E62-F62)</f>
        <v>14.449999999999989</v>
      </c>
      <c r="H62" s="29">
        <f>SUM(C62-D62)*100/F62</f>
        <v>33.643771827706608</v>
      </c>
      <c r="J62" s="36" t="s">
        <v>81</v>
      </c>
      <c r="K62" s="37">
        <v>22.2</v>
      </c>
      <c r="L62" s="37">
        <v>81.099999999999994</v>
      </c>
      <c r="M62" s="37">
        <v>74.7</v>
      </c>
      <c r="N62" s="38">
        <f>SUM(L62-K62)</f>
        <v>58.899999999999991</v>
      </c>
      <c r="O62" s="38">
        <f>M62-K62</f>
        <v>52.5</v>
      </c>
      <c r="P62" s="38">
        <f t="shared" si="25"/>
        <v>6.3999999999999915</v>
      </c>
      <c r="Q62" s="38">
        <f t="shared" si="26"/>
        <v>12.190476190476174</v>
      </c>
    </row>
    <row r="63" spans="1:19" x14ac:dyDescent="0.25">
      <c r="A63" s="149" t="s">
        <v>90</v>
      </c>
      <c r="B63" s="150"/>
      <c r="C63" s="150"/>
      <c r="D63" s="150"/>
      <c r="E63" s="150"/>
      <c r="F63" s="150"/>
      <c r="G63" s="151"/>
      <c r="H63" s="39">
        <f>AVERAGE(H60:H62)</f>
        <v>26.307732231610022</v>
      </c>
      <c r="J63" s="152" t="s">
        <v>90</v>
      </c>
      <c r="K63" s="153"/>
      <c r="L63" s="153"/>
      <c r="M63" s="153"/>
      <c r="N63" s="153"/>
      <c r="O63" s="153"/>
      <c r="P63" s="154"/>
      <c r="Q63" s="40">
        <f>AVERAGE(Q60:Q62)</f>
        <v>12.813926442894228</v>
      </c>
    </row>
    <row r="64" spans="1:19" x14ac:dyDescent="0.25">
      <c r="A64" s="146" t="s">
        <v>91</v>
      </c>
      <c r="B64" s="147"/>
      <c r="C64" s="147"/>
      <c r="D64" s="147"/>
      <c r="E64" s="147"/>
      <c r="F64" s="147"/>
      <c r="G64" s="147"/>
      <c r="H64" s="148"/>
      <c r="J64" s="146" t="s">
        <v>92</v>
      </c>
      <c r="K64" s="147"/>
      <c r="L64" s="147"/>
      <c r="M64" s="147"/>
      <c r="N64" s="147"/>
      <c r="O64" s="147"/>
      <c r="P64" s="147"/>
      <c r="Q64" s="148"/>
    </row>
    <row r="65" spans="1:17" x14ac:dyDescent="0.25">
      <c r="A65" s="6" t="s">
        <v>79</v>
      </c>
      <c r="B65" s="32">
        <v>22.35</v>
      </c>
      <c r="C65" s="32">
        <v>70.099999999999994</v>
      </c>
      <c r="D65" s="32">
        <v>64.88</v>
      </c>
      <c r="E65" s="33">
        <f>SUM(C65-B65)</f>
        <v>47.749999999999993</v>
      </c>
      <c r="F65" s="33">
        <f>SUM(D65-B65)</f>
        <v>42.529999999999994</v>
      </c>
      <c r="G65" s="33">
        <f>SUM(E65-F65)</f>
        <v>5.2199999999999989</v>
      </c>
      <c r="H65" s="33">
        <f>SUM(C65-D65)*100/F65</f>
        <v>12.273689160592522</v>
      </c>
      <c r="J65" s="36" t="s">
        <v>79</v>
      </c>
      <c r="K65" s="37">
        <v>22.35</v>
      </c>
      <c r="L65" s="37">
        <v>90.6</v>
      </c>
      <c r="M65" s="37">
        <v>81.150000000000006</v>
      </c>
      <c r="N65" s="38">
        <f>SUM(L65-K65)</f>
        <v>68.25</v>
      </c>
      <c r="O65" s="38">
        <f>SUM(M65-K65)</f>
        <v>58.800000000000004</v>
      </c>
      <c r="P65" s="38">
        <f>SUM(N65-O65)</f>
        <v>9.4499999999999957</v>
      </c>
      <c r="Q65" s="38">
        <f>SUM(L65-M65)*100/O65</f>
        <v>16.071428571428552</v>
      </c>
    </row>
    <row r="66" spans="1:17" x14ac:dyDescent="0.25">
      <c r="A66" s="35" t="s">
        <v>80</v>
      </c>
      <c r="B66" s="32">
        <v>28.25</v>
      </c>
      <c r="C66" s="32">
        <v>78.900000000000006</v>
      </c>
      <c r="D66" s="32">
        <v>73.2</v>
      </c>
      <c r="E66" s="33">
        <f>SUM(C66-B66)</f>
        <v>50.650000000000006</v>
      </c>
      <c r="F66" s="33">
        <f>SUM(D66-B66)</f>
        <v>44.95</v>
      </c>
      <c r="G66" s="33">
        <f t="shared" ref="G66:G67" si="27">SUM(E66-F66)</f>
        <v>5.7000000000000028</v>
      </c>
      <c r="H66" s="33">
        <f>SUM(C66-D66)*100/F66</f>
        <v>12.680756395995555</v>
      </c>
      <c r="J66" s="34" t="s">
        <v>80</v>
      </c>
      <c r="K66" s="28">
        <v>28.25</v>
      </c>
      <c r="L66" s="28">
        <v>81</v>
      </c>
      <c r="M66" s="28">
        <v>74.400000000000006</v>
      </c>
      <c r="N66" s="41">
        <f>SUM(L66-K66)</f>
        <v>52.75</v>
      </c>
      <c r="O66" s="41">
        <f>SUM(M66-K66)</f>
        <v>46.150000000000006</v>
      </c>
      <c r="P66" s="41">
        <f t="shared" ref="P66:P67" si="28">SUM(N66-O66)</f>
        <v>6.5999999999999943</v>
      </c>
      <c r="Q66" s="41">
        <f t="shared" ref="Q66:Q67" si="29">SUM(L66-M66)*100/O66</f>
        <v>14.301191765980484</v>
      </c>
    </row>
    <row r="67" spans="1:17" x14ac:dyDescent="0.25">
      <c r="A67" s="6" t="s">
        <v>81</v>
      </c>
      <c r="B67" s="32">
        <v>22.2</v>
      </c>
      <c r="C67" s="32">
        <v>67.25</v>
      </c>
      <c r="D67" s="32">
        <v>62.36</v>
      </c>
      <c r="E67" s="33">
        <f>SUM(C67-B67)</f>
        <v>45.05</v>
      </c>
      <c r="F67" s="33">
        <f>SUM(D67-B67)</f>
        <v>40.159999999999997</v>
      </c>
      <c r="G67" s="33">
        <f t="shared" si="27"/>
        <v>4.8900000000000006</v>
      </c>
      <c r="H67" s="33">
        <f>SUM(C67-D67)*100/F67</f>
        <v>12.176294820717134</v>
      </c>
      <c r="J67" s="31" t="s">
        <v>81</v>
      </c>
      <c r="K67" s="28">
        <v>22.2</v>
      </c>
      <c r="L67" s="28">
        <v>79.599999999999994</v>
      </c>
      <c r="M67" s="28">
        <v>73.599999999999994</v>
      </c>
      <c r="N67" s="41">
        <f>SUM(L67-K67)</f>
        <v>57.399999999999991</v>
      </c>
      <c r="O67" s="41">
        <f>M67-K67</f>
        <v>51.399999999999991</v>
      </c>
      <c r="P67" s="41">
        <f t="shared" si="28"/>
        <v>6</v>
      </c>
      <c r="Q67" s="41">
        <f t="shared" si="29"/>
        <v>11.673151750972764</v>
      </c>
    </row>
    <row r="68" spans="1:17" x14ac:dyDescent="0.25">
      <c r="A68" s="152" t="s">
        <v>90</v>
      </c>
      <c r="B68" s="153"/>
      <c r="C68" s="153"/>
      <c r="D68" s="153"/>
      <c r="E68" s="153"/>
      <c r="F68" s="153"/>
      <c r="G68" s="154"/>
      <c r="H68" s="40">
        <f>AVERAGE(H65:H67)</f>
        <v>12.376913459101736</v>
      </c>
      <c r="J68" s="149" t="s">
        <v>90</v>
      </c>
      <c r="K68" s="150"/>
      <c r="L68" s="150"/>
      <c r="M68" s="150"/>
      <c r="N68" s="150"/>
      <c r="O68" s="150"/>
      <c r="P68" s="151"/>
      <c r="Q68" s="42">
        <f>AVERAGE(Q65:Q67)</f>
        <v>14.015257362793932</v>
      </c>
    </row>
    <row r="69" spans="1:17" x14ac:dyDescent="0.25">
      <c r="A69" s="146" t="s">
        <v>93</v>
      </c>
      <c r="B69" s="147"/>
      <c r="C69" s="147"/>
      <c r="D69" s="147"/>
      <c r="E69" s="147"/>
      <c r="F69" s="147"/>
      <c r="G69" s="147"/>
      <c r="H69" s="148"/>
      <c r="J69" s="155" t="s">
        <v>94</v>
      </c>
      <c r="K69" s="156"/>
      <c r="L69" s="156"/>
      <c r="M69" s="156"/>
      <c r="N69" s="156"/>
      <c r="O69" s="156"/>
      <c r="P69" s="156"/>
      <c r="Q69" s="157"/>
    </row>
    <row r="70" spans="1:17" x14ac:dyDescent="0.25">
      <c r="A70" s="6" t="s">
        <v>79</v>
      </c>
      <c r="B70" s="32">
        <v>22.35</v>
      </c>
      <c r="C70" s="32">
        <v>64.7</v>
      </c>
      <c r="D70" s="32">
        <v>60.16</v>
      </c>
      <c r="E70" s="33">
        <f>SUM(C70-B70)</f>
        <v>42.35</v>
      </c>
      <c r="F70" s="33">
        <f>SUM(D70-B70)</f>
        <v>37.809999999999995</v>
      </c>
      <c r="G70" s="33">
        <f>SUM(E70-F70)</f>
        <v>4.5400000000000063</v>
      </c>
      <c r="H70" s="33">
        <f>SUM(C70-D70)*100/F70</f>
        <v>12.00740544829412</v>
      </c>
      <c r="J70" s="31" t="s">
        <v>79</v>
      </c>
      <c r="K70" s="28">
        <v>22.35</v>
      </c>
      <c r="L70" s="28">
        <v>67.650000000000006</v>
      </c>
      <c r="M70" s="28">
        <v>63.06</v>
      </c>
      <c r="N70" s="41">
        <f>SUM(L70-K70)</f>
        <v>45.300000000000004</v>
      </c>
      <c r="O70" s="41">
        <f>SUM(M70-K70)</f>
        <v>40.71</v>
      </c>
      <c r="P70" s="41">
        <f>SUM(N70-O70)</f>
        <v>4.5900000000000034</v>
      </c>
      <c r="Q70" s="41">
        <f>SUM(L70-M70)*100/O70</f>
        <v>11.274871039056752</v>
      </c>
    </row>
    <row r="71" spans="1:17" x14ac:dyDescent="0.25">
      <c r="A71" s="35" t="s">
        <v>80</v>
      </c>
      <c r="B71" s="32">
        <v>28.25</v>
      </c>
      <c r="C71" s="32">
        <v>65.95</v>
      </c>
      <c r="D71" s="32">
        <v>61.2</v>
      </c>
      <c r="E71" s="33">
        <f>SUM(C71-B71)</f>
        <v>37.700000000000003</v>
      </c>
      <c r="F71" s="33">
        <f>SUM(D71-B71)</f>
        <v>32.950000000000003</v>
      </c>
      <c r="G71" s="33">
        <f t="shared" ref="G71:G72" si="30">SUM(E71-F71)</f>
        <v>4.75</v>
      </c>
      <c r="H71" s="33">
        <f>SUM(C71-D71)*100/F71</f>
        <v>14.415781487101668</v>
      </c>
      <c r="J71" s="34" t="s">
        <v>80</v>
      </c>
      <c r="K71" s="28">
        <v>28.25</v>
      </c>
      <c r="L71" s="28">
        <v>70.900000000000006</v>
      </c>
      <c r="M71" s="28">
        <v>65.95</v>
      </c>
      <c r="N71" s="41">
        <f>SUM(L71-K71)</f>
        <v>42.650000000000006</v>
      </c>
      <c r="O71" s="41">
        <f>SUM(M71-K71)</f>
        <v>37.700000000000003</v>
      </c>
      <c r="P71" s="41">
        <f t="shared" ref="P71:P72" si="31">SUM(N71-O71)</f>
        <v>4.9500000000000028</v>
      </c>
      <c r="Q71" s="41">
        <f t="shared" ref="Q71:Q72" si="32">SUM(L71-M71)*100/O71</f>
        <v>13.129973474801067</v>
      </c>
    </row>
    <row r="72" spans="1:17" x14ac:dyDescent="0.25">
      <c r="A72" s="6" t="s">
        <v>81</v>
      </c>
      <c r="B72" s="32">
        <v>22.2</v>
      </c>
      <c r="C72" s="32">
        <v>70.95</v>
      </c>
      <c r="D72" s="32">
        <v>65.06</v>
      </c>
      <c r="E72" s="33">
        <f>SUM(C72-B72)</f>
        <v>48.75</v>
      </c>
      <c r="F72" s="33">
        <f>D72-B72</f>
        <v>42.86</v>
      </c>
      <c r="G72" s="33">
        <f t="shared" si="30"/>
        <v>5.8900000000000006</v>
      </c>
      <c r="H72" s="33">
        <f>SUM(C72-D72)*100/F72</f>
        <v>13.742417172188521</v>
      </c>
      <c r="J72" s="31" t="s">
        <v>81</v>
      </c>
      <c r="K72" s="28">
        <v>22.2</v>
      </c>
      <c r="L72" s="28">
        <v>69.45</v>
      </c>
      <c r="M72" s="28">
        <v>64.84</v>
      </c>
      <c r="N72" s="41">
        <f>SUM(L72-K72)</f>
        <v>47.25</v>
      </c>
      <c r="O72" s="41">
        <f>M72-K72</f>
        <v>42.64</v>
      </c>
      <c r="P72" s="41">
        <f t="shared" si="31"/>
        <v>4.6099999999999994</v>
      </c>
      <c r="Q72" s="41">
        <f t="shared" si="32"/>
        <v>10.811444652908065</v>
      </c>
    </row>
    <row r="73" spans="1:17" x14ac:dyDescent="0.25">
      <c r="A73" s="152" t="s">
        <v>90</v>
      </c>
      <c r="B73" s="153"/>
      <c r="C73" s="153"/>
      <c r="D73" s="153"/>
      <c r="E73" s="153"/>
      <c r="F73" s="153"/>
      <c r="G73" s="154"/>
      <c r="H73" s="40">
        <f>AVERAGE(H70:H72)</f>
        <v>13.388534702528105</v>
      </c>
      <c r="J73" s="149" t="s">
        <v>90</v>
      </c>
      <c r="K73" s="150"/>
      <c r="L73" s="150"/>
      <c r="M73" s="150"/>
      <c r="N73" s="150"/>
      <c r="O73" s="150"/>
      <c r="P73" s="151"/>
      <c r="Q73" s="42">
        <f>AVERAGE(Q70:Q72)</f>
        <v>11.738763055588628</v>
      </c>
    </row>
    <row r="74" spans="1:17" x14ac:dyDescent="0.25">
      <c r="A74" s="146" t="s">
        <v>95</v>
      </c>
      <c r="B74" s="147"/>
      <c r="C74" s="147"/>
      <c r="D74" s="147"/>
      <c r="E74" s="147"/>
      <c r="F74" s="147"/>
      <c r="G74" s="147"/>
      <c r="H74" s="148"/>
      <c r="J74" s="146" t="s">
        <v>96</v>
      </c>
      <c r="K74" s="147"/>
      <c r="L74" s="147"/>
      <c r="M74" s="147"/>
      <c r="N74" s="147"/>
      <c r="O74" s="147"/>
      <c r="P74" s="147"/>
      <c r="Q74" s="148"/>
    </row>
    <row r="75" spans="1:17" x14ac:dyDescent="0.25">
      <c r="A75" s="6" t="s">
        <v>79</v>
      </c>
      <c r="B75" s="32">
        <v>22.35</v>
      </c>
      <c r="C75" s="32">
        <v>69</v>
      </c>
      <c r="D75" s="32">
        <v>63</v>
      </c>
      <c r="E75" s="33">
        <f>SUM(C75-B75)</f>
        <v>46.65</v>
      </c>
      <c r="F75" s="33">
        <f>SUM(D75-B75)</f>
        <v>40.65</v>
      </c>
      <c r="G75" s="33">
        <f>SUM(E75-F75)</f>
        <v>6</v>
      </c>
      <c r="H75" s="33">
        <f>SUM(C75-D75)*100/F75</f>
        <v>14.760147601476016</v>
      </c>
      <c r="J75" s="31" t="s">
        <v>79</v>
      </c>
      <c r="K75" s="28">
        <v>22.35</v>
      </c>
      <c r="L75" s="28">
        <v>68.599999999999994</v>
      </c>
      <c r="M75" s="28">
        <v>62.7</v>
      </c>
      <c r="N75" s="41">
        <f>SUM(L75-K75)</f>
        <v>46.249999999999993</v>
      </c>
      <c r="O75" s="41">
        <f>SUM(M75-K75)</f>
        <v>40.35</v>
      </c>
      <c r="P75" s="41">
        <f>SUM(N75-O75)</f>
        <v>5.8999999999999915</v>
      </c>
      <c r="Q75" s="41">
        <f>SUM(L75-M75)*100/O75</f>
        <v>14.622057001239135</v>
      </c>
    </row>
    <row r="76" spans="1:17" x14ac:dyDescent="0.25">
      <c r="A76" s="43" t="s">
        <v>80</v>
      </c>
      <c r="B76" s="37">
        <v>28.25</v>
      </c>
      <c r="C76" s="37">
        <v>81.150000000000006</v>
      </c>
      <c r="D76" s="37">
        <v>72.8</v>
      </c>
      <c r="E76" s="38">
        <f>SUM(C76-B76)</f>
        <v>52.900000000000006</v>
      </c>
      <c r="F76" s="38">
        <f>SUM(D76-B76)</f>
        <v>44.55</v>
      </c>
      <c r="G76" s="38">
        <f t="shared" ref="G76:G77" si="33">SUM(E76-F76)</f>
        <v>8.3500000000000085</v>
      </c>
      <c r="H76" s="38">
        <f>SUM(C76-D76)*100/F76</f>
        <v>18.742985409652096</v>
      </c>
      <c r="J76" s="34" t="s">
        <v>80</v>
      </c>
      <c r="K76" s="28">
        <v>28.25</v>
      </c>
      <c r="L76" s="28">
        <v>75.25</v>
      </c>
      <c r="M76" s="28">
        <v>70.849999999999994</v>
      </c>
      <c r="N76" s="41">
        <f>SUM(L76-K76)</f>
        <v>47</v>
      </c>
      <c r="O76" s="41">
        <f>SUM(M76-K76)</f>
        <v>42.599999999999994</v>
      </c>
      <c r="P76" s="41">
        <f t="shared" ref="P76:P77" si="34">SUM(N76-O76)</f>
        <v>4.4000000000000057</v>
      </c>
      <c r="Q76" s="41">
        <f t="shared" ref="Q76:Q77" si="35">SUM(L76-M76)*100/O76</f>
        <v>10.328638497652596</v>
      </c>
    </row>
    <row r="77" spans="1:17" x14ac:dyDescent="0.25">
      <c r="A77" s="6" t="s">
        <v>81</v>
      </c>
      <c r="B77" s="32">
        <v>22.2</v>
      </c>
      <c r="C77" s="32">
        <v>69.400000000000006</v>
      </c>
      <c r="D77" s="32">
        <v>64.08</v>
      </c>
      <c r="E77" s="33">
        <f>SUM(C77-B77)</f>
        <v>47.2</v>
      </c>
      <c r="F77" s="33">
        <f>D77-B77</f>
        <v>41.879999999999995</v>
      </c>
      <c r="G77" s="33">
        <f t="shared" si="33"/>
        <v>5.3200000000000074</v>
      </c>
      <c r="H77" s="33">
        <f>SUM(C77-D77)*100/F77</f>
        <v>12.702960840496674</v>
      </c>
      <c r="J77" s="31" t="s">
        <v>81</v>
      </c>
      <c r="K77" s="28">
        <v>22.2</v>
      </c>
      <c r="L77" s="28">
        <v>78.8</v>
      </c>
      <c r="M77" s="28">
        <v>76.45</v>
      </c>
      <c r="N77" s="41">
        <f>SUM(L77-K77)</f>
        <v>56.599999999999994</v>
      </c>
      <c r="O77" s="41">
        <f>M77-K77</f>
        <v>54.25</v>
      </c>
      <c r="P77" s="41">
        <f t="shared" si="34"/>
        <v>2.3499999999999943</v>
      </c>
      <c r="Q77" s="41">
        <f t="shared" si="35"/>
        <v>4.3317972350230312</v>
      </c>
    </row>
    <row r="78" spans="1:17" x14ac:dyDescent="0.25">
      <c r="A78" s="152" t="s">
        <v>90</v>
      </c>
      <c r="B78" s="153"/>
      <c r="C78" s="153"/>
      <c r="D78" s="153"/>
      <c r="E78" s="153"/>
      <c r="F78" s="153"/>
      <c r="G78" s="154"/>
      <c r="H78" s="40">
        <f>AVERAGE(H75:H77)</f>
        <v>15.402031283874928</v>
      </c>
      <c r="J78" s="149" t="s">
        <v>90</v>
      </c>
      <c r="K78" s="150"/>
      <c r="L78" s="150"/>
      <c r="M78" s="150"/>
      <c r="N78" s="150"/>
      <c r="O78" s="150"/>
      <c r="P78" s="151"/>
      <c r="Q78" s="42">
        <f>AVERAGE(Q75:Q77)</f>
        <v>9.7608309113049216</v>
      </c>
    </row>
    <row r="79" spans="1:17" x14ac:dyDescent="0.25">
      <c r="A79" s="146" t="s">
        <v>97</v>
      </c>
      <c r="B79" s="147"/>
      <c r="C79" s="147"/>
      <c r="D79" s="147"/>
      <c r="E79" s="147"/>
      <c r="F79" s="147"/>
      <c r="G79" s="147"/>
      <c r="H79" s="148"/>
      <c r="J79" s="155" t="s">
        <v>98</v>
      </c>
      <c r="K79" s="156"/>
      <c r="L79" s="156"/>
      <c r="M79" s="156"/>
      <c r="N79" s="156"/>
      <c r="O79" s="156"/>
      <c r="P79" s="156"/>
      <c r="Q79" s="157"/>
    </row>
    <row r="80" spans="1:17" x14ac:dyDescent="0.25">
      <c r="A80" s="6" t="s">
        <v>79</v>
      </c>
      <c r="B80" s="32">
        <v>22.35</v>
      </c>
      <c r="C80" s="32">
        <v>74.75</v>
      </c>
      <c r="D80" s="32">
        <v>68.92</v>
      </c>
      <c r="E80" s="33">
        <f>SUM(C80-B80)</f>
        <v>52.4</v>
      </c>
      <c r="F80" s="33">
        <f>SUM(D80-B80)</f>
        <v>46.57</v>
      </c>
      <c r="G80" s="33">
        <f>SUM(E80-F80)</f>
        <v>5.8299999999999983</v>
      </c>
      <c r="H80" s="33">
        <f>SUM(C80-D80)*100/F80</f>
        <v>12.518788919905514</v>
      </c>
      <c r="J80" s="31" t="s">
        <v>79</v>
      </c>
      <c r="K80" s="28">
        <v>22.35</v>
      </c>
      <c r="L80" s="28">
        <v>70.099999999999994</v>
      </c>
      <c r="M80" s="28">
        <v>64.88</v>
      </c>
      <c r="N80" s="41">
        <f>SUM(L80-K80)</f>
        <v>47.749999999999993</v>
      </c>
      <c r="O80" s="41">
        <f>SUM(M80-K80)</f>
        <v>42.529999999999994</v>
      </c>
      <c r="P80" s="41">
        <f>SUM(N80-O80)</f>
        <v>5.2199999999999989</v>
      </c>
      <c r="Q80" s="41">
        <f>SUM(L80-M80)*100/O80</f>
        <v>12.273689160592522</v>
      </c>
    </row>
    <row r="81" spans="1:17" x14ac:dyDescent="0.25">
      <c r="A81" s="35" t="s">
        <v>80</v>
      </c>
      <c r="B81" s="28">
        <v>28.25</v>
      </c>
      <c r="C81" s="32">
        <v>70.25</v>
      </c>
      <c r="D81" s="32">
        <v>65.22</v>
      </c>
      <c r="E81" s="33">
        <f>SUM(C81-B81)</f>
        <v>42</v>
      </c>
      <c r="F81" s="33">
        <f>SUM(D81-B81)</f>
        <v>36.97</v>
      </c>
      <c r="G81" s="33">
        <f t="shared" ref="G81:G82" si="36">SUM(E81-F81)</f>
        <v>5.0300000000000011</v>
      </c>
      <c r="H81" s="33">
        <f>SUM(C81-D81)*100/F81</f>
        <v>13.605626183391943</v>
      </c>
      <c r="J81" s="43" t="s">
        <v>80</v>
      </c>
      <c r="K81" s="37">
        <v>28.25</v>
      </c>
      <c r="L81" s="37">
        <v>70</v>
      </c>
      <c r="M81" s="37">
        <v>59.75</v>
      </c>
      <c r="N81" s="38">
        <f>SUM(L81-K81)</f>
        <v>41.75</v>
      </c>
      <c r="O81" s="38">
        <f>SUM(M81-K81)</f>
        <v>31.5</v>
      </c>
      <c r="P81" s="38">
        <f t="shared" ref="P81:P82" si="37">SUM(N81-O81)</f>
        <v>10.25</v>
      </c>
      <c r="Q81" s="38">
        <f t="shared" ref="Q81:Q82" si="38">SUM(L81-M81)*100/O81</f>
        <v>32.539682539682538</v>
      </c>
    </row>
    <row r="82" spans="1:17" x14ac:dyDescent="0.25">
      <c r="A82" s="6" t="s">
        <v>81</v>
      </c>
      <c r="B82" s="37">
        <v>22.2</v>
      </c>
      <c r="C82" s="37">
        <v>74.7</v>
      </c>
      <c r="D82" s="37">
        <v>67.7</v>
      </c>
      <c r="E82" s="38">
        <f>SUM(C82-B82)</f>
        <v>52.5</v>
      </c>
      <c r="F82" s="38">
        <f>D82-B82</f>
        <v>45.5</v>
      </c>
      <c r="G82" s="38">
        <f t="shared" si="36"/>
        <v>7</v>
      </c>
      <c r="H82" s="38">
        <f>SUM(C82-D82)*100/F82</f>
        <v>15.384615384615385</v>
      </c>
      <c r="J82" s="31" t="s">
        <v>81</v>
      </c>
      <c r="K82" s="28">
        <v>22.2</v>
      </c>
      <c r="L82" s="28">
        <v>74.7</v>
      </c>
      <c r="M82" s="28">
        <v>60.75</v>
      </c>
      <c r="N82" s="41">
        <f>SUM(L82-K82)</f>
        <v>52.5</v>
      </c>
      <c r="O82" s="41">
        <f>M82-K82</f>
        <v>38.549999999999997</v>
      </c>
      <c r="P82" s="41">
        <f t="shared" si="37"/>
        <v>13.950000000000003</v>
      </c>
      <c r="Q82" s="41">
        <f t="shared" si="38"/>
        <v>36.186770428015571</v>
      </c>
    </row>
    <row r="83" spans="1:17" x14ac:dyDescent="0.25">
      <c r="A83" s="152" t="s">
        <v>90</v>
      </c>
      <c r="B83" s="153"/>
      <c r="C83" s="153"/>
      <c r="D83" s="153"/>
      <c r="E83" s="153"/>
      <c r="F83" s="153"/>
      <c r="G83" s="154"/>
      <c r="H83" s="40">
        <f>AVERAGE(H80:H82)</f>
        <v>13.836343495970949</v>
      </c>
      <c r="J83" s="149" t="s">
        <v>90</v>
      </c>
      <c r="K83" s="150"/>
      <c r="L83" s="150"/>
      <c r="M83" s="150"/>
      <c r="N83" s="150"/>
      <c r="O83" s="150"/>
      <c r="P83" s="151"/>
      <c r="Q83" s="42">
        <f>AVERAGE(Q80:Q82)</f>
        <v>27.000047376096877</v>
      </c>
    </row>
    <row r="84" spans="1:17" x14ac:dyDescent="0.25">
      <c r="A84" s="146" t="s">
        <v>99</v>
      </c>
      <c r="B84" s="147"/>
      <c r="C84" s="147"/>
      <c r="D84" s="147"/>
      <c r="E84" s="147"/>
      <c r="F84" s="147"/>
      <c r="G84" s="147"/>
      <c r="H84" s="148"/>
    </row>
    <row r="85" spans="1:17" x14ac:dyDescent="0.25">
      <c r="A85" s="36" t="s">
        <v>79</v>
      </c>
      <c r="B85" s="37">
        <v>22.35</v>
      </c>
      <c r="C85" s="37">
        <v>74.900000000000006</v>
      </c>
      <c r="D85" s="37">
        <v>68.95</v>
      </c>
      <c r="E85" s="38">
        <f>SUM(C85-B85)</f>
        <v>52.550000000000004</v>
      </c>
      <c r="F85" s="38">
        <f>SUM(D85-B85)</f>
        <v>46.6</v>
      </c>
      <c r="G85" s="38">
        <f>SUM(E85-F85)</f>
        <v>5.9500000000000028</v>
      </c>
      <c r="H85" s="38">
        <f>SUM(C85-D85)*100/F85</f>
        <v>12.768240343347644</v>
      </c>
    </row>
    <row r="86" spans="1:17" x14ac:dyDescent="0.25">
      <c r="A86" s="44" t="s">
        <v>80</v>
      </c>
      <c r="B86" s="45">
        <v>28.25</v>
      </c>
      <c r="C86" s="45">
        <v>75.25</v>
      </c>
      <c r="D86" s="45">
        <v>69.14</v>
      </c>
      <c r="E86" s="46">
        <f>SUM(C86-B86)</f>
        <v>47</v>
      </c>
      <c r="F86" s="46">
        <f>SUM(D86-B86)</f>
        <v>40.89</v>
      </c>
      <c r="G86" s="46">
        <f t="shared" ref="G86:G87" si="39">SUM(E86-F86)</f>
        <v>6.1099999999999994</v>
      </c>
      <c r="H86" s="46">
        <f>SUM(C86-D86)*100/F86</f>
        <v>14.942528735632184</v>
      </c>
    </row>
    <row r="87" spans="1:17" x14ac:dyDescent="0.25">
      <c r="A87" s="36" t="s">
        <v>81</v>
      </c>
      <c r="B87" s="37">
        <v>22.2</v>
      </c>
      <c r="C87" s="37">
        <v>81</v>
      </c>
      <c r="D87" s="37">
        <v>75.349999999999994</v>
      </c>
      <c r="E87" s="38">
        <f>SUM(C87-B87)</f>
        <v>58.8</v>
      </c>
      <c r="F87" s="38">
        <f>D87-B87</f>
        <v>53.149999999999991</v>
      </c>
      <c r="G87" s="38">
        <f t="shared" si="39"/>
        <v>5.6500000000000057</v>
      </c>
      <c r="H87" s="38">
        <f>SUM(C87-D87)*100/F87</f>
        <v>10.630291627469438</v>
      </c>
    </row>
    <row r="88" spans="1:17" x14ac:dyDescent="0.25">
      <c r="A88" s="152" t="s">
        <v>90</v>
      </c>
      <c r="B88" s="153"/>
      <c r="C88" s="153"/>
      <c r="D88" s="153"/>
      <c r="E88" s="153"/>
      <c r="F88" s="153"/>
      <c r="G88" s="154"/>
      <c r="H88" s="40">
        <f>AVERAGE(H85:H87)</f>
        <v>12.780353568816423</v>
      </c>
    </row>
    <row r="91" spans="1:17" ht="90" x14ac:dyDescent="0.25">
      <c r="A91" s="17" t="s">
        <v>100</v>
      </c>
      <c r="B91" s="17" t="s">
        <v>74</v>
      </c>
      <c r="C91" s="17" t="s">
        <v>101</v>
      </c>
      <c r="D91" s="17" t="s">
        <v>102</v>
      </c>
      <c r="E91" s="17" t="s">
        <v>103</v>
      </c>
      <c r="F91" s="17" t="s">
        <v>104</v>
      </c>
      <c r="J91" s="17" t="s">
        <v>100</v>
      </c>
      <c r="K91" s="17" t="s">
        <v>74</v>
      </c>
      <c r="L91" s="17" t="s">
        <v>101</v>
      </c>
      <c r="M91" s="17" t="s">
        <v>102</v>
      </c>
      <c r="N91" s="17" t="s">
        <v>103</v>
      </c>
      <c r="O91" s="17" t="s">
        <v>104</v>
      </c>
    </row>
    <row r="92" spans="1:17" x14ac:dyDescent="0.25">
      <c r="A92" s="146" t="s">
        <v>105</v>
      </c>
      <c r="B92" s="147"/>
      <c r="C92" s="147"/>
      <c r="D92" s="147"/>
      <c r="E92" s="147"/>
      <c r="F92" s="148"/>
      <c r="J92" s="146" t="s">
        <v>106</v>
      </c>
      <c r="K92" s="147"/>
      <c r="L92" s="147"/>
      <c r="M92" s="147"/>
      <c r="N92" s="147"/>
      <c r="O92" s="148"/>
    </row>
    <row r="93" spans="1:17" x14ac:dyDescent="0.25">
      <c r="A93" s="6" t="s">
        <v>79</v>
      </c>
      <c r="B93" s="11">
        <v>21.487603305785132</v>
      </c>
      <c r="C93" s="47">
        <v>8.1999999999999993</v>
      </c>
      <c r="D93" s="48">
        <v>1.1935599183170289</v>
      </c>
      <c r="E93" s="10">
        <v>10</v>
      </c>
      <c r="F93" s="32">
        <f>0.1*(B93-C93)*D93*E93</f>
        <v>15.859550716281987</v>
      </c>
      <c r="J93" s="6" t="s">
        <v>79</v>
      </c>
      <c r="K93" s="11">
        <f>(H85+Q60)/2</f>
        <v>12.520964751970084</v>
      </c>
      <c r="L93" s="47">
        <v>8.1999999999999993</v>
      </c>
      <c r="M93" s="48">
        <v>1.1935599183170289</v>
      </c>
      <c r="N93" s="10">
        <v>10</v>
      </c>
      <c r="O93" s="32">
        <f>0.1*(K93-L93)*M93*N93</f>
        <v>5.1573303364121745</v>
      </c>
    </row>
    <row r="94" spans="1:17" x14ac:dyDescent="0.25">
      <c r="A94" s="35" t="s">
        <v>80</v>
      </c>
      <c r="B94" s="11">
        <v>23.791821561338317</v>
      </c>
      <c r="C94" s="47">
        <v>9.4</v>
      </c>
      <c r="D94" s="48">
        <v>1.2734261525158388</v>
      </c>
      <c r="E94" s="10">
        <v>10</v>
      </c>
      <c r="F94" s="32">
        <f>0.1*(B94-C94)*D94*E94</f>
        <v>18.326921958549548</v>
      </c>
      <c r="J94" s="35" t="s">
        <v>80</v>
      </c>
      <c r="K94" s="11">
        <f t="shared" ref="K94:K95" si="40">(H86+Q61)/2</f>
        <v>14.460071356623088</v>
      </c>
      <c r="L94" s="47">
        <v>9.4</v>
      </c>
      <c r="M94" s="48">
        <v>1.2734261525158388</v>
      </c>
      <c r="N94" s="10">
        <v>10</v>
      </c>
      <c r="O94" s="32">
        <f>0.1*(K94-L94)*M94*N94</f>
        <v>6.4436271991201384</v>
      </c>
    </row>
    <row r="95" spans="1:17" x14ac:dyDescent="0.25">
      <c r="A95" s="6" t="s">
        <v>81</v>
      </c>
      <c r="B95" s="11">
        <v>33.643771827706608</v>
      </c>
      <c r="C95" s="47">
        <v>9.1</v>
      </c>
      <c r="D95" s="48">
        <v>1.3583686431806572</v>
      </c>
      <c r="E95" s="10">
        <v>10</v>
      </c>
      <c r="F95" s="32">
        <f>0.1*(B95-C95)*D95*E95</f>
        <v>33.33949003613747</v>
      </c>
      <c r="J95" s="6" t="s">
        <v>81</v>
      </c>
      <c r="K95" s="11">
        <f t="shared" si="40"/>
        <v>11.410383908972806</v>
      </c>
      <c r="L95" s="47">
        <v>9.1</v>
      </c>
      <c r="M95" s="48">
        <v>1.3583686431806572</v>
      </c>
      <c r="N95" s="10">
        <v>10</v>
      </c>
      <c r="O95" s="32">
        <f>0.1*(K95-L95)*M95*N95</f>
        <v>3.1383530556578139</v>
      </c>
    </row>
    <row r="96" spans="1:17" x14ac:dyDescent="0.25">
      <c r="A96" s="152" t="s">
        <v>107</v>
      </c>
      <c r="B96" s="153"/>
      <c r="C96" s="153"/>
      <c r="D96" s="153"/>
      <c r="E96" s="154"/>
      <c r="F96" s="49">
        <f>SUM(F93:F95)</f>
        <v>67.525962710968997</v>
      </c>
      <c r="J96" s="152" t="s">
        <v>107</v>
      </c>
      <c r="K96" s="153"/>
      <c r="L96" s="153"/>
      <c r="M96" s="153"/>
      <c r="N96" s="154"/>
      <c r="O96" s="49">
        <f>SUM(O93:O95)</f>
        <v>14.739310591190126</v>
      </c>
    </row>
    <row r="97" spans="1:15" x14ac:dyDescent="0.25">
      <c r="A97" s="146" t="s">
        <v>108</v>
      </c>
      <c r="B97" s="147"/>
      <c r="C97" s="147"/>
      <c r="D97" s="147"/>
      <c r="E97" s="147"/>
      <c r="F97" s="148"/>
      <c r="J97" s="146" t="s">
        <v>109</v>
      </c>
      <c r="K97" s="147"/>
      <c r="L97" s="147"/>
      <c r="M97" s="147"/>
      <c r="N97" s="147"/>
      <c r="O97" s="148"/>
    </row>
    <row r="98" spans="1:15" x14ac:dyDescent="0.25">
      <c r="A98" s="6" t="s">
        <v>79</v>
      </c>
      <c r="B98" s="11">
        <v>12.273689160592522</v>
      </c>
      <c r="C98" s="47">
        <v>8.1999999999999993</v>
      </c>
      <c r="D98" s="48">
        <v>1.1935599183170289</v>
      </c>
      <c r="E98" s="10">
        <v>10</v>
      </c>
      <c r="F98" s="32">
        <f>0.1*(B98-C98)*D98*E98</f>
        <v>4.8621921017657774</v>
      </c>
      <c r="J98" s="6" t="s">
        <v>79</v>
      </c>
      <c r="K98" s="11">
        <f>(Q65+Q70)/2</f>
        <v>13.673149805242652</v>
      </c>
      <c r="L98" s="47">
        <v>8.1999999999999993</v>
      </c>
      <c r="M98" s="48">
        <v>1.1935599183170289</v>
      </c>
      <c r="N98" s="10">
        <v>10</v>
      </c>
      <c r="O98" s="32">
        <f>0.1*(K98-L98)*M98*N98</f>
        <v>6.5325322344822832</v>
      </c>
    </row>
    <row r="99" spans="1:15" x14ac:dyDescent="0.25">
      <c r="A99" s="35" t="s">
        <v>80</v>
      </c>
      <c r="B99" s="11">
        <v>12.680756395995555</v>
      </c>
      <c r="C99" s="47">
        <v>9.4</v>
      </c>
      <c r="D99" s="48">
        <v>1.2734261525158388</v>
      </c>
      <c r="E99" s="10">
        <v>10</v>
      </c>
      <c r="F99" s="32">
        <f>0.1*(B99-C99)*D99*E99</f>
        <v>4.1778009946943486</v>
      </c>
      <c r="J99" s="35" t="s">
        <v>80</v>
      </c>
      <c r="K99" s="11">
        <f t="shared" ref="K99:K100" si="41">(Q66+Q71)/2</f>
        <v>13.715582620390776</v>
      </c>
      <c r="L99" s="47">
        <v>9.4</v>
      </c>
      <c r="M99" s="48">
        <v>1.2734261525158388</v>
      </c>
      <c r="N99" s="10">
        <v>10</v>
      </c>
      <c r="O99" s="32">
        <f>0.1*(K99-L99)*M99*N99</f>
        <v>5.4955757721484479</v>
      </c>
    </row>
    <row r="100" spans="1:15" x14ac:dyDescent="0.25">
      <c r="A100" s="6" t="s">
        <v>81</v>
      </c>
      <c r="B100" s="11">
        <v>12.176294820717134</v>
      </c>
      <c r="C100" s="47">
        <v>9.1</v>
      </c>
      <c r="D100" s="48">
        <v>1.3583686431806572</v>
      </c>
      <c r="E100" s="10">
        <v>10</v>
      </c>
      <c r="F100" s="32">
        <f>0.1*(B100-C100)*D100*E100</f>
        <v>4.1787424216412168</v>
      </c>
      <c r="J100" s="6" t="s">
        <v>81</v>
      </c>
      <c r="K100" s="11">
        <f t="shared" si="41"/>
        <v>11.242298201940415</v>
      </c>
      <c r="L100" s="47">
        <v>9.1</v>
      </c>
      <c r="M100" s="48">
        <v>1.3583686431806572</v>
      </c>
      <c r="N100" s="10">
        <v>10</v>
      </c>
      <c r="O100" s="32">
        <f>0.1*(K100-L100)*M100*N100</f>
        <v>2.9100307018581626</v>
      </c>
    </row>
    <row r="101" spans="1:15" x14ac:dyDescent="0.25">
      <c r="A101" s="152" t="s">
        <v>107</v>
      </c>
      <c r="B101" s="153"/>
      <c r="C101" s="153"/>
      <c r="D101" s="153"/>
      <c r="E101" s="154"/>
      <c r="F101" s="49">
        <f>SUM(F98:F100)</f>
        <v>13.218735518101344</v>
      </c>
      <c r="J101" s="152" t="s">
        <v>107</v>
      </c>
      <c r="K101" s="153"/>
      <c r="L101" s="153"/>
      <c r="M101" s="153"/>
      <c r="N101" s="154"/>
      <c r="O101" s="49">
        <f>SUM(O98:O100)</f>
        <v>14.938138708488893</v>
      </c>
    </row>
    <row r="102" spans="1:15" x14ac:dyDescent="0.25">
      <c r="A102" s="146" t="s">
        <v>110</v>
      </c>
      <c r="B102" s="147"/>
      <c r="C102" s="147"/>
      <c r="D102" s="147"/>
      <c r="E102" s="147"/>
      <c r="F102" s="148"/>
      <c r="J102" s="146" t="s">
        <v>111</v>
      </c>
      <c r="K102" s="147"/>
      <c r="L102" s="147"/>
      <c r="M102" s="147"/>
      <c r="N102" s="147"/>
      <c r="O102" s="148"/>
    </row>
    <row r="103" spans="1:15" x14ac:dyDescent="0.25">
      <c r="A103" s="6" t="s">
        <v>79</v>
      </c>
      <c r="B103" s="11">
        <v>12.00740544829412</v>
      </c>
      <c r="C103" s="47">
        <v>8.1999999999999993</v>
      </c>
      <c r="D103" s="48">
        <v>1.1935599183170289</v>
      </c>
      <c r="E103" s="10">
        <v>10</v>
      </c>
      <c r="F103" s="32">
        <f>0.1*(B103-C103)*D103*E103</f>
        <v>4.5443665358657421</v>
      </c>
      <c r="J103" s="6" t="s">
        <v>79</v>
      </c>
      <c r="K103" s="11">
        <f>(Q75+Q80)/2</f>
        <v>13.447873080915828</v>
      </c>
      <c r="L103" s="47">
        <v>8.1999999999999993</v>
      </c>
      <c r="M103" s="48">
        <v>1.1935599183170289</v>
      </c>
      <c r="N103" s="10">
        <v>10</v>
      </c>
      <c r="O103" s="32">
        <f>0.1*(K103-L103)*M103*N103</f>
        <v>6.2636509657960318</v>
      </c>
    </row>
    <row r="104" spans="1:15" x14ac:dyDescent="0.25">
      <c r="A104" s="35" t="s">
        <v>80</v>
      </c>
      <c r="B104" s="11">
        <v>14.415781487101668</v>
      </c>
      <c r="C104" s="47">
        <v>9.4</v>
      </c>
      <c r="D104" s="48">
        <v>1.2734261525158388</v>
      </c>
      <c r="E104" s="10">
        <v>10</v>
      </c>
      <c r="F104" s="32">
        <f>0.1*(B104-C104)*D104*E104</f>
        <v>6.3872273209800499</v>
      </c>
      <c r="J104" s="35" t="s">
        <v>80</v>
      </c>
      <c r="K104" s="11">
        <f t="shared" ref="K104:K105" si="42">(Q76+Q81)/2</f>
        <v>21.434160518667568</v>
      </c>
      <c r="L104" s="47">
        <v>9.4</v>
      </c>
      <c r="M104" s="48">
        <v>1.2734261525158388</v>
      </c>
      <c r="N104" s="10">
        <v>10</v>
      </c>
      <c r="O104" s="32">
        <f>0.1*(K104-L104)*M104*N104</f>
        <v>15.324614728044853</v>
      </c>
    </row>
    <row r="105" spans="1:15" x14ac:dyDescent="0.25">
      <c r="A105" s="6" t="s">
        <v>81</v>
      </c>
      <c r="B105" s="11">
        <v>13.742417172188521</v>
      </c>
      <c r="C105" s="47">
        <v>9.1</v>
      </c>
      <c r="D105" s="48">
        <v>1.3583686431806572</v>
      </c>
      <c r="E105" s="10">
        <v>10</v>
      </c>
      <c r="F105" s="32">
        <f>0.1*(B105-C105)*D105*E105</f>
        <v>6.3061139152643051</v>
      </c>
      <c r="J105" s="6" t="s">
        <v>81</v>
      </c>
      <c r="K105" s="11">
        <f t="shared" si="42"/>
        <v>20.259283831519301</v>
      </c>
      <c r="L105" s="47">
        <v>9.1</v>
      </c>
      <c r="M105" s="48">
        <v>1.3583686431806572</v>
      </c>
      <c r="N105" s="10">
        <v>10</v>
      </c>
      <c r="O105" s="32">
        <f>0.1*(K105-L105)*M105*N105</f>
        <v>15.158421237088719</v>
      </c>
    </row>
    <row r="106" spans="1:15" x14ac:dyDescent="0.25">
      <c r="A106" s="152" t="s">
        <v>107</v>
      </c>
      <c r="B106" s="153"/>
      <c r="C106" s="153"/>
      <c r="D106" s="153"/>
      <c r="E106" s="154"/>
      <c r="F106" s="49">
        <f>SUM(F103:F105)</f>
        <v>17.237707772110099</v>
      </c>
      <c r="J106" s="152" t="s">
        <v>107</v>
      </c>
      <c r="K106" s="153"/>
      <c r="L106" s="153"/>
      <c r="M106" s="153"/>
      <c r="N106" s="154"/>
      <c r="O106" s="49">
        <f>SUM(O103:O105)</f>
        <v>36.746686930929606</v>
      </c>
    </row>
    <row r="107" spans="1:15" x14ac:dyDescent="0.25">
      <c r="A107" s="146" t="s">
        <v>112</v>
      </c>
      <c r="B107" s="147"/>
      <c r="C107" s="147"/>
      <c r="D107" s="147"/>
      <c r="E107" s="147"/>
      <c r="F107" s="148"/>
    </row>
    <row r="108" spans="1:15" x14ac:dyDescent="0.25">
      <c r="A108" s="6" t="s">
        <v>79</v>
      </c>
      <c r="B108" s="11">
        <f>(H75+H80)/2</f>
        <v>13.639468260690766</v>
      </c>
      <c r="C108" s="47">
        <v>8.1999999999999993</v>
      </c>
      <c r="D108" s="48">
        <v>1.1935599183170289</v>
      </c>
      <c r="E108" s="10">
        <v>10</v>
      </c>
      <c r="F108" s="32">
        <f>0.1*(B108-C108)*D108*E108</f>
        <v>6.4923312929181423</v>
      </c>
    </row>
    <row r="109" spans="1:15" x14ac:dyDescent="0.25">
      <c r="A109" s="35" t="s">
        <v>80</v>
      </c>
      <c r="B109" s="11">
        <f t="shared" ref="B109:B110" si="43">(H76+H81)/2</f>
        <v>16.17430579652202</v>
      </c>
      <c r="C109" s="47">
        <v>9.4</v>
      </c>
      <c r="D109" s="48">
        <v>1.2734261525158388</v>
      </c>
      <c r="E109" s="10">
        <v>10</v>
      </c>
      <c r="F109" s="32">
        <f>0.1*(B109-C109)*D109*E109</f>
        <v>8.6265781664307806</v>
      </c>
    </row>
    <row r="110" spans="1:15" x14ac:dyDescent="0.25">
      <c r="A110" s="6" t="s">
        <v>81</v>
      </c>
      <c r="B110" s="11">
        <f t="shared" si="43"/>
        <v>14.04378811255603</v>
      </c>
      <c r="C110" s="47">
        <v>9.1</v>
      </c>
      <c r="D110" s="48">
        <v>1.3583686431806572</v>
      </c>
      <c r="E110" s="10">
        <v>10</v>
      </c>
      <c r="F110" s="32">
        <f>0.1*(B110-C110)*D110*E110</f>
        <v>6.7154867506253968</v>
      </c>
    </row>
    <row r="111" spans="1:15" x14ac:dyDescent="0.25">
      <c r="A111" s="152" t="s">
        <v>107</v>
      </c>
      <c r="B111" s="153"/>
      <c r="C111" s="153"/>
      <c r="D111" s="153"/>
      <c r="E111" s="154"/>
      <c r="F111" s="49">
        <f>SUM(F108:F110)</f>
        <v>21.834396209974322</v>
      </c>
    </row>
  </sheetData>
  <mergeCells count="55">
    <mergeCell ref="A111:E111"/>
    <mergeCell ref="A96:E96"/>
    <mergeCell ref="J96:N96"/>
    <mergeCell ref="A97:F97"/>
    <mergeCell ref="J97:O97"/>
    <mergeCell ref="A101:E101"/>
    <mergeCell ref="J101:N101"/>
    <mergeCell ref="A102:F102"/>
    <mergeCell ref="J102:O102"/>
    <mergeCell ref="A106:E106"/>
    <mergeCell ref="J106:N106"/>
    <mergeCell ref="A107:F107"/>
    <mergeCell ref="A83:G83"/>
    <mergeCell ref="J83:P83"/>
    <mergeCell ref="A84:H84"/>
    <mergeCell ref="A88:G88"/>
    <mergeCell ref="A92:F92"/>
    <mergeCell ref="J92:O92"/>
    <mergeCell ref="A74:H74"/>
    <mergeCell ref="J74:Q74"/>
    <mergeCell ref="A78:G78"/>
    <mergeCell ref="J78:P78"/>
    <mergeCell ref="A79:H79"/>
    <mergeCell ref="J79:Q79"/>
    <mergeCell ref="A68:G68"/>
    <mergeCell ref="J68:P68"/>
    <mergeCell ref="A69:H69"/>
    <mergeCell ref="J69:Q69"/>
    <mergeCell ref="A73:G73"/>
    <mergeCell ref="J73:P73"/>
    <mergeCell ref="A64:H64"/>
    <mergeCell ref="J64:Q64"/>
    <mergeCell ref="A36:I36"/>
    <mergeCell ref="K36:S36"/>
    <mergeCell ref="A40:I40"/>
    <mergeCell ref="K40:S40"/>
    <mergeCell ref="A44:I44"/>
    <mergeCell ref="K44:S44"/>
    <mergeCell ref="A48:I48"/>
    <mergeCell ref="A59:H59"/>
    <mergeCell ref="J59:Q59"/>
    <mergeCell ref="A63:G63"/>
    <mergeCell ref="J63:P63"/>
    <mergeCell ref="K32:S32"/>
    <mergeCell ref="A1:D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2:I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43" zoomScale="80" zoomScaleNormal="80" workbookViewId="0">
      <selection activeCell="C60" sqref="C60:M60"/>
    </sheetView>
  </sheetViews>
  <sheetFormatPr defaultRowHeight="15" x14ac:dyDescent="0.25"/>
  <cols>
    <col min="1" max="1" width="14.42578125" customWidth="1"/>
    <col min="2" max="2" width="16.5703125" customWidth="1"/>
    <col min="3" max="3" width="43.28515625" customWidth="1"/>
    <col min="4" max="4" width="16.5703125" customWidth="1"/>
    <col min="5" max="5" width="26.5703125" customWidth="1"/>
  </cols>
  <sheetData>
    <row r="1" spans="1:18" x14ac:dyDescent="0.25">
      <c r="A1" s="168" t="s">
        <v>39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8" x14ac:dyDescent="0.25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8" x14ac:dyDescent="0.25">
      <c r="A3" s="169" t="s">
        <v>33</v>
      </c>
      <c r="B3" s="170" t="s">
        <v>34</v>
      </c>
      <c r="C3" s="169" t="s">
        <v>35</v>
      </c>
      <c r="D3" s="171" t="s">
        <v>36</v>
      </c>
      <c r="E3" s="172" t="s">
        <v>37</v>
      </c>
      <c r="F3" s="173" t="s">
        <v>38</v>
      </c>
      <c r="G3" s="173"/>
      <c r="H3" s="173"/>
      <c r="I3" s="173"/>
      <c r="J3" s="173"/>
      <c r="K3" s="173"/>
      <c r="L3" s="173"/>
      <c r="M3" s="173"/>
      <c r="N3" s="173"/>
      <c r="O3" s="173"/>
      <c r="P3" s="174" t="s">
        <v>21</v>
      </c>
    </row>
    <row r="4" spans="1:18" x14ac:dyDescent="0.25">
      <c r="A4" s="169"/>
      <c r="B4" s="170"/>
      <c r="C4" s="169"/>
      <c r="D4" s="171"/>
      <c r="E4" s="172"/>
      <c r="F4" s="23">
        <v>1</v>
      </c>
      <c r="G4" s="23">
        <v>2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3">
        <v>8</v>
      </c>
      <c r="N4" s="23">
        <v>9</v>
      </c>
      <c r="O4" s="23">
        <v>10</v>
      </c>
      <c r="P4" s="174"/>
    </row>
    <row r="5" spans="1:18" x14ac:dyDescent="0.25">
      <c r="A5" s="164" t="s">
        <v>5</v>
      </c>
      <c r="B5" s="143">
        <f>SUM(D5:D8)</f>
        <v>83.95</v>
      </c>
      <c r="C5" s="53" t="s">
        <v>113</v>
      </c>
      <c r="D5" s="53">
        <v>45.05</v>
      </c>
      <c r="E5" s="54">
        <f>D5*100/B5</f>
        <v>53.662894580107206</v>
      </c>
      <c r="F5" s="53">
        <v>23</v>
      </c>
      <c r="G5" s="53">
        <v>29</v>
      </c>
      <c r="H5" s="53">
        <v>24</v>
      </c>
      <c r="I5" s="53">
        <v>28</v>
      </c>
      <c r="J5" s="53">
        <v>28</v>
      </c>
      <c r="K5" s="53">
        <v>18</v>
      </c>
      <c r="L5" s="53">
        <v>30</v>
      </c>
      <c r="M5" s="53">
        <v>22</v>
      </c>
      <c r="N5" s="53">
        <v>20</v>
      </c>
      <c r="O5" s="53">
        <v>32</v>
      </c>
      <c r="P5" s="54">
        <f>AVERAGE(F5:O5)</f>
        <v>25.4</v>
      </c>
    </row>
    <row r="6" spans="1:18" x14ac:dyDescent="0.25">
      <c r="A6" s="164"/>
      <c r="B6" s="144"/>
      <c r="C6" s="55" t="s">
        <v>114</v>
      </c>
      <c r="D6" s="53">
        <v>3.2</v>
      </c>
      <c r="E6" s="54">
        <f>D6*100/B5</f>
        <v>3.8117927337701012</v>
      </c>
      <c r="F6" s="53">
        <v>11</v>
      </c>
      <c r="G6" s="53">
        <v>13</v>
      </c>
      <c r="H6" s="53">
        <v>11</v>
      </c>
      <c r="I6" s="53">
        <v>7</v>
      </c>
      <c r="J6" s="53">
        <v>18</v>
      </c>
      <c r="K6" s="53">
        <v>10</v>
      </c>
      <c r="L6" s="53">
        <v>5</v>
      </c>
      <c r="M6" s="53">
        <v>7</v>
      </c>
      <c r="N6" s="53">
        <v>8.5</v>
      </c>
      <c r="O6" s="53">
        <v>8.8000000000000007</v>
      </c>
      <c r="P6" s="54">
        <f t="shared" ref="P6:P8" si="0">AVERAGE(F6:O6)</f>
        <v>9.93</v>
      </c>
    </row>
    <row r="7" spans="1:18" x14ac:dyDescent="0.25">
      <c r="A7" s="164"/>
      <c r="B7" s="144"/>
      <c r="C7" s="56" t="s">
        <v>115</v>
      </c>
      <c r="D7" s="53">
        <v>32</v>
      </c>
      <c r="E7" s="54">
        <f>D7*100/83.95</f>
        <v>38.117927337701012</v>
      </c>
      <c r="F7" s="53">
        <v>9</v>
      </c>
      <c r="G7" s="53">
        <v>25</v>
      </c>
      <c r="H7" s="53">
        <v>7</v>
      </c>
      <c r="I7" s="53">
        <v>6</v>
      </c>
      <c r="J7" s="53">
        <v>4</v>
      </c>
      <c r="K7" s="53">
        <v>4</v>
      </c>
      <c r="L7" s="53">
        <v>8</v>
      </c>
      <c r="M7" s="53">
        <v>9</v>
      </c>
      <c r="N7" s="53">
        <v>7</v>
      </c>
      <c r="O7" s="53">
        <v>7</v>
      </c>
      <c r="P7" s="54">
        <f t="shared" si="0"/>
        <v>8.6</v>
      </c>
    </row>
    <row r="8" spans="1:18" x14ac:dyDescent="0.25">
      <c r="A8" s="164"/>
      <c r="B8" s="144"/>
      <c r="C8" s="53" t="s">
        <v>116</v>
      </c>
      <c r="D8" s="53">
        <v>3.7</v>
      </c>
      <c r="E8" s="54">
        <f>D8*100/83.95</f>
        <v>4.4073853484216796</v>
      </c>
      <c r="F8" s="53">
        <v>9</v>
      </c>
      <c r="G8" s="53">
        <v>9</v>
      </c>
      <c r="H8" s="53">
        <v>8</v>
      </c>
      <c r="I8" s="53">
        <v>5</v>
      </c>
      <c r="J8" s="53">
        <v>3</v>
      </c>
      <c r="K8" s="53">
        <v>8</v>
      </c>
      <c r="L8" s="53">
        <v>11</v>
      </c>
      <c r="M8" s="53">
        <v>10</v>
      </c>
      <c r="N8" s="53">
        <v>11</v>
      </c>
      <c r="O8" s="53">
        <v>10</v>
      </c>
      <c r="P8" s="54">
        <f t="shared" si="0"/>
        <v>8.4</v>
      </c>
    </row>
    <row r="9" spans="1:18" x14ac:dyDescent="0.25">
      <c r="A9" s="164"/>
      <c r="B9" s="145"/>
      <c r="C9" s="57" t="s">
        <v>21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9">
        <f>AVERAGE(P5:P8)</f>
        <v>13.0825</v>
      </c>
      <c r="R9">
        <v>13.1</v>
      </c>
    </row>
    <row r="10" spans="1:18" x14ac:dyDescent="0.25">
      <c r="A10" s="164" t="s">
        <v>6</v>
      </c>
      <c r="B10" s="166">
        <f>D10+D11+D12</f>
        <v>105</v>
      </c>
      <c r="C10" s="53" t="s">
        <v>117</v>
      </c>
      <c r="D10" s="60">
        <v>46.1</v>
      </c>
      <c r="E10" s="54">
        <f>D10*100/105</f>
        <v>43.904761904761905</v>
      </c>
      <c r="F10" s="53">
        <v>25</v>
      </c>
      <c r="G10" s="53">
        <v>26</v>
      </c>
      <c r="H10" s="53">
        <v>25</v>
      </c>
      <c r="I10" s="53">
        <v>21</v>
      </c>
      <c r="J10" s="53">
        <v>24</v>
      </c>
      <c r="K10" s="53">
        <v>24</v>
      </c>
      <c r="L10" s="53">
        <v>23</v>
      </c>
      <c r="M10" s="53">
        <v>21</v>
      </c>
      <c r="N10" s="53">
        <v>21</v>
      </c>
      <c r="O10" s="53">
        <v>31</v>
      </c>
      <c r="P10" s="53">
        <f>AVERAGE(F10:O10)</f>
        <v>24.1</v>
      </c>
      <c r="R10" s="191">
        <v>21.8</v>
      </c>
    </row>
    <row r="11" spans="1:18" x14ac:dyDescent="0.25">
      <c r="A11" s="164"/>
      <c r="B11" s="167"/>
      <c r="C11" s="53" t="s">
        <v>113</v>
      </c>
      <c r="D11" s="60">
        <v>54.5</v>
      </c>
      <c r="E11" s="54">
        <f t="shared" ref="E11:E12" si="1">D11*100/105</f>
        <v>51.904761904761905</v>
      </c>
      <c r="F11" s="53">
        <v>25</v>
      </c>
      <c r="G11" s="53">
        <v>24</v>
      </c>
      <c r="H11" s="53">
        <v>26</v>
      </c>
      <c r="I11" s="53">
        <v>31</v>
      </c>
      <c r="J11" s="53">
        <v>30</v>
      </c>
      <c r="K11" s="53">
        <v>34</v>
      </c>
      <c r="L11" s="53">
        <v>11</v>
      </c>
      <c r="M11" s="53">
        <v>21</v>
      </c>
      <c r="N11" s="53">
        <v>13</v>
      </c>
      <c r="O11" s="53">
        <v>26</v>
      </c>
      <c r="P11" s="53">
        <f t="shared" ref="P11:P12" si="2">AVERAGE(F11:O11)</f>
        <v>24.1</v>
      </c>
      <c r="R11" s="191">
        <v>25.7</v>
      </c>
    </row>
    <row r="12" spans="1:18" x14ac:dyDescent="0.25">
      <c r="A12" s="164"/>
      <c r="B12" s="167"/>
      <c r="C12" s="53" t="s">
        <v>118</v>
      </c>
      <c r="D12" s="60">
        <v>4.4000000000000004</v>
      </c>
      <c r="E12" s="54">
        <f t="shared" si="1"/>
        <v>4.1904761904761907</v>
      </c>
      <c r="F12" s="53">
        <v>22</v>
      </c>
      <c r="G12" s="53">
        <v>27</v>
      </c>
      <c r="H12" s="53">
        <v>18</v>
      </c>
      <c r="I12" s="53">
        <v>24</v>
      </c>
      <c r="J12" s="53">
        <v>20</v>
      </c>
      <c r="K12" s="53">
        <v>31</v>
      </c>
      <c r="L12" s="53">
        <v>29</v>
      </c>
      <c r="M12" s="53">
        <v>27</v>
      </c>
      <c r="N12" s="53">
        <v>30</v>
      </c>
      <c r="O12" s="53">
        <v>30</v>
      </c>
      <c r="P12" s="53">
        <f t="shared" si="2"/>
        <v>25.8</v>
      </c>
      <c r="R12" s="191">
        <v>25.7</v>
      </c>
    </row>
    <row r="13" spans="1:18" x14ac:dyDescent="0.25">
      <c r="A13" s="164"/>
      <c r="B13" s="167"/>
      <c r="C13" s="57" t="s">
        <v>21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>
        <f>AVERAGE(P9:P12)</f>
        <v>21.770625000000003</v>
      </c>
      <c r="R13" s="193">
        <v>21.8</v>
      </c>
    </row>
    <row r="14" spans="1:18" x14ac:dyDescent="0.25">
      <c r="A14" s="164" t="s">
        <v>7</v>
      </c>
      <c r="B14" s="164">
        <v>91.85</v>
      </c>
      <c r="C14" s="56" t="s">
        <v>119</v>
      </c>
      <c r="D14" s="60">
        <v>91.85</v>
      </c>
      <c r="E14" s="53">
        <f>D14*100/B14</f>
        <v>100</v>
      </c>
      <c r="F14" s="60">
        <v>20.5</v>
      </c>
      <c r="G14" s="60">
        <v>23</v>
      </c>
      <c r="H14" s="60">
        <v>29</v>
      </c>
      <c r="I14" s="60">
        <v>29</v>
      </c>
      <c r="J14" s="60">
        <v>28</v>
      </c>
      <c r="K14" s="60">
        <v>30</v>
      </c>
      <c r="L14" s="60">
        <v>29</v>
      </c>
      <c r="M14" s="60">
        <v>24</v>
      </c>
      <c r="N14" s="60">
        <v>23</v>
      </c>
      <c r="O14" s="60">
        <v>21</v>
      </c>
      <c r="P14" s="61">
        <f>AVERAGE(F14:O14)</f>
        <v>25.65</v>
      </c>
      <c r="R14" s="193">
        <v>20.9</v>
      </c>
    </row>
    <row r="15" spans="1:18" x14ac:dyDescent="0.25">
      <c r="A15" s="164"/>
      <c r="B15" s="164"/>
      <c r="C15" s="57" t="s">
        <v>21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>
        <v>25.7</v>
      </c>
      <c r="R15" s="193">
        <v>17.2</v>
      </c>
    </row>
    <row r="16" spans="1:18" x14ac:dyDescent="0.25">
      <c r="A16" s="164" t="s">
        <v>8</v>
      </c>
      <c r="B16" s="164">
        <f>D16+D17+D18</f>
        <v>49.8</v>
      </c>
      <c r="C16" s="53" t="s">
        <v>117</v>
      </c>
      <c r="D16" s="60">
        <v>10.4</v>
      </c>
      <c r="E16" s="54">
        <f>D16*100/49.8</f>
        <v>20.883534136546185</v>
      </c>
      <c r="F16" s="53">
        <v>11</v>
      </c>
      <c r="G16" s="53">
        <v>10.5</v>
      </c>
      <c r="H16" s="53">
        <v>14</v>
      </c>
      <c r="I16" s="53">
        <v>11</v>
      </c>
      <c r="J16" s="53">
        <v>10</v>
      </c>
      <c r="K16" s="53">
        <v>11.5</v>
      </c>
      <c r="L16" s="53">
        <v>23</v>
      </c>
      <c r="M16" s="53">
        <v>10</v>
      </c>
      <c r="N16" s="53">
        <v>14</v>
      </c>
      <c r="O16" s="53">
        <v>14</v>
      </c>
      <c r="P16" s="53">
        <f>AVERAGE(F16:O16)</f>
        <v>12.9</v>
      </c>
      <c r="R16" s="193">
        <v>25.6</v>
      </c>
    </row>
    <row r="17" spans="1:18" x14ac:dyDescent="0.25">
      <c r="A17" s="164"/>
      <c r="B17" s="164"/>
      <c r="C17" s="53" t="s">
        <v>113</v>
      </c>
      <c r="D17" s="60">
        <v>20.100000000000001</v>
      </c>
      <c r="E17" s="54">
        <f t="shared" ref="E17:E18" si="3">D17*100/49.8</f>
        <v>40.361445783132538</v>
      </c>
      <c r="F17" s="53">
        <v>14</v>
      </c>
      <c r="G17" s="53">
        <v>18</v>
      </c>
      <c r="H17" s="53">
        <v>19</v>
      </c>
      <c r="I17" s="53">
        <v>20</v>
      </c>
      <c r="J17" s="53">
        <v>19</v>
      </c>
      <c r="K17" s="53">
        <v>13</v>
      </c>
      <c r="L17" s="53">
        <v>13</v>
      </c>
      <c r="M17" s="53">
        <v>19</v>
      </c>
      <c r="N17" s="53">
        <v>10</v>
      </c>
      <c r="O17" s="53">
        <v>9.5</v>
      </c>
      <c r="P17" s="53">
        <f t="shared" ref="P17:P18" si="4">AVERAGE(F17:O17)</f>
        <v>15.45</v>
      </c>
      <c r="R17" s="193">
        <v>21.85</v>
      </c>
    </row>
    <row r="18" spans="1:18" x14ac:dyDescent="0.25">
      <c r="A18" s="164"/>
      <c r="B18" s="164"/>
      <c r="C18" s="56" t="s">
        <v>115</v>
      </c>
      <c r="D18" s="60">
        <v>19.3</v>
      </c>
      <c r="E18" s="54">
        <f t="shared" si="3"/>
        <v>38.755020080321287</v>
      </c>
      <c r="F18" s="53">
        <v>12.5</v>
      </c>
      <c r="G18" s="53">
        <v>11.5</v>
      </c>
      <c r="H18" s="53">
        <v>27</v>
      </c>
      <c r="I18" s="53">
        <v>21</v>
      </c>
      <c r="J18" s="53">
        <v>25</v>
      </c>
      <c r="K18" s="53">
        <v>13</v>
      </c>
      <c r="L18" s="53">
        <v>4</v>
      </c>
      <c r="M18" s="53">
        <v>4</v>
      </c>
      <c r="N18" s="53">
        <v>5</v>
      </c>
      <c r="O18" s="53">
        <v>4</v>
      </c>
      <c r="P18" s="53">
        <f t="shared" si="4"/>
        <v>12.7</v>
      </c>
      <c r="R18" s="193">
        <v>19.100000000000001</v>
      </c>
    </row>
    <row r="19" spans="1:18" x14ac:dyDescent="0.25">
      <c r="A19" s="164"/>
      <c r="B19" s="164"/>
      <c r="C19" s="57" t="s">
        <v>21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9">
        <v>25.7</v>
      </c>
    </row>
    <row r="20" spans="1:18" x14ac:dyDescent="0.25">
      <c r="A20" s="165" t="s">
        <v>9</v>
      </c>
      <c r="B20" s="143">
        <f>D20+D21</f>
        <v>64.099999999999994</v>
      </c>
      <c r="C20" s="56" t="s">
        <v>119</v>
      </c>
      <c r="D20" s="64">
        <v>38.1</v>
      </c>
      <c r="E20" s="11">
        <f>D20*100/B20</f>
        <v>59.438377535101409</v>
      </c>
      <c r="F20" s="10">
        <v>28</v>
      </c>
      <c r="G20" s="10">
        <v>24</v>
      </c>
      <c r="H20" s="10">
        <v>13</v>
      </c>
      <c r="I20" s="10">
        <v>13</v>
      </c>
      <c r="J20" s="10">
        <v>14</v>
      </c>
      <c r="K20" s="10">
        <v>17</v>
      </c>
      <c r="L20" s="10">
        <v>36</v>
      </c>
      <c r="M20" s="10">
        <v>25</v>
      </c>
      <c r="N20" s="10">
        <v>12</v>
      </c>
      <c r="O20" s="10">
        <v>13</v>
      </c>
      <c r="P20" s="10">
        <f>AVERAGE(F20:O20)</f>
        <v>19.5</v>
      </c>
    </row>
    <row r="21" spans="1:18" x14ac:dyDescent="0.25">
      <c r="A21" s="165"/>
      <c r="B21" s="144"/>
      <c r="C21" s="53" t="s">
        <v>118</v>
      </c>
      <c r="D21" s="60">
        <v>26</v>
      </c>
      <c r="E21" s="11">
        <f>D21*100/64.1</f>
        <v>40.561622464898598</v>
      </c>
      <c r="F21" s="10">
        <v>26</v>
      </c>
      <c r="G21" s="10">
        <v>25</v>
      </c>
      <c r="H21" s="10">
        <v>19</v>
      </c>
      <c r="I21" s="10">
        <v>37</v>
      </c>
      <c r="J21" s="10">
        <v>30</v>
      </c>
      <c r="K21" s="10">
        <v>25</v>
      </c>
      <c r="L21" s="10">
        <v>21</v>
      </c>
      <c r="M21" s="10">
        <v>19</v>
      </c>
      <c r="N21" s="10">
        <v>17</v>
      </c>
      <c r="O21" s="10">
        <v>22</v>
      </c>
      <c r="P21" s="10">
        <f>AVERAGE(F21:O21)</f>
        <v>24.1</v>
      </c>
    </row>
    <row r="22" spans="1:18" x14ac:dyDescent="0.25">
      <c r="A22" s="165"/>
      <c r="B22" s="145"/>
      <c r="C22" s="57" t="s">
        <v>21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192">
        <f>AVERAGE(P20:P21)</f>
        <v>21.8</v>
      </c>
    </row>
    <row r="23" spans="1:18" x14ac:dyDescent="0.25">
      <c r="A23" s="143" t="s">
        <v>120</v>
      </c>
      <c r="B23" s="143">
        <f>D23+D24+D25+D26</f>
        <v>103.9</v>
      </c>
      <c r="C23" s="53" t="s">
        <v>118</v>
      </c>
      <c r="D23" s="10">
        <v>2.4</v>
      </c>
      <c r="E23" s="11">
        <f>D23*100/103.9</f>
        <v>2.3099133782483157</v>
      </c>
      <c r="F23" s="10">
        <v>44</v>
      </c>
      <c r="G23" s="10">
        <v>42</v>
      </c>
      <c r="H23" s="10"/>
      <c r="I23" s="10"/>
      <c r="J23" s="10"/>
      <c r="K23" s="10"/>
      <c r="L23" s="10"/>
      <c r="M23" s="10"/>
      <c r="N23" s="10"/>
      <c r="O23" s="10"/>
      <c r="P23" s="10">
        <f>AVERAGE(F23:O23)</f>
        <v>43</v>
      </c>
    </row>
    <row r="24" spans="1:18" x14ac:dyDescent="0.25">
      <c r="A24" s="144"/>
      <c r="B24" s="144"/>
      <c r="C24" s="53" t="s">
        <v>121</v>
      </c>
      <c r="D24" s="10">
        <v>0.4</v>
      </c>
      <c r="E24" s="11">
        <f t="shared" ref="E24:E26" si="5">D24*100/103.9</f>
        <v>0.38498556304138593</v>
      </c>
      <c r="F24" s="10">
        <v>6</v>
      </c>
      <c r="G24" s="10">
        <v>8</v>
      </c>
      <c r="H24" s="10">
        <v>4</v>
      </c>
      <c r="I24" s="10">
        <v>4</v>
      </c>
      <c r="J24" s="10"/>
      <c r="K24" s="10"/>
      <c r="L24" s="10"/>
      <c r="M24" s="10"/>
      <c r="N24" s="10"/>
      <c r="O24" s="10"/>
      <c r="P24" s="10">
        <f t="shared" ref="P24:P26" si="6">AVERAGE(F24:O24)</f>
        <v>5.5</v>
      </c>
    </row>
    <row r="25" spans="1:18" x14ac:dyDescent="0.25">
      <c r="A25" s="144"/>
      <c r="B25" s="144"/>
      <c r="C25" s="53" t="s">
        <v>113</v>
      </c>
      <c r="D25" s="10">
        <v>10.4</v>
      </c>
      <c r="E25" s="11">
        <f t="shared" si="5"/>
        <v>10.009624639076034</v>
      </c>
      <c r="F25" s="10">
        <v>15</v>
      </c>
      <c r="G25" s="10">
        <v>18</v>
      </c>
      <c r="H25" s="10">
        <v>14</v>
      </c>
      <c r="I25" s="10">
        <v>15</v>
      </c>
      <c r="J25" s="10">
        <v>14.5</v>
      </c>
      <c r="K25" s="10">
        <v>15</v>
      </c>
      <c r="L25" s="10">
        <v>10</v>
      </c>
      <c r="M25" s="10">
        <v>13</v>
      </c>
      <c r="N25" s="10">
        <v>17</v>
      </c>
      <c r="O25" s="10">
        <v>15</v>
      </c>
      <c r="P25" s="10">
        <f t="shared" si="6"/>
        <v>14.65</v>
      </c>
    </row>
    <row r="26" spans="1:18" x14ac:dyDescent="0.25">
      <c r="A26" s="144"/>
      <c r="B26" s="144"/>
      <c r="C26" s="55" t="s">
        <v>114</v>
      </c>
      <c r="D26" s="10">
        <v>90.7</v>
      </c>
      <c r="E26" s="11">
        <f t="shared" si="5"/>
        <v>87.295476419634255</v>
      </c>
      <c r="F26" s="10">
        <v>15</v>
      </c>
      <c r="G26" s="10">
        <v>14</v>
      </c>
      <c r="H26" s="10">
        <v>30</v>
      </c>
      <c r="I26" s="10">
        <v>12</v>
      </c>
      <c r="J26" s="10">
        <v>27</v>
      </c>
      <c r="K26" s="10">
        <v>11</v>
      </c>
      <c r="L26" s="10">
        <v>18</v>
      </c>
      <c r="M26" s="10">
        <v>20</v>
      </c>
      <c r="N26" s="10">
        <v>32</v>
      </c>
      <c r="O26" s="10">
        <v>24</v>
      </c>
      <c r="P26" s="10">
        <f t="shared" si="6"/>
        <v>20.3</v>
      </c>
    </row>
    <row r="27" spans="1:18" x14ac:dyDescent="0.25">
      <c r="A27" s="145"/>
      <c r="B27" s="145"/>
      <c r="C27" s="57" t="s">
        <v>21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192">
        <f>AVERAGE(P23:P26)</f>
        <v>20.862500000000001</v>
      </c>
    </row>
    <row r="28" spans="1:18" x14ac:dyDescent="0.25">
      <c r="A28" s="143" t="s">
        <v>122</v>
      </c>
      <c r="B28" s="143">
        <f>D28+D29+D30+D31</f>
        <v>153.5</v>
      </c>
      <c r="C28" s="65" t="s">
        <v>116</v>
      </c>
      <c r="D28" s="66">
        <v>109.2</v>
      </c>
      <c r="E28" s="67">
        <f>D28*100/153.5</f>
        <v>71.140065146579801</v>
      </c>
      <c r="F28" s="68">
        <v>10.5</v>
      </c>
      <c r="G28" s="10">
        <v>6</v>
      </c>
      <c r="H28" s="10">
        <v>7</v>
      </c>
      <c r="I28" s="10">
        <v>11</v>
      </c>
      <c r="J28" s="10">
        <v>12</v>
      </c>
      <c r="K28" s="10">
        <v>12.5</v>
      </c>
      <c r="L28" s="10">
        <v>10</v>
      </c>
      <c r="M28" s="10">
        <v>10</v>
      </c>
      <c r="N28" s="10">
        <v>10</v>
      </c>
      <c r="O28" s="10">
        <v>6</v>
      </c>
      <c r="P28" s="11">
        <f>AVERAGE(F28:O28)</f>
        <v>9.5</v>
      </c>
    </row>
    <row r="29" spans="1:18" x14ac:dyDescent="0.25">
      <c r="A29" s="144"/>
      <c r="B29" s="144"/>
      <c r="C29" s="55" t="s">
        <v>123</v>
      </c>
      <c r="D29" s="66">
        <v>11.5</v>
      </c>
      <c r="E29" s="67">
        <f>D29*100/153.5</f>
        <v>7.4918566775244297</v>
      </c>
      <c r="F29" s="68">
        <v>20.5</v>
      </c>
      <c r="G29" s="10">
        <v>19.5</v>
      </c>
      <c r="H29" s="10">
        <v>18</v>
      </c>
      <c r="I29" s="10">
        <v>18</v>
      </c>
      <c r="J29" s="10">
        <v>25</v>
      </c>
      <c r="K29" s="10">
        <v>21.3</v>
      </c>
      <c r="L29" s="10">
        <v>18.5</v>
      </c>
      <c r="M29" s="10">
        <v>19</v>
      </c>
      <c r="N29" s="10">
        <v>20</v>
      </c>
      <c r="O29" s="10">
        <v>21</v>
      </c>
      <c r="P29" s="11">
        <f>AVERAGE(F29:O29)</f>
        <v>20.080000000000002</v>
      </c>
    </row>
    <row r="30" spans="1:18" x14ac:dyDescent="0.25">
      <c r="A30" s="144"/>
      <c r="B30" s="144"/>
      <c r="C30" s="55" t="s">
        <v>114</v>
      </c>
      <c r="D30" s="66">
        <v>17.100000000000001</v>
      </c>
      <c r="E30" s="67">
        <f>D30*100/153.5</f>
        <v>11.140065146579806</v>
      </c>
      <c r="F30" s="68">
        <v>15</v>
      </c>
      <c r="G30" s="10">
        <v>14</v>
      </c>
      <c r="H30" s="10">
        <v>16</v>
      </c>
      <c r="I30" s="10">
        <v>14</v>
      </c>
      <c r="J30" s="10">
        <v>14</v>
      </c>
      <c r="K30" s="10">
        <v>12.5</v>
      </c>
      <c r="L30" s="10">
        <v>17</v>
      </c>
      <c r="M30" s="10">
        <v>13</v>
      </c>
      <c r="N30" s="10">
        <v>13</v>
      </c>
      <c r="O30" s="10">
        <v>15</v>
      </c>
      <c r="P30" s="11">
        <f t="shared" ref="P30:P31" si="7">AVERAGE(F30:O30)</f>
        <v>14.35</v>
      </c>
    </row>
    <row r="31" spans="1:18" x14ac:dyDescent="0.25">
      <c r="A31" s="144"/>
      <c r="B31" s="144"/>
      <c r="C31" s="53" t="s">
        <v>113</v>
      </c>
      <c r="D31" s="66">
        <v>15.7</v>
      </c>
      <c r="E31" s="67">
        <f>D31*100/153.5</f>
        <v>10.22801302931596</v>
      </c>
      <c r="F31" s="68">
        <v>28</v>
      </c>
      <c r="G31" s="10">
        <v>29</v>
      </c>
      <c r="H31" s="10">
        <v>31</v>
      </c>
      <c r="I31" s="10">
        <v>30</v>
      </c>
      <c r="J31" s="10">
        <v>25</v>
      </c>
      <c r="K31" s="10">
        <v>25</v>
      </c>
      <c r="L31" s="10">
        <v>21.5</v>
      </c>
      <c r="M31" s="10">
        <v>20</v>
      </c>
      <c r="N31" s="10">
        <v>19</v>
      </c>
      <c r="O31" s="10">
        <v>19</v>
      </c>
      <c r="P31" s="11">
        <f t="shared" si="7"/>
        <v>24.75</v>
      </c>
    </row>
    <row r="32" spans="1:18" x14ac:dyDescent="0.25">
      <c r="A32" s="145"/>
      <c r="B32" s="145"/>
      <c r="C32" s="57" t="s">
        <v>21</v>
      </c>
      <c r="D32" s="69"/>
      <c r="E32" s="70"/>
      <c r="F32" s="71"/>
      <c r="G32" s="58"/>
      <c r="H32" s="58"/>
      <c r="I32" s="58"/>
      <c r="J32" s="58"/>
      <c r="K32" s="58"/>
      <c r="L32" s="58"/>
      <c r="M32" s="58"/>
      <c r="N32" s="58"/>
      <c r="O32" s="58"/>
      <c r="P32" s="59">
        <f>AVERAGE(P28:P31)</f>
        <v>17.170000000000002</v>
      </c>
    </row>
    <row r="33" spans="1:16" x14ac:dyDescent="0.25">
      <c r="A33" s="161" t="s">
        <v>12</v>
      </c>
      <c r="B33" s="143">
        <f>D33+D34</f>
        <v>66.649999999999991</v>
      </c>
      <c r="C33" s="53" t="s">
        <v>113</v>
      </c>
      <c r="D33" s="10">
        <v>57.8</v>
      </c>
      <c r="E33" s="72">
        <f>D33*100/66.65</f>
        <v>86.721680420105017</v>
      </c>
      <c r="F33" s="10">
        <v>16</v>
      </c>
      <c r="G33" s="10">
        <v>18</v>
      </c>
      <c r="H33" s="10">
        <v>23</v>
      </c>
      <c r="I33" s="10">
        <v>23</v>
      </c>
      <c r="J33" s="10">
        <v>16</v>
      </c>
      <c r="K33" s="10">
        <v>12.5</v>
      </c>
      <c r="L33" s="10">
        <v>14</v>
      </c>
      <c r="M33" s="10">
        <v>13</v>
      </c>
      <c r="N33" s="10">
        <v>13.5</v>
      </c>
      <c r="O33" s="10">
        <v>15</v>
      </c>
      <c r="P33" s="10">
        <f>AVERAGE(F33:O33)</f>
        <v>16.399999999999999</v>
      </c>
    </row>
    <row r="34" spans="1:16" x14ac:dyDescent="0.25">
      <c r="A34" s="162"/>
      <c r="B34" s="144"/>
      <c r="C34" s="10" t="s">
        <v>124</v>
      </c>
      <c r="D34" s="10">
        <v>8.85</v>
      </c>
      <c r="E34" s="72">
        <f>D34*100/66.65</f>
        <v>13.278319579894973</v>
      </c>
      <c r="F34" s="10">
        <v>31</v>
      </c>
      <c r="G34" s="10">
        <v>37</v>
      </c>
      <c r="H34" s="10">
        <v>37</v>
      </c>
      <c r="I34" s="10">
        <v>34</v>
      </c>
      <c r="J34" s="10"/>
      <c r="K34" s="10"/>
      <c r="L34" s="10"/>
      <c r="M34" s="10"/>
      <c r="N34" s="10"/>
      <c r="O34" s="10"/>
      <c r="P34" s="10">
        <f>AVERAGE(F34:O34)</f>
        <v>34.75</v>
      </c>
    </row>
    <row r="35" spans="1:16" x14ac:dyDescent="0.25">
      <c r="A35" s="163"/>
      <c r="B35" s="145"/>
      <c r="C35" s="57" t="s">
        <v>21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192">
        <f>AVERAGE(P33:P34)</f>
        <v>25.574999999999999</v>
      </c>
    </row>
    <row r="36" spans="1:16" x14ac:dyDescent="0.25">
      <c r="A36" s="161" t="s">
        <v>125</v>
      </c>
      <c r="B36" s="143">
        <v>118.25</v>
      </c>
      <c r="C36" s="53" t="s">
        <v>126</v>
      </c>
      <c r="D36" s="10">
        <v>118.25</v>
      </c>
      <c r="E36" s="10">
        <v>100</v>
      </c>
      <c r="F36" s="10">
        <v>15</v>
      </c>
      <c r="G36" s="10">
        <v>25</v>
      </c>
      <c r="H36" s="10">
        <v>19</v>
      </c>
      <c r="I36" s="10">
        <v>20</v>
      </c>
      <c r="J36" s="10">
        <v>24</v>
      </c>
      <c r="K36" s="10">
        <v>19</v>
      </c>
      <c r="L36" s="10">
        <v>23</v>
      </c>
      <c r="M36" s="10">
        <v>24.5</v>
      </c>
      <c r="N36" s="10">
        <v>25</v>
      </c>
      <c r="O36" s="10">
        <v>24</v>
      </c>
      <c r="P36" s="10">
        <f>AVERAGE(F36:O36)</f>
        <v>21.85</v>
      </c>
    </row>
    <row r="37" spans="1:16" x14ac:dyDescent="0.25">
      <c r="A37" s="163"/>
      <c r="B37" s="145"/>
      <c r="C37" s="57" t="s">
        <v>21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4">
        <v>21.85</v>
      </c>
    </row>
    <row r="38" spans="1:16" x14ac:dyDescent="0.25">
      <c r="A38" s="158" t="s">
        <v>127</v>
      </c>
      <c r="B38" s="143">
        <f>D38+D39+D40+D41</f>
        <v>97.9</v>
      </c>
      <c r="C38" s="55" t="s">
        <v>123</v>
      </c>
      <c r="D38" s="53">
        <v>66.5</v>
      </c>
      <c r="E38" s="54">
        <f>D38*100/97.9</f>
        <v>67.926455566905005</v>
      </c>
      <c r="F38" s="53">
        <v>11</v>
      </c>
      <c r="G38" s="53">
        <v>17</v>
      </c>
      <c r="H38" s="53">
        <v>25</v>
      </c>
      <c r="I38" s="53">
        <v>24</v>
      </c>
      <c r="J38" s="53">
        <v>16</v>
      </c>
      <c r="K38" s="53">
        <v>18</v>
      </c>
      <c r="L38" s="53">
        <v>18</v>
      </c>
      <c r="M38" s="53">
        <v>22</v>
      </c>
      <c r="N38" s="53">
        <v>26</v>
      </c>
      <c r="O38" s="53">
        <v>24</v>
      </c>
      <c r="P38" s="54">
        <f>AVERAGE(F38:O38)</f>
        <v>20.100000000000001</v>
      </c>
    </row>
    <row r="39" spans="1:16" x14ac:dyDescent="0.25">
      <c r="A39" s="159"/>
      <c r="B39" s="144"/>
      <c r="C39" s="53" t="s">
        <v>118</v>
      </c>
      <c r="D39" s="53">
        <v>5.0999999999999996</v>
      </c>
      <c r="E39" s="54">
        <f t="shared" ref="E39:E41" si="8">D39*100/97.9</f>
        <v>5.2093973442288037</v>
      </c>
      <c r="F39" s="53">
        <v>22</v>
      </c>
      <c r="G39" s="53">
        <v>20</v>
      </c>
      <c r="H39" s="53">
        <v>24</v>
      </c>
      <c r="I39" s="53"/>
      <c r="J39" s="53"/>
      <c r="K39" s="53"/>
      <c r="L39" s="53"/>
      <c r="M39" s="53"/>
      <c r="N39" s="53"/>
      <c r="O39" s="53"/>
      <c r="P39" s="54">
        <f t="shared" ref="P39:P41" si="9">AVERAGE(F39:O39)</f>
        <v>22</v>
      </c>
    </row>
    <row r="40" spans="1:16" x14ac:dyDescent="0.25">
      <c r="A40" s="159"/>
      <c r="B40" s="144"/>
      <c r="C40" s="56" t="s">
        <v>119</v>
      </c>
      <c r="D40" s="53">
        <v>20.399999999999999</v>
      </c>
      <c r="E40" s="54">
        <f t="shared" si="8"/>
        <v>20.837589376915215</v>
      </c>
      <c r="F40" s="53">
        <v>22.5</v>
      </c>
      <c r="G40" s="53">
        <v>25</v>
      </c>
      <c r="H40" s="53">
        <v>25</v>
      </c>
      <c r="I40" s="53">
        <v>16.5</v>
      </c>
      <c r="J40" s="53">
        <v>17</v>
      </c>
      <c r="K40" s="53">
        <v>13</v>
      </c>
      <c r="L40" s="53">
        <v>13</v>
      </c>
      <c r="M40" s="53">
        <v>25.5</v>
      </c>
      <c r="N40" s="53">
        <v>26.25</v>
      </c>
      <c r="O40" s="53"/>
      <c r="P40" s="54">
        <f t="shared" si="9"/>
        <v>20.416666666666668</v>
      </c>
    </row>
    <row r="41" spans="1:16" x14ac:dyDescent="0.25">
      <c r="A41" s="159"/>
      <c r="B41" s="144"/>
      <c r="C41" s="53" t="s">
        <v>117</v>
      </c>
      <c r="D41" s="53">
        <v>5.9</v>
      </c>
      <c r="E41" s="54">
        <f t="shared" si="8"/>
        <v>6.0265577119509697</v>
      </c>
      <c r="F41" s="53">
        <v>13</v>
      </c>
      <c r="G41" s="53">
        <v>7</v>
      </c>
      <c r="H41" s="53">
        <v>20</v>
      </c>
      <c r="I41" s="53">
        <v>24</v>
      </c>
      <c r="J41" s="53">
        <v>18</v>
      </c>
      <c r="K41" s="53">
        <v>10</v>
      </c>
      <c r="L41" s="53">
        <v>13</v>
      </c>
      <c r="M41" s="53">
        <v>5</v>
      </c>
      <c r="N41" s="53"/>
      <c r="O41" s="53"/>
      <c r="P41" s="54">
        <f t="shared" si="9"/>
        <v>13.75</v>
      </c>
    </row>
    <row r="42" spans="1:16" x14ac:dyDescent="0.25">
      <c r="A42" s="160"/>
      <c r="B42" s="145"/>
      <c r="C42" s="57" t="s">
        <v>21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9">
        <f>AVERAGE(P38:P41)</f>
        <v>19.066666666666666</v>
      </c>
    </row>
    <row r="45" spans="1:16" x14ac:dyDescent="0.25">
      <c r="C45" s="73" t="s">
        <v>128</v>
      </c>
      <c r="D45" s="74">
        <v>1</v>
      </c>
      <c r="E45" s="74">
        <v>2</v>
      </c>
      <c r="F45" s="74">
        <v>3</v>
      </c>
      <c r="G45" s="74">
        <v>4</v>
      </c>
      <c r="H45" s="74">
        <v>5</v>
      </c>
      <c r="I45" s="74">
        <v>6</v>
      </c>
      <c r="J45" s="74">
        <v>7</v>
      </c>
      <c r="K45" s="74">
        <v>8</v>
      </c>
      <c r="L45" s="74">
        <v>9</v>
      </c>
      <c r="M45" s="75">
        <v>10</v>
      </c>
      <c r="N45" s="76" t="s">
        <v>21</v>
      </c>
    </row>
    <row r="46" spans="1:16" x14ac:dyDescent="0.25">
      <c r="C46" s="77" t="s">
        <v>116</v>
      </c>
      <c r="D46" s="13">
        <v>4.4073853484216796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71.099999999999994</v>
      </c>
      <c r="K46" s="78">
        <v>0</v>
      </c>
      <c r="L46" s="78">
        <v>0</v>
      </c>
      <c r="M46" s="78">
        <v>0</v>
      </c>
      <c r="N46" s="78">
        <f>AVERAGE(D46:M46)</f>
        <v>7.5507385348421678</v>
      </c>
    </row>
    <row r="47" spans="1:16" x14ac:dyDescent="0.25">
      <c r="C47" s="53" t="s">
        <v>117</v>
      </c>
      <c r="D47" s="78">
        <v>0</v>
      </c>
      <c r="E47" s="78">
        <v>43.904761904761905</v>
      </c>
      <c r="F47" s="13">
        <v>0</v>
      </c>
      <c r="G47" s="78">
        <v>20.883534136546185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6.0265577119509697</v>
      </c>
      <c r="N47" s="78">
        <f t="shared" ref="N47:N55" si="10">AVERAGE(D47:M47)</f>
        <v>7.0814853753259062</v>
      </c>
    </row>
    <row r="48" spans="1:16" x14ac:dyDescent="0.25">
      <c r="C48" s="77" t="s">
        <v>129</v>
      </c>
      <c r="D48" s="78">
        <v>0</v>
      </c>
      <c r="E48" s="78">
        <v>0</v>
      </c>
      <c r="F48" s="78">
        <v>0</v>
      </c>
      <c r="G48" s="78">
        <v>0</v>
      </c>
      <c r="H48" s="78">
        <v>0</v>
      </c>
      <c r="I48" s="78">
        <v>0</v>
      </c>
      <c r="J48" s="78">
        <v>7.5163398692810457</v>
      </c>
      <c r="K48" s="78">
        <v>0</v>
      </c>
      <c r="L48" s="78">
        <v>0</v>
      </c>
      <c r="M48" s="78">
        <v>67.926455566905005</v>
      </c>
      <c r="N48" s="78">
        <f t="shared" si="10"/>
        <v>7.5442795436186048</v>
      </c>
    </row>
    <row r="49" spans="3:14" x14ac:dyDescent="0.25">
      <c r="C49" s="77" t="s">
        <v>130</v>
      </c>
      <c r="D49" s="78">
        <v>3.8117927337701012</v>
      </c>
      <c r="E49" s="78">
        <v>0</v>
      </c>
      <c r="F49" s="78">
        <v>0</v>
      </c>
      <c r="G49" s="78">
        <v>0</v>
      </c>
      <c r="H49" s="78">
        <v>0</v>
      </c>
      <c r="I49" s="78">
        <v>87.295476419634255</v>
      </c>
      <c r="J49" s="78">
        <v>11.1</v>
      </c>
      <c r="K49" s="78">
        <v>0</v>
      </c>
      <c r="L49" s="78">
        <v>0</v>
      </c>
      <c r="M49" s="78">
        <v>0</v>
      </c>
      <c r="N49" s="78">
        <f t="shared" si="10"/>
        <v>10.220726915340435</v>
      </c>
    </row>
    <row r="50" spans="3:14" x14ac:dyDescent="0.25">
      <c r="C50" s="77" t="s">
        <v>131</v>
      </c>
      <c r="D50" s="78">
        <v>0</v>
      </c>
      <c r="E50" s="78">
        <v>4.1904761904761907</v>
      </c>
      <c r="F50" s="78">
        <v>0</v>
      </c>
      <c r="G50" s="78">
        <v>0</v>
      </c>
      <c r="H50" s="78">
        <v>40.561622464898598</v>
      </c>
      <c r="I50" s="78">
        <v>2.3099133782483157</v>
      </c>
      <c r="J50" s="78">
        <v>0</v>
      </c>
      <c r="K50" s="78">
        <v>0</v>
      </c>
      <c r="L50" s="78">
        <v>0</v>
      </c>
      <c r="M50" s="78">
        <v>5.2093973442288037</v>
      </c>
      <c r="N50" s="78">
        <f t="shared" si="10"/>
        <v>5.2271409377851912</v>
      </c>
    </row>
    <row r="51" spans="3:14" x14ac:dyDescent="0.25">
      <c r="C51" s="77" t="s">
        <v>132</v>
      </c>
      <c r="D51" s="78">
        <v>53.662894580107206</v>
      </c>
      <c r="E51" s="78">
        <v>51.904761904761905</v>
      </c>
      <c r="F51" s="78">
        <v>0</v>
      </c>
      <c r="G51" s="78">
        <v>40.361445783132538</v>
      </c>
      <c r="H51" s="78">
        <v>0</v>
      </c>
      <c r="I51" s="78">
        <v>10.009624639076034</v>
      </c>
      <c r="J51" s="78">
        <v>10.199999999999999</v>
      </c>
      <c r="K51" s="78">
        <v>86.721680420105017</v>
      </c>
      <c r="L51" s="78">
        <v>0</v>
      </c>
      <c r="M51" s="78">
        <v>0</v>
      </c>
      <c r="N51" s="78">
        <f t="shared" si="10"/>
        <v>25.28604073271827</v>
      </c>
    </row>
    <row r="52" spans="3:14" x14ac:dyDescent="0.25">
      <c r="C52" s="77" t="s">
        <v>133</v>
      </c>
      <c r="D52" s="78">
        <v>0</v>
      </c>
      <c r="E52" s="78">
        <v>0</v>
      </c>
      <c r="F52" s="78">
        <v>0</v>
      </c>
      <c r="G52" s="78">
        <v>0</v>
      </c>
      <c r="H52" s="78">
        <v>0</v>
      </c>
      <c r="I52" s="78">
        <v>0.38498556304138593</v>
      </c>
      <c r="J52" s="78">
        <v>0</v>
      </c>
      <c r="K52" s="78">
        <v>0</v>
      </c>
      <c r="L52" s="78">
        <v>0</v>
      </c>
      <c r="M52" s="78">
        <v>0</v>
      </c>
      <c r="N52" s="78">
        <f t="shared" si="10"/>
        <v>3.8498556304138593E-2</v>
      </c>
    </row>
    <row r="53" spans="3:14" x14ac:dyDescent="0.25">
      <c r="C53" s="77" t="s">
        <v>124</v>
      </c>
      <c r="D53" s="78">
        <v>0</v>
      </c>
      <c r="E53" s="78">
        <v>0</v>
      </c>
      <c r="F53" s="78">
        <v>0</v>
      </c>
      <c r="G53" s="78">
        <v>0</v>
      </c>
      <c r="H53" s="78">
        <v>0</v>
      </c>
      <c r="I53" s="78">
        <v>0</v>
      </c>
      <c r="J53" s="78">
        <v>0</v>
      </c>
      <c r="K53" s="78">
        <v>13.278319579894973</v>
      </c>
      <c r="L53" s="11">
        <v>100</v>
      </c>
      <c r="M53" s="78">
        <v>0</v>
      </c>
      <c r="N53" s="78">
        <f t="shared" si="10"/>
        <v>11.327831957989497</v>
      </c>
    </row>
    <row r="54" spans="3:14" x14ac:dyDescent="0.25">
      <c r="C54" s="77" t="s">
        <v>115</v>
      </c>
      <c r="D54" s="78">
        <v>38.117927337701012</v>
      </c>
      <c r="E54" s="78">
        <v>0</v>
      </c>
      <c r="F54" s="78">
        <v>0</v>
      </c>
      <c r="G54" s="78">
        <v>38.755020080321287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f t="shared" si="10"/>
        <v>7.6872947418022308</v>
      </c>
    </row>
    <row r="55" spans="3:14" x14ac:dyDescent="0.25">
      <c r="C55" s="77" t="s">
        <v>134</v>
      </c>
      <c r="D55" s="78">
        <v>0</v>
      </c>
      <c r="E55" s="78">
        <v>0</v>
      </c>
      <c r="F55" s="78">
        <v>100</v>
      </c>
      <c r="G55" s="78">
        <v>0</v>
      </c>
      <c r="H55" s="78">
        <v>59.438377535101409</v>
      </c>
      <c r="I55" s="78">
        <v>0</v>
      </c>
      <c r="J55" s="78">
        <v>0</v>
      </c>
      <c r="K55" s="78">
        <v>0</v>
      </c>
      <c r="L55" s="78">
        <v>0</v>
      </c>
      <c r="M55" s="78">
        <v>20.837589376915215</v>
      </c>
      <c r="N55" s="78">
        <f t="shared" si="10"/>
        <v>18.027596691201662</v>
      </c>
    </row>
    <row r="56" spans="3:14" x14ac:dyDescent="0.25">
      <c r="D56" s="13">
        <f>SUM(D46:D55)</f>
        <v>100</v>
      </c>
      <c r="E56" s="13">
        <f t="shared" ref="E56:M56" si="11">SUM(E46:E55)</f>
        <v>100</v>
      </c>
      <c r="F56" s="13">
        <f t="shared" si="11"/>
        <v>100</v>
      </c>
      <c r="G56" s="13">
        <f t="shared" si="11"/>
        <v>100.00000000000001</v>
      </c>
      <c r="H56" s="13">
        <f t="shared" si="11"/>
        <v>100</v>
      </c>
      <c r="I56" s="13">
        <f t="shared" si="11"/>
        <v>99.999999999999986</v>
      </c>
      <c r="J56" s="13">
        <f t="shared" si="11"/>
        <v>99.916339869281032</v>
      </c>
      <c r="K56" s="13">
        <f t="shared" si="11"/>
        <v>99.999999999999986</v>
      </c>
      <c r="L56" s="13">
        <f t="shared" si="11"/>
        <v>100</v>
      </c>
      <c r="M56" s="13">
        <f t="shared" si="11"/>
        <v>100</v>
      </c>
      <c r="N56" s="13">
        <f>SUM(N46:N55)</f>
        <v>99.991633986928122</v>
      </c>
    </row>
    <row r="60" spans="3:14" x14ac:dyDescent="0.25">
      <c r="C60" s="104">
        <v>13.1</v>
      </c>
      <c r="D60" s="194">
        <v>21.8</v>
      </c>
      <c r="E60" s="194">
        <v>25.7</v>
      </c>
      <c r="F60" s="194">
        <v>25.7</v>
      </c>
      <c r="G60" s="195">
        <v>21.8</v>
      </c>
      <c r="H60" s="195">
        <v>20.9</v>
      </c>
      <c r="I60" s="195">
        <v>17.2</v>
      </c>
      <c r="J60" s="195">
        <v>25.6</v>
      </c>
      <c r="K60" s="195">
        <v>21.85</v>
      </c>
      <c r="L60" s="195">
        <v>19.100000000000001</v>
      </c>
      <c r="M60" s="104">
        <f>AVERAGE(C60:L60)</f>
        <v>21.274999999999999</v>
      </c>
    </row>
  </sheetData>
  <mergeCells count="28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A10:A13"/>
    <mergeCell ref="B10:B13"/>
    <mergeCell ref="A14:A15"/>
    <mergeCell ref="B14:B15"/>
    <mergeCell ref="A16:A19"/>
    <mergeCell ref="B16:B19"/>
    <mergeCell ref="A20:A22"/>
    <mergeCell ref="B20:B22"/>
    <mergeCell ref="A23:A27"/>
    <mergeCell ref="B23:B27"/>
    <mergeCell ref="A38:A42"/>
    <mergeCell ref="B38:B42"/>
    <mergeCell ref="A28:A32"/>
    <mergeCell ref="B28:B32"/>
    <mergeCell ref="A33:A35"/>
    <mergeCell ref="B33:B35"/>
    <mergeCell ref="A36:A37"/>
    <mergeCell ref="B36:B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B49" zoomScale="70" zoomScaleNormal="70" workbookViewId="0">
      <selection activeCell="E70" sqref="E70:O70"/>
    </sheetView>
  </sheetViews>
  <sheetFormatPr defaultRowHeight="15" x14ac:dyDescent="0.25"/>
  <cols>
    <col min="1" max="1" width="18.85546875" customWidth="1"/>
    <col min="2" max="2" width="20.7109375" customWidth="1"/>
    <col min="3" max="3" width="49.140625" customWidth="1"/>
    <col min="4" max="4" width="19.5703125" customWidth="1"/>
    <col min="5" max="5" width="28.28515625" customWidth="1"/>
  </cols>
  <sheetData>
    <row r="1" spans="1:18" x14ac:dyDescent="0.25">
      <c r="A1" s="168" t="s">
        <v>40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8" x14ac:dyDescent="0.25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8" x14ac:dyDescent="0.25">
      <c r="A3" s="169" t="s">
        <v>33</v>
      </c>
      <c r="B3" s="170" t="s">
        <v>34</v>
      </c>
      <c r="C3" s="169" t="s">
        <v>35</v>
      </c>
      <c r="D3" s="171" t="s">
        <v>36</v>
      </c>
      <c r="E3" s="172" t="s">
        <v>37</v>
      </c>
      <c r="F3" s="173" t="s">
        <v>38</v>
      </c>
      <c r="G3" s="173"/>
      <c r="H3" s="173"/>
      <c r="I3" s="173"/>
      <c r="J3" s="173"/>
      <c r="K3" s="173"/>
      <c r="L3" s="173"/>
      <c r="M3" s="173"/>
      <c r="N3" s="173"/>
      <c r="O3" s="173"/>
      <c r="P3" s="174" t="s">
        <v>21</v>
      </c>
    </row>
    <row r="4" spans="1:18" x14ac:dyDescent="0.25">
      <c r="A4" s="169"/>
      <c r="B4" s="170"/>
      <c r="C4" s="169"/>
      <c r="D4" s="171"/>
      <c r="E4" s="172"/>
      <c r="F4" s="51">
        <v>1</v>
      </c>
      <c r="G4" s="51">
        <v>2</v>
      </c>
      <c r="H4" s="51">
        <v>3</v>
      </c>
      <c r="I4" s="51">
        <v>4</v>
      </c>
      <c r="J4" s="51">
        <v>5</v>
      </c>
      <c r="K4" s="51">
        <v>6</v>
      </c>
      <c r="L4" s="51">
        <v>7</v>
      </c>
      <c r="M4" s="51">
        <v>8</v>
      </c>
      <c r="N4" s="51">
        <v>9</v>
      </c>
      <c r="O4" s="51">
        <v>10</v>
      </c>
      <c r="P4" s="174"/>
    </row>
    <row r="5" spans="1:18" x14ac:dyDescent="0.25">
      <c r="A5" s="164" t="s">
        <v>5</v>
      </c>
      <c r="B5" s="175">
        <f>D5+D6+D7+D8+D9+D10</f>
        <v>50.55</v>
      </c>
      <c r="C5" s="65" t="s">
        <v>116</v>
      </c>
      <c r="D5" s="53">
        <v>1.4</v>
      </c>
      <c r="E5" s="88">
        <f>D5*100/50.55</f>
        <v>2.7695351137487636</v>
      </c>
      <c r="F5" s="53">
        <v>6.5</v>
      </c>
      <c r="G5" s="53">
        <v>7</v>
      </c>
      <c r="H5" s="53">
        <v>2.5</v>
      </c>
      <c r="I5" s="53">
        <v>6</v>
      </c>
      <c r="J5" s="53">
        <v>4</v>
      </c>
      <c r="K5" s="53">
        <v>5</v>
      </c>
      <c r="L5" s="53">
        <v>7</v>
      </c>
      <c r="M5" s="53">
        <v>7</v>
      </c>
      <c r="N5" s="53">
        <v>8</v>
      </c>
      <c r="O5" s="53">
        <v>4</v>
      </c>
      <c r="P5" s="54">
        <f>AVERAGE(F5:O5)</f>
        <v>5.7</v>
      </c>
    </row>
    <row r="6" spans="1:18" x14ac:dyDescent="0.25">
      <c r="A6" s="164"/>
      <c r="B6" s="175"/>
      <c r="C6" s="56" t="s">
        <v>135</v>
      </c>
      <c r="D6" s="53">
        <v>14.3</v>
      </c>
      <c r="E6" s="88">
        <f t="shared" ref="E6:E10" si="0">D6*100/50.55</f>
        <v>28.288822947576659</v>
      </c>
      <c r="F6" s="53">
        <v>28</v>
      </c>
      <c r="G6" s="53">
        <v>23</v>
      </c>
      <c r="H6" s="53">
        <v>26</v>
      </c>
      <c r="I6" s="53">
        <v>23</v>
      </c>
      <c r="J6" s="53">
        <v>31</v>
      </c>
      <c r="K6" s="53">
        <v>7</v>
      </c>
      <c r="L6" s="53">
        <v>6</v>
      </c>
      <c r="M6" s="53">
        <v>6</v>
      </c>
      <c r="N6" s="53">
        <v>8.5</v>
      </c>
      <c r="O6" s="53">
        <v>22</v>
      </c>
      <c r="P6" s="54">
        <f t="shared" ref="P6:P10" si="1">AVERAGE(F6:O6)</f>
        <v>18.05</v>
      </c>
    </row>
    <row r="7" spans="1:18" x14ac:dyDescent="0.25">
      <c r="A7" s="164"/>
      <c r="B7" s="175"/>
      <c r="C7" s="53" t="s">
        <v>118</v>
      </c>
      <c r="D7" s="53">
        <v>15.05</v>
      </c>
      <c r="E7" s="88">
        <f t="shared" si="0"/>
        <v>29.772502472799211</v>
      </c>
      <c r="F7" s="53">
        <v>45</v>
      </c>
      <c r="G7" s="53">
        <v>26</v>
      </c>
      <c r="H7" s="53">
        <v>27</v>
      </c>
      <c r="I7" s="53">
        <v>20</v>
      </c>
      <c r="J7" s="53">
        <v>37</v>
      </c>
      <c r="K7" s="53">
        <v>33</v>
      </c>
      <c r="L7" s="53">
        <v>39</v>
      </c>
      <c r="M7" s="53">
        <v>35</v>
      </c>
      <c r="N7" s="53">
        <v>22</v>
      </c>
      <c r="O7" s="53"/>
      <c r="P7" s="54">
        <f t="shared" si="1"/>
        <v>31.555555555555557</v>
      </c>
    </row>
    <row r="8" spans="1:18" x14ac:dyDescent="0.25">
      <c r="A8" s="164"/>
      <c r="B8" s="175"/>
      <c r="C8" s="53" t="s">
        <v>121</v>
      </c>
      <c r="D8" s="53">
        <v>0.15</v>
      </c>
      <c r="E8" s="88">
        <f t="shared" si="0"/>
        <v>0.29673590504451042</v>
      </c>
      <c r="F8" s="53">
        <v>6</v>
      </c>
      <c r="G8" s="53">
        <v>8</v>
      </c>
      <c r="H8" s="53">
        <v>7</v>
      </c>
      <c r="I8" s="53">
        <v>8</v>
      </c>
      <c r="J8" s="53">
        <v>9</v>
      </c>
      <c r="K8" s="53"/>
      <c r="L8" s="53"/>
      <c r="M8" s="53"/>
      <c r="N8" s="53"/>
      <c r="O8" s="53"/>
      <c r="P8" s="54">
        <f t="shared" si="1"/>
        <v>7.6</v>
      </c>
    </row>
    <row r="9" spans="1:18" x14ac:dyDescent="0.25">
      <c r="A9" s="164"/>
      <c r="B9" s="175"/>
      <c r="C9" s="53" t="s">
        <v>117</v>
      </c>
      <c r="D9" s="53">
        <v>0.4</v>
      </c>
      <c r="E9" s="88">
        <f t="shared" si="0"/>
        <v>0.79129574678536108</v>
      </c>
      <c r="F9" s="53">
        <v>7.5</v>
      </c>
      <c r="G9" s="53">
        <v>6</v>
      </c>
      <c r="H9" s="53">
        <v>6</v>
      </c>
      <c r="I9" s="53">
        <v>7</v>
      </c>
      <c r="J9" s="53">
        <v>12</v>
      </c>
      <c r="K9" s="53">
        <v>11</v>
      </c>
      <c r="L9" s="53"/>
      <c r="M9" s="53"/>
      <c r="N9" s="53"/>
      <c r="O9" s="53"/>
      <c r="P9" s="54">
        <f t="shared" si="1"/>
        <v>8.25</v>
      </c>
    </row>
    <row r="10" spans="1:18" x14ac:dyDescent="0.25">
      <c r="A10" s="164"/>
      <c r="B10" s="175"/>
      <c r="C10" s="53" t="s">
        <v>126</v>
      </c>
      <c r="D10" s="53">
        <v>19.25</v>
      </c>
      <c r="E10" s="88">
        <f t="shared" si="0"/>
        <v>38.081107814045502</v>
      </c>
      <c r="F10" s="53">
        <v>34</v>
      </c>
      <c r="G10" s="53">
        <v>35</v>
      </c>
      <c r="H10" s="53">
        <v>31</v>
      </c>
      <c r="I10" s="53">
        <v>33</v>
      </c>
      <c r="J10" s="53">
        <v>17</v>
      </c>
      <c r="K10" s="53">
        <v>23</v>
      </c>
      <c r="L10" s="53">
        <v>24</v>
      </c>
      <c r="M10" s="53">
        <v>26</v>
      </c>
      <c r="N10" s="53">
        <v>11</v>
      </c>
      <c r="O10" s="53">
        <v>8</v>
      </c>
      <c r="P10" s="54">
        <f t="shared" si="1"/>
        <v>24.2</v>
      </c>
    </row>
    <row r="11" spans="1:18" x14ac:dyDescent="0.25">
      <c r="A11" s="164"/>
      <c r="B11" s="175"/>
      <c r="C11" s="58" t="s">
        <v>21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9">
        <f>AVERAGE(P5:P10)</f>
        <v>15.892592592592594</v>
      </c>
      <c r="R11">
        <v>15.9</v>
      </c>
    </row>
    <row r="12" spans="1:18" ht="15.75" x14ac:dyDescent="0.25">
      <c r="A12" s="164" t="s">
        <v>6</v>
      </c>
      <c r="B12" s="164">
        <f>D12+D13+D14+D15</f>
        <v>95.500000000000014</v>
      </c>
      <c r="C12" s="80" t="s">
        <v>136</v>
      </c>
      <c r="D12" s="60">
        <v>22.5</v>
      </c>
      <c r="E12" s="81">
        <f>D12*100/95.5</f>
        <v>23.560209424083769</v>
      </c>
      <c r="F12" s="53">
        <v>34</v>
      </c>
      <c r="G12" s="53">
        <v>33</v>
      </c>
      <c r="H12" s="53">
        <v>12</v>
      </c>
      <c r="I12" s="53">
        <v>34</v>
      </c>
      <c r="J12" s="53">
        <v>34</v>
      </c>
      <c r="K12" s="53">
        <v>36</v>
      </c>
      <c r="L12" s="53">
        <v>25</v>
      </c>
      <c r="M12" s="53">
        <v>32</v>
      </c>
      <c r="N12" s="53">
        <v>34</v>
      </c>
      <c r="O12" s="53">
        <v>38</v>
      </c>
      <c r="P12" s="54">
        <f>AVERAGE(F12:O12)</f>
        <v>31.2</v>
      </c>
      <c r="R12" s="191">
        <v>21.1</v>
      </c>
    </row>
    <row r="13" spans="1:18" x14ac:dyDescent="0.25">
      <c r="A13" s="164"/>
      <c r="B13" s="164"/>
      <c r="C13" s="53" t="s">
        <v>126</v>
      </c>
      <c r="D13" s="60">
        <v>37.1</v>
      </c>
      <c r="E13" s="81">
        <f t="shared" ref="E13:E15" si="2">D13*100/95.5</f>
        <v>38.848167539267017</v>
      </c>
      <c r="F13" s="53">
        <v>23</v>
      </c>
      <c r="G13" s="53">
        <v>24</v>
      </c>
      <c r="H13" s="53">
        <v>10</v>
      </c>
      <c r="I13" s="53">
        <v>19</v>
      </c>
      <c r="J13" s="53">
        <v>13</v>
      </c>
      <c r="K13" s="53">
        <v>10</v>
      </c>
      <c r="L13" s="53">
        <v>30</v>
      </c>
      <c r="M13" s="53">
        <v>8</v>
      </c>
      <c r="N13" s="53">
        <v>38</v>
      </c>
      <c r="O13" s="53">
        <v>24</v>
      </c>
      <c r="P13" s="54">
        <f t="shared" ref="P13:P15" si="3">AVERAGE(F13:O13)</f>
        <v>19.899999999999999</v>
      </c>
      <c r="R13" s="191">
        <v>13.7</v>
      </c>
    </row>
    <row r="14" spans="1:18" x14ac:dyDescent="0.25">
      <c r="A14" s="164"/>
      <c r="B14" s="164"/>
      <c r="C14" s="53" t="s">
        <v>113</v>
      </c>
      <c r="D14" s="60">
        <v>33.700000000000003</v>
      </c>
      <c r="E14" s="81">
        <f t="shared" si="2"/>
        <v>35.287958115183251</v>
      </c>
      <c r="F14" s="53">
        <v>21</v>
      </c>
      <c r="G14" s="53">
        <v>22</v>
      </c>
      <c r="H14" s="53">
        <v>10</v>
      </c>
      <c r="I14" s="53">
        <v>24</v>
      </c>
      <c r="J14" s="53">
        <v>16</v>
      </c>
      <c r="K14" s="53">
        <v>15</v>
      </c>
      <c r="L14" s="53">
        <v>12</v>
      </c>
      <c r="M14" s="53">
        <v>15</v>
      </c>
      <c r="N14" s="53">
        <v>16.5</v>
      </c>
      <c r="O14" s="53">
        <v>20</v>
      </c>
      <c r="P14" s="54">
        <f t="shared" si="3"/>
        <v>17.149999999999999</v>
      </c>
      <c r="R14" s="191">
        <v>15.3</v>
      </c>
    </row>
    <row r="15" spans="1:18" x14ac:dyDescent="0.25">
      <c r="A15" s="164"/>
      <c r="B15" s="164"/>
      <c r="C15" s="53" t="s">
        <v>117</v>
      </c>
      <c r="D15" s="60">
        <v>2.2000000000000002</v>
      </c>
      <c r="E15" s="81">
        <f t="shared" si="2"/>
        <v>2.3036649214659688</v>
      </c>
      <c r="F15" s="53">
        <v>14</v>
      </c>
      <c r="G15" s="53">
        <v>12</v>
      </c>
      <c r="H15" s="53">
        <v>19</v>
      </c>
      <c r="I15" s="53">
        <v>18</v>
      </c>
      <c r="J15" s="53">
        <v>22</v>
      </c>
      <c r="K15" s="53">
        <v>24</v>
      </c>
      <c r="L15" s="53">
        <v>13</v>
      </c>
      <c r="M15" s="53">
        <v>10</v>
      </c>
      <c r="N15" s="53">
        <v>15</v>
      </c>
      <c r="O15" s="53">
        <v>14</v>
      </c>
      <c r="P15" s="54">
        <f t="shared" si="3"/>
        <v>16.100000000000001</v>
      </c>
      <c r="R15" s="193">
        <v>15</v>
      </c>
    </row>
    <row r="16" spans="1:18" x14ac:dyDescent="0.25">
      <c r="A16" s="164"/>
      <c r="B16" s="164"/>
      <c r="C16" s="58" t="s">
        <v>21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9">
        <f>AVERAGE(P12:P15)</f>
        <v>21.087499999999999</v>
      </c>
      <c r="R16" s="193">
        <v>13.4</v>
      </c>
    </row>
    <row r="17" spans="1:18" x14ac:dyDescent="0.25">
      <c r="A17" s="143" t="s">
        <v>7</v>
      </c>
      <c r="B17" s="143">
        <f>D17+D19+D18</f>
        <v>49.800000000000004</v>
      </c>
      <c r="C17" s="53" t="s">
        <v>117</v>
      </c>
      <c r="D17" s="54">
        <v>10.4</v>
      </c>
      <c r="E17" s="54">
        <f>D17*100/49.8</f>
        <v>20.883534136546185</v>
      </c>
      <c r="F17" s="53">
        <v>11</v>
      </c>
      <c r="G17" s="53">
        <v>10.5</v>
      </c>
      <c r="H17" s="53">
        <v>14</v>
      </c>
      <c r="I17" s="53">
        <v>11</v>
      </c>
      <c r="J17" s="53">
        <v>10</v>
      </c>
      <c r="K17" s="53">
        <v>11.5</v>
      </c>
      <c r="L17" s="53">
        <v>23</v>
      </c>
      <c r="M17" s="53">
        <v>10</v>
      </c>
      <c r="N17" s="53">
        <v>14</v>
      </c>
      <c r="O17" s="53">
        <v>14</v>
      </c>
      <c r="P17" s="53">
        <f>AVERAGE(F17:O17)</f>
        <v>12.9</v>
      </c>
      <c r="R17" s="193">
        <v>21.9</v>
      </c>
    </row>
    <row r="18" spans="1:18" x14ac:dyDescent="0.25">
      <c r="A18" s="144"/>
      <c r="B18" s="144"/>
      <c r="C18" s="53" t="s">
        <v>113</v>
      </c>
      <c r="D18" s="54">
        <v>20.100000000000001</v>
      </c>
      <c r="E18" s="89">
        <f>D18*100/49.8</f>
        <v>40.361445783132538</v>
      </c>
      <c r="F18" s="53">
        <v>14</v>
      </c>
      <c r="G18" s="53">
        <v>18</v>
      </c>
      <c r="H18" s="53">
        <v>19</v>
      </c>
      <c r="I18" s="53">
        <v>20</v>
      </c>
      <c r="J18" s="53">
        <v>19</v>
      </c>
      <c r="K18" s="53">
        <v>13</v>
      </c>
      <c r="L18" s="53">
        <v>13</v>
      </c>
      <c r="M18" s="53">
        <v>19</v>
      </c>
      <c r="N18" s="53">
        <v>10</v>
      </c>
      <c r="O18" s="53">
        <v>9.5</v>
      </c>
      <c r="P18" s="53">
        <f t="shared" ref="P18:P19" si="4">AVERAGE(F18:O18)</f>
        <v>15.45</v>
      </c>
      <c r="R18" s="193">
        <v>18.2</v>
      </c>
    </row>
    <row r="19" spans="1:18" x14ac:dyDescent="0.25">
      <c r="A19" s="144"/>
      <c r="B19" s="144"/>
      <c r="C19" s="56" t="s">
        <v>135</v>
      </c>
      <c r="D19" s="54">
        <v>19.3</v>
      </c>
      <c r="E19" s="54">
        <f t="shared" ref="E19" si="5">D19*100/49.8</f>
        <v>38.755020080321287</v>
      </c>
      <c r="F19" s="53">
        <v>12.5</v>
      </c>
      <c r="G19" s="53">
        <v>11.5</v>
      </c>
      <c r="H19" s="53">
        <v>27</v>
      </c>
      <c r="I19" s="53">
        <v>21</v>
      </c>
      <c r="J19" s="53">
        <v>25</v>
      </c>
      <c r="K19" s="53">
        <v>13</v>
      </c>
      <c r="L19" s="53">
        <v>4</v>
      </c>
      <c r="M19" s="53">
        <v>4</v>
      </c>
      <c r="N19" s="53">
        <v>5</v>
      </c>
      <c r="O19" s="53">
        <v>4</v>
      </c>
      <c r="P19" s="53">
        <f t="shared" si="4"/>
        <v>12.7</v>
      </c>
      <c r="R19" s="193">
        <v>22.2</v>
      </c>
    </row>
    <row r="20" spans="1:18" x14ac:dyDescent="0.25">
      <c r="A20" s="145"/>
      <c r="B20" s="145"/>
      <c r="C20" s="58" t="s">
        <v>21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>
        <f>AVERAGE(P17:P19)</f>
        <v>13.683333333333332</v>
      </c>
      <c r="R20" s="193">
        <v>27</v>
      </c>
    </row>
    <row r="21" spans="1:18" x14ac:dyDescent="0.25">
      <c r="A21" s="143" t="s">
        <v>8</v>
      </c>
      <c r="B21" s="143">
        <f>D21+D22+D23+D24+D25</f>
        <v>56.199999999999996</v>
      </c>
      <c r="C21" s="56" t="s">
        <v>135</v>
      </c>
      <c r="D21" s="53">
        <v>3.4</v>
      </c>
      <c r="E21" s="54">
        <f>D21*100/56.2</f>
        <v>6.0498220640569391</v>
      </c>
      <c r="F21" s="53">
        <v>28</v>
      </c>
      <c r="G21" s="53">
        <v>11</v>
      </c>
      <c r="H21" s="53">
        <v>13</v>
      </c>
      <c r="I21" s="53">
        <v>4.5</v>
      </c>
      <c r="J21" s="53">
        <v>9</v>
      </c>
      <c r="K21" s="53">
        <v>12</v>
      </c>
      <c r="L21" s="53">
        <v>10</v>
      </c>
      <c r="M21" s="53">
        <v>4.5</v>
      </c>
      <c r="N21" s="53">
        <v>4</v>
      </c>
      <c r="O21" s="53">
        <v>5</v>
      </c>
      <c r="P21" s="54">
        <f>AVERAGE(F21:O21)</f>
        <v>10.1</v>
      </c>
    </row>
    <row r="22" spans="1:18" x14ac:dyDescent="0.25">
      <c r="A22" s="144"/>
      <c r="B22" s="144"/>
      <c r="C22" s="53" t="s">
        <v>118</v>
      </c>
      <c r="D22" s="53">
        <v>6.6</v>
      </c>
      <c r="E22" s="54">
        <f t="shared" ref="E22:E25" si="6">D22*100/56.2</f>
        <v>11.743772241992882</v>
      </c>
      <c r="F22" s="53">
        <v>10</v>
      </c>
      <c r="G22" s="53">
        <v>9</v>
      </c>
      <c r="H22" s="53">
        <v>18</v>
      </c>
      <c r="I22" s="53">
        <v>45</v>
      </c>
      <c r="J22" s="53">
        <v>16</v>
      </c>
      <c r="K22" s="53">
        <v>18</v>
      </c>
      <c r="L22" s="53"/>
      <c r="M22" s="53"/>
      <c r="N22" s="53"/>
      <c r="O22" s="53"/>
      <c r="P22" s="54">
        <f t="shared" ref="P22:P25" si="7">AVERAGE(F22:O22)</f>
        <v>19.333333333333332</v>
      </c>
    </row>
    <row r="23" spans="1:18" ht="15.75" x14ac:dyDescent="0.25">
      <c r="A23" s="144"/>
      <c r="B23" s="144"/>
      <c r="C23" s="80" t="s">
        <v>136</v>
      </c>
      <c r="D23" s="53">
        <v>22.3</v>
      </c>
      <c r="E23" s="54">
        <f t="shared" si="6"/>
        <v>39.679715302491104</v>
      </c>
      <c r="F23" s="53">
        <v>26</v>
      </c>
      <c r="G23" s="53">
        <v>30</v>
      </c>
      <c r="H23" s="53">
        <v>21</v>
      </c>
      <c r="I23" s="53">
        <v>24</v>
      </c>
      <c r="J23" s="53">
        <v>25</v>
      </c>
      <c r="K23" s="53">
        <v>31</v>
      </c>
      <c r="L23" s="53">
        <v>21</v>
      </c>
      <c r="M23" s="53">
        <v>19</v>
      </c>
      <c r="N23" s="53">
        <v>20</v>
      </c>
      <c r="O23" s="53">
        <v>28</v>
      </c>
      <c r="P23" s="54">
        <f>AVERAGE(F23:O23)</f>
        <v>24.5</v>
      </c>
    </row>
    <row r="24" spans="1:18" x14ac:dyDescent="0.25">
      <c r="A24" s="144"/>
      <c r="B24" s="144"/>
      <c r="C24" s="53" t="s">
        <v>137</v>
      </c>
      <c r="D24" s="53">
        <v>15.4</v>
      </c>
      <c r="E24" s="54">
        <f t="shared" si="6"/>
        <v>27.402135231316723</v>
      </c>
      <c r="F24" s="53">
        <v>10</v>
      </c>
      <c r="G24" s="53">
        <v>11</v>
      </c>
      <c r="H24" s="53">
        <v>9</v>
      </c>
      <c r="I24" s="53">
        <v>15</v>
      </c>
      <c r="J24" s="53">
        <v>7</v>
      </c>
      <c r="K24" s="53">
        <v>10.5</v>
      </c>
      <c r="L24" s="53">
        <v>11</v>
      </c>
      <c r="M24" s="53">
        <v>7</v>
      </c>
      <c r="N24" s="53">
        <v>11</v>
      </c>
      <c r="O24" s="53">
        <v>10</v>
      </c>
      <c r="P24" s="54">
        <f t="shared" si="7"/>
        <v>10.15</v>
      </c>
    </row>
    <row r="25" spans="1:18" x14ac:dyDescent="0.25">
      <c r="A25" s="144"/>
      <c r="B25" s="144"/>
      <c r="C25" s="53" t="s">
        <v>121</v>
      </c>
      <c r="D25" s="53">
        <v>8.5</v>
      </c>
      <c r="E25" s="54">
        <f t="shared" si="6"/>
        <v>15.124555160142348</v>
      </c>
      <c r="F25" s="53">
        <v>5</v>
      </c>
      <c r="G25" s="53">
        <v>10</v>
      </c>
      <c r="H25" s="53">
        <v>16.5</v>
      </c>
      <c r="I25" s="53">
        <v>15</v>
      </c>
      <c r="J25" s="53">
        <v>8</v>
      </c>
      <c r="K25" s="53">
        <v>9</v>
      </c>
      <c r="L25" s="53">
        <v>7</v>
      </c>
      <c r="M25" s="53">
        <v>15</v>
      </c>
      <c r="N25" s="53">
        <v>19</v>
      </c>
      <c r="O25" s="53">
        <v>19</v>
      </c>
      <c r="P25" s="54">
        <f t="shared" si="7"/>
        <v>12.35</v>
      </c>
    </row>
    <row r="26" spans="1:18" x14ac:dyDescent="0.25">
      <c r="A26" s="145"/>
      <c r="B26" s="145"/>
      <c r="C26" s="58" t="s">
        <v>21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>
        <f>AVERAGE(P21:P25)</f>
        <v>15.286666666666665</v>
      </c>
    </row>
    <row r="27" spans="1:18" x14ac:dyDescent="0.25">
      <c r="A27" s="176" t="s">
        <v>125</v>
      </c>
      <c r="B27" s="176">
        <f>D27+D28+D29</f>
        <v>94.3</v>
      </c>
      <c r="C27" s="53" t="s">
        <v>121</v>
      </c>
      <c r="D27" s="60">
        <v>12.5</v>
      </c>
      <c r="E27" s="54">
        <f>D27*100/94.3</f>
        <v>13.255567338282079</v>
      </c>
      <c r="F27" s="53">
        <v>8</v>
      </c>
      <c r="G27" s="53">
        <v>11</v>
      </c>
      <c r="H27" s="53">
        <v>13</v>
      </c>
      <c r="I27" s="53">
        <v>11</v>
      </c>
      <c r="J27" s="53">
        <v>7</v>
      </c>
      <c r="K27" s="53">
        <v>8</v>
      </c>
      <c r="L27" s="53">
        <v>6</v>
      </c>
      <c r="M27" s="53">
        <v>5</v>
      </c>
      <c r="N27" s="53">
        <v>11</v>
      </c>
      <c r="O27" s="53">
        <v>10</v>
      </c>
      <c r="P27" s="54">
        <f>AVERAGE(F27:O27)</f>
        <v>9</v>
      </c>
    </row>
    <row r="28" spans="1:18" x14ac:dyDescent="0.25">
      <c r="A28" s="177"/>
      <c r="B28" s="177"/>
      <c r="C28" s="53" t="s">
        <v>117</v>
      </c>
      <c r="D28" s="60">
        <v>2.5</v>
      </c>
      <c r="E28" s="54">
        <f t="shared" ref="E28:E29" si="8">D28*100/94.3</f>
        <v>2.6511134676564159</v>
      </c>
      <c r="F28" s="53">
        <v>27</v>
      </c>
      <c r="G28" s="53">
        <v>25</v>
      </c>
      <c r="H28" s="53">
        <v>26</v>
      </c>
      <c r="I28" s="53">
        <v>23</v>
      </c>
      <c r="J28" s="53"/>
      <c r="K28" s="53"/>
      <c r="L28" s="53"/>
      <c r="M28" s="53"/>
      <c r="N28" s="53"/>
      <c r="O28" s="53"/>
      <c r="P28" s="54">
        <f t="shared" ref="P28:P29" si="9">AVERAGE(F28:O28)</f>
        <v>25.25</v>
      </c>
    </row>
    <row r="29" spans="1:18" x14ac:dyDescent="0.25">
      <c r="A29" s="177"/>
      <c r="B29" s="177"/>
      <c r="C29" s="56" t="s">
        <v>135</v>
      </c>
      <c r="D29" s="60">
        <v>79.3</v>
      </c>
      <c r="E29" s="54">
        <f t="shared" si="8"/>
        <v>84.093319194061507</v>
      </c>
      <c r="F29" s="53">
        <v>21</v>
      </c>
      <c r="G29" s="53">
        <v>29</v>
      </c>
      <c r="H29" s="53">
        <v>28</v>
      </c>
      <c r="I29" s="53">
        <v>7</v>
      </c>
      <c r="J29" s="53">
        <v>3</v>
      </c>
      <c r="K29" s="53">
        <v>15</v>
      </c>
      <c r="L29" s="53">
        <v>11</v>
      </c>
      <c r="M29" s="53">
        <v>6.5</v>
      </c>
      <c r="N29" s="53">
        <v>7</v>
      </c>
      <c r="O29" s="53">
        <v>6</v>
      </c>
      <c r="P29" s="54">
        <f t="shared" si="9"/>
        <v>13.35</v>
      </c>
    </row>
    <row r="30" spans="1:18" x14ac:dyDescent="0.25">
      <c r="A30" s="178"/>
      <c r="B30" s="178"/>
      <c r="C30" s="58" t="s">
        <v>21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9">
        <f>AVERAGE(P25:P29)</f>
        <v>15.047333333333333</v>
      </c>
    </row>
    <row r="31" spans="1:18" x14ac:dyDescent="0.25">
      <c r="A31" s="143" t="s">
        <v>120</v>
      </c>
      <c r="B31" s="143">
        <f>D31+D32</f>
        <v>50.2</v>
      </c>
      <c r="C31" s="53" t="s">
        <v>121</v>
      </c>
      <c r="D31" s="60">
        <v>1.5</v>
      </c>
      <c r="E31" s="81">
        <f>D31*100/50.2</f>
        <v>2.9880478087649402</v>
      </c>
      <c r="F31" s="53">
        <v>18</v>
      </c>
      <c r="G31" s="53">
        <v>13</v>
      </c>
      <c r="H31" s="53">
        <v>6</v>
      </c>
      <c r="I31" s="53"/>
      <c r="J31" s="53"/>
      <c r="K31" s="53"/>
      <c r="L31" s="53"/>
      <c r="M31" s="53"/>
      <c r="N31" s="53"/>
      <c r="O31" s="53"/>
      <c r="P31" s="54">
        <f>AVERAGE(F31:O31)</f>
        <v>12.333333333333334</v>
      </c>
    </row>
    <row r="32" spans="1:18" ht="15.75" x14ac:dyDescent="0.25">
      <c r="A32" s="144"/>
      <c r="B32" s="144"/>
      <c r="C32" s="50" t="s">
        <v>138</v>
      </c>
      <c r="D32" s="60">
        <v>48.7</v>
      </c>
      <c r="E32" s="81">
        <f>D32*100/50.2</f>
        <v>97.011952191235054</v>
      </c>
      <c r="F32" s="53">
        <v>23</v>
      </c>
      <c r="G32" s="53">
        <v>6</v>
      </c>
      <c r="H32" s="53">
        <v>13</v>
      </c>
      <c r="I32" s="53">
        <v>11</v>
      </c>
      <c r="J32" s="53">
        <v>23</v>
      </c>
      <c r="K32" s="53">
        <v>23</v>
      </c>
      <c r="L32" s="53">
        <v>6.5</v>
      </c>
      <c r="M32" s="53">
        <v>14</v>
      </c>
      <c r="N32" s="53">
        <v>15</v>
      </c>
      <c r="O32" s="53">
        <v>10</v>
      </c>
      <c r="P32" s="54">
        <f>AVERAGE(F32:O32)</f>
        <v>14.45</v>
      </c>
    </row>
    <row r="33" spans="1:16" x14ac:dyDescent="0.25">
      <c r="A33" s="145"/>
      <c r="B33" s="145"/>
      <c r="C33" s="58" t="s">
        <v>21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>
        <f>AVERAGE(P31:P32)</f>
        <v>13.391666666666666</v>
      </c>
    </row>
    <row r="34" spans="1:16" x14ac:dyDescent="0.25">
      <c r="A34" s="143" t="s">
        <v>122</v>
      </c>
      <c r="B34" s="176">
        <f>D34+D35+D36+D37</f>
        <v>32.85</v>
      </c>
      <c r="C34" s="53" t="s">
        <v>113</v>
      </c>
      <c r="D34" s="61">
        <v>18.350000000000001</v>
      </c>
      <c r="E34" s="61">
        <f>D34*100/32.85</f>
        <v>55.859969558599701</v>
      </c>
      <c r="F34" s="61">
        <v>15</v>
      </c>
      <c r="G34" s="61">
        <v>10</v>
      </c>
      <c r="H34" s="61">
        <v>11</v>
      </c>
      <c r="I34" s="61">
        <v>18</v>
      </c>
      <c r="J34" s="61">
        <v>10</v>
      </c>
      <c r="K34" s="61">
        <v>19.5</v>
      </c>
      <c r="L34" s="61">
        <v>20.5</v>
      </c>
      <c r="M34" s="61">
        <v>14</v>
      </c>
      <c r="N34" s="61">
        <v>13</v>
      </c>
      <c r="O34" s="61">
        <v>13</v>
      </c>
      <c r="P34" s="61">
        <f>AVERAGE(F34:O34)</f>
        <v>14.4</v>
      </c>
    </row>
    <row r="35" spans="1:16" ht="15.75" x14ac:dyDescent="0.25">
      <c r="A35" s="144"/>
      <c r="B35" s="177"/>
      <c r="C35" s="50" t="s">
        <v>139</v>
      </c>
      <c r="D35" s="61">
        <v>6</v>
      </c>
      <c r="E35" s="61">
        <f t="shared" ref="E35:E37" si="10">D35*100/32.85</f>
        <v>18.264840182648403</v>
      </c>
      <c r="F35" s="61">
        <v>6</v>
      </c>
      <c r="G35" s="61">
        <v>45</v>
      </c>
      <c r="H35" s="61">
        <v>46</v>
      </c>
      <c r="I35" s="61">
        <v>43</v>
      </c>
      <c r="J35" s="61">
        <v>40</v>
      </c>
      <c r="K35" s="61">
        <v>42.5</v>
      </c>
      <c r="L35" s="54"/>
      <c r="M35" s="54"/>
      <c r="N35" s="54"/>
      <c r="O35" s="54"/>
      <c r="P35" s="61">
        <f t="shared" ref="P35:P37" si="11">AVERAGE(F35:O35)</f>
        <v>37.083333333333336</v>
      </c>
    </row>
    <row r="36" spans="1:16" x14ac:dyDescent="0.25">
      <c r="A36" s="144"/>
      <c r="B36" s="177"/>
      <c r="C36" s="53" t="s">
        <v>118</v>
      </c>
      <c r="D36" s="61">
        <v>6.35</v>
      </c>
      <c r="E36" s="61">
        <f t="shared" si="10"/>
        <v>19.330289193302892</v>
      </c>
      <c r="F36" s="61">
        <v>6.35</v>
      </c>
      <c r="G36" s="61">
        <v>21</v>
      </c>
      <c r="H36" s="61">
        <v>18</v>
      </c>
      <c r="I36" s="61">
        <v>19.5</v>
      </c>
      <c r="J36" s="61">
        <v>21.5</v>
      </c>
      <c r="K36" s="61">
        <v>25</v>
      </c>
      <c r="L36" s="61">
        <v>31</v>
      </c>
      <c r="M36" s="61">
        <v>33</v>
      </c>
      <c r="N36" s="61">
        <v>29.5</v>
      </c>
      <c r="O36" s="54"/>
      <c r="P36" s="61">
        <f t="shared" si="11"/>
        <v>22.761111111111109</v>
      </c>
    </row>
    <row r="37" spans="1:16" x14ac:dyDescent="0.25">
      <c r="A37" s="144"/>
      <c r="B37" s="177"/>
      <c r="C37" s="53" t="s">
        <v>117</v>
      </c>
      <c r="D37" s="61">
        <v>2.15</v>
      </c>
      <c r="E37" s="61">
        <f t="shared" si="10"/>
        <v>6.5449010654490101</v>
      </c>
      <c r="F37" s="61">
        <v>14</v>
      </c>
      <c r="G37" s="61">
        <v>9.5</v>
      </c>
      <c r="H37" s="61">
        <v>9</v>
      </c>
      <c r="I37" s="61">
        <v>27</v>
      </c>
      <c r="J37" s="61">
        <v>12</v>
      </c>
      <c r="K37" s="61">
        <v>20</v>
      </c>
      <c r="L37" s="61">
        <v>9</v>
      </c>
      <c r="M37" s="61">
        <v>7</v>
      </c>
      <c r="N37" s="54"/>
      <c r="O37" s="54"/>
      <c r="P37" s="61">
        <f t="shared" si="11"/>
        <v>13.4375</v>
      </c>
    </row>
    <row r="38" spans="1:16" x14ac:dyDescent="0.25">
      <c r="A38" s="145"/>
      <c r="B38" s="178"/>
      <c r="C38" s="58" t="s">
        <v>21</v>
      </c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59">
        <f>AVERAGE(P34:P37)</f>
        <v>21.92048611111111</v>
      </c>
    </row>
    <row r="39" spans="1:16" ht="15.75" x14ac:dyDescent="0.25">
      <c r="A39" s="143" t="s">
        <v>12</v>
      </c>
      <c r="B39" s="143">
        <f>D39+D40+D41+D42+D43+D44</f>
        <v>89.670000000000016</v>
      </c>
      <c r="C39" s="80" t="s">
        <v>136</v>
      </c>
      <c r="D39" s="61">
        <v>2.33</v>
      </c>
      <c r="E39" s="61">
        <f>D39*100/89.67</f>
        <v>2.5984164157466263</v>
      </c>
      <c r="F39" s="61">
        <v>7</v>
      </c>
      <c r="G39" s="61">
        <v>3</v>
      </c>
      <c r="H39" s="61">
        <v>4</v>
      </c>
      <c r="I39" s="61">
        <v>4</v>
      </c>
      <c r="J39" s="54"/>
      <c r="K39" s="54"/>
      <c r="L39" s="54"/>
      <c r="M39" s="54"/>
      <c r="N39" s="54"/>
      <c r="O39" s="54"/>
      <c r="P39" s="61">
        <f>AVERAGE(F39:O39)</f>
        <v>4.5</v>
      </c>
    </row>
    <row r="40" spans="1:16" x14ac:dyDescent="0.25">
      <c r="A40" s="144"/>
      <c r="B40" s="144"/>
      <c r="C40" s="53" t="s">
        <v>118</v>
      </c>
      <c r="D40" s="61">
        <v>11.9</v>
      </c>
      <c r="E40" s="61">
        <f t="shared" ref="E40:E44" si="12">D40*100/89.67</f>
        <v>13.27088212334114</v>
      </c>
      <c r="F40" s="61">
        <v>12</v>
      </c>
      <c r="G40" s="61">
        <v>8</v>
      </c>
      <c r="H40" s="61">
        <v>6</v>
      </c>
      <c r="I40" s="61">
        <v>6</v>
      </c>
      <c r="J40" s="61">
        <v>10</v>
      </c>
      <c r="K40" s="61">
        <v>15</v>
      </c>
      <c r="L40" s="61">
        <v>13</v>
      </c>
      <c r="M40" s="61">
        <v>11</v>
      </c>
      <c r="N40" s="61">
        <v>13</v>
      </c>
      <c r="O40" s="61">
        <v>8</v>
      </c>
      <c r="P40" s="61">
        <f t="shared" ref="P40:P44" si="13">AVERAGE(F40:O40)</f>
        <v>10.199999999999999</v>
      </c>
    </row>
    <row r="41" spans="1:16" x14ac:dyDescent="0.25">
      <c r="A41" s="144"/>
      <c r="B41" s="144"/>
      <c r="C41" s="53" t="s">
        <v>117</v>
      </c>
      <c r="D41" s="61">
        <v>4.84</v>
      </c>
      <c r="E41" s="61">
        <f t="shared" si="12"/>
        <v>5.397568863611018</v>
      </c>
      <c r="F41" s="61">
        <v>15</v>
      </c>
      <c r="G41" s="61">
        <v>10</v>
      </c>
      <c r="H41" s="61">
        <v>15</v>
      </c>
      <c r="I41" s="61">
        <v>11</v>
      </c>
      <c r="J41" s="61">
        <v>10</v>
      </c>
      <c r="K41" s="61">
        <v>8</v>
      </c>
      <c r="L41" s="61">
        <v>8</v>
      </c>
      <c r="M41" s="54"/>
      <c r="N41" s="54"/>
      <c r="O41" s="54"/>
      <c r="P41" s="61">
        <f t="shared" si="13"/>
        <v>11</v>
      </c>
    </row>
    <row r="42" spans="1:16" ht="15.75" x14ac:dyDescent="0.25">
      <c r="A42" s="144"/>
      <c r="B42" s="144"/>
      <c r="C42" s="50" t="s">
        <v>139</v>
      </c>
      <c r="D42" s="61">
        <v>4.0999999999999996</v>
      </c>
      <c r="E42" s="61">
        <f t="shared" si="12"/>
        <v>4.5723207315713159</v>
      </c>
      <c r="F42" s="61">
        <v>13</v>
      </c>
      <c r="G42" s="61">
        <v>20</v>
      </c>
      <c r="H42" s="61">
        <v>24</v>
      </c>
      <c r="I42" s="61">
        <v>12</v>
      </c>
      <c r="J42" s="54"/>
      <c r="K42" s="54"/>
      <c r="L42" s="54"/>
      <c r="M42" s="54"/>
      <c r="N42" s="54"/>
      <c r="O42" s="54"/>
      <c r="P42" s="61">
        <f t="shared" si="13"/>
        <v>17.25</v>
      </c>
    </row>
    <row r="43" spans="1:16" x14ac:dyDescent="0.25">
      <c r="A43" s="144"/>
      <c r="B43" s="144"/>
      <c r="C43" s="56" t="s">
        <v>135</v>
      </c>
      <c r="D43" s="61">
        <v>47.6</v>
      </c>
      <c r="E43" s="61">
        <f t="shared" si="12"/>
        <v>53.083528493364561</v>
      </c>
      <c r="F43" s="61">
        <v>32</v>
      </c>
      <c r="G43" s="61">
        <v>9</v>
      </c>
      <c r="H43" s="61">
        <v>7</v>
      </c>
      <c r="I43" s="61">
        <v>7</v>
      </c>
      <c r="J43" s="61">
        <v>23</v>
      </c>
      <c r="K43" s="61">
        <v>18</v>
      </c>
      <c r="L43" s="61">
        <v>35</v>
      </c>
      <c r="M43" s="61">
        <v>12</v>
      </c>
      <c r="N43" s="61">
        <v>12</v>
      </c>
      <c r="O43" s="61">
        <v>31</v>
      </c>
      <c r="P43" s="61">
        <v>30</v>
      </c>
    </row>
    <row r="44" spans="1:16" x14ac:dyDescent="0.25">
      <c r="A44" s="144"/>
      <c r="B44" s="144"/>
      <c r="C44" s="53" t="s">
        <v>113</v>
      </c>
      <c r="D44" s="61">
        <v>18.899999999999999</v>
      </c>
      <c r="E44" s="61">
        <f t="shared" si="12"/>
        <v>21.077283372365336</v>
      </c>
      <c r="F44" s="61">
        <v>14</v>
      </c>
      <c r="G44" s="61">
        <v>13</v>
      </c>
      <c r="H44" s="61">
        <v>13</v>
      </c>
      <c r="I44" s="61">
        <v>12</v>
      </c>
      <c r="J44" s="61">
        <v>8</v>
      </c>
      <c r="K44" s="61">
        <v>23</v>
      </c>
      <c r="L44" s="61">
        <v>18.5</v>
      </c>
      <c r="M44" s="61">
        <v>10</v>
      </c>
      <c r="N44" s="61">
        <v>18</v>
      </c>
      <c r="O44" s="61">
        <v>17</v>
      </c>
      <c r="P44" s="61">
        <f t="shared" si="13"/>
        <v>14.65</v>
      </c>
    </row>
    <row r="45" spans="1:16" x14ac:dyDescent="0.25">
      <c r="A45" s="145"/>
      <c r="B45" s="145"/>
      <c r="C45" s="83" t="s">
        <v>21</v>
      </c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59">
        <f>AVERAGE(P41:P44)</f>
        <v>18.225000000000001</v>
      </c>
    </row>
    <row r="46" spans="1:16" x14ac:dyDescent="0.25">
      <c r="A46" s="143" t="s">
        <v>9</v>
      </c>
      <c r="B46" s="143">
        <v>33.200000000000003</v>
      </c>
      <c r="C46" s="53" t="s">
        <v>126</v>
      </c>
      <c r="D46" s="54">
        <v>32</v>
      </c>
      <c r="E46" s="54">
        <f>D46*100/33.2</f>
        <v>96.385542168674689</v>
      </c>
      <c r="F46" s="54">
        <v>32</v>
      </c>
      <c r="G46" s="54">
        <v>32</v>
      </c>
      <c r="H46" s="54">
        <v>26.5</v>
      </c>
      <c r="I46" s="54">
        <v>33</v>
      </c>
      <c r="J46" s="54">
        <v>37</v>
      </c>
      <c r="K46" s="54">
        <v>31</v>
      </c>
      <c r="L46" s="54">
        <v>24</v>
      </c>
      <c r="M46" s="54">
        <v>11</v>
      </c>
      <c r="N46" s="54">
        <v>7</v>
      </c>
      <c r="O46" s="54">
        <v>29</v>
      </c>
      <c r="P46" s="54">
        <f>AVERAGE(F46:O46)</f>
        <v>26.25</v>
      </c>
    </row>
    <row r="47" spans="1:16" x14ac:dyDescent="0.25">
      <c r="A47" s="144"/>
      <c r="B47" s="144"/>
      <c r="C47" s="53" t="s">
        <v>117</v>
      </c>
      <c r="D47" s="54">
        <v>1.2</v>
      </c>
      <c r="E47" s="54">
        <f>D47*100/B46</f>
        <v>3.6144578313253009</v>
      </c>
      <c r="F47" s="54">
        <v>25</v>
      </c>
      <c r="G47" s="54">
        <v>11</v>
      </c>
      <c r="H47" s="54">
        <v>17</v>
      </c>
      <c r="I47" s="54">
        <v>19.5</v>
      </c>
      <c r="J47" s="54"/>
      <c r="K47" s="54"/>
      <c r="L47" s="54"/>
      <c r="M47" s="54"/>
      <c r="N47" s="54"/>
      <c r="O47" s="54"/>
      <c r="P47" s="54">
        <f>AVERAGE(F47:O47)</f>
        <v>18.125</v>
      </c>
    </row>
    <row r="48" spans="1:16" x14ac:dyDescent="0.25">
      <c r="A48" s="145"/>
      <c r="B48" s="145"/>
      <c r="C48" s="58" t="s">
        <v>21</v>
      </c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59">
        <f>AVERAGE(P46:P47)</f>
        <v>22.1875</v>
      </c>
    </row>
    <row r="49" spans="1:16" x14ac:dyDescent="0.25">
      <c r="A49" s="143" t="s">
        <v>127</v>
      </c>
      <c r="B49" s="143">
        <f>D49+D50+D51</f>
        <v>180.4</v>
      </c>
      <c r="C49" s="53" t="s">
        <v>117</v>
      </c>
      <c r="D49" s="54">
        <v>168.5</v>
      </c>
      <c r="E49" s="54">
        <f>D49*100/180.4</f>
        <v>93.403547671840357</v>
      </c>
      <c r="F49" s="54">
        <v>45</v>
      </c>
      <c r="G49" s="54">
        <v>46</v>
      </c>
      <c r="H49" s="54">
        <v>44</v>
      </c>
      <c r="I49" s="54">
        <v>51</v>
      </c>
      <c r="J49" s="54">
        <v>30</v>
      </c>
      <c r="K49" s="54">
        <v>28</v>
      </c>
      <c r="L49" s="54">
        <v>20</v>
      </c>
      <c r="M49" s="54">
        <v>21</v>
      </c>
      <c r="N49" s="54">
        <v>40</v>
      </c>
      <c r="O49" s="54">
        <v>43</v>
      </c>
      <c r="P49" s="54">
        <f>AVERAGE(F49:O49)</f>
        <v>36.799999999999997</v>
      </c>
    </row>
    <row r="50" spans="1:16" x14ac:dyDescent="0.25">
      <c r="A50" s="144"/>
      <c r="B50" s="144"/>
      <c r="C50" s="53" t="s">
        <v>126</v>
      </c>
      <c r="D50" s="54">
        <v>6.1</v>
      </c>
      <c r="E50" s="54">
        <f t="shared" ref="E50:E51" si="14">D50*100/180.4</f>
        <v>3.3813747228381374</v>
      </c>
      <c r="F50" s="54">
        <v>27</v>
      </c>
      <c r="G50" s="54">
        <v>29</v>
      </c>
      <c r="H50" s="54">
        <v>22</v>
      </c>
      <c r="I50" s="54">
        <v>16</v>
      </c>
      <c r="J50" s="54">
        <v>10</v>
      </c>
      <c r="K50" s="54">
        <v>23</v>
      </c>
      <c r="L50" s="54">
        <v>25</v>
      </c>
      <c r="M50" s="54">
        <v>19</v>
      </c>
      <c r="N50" s="54">
        <v>15</v>
      </c>
      <c r="O50" s="54">
        <v>22</v>
      </c>
      <c r="P50" s="54">
        <f t="shared" ref="P50:P51" si="15">AVERAGE(F50:O50)</f>
        <v>20.8</v>
      </c>
    </row>
    <row r="51" spans="1:16" x14ac:dyDescent="0.25">
      <c r="A51" s="144"/>
      <c r="B51" s="144"/>
      <c r="C51" s="56" t="s">
        <v>135</v>
      </c>
      <c r="D51" s="54">
        <v>5.8</v>
      </c>
      <c r="E51" s="54">
        <f t="shared" si="14"/>
        <v>3.2150776053215075</v>
      </c>
      <c r="F51" s="54">
        <v>18</v>
      </c>
      <c r="G51" s="54">
        <v>27</v>
      </c>
      <c r="H51" s="54">
        <v>28</v>
      </c>
      <c r="I51" s="54">
        <v>20</v>
      </c>
      <c r="J51" s="54">
        <v>15</v>
      </c>
      <c r="K51" s="54">
        <v>31</v>
      </c>
      <c r="L51" s="54">
        <v>24</v>
      </c>
      <c r="M51" s="54">
        <v>25</v>
      </c>
      <c r="N51" s="54"/>
      <c r="O51" s="54"/>
      <c r="P51" s="54">
        <f t="shared" si="15"/>
        <v>23.5</v>
      </c>
    </row>
    <row r="52" spans="1:16" x14ac:dyDescent="0.25">
      <c r="A52" s="145"/>
      <c r="B52" s="145"/>
      <c r="C52" s="58" t="s">
        <v>21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59">
        <f>AVERAGE(P49:P51)</f>
        <v>27.033333333333331</v>
      </c>
    </row>
    <row r="53" spans="1:16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</row>
    <row r="54" spans="1:16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</row>
    <row r="55" spans="1:16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</row>
    <row r="56" spans="1:16" x14ac:dyDescent="0.25">
      <c r="A56" s="84"/>
      <c r="B56" s="84"/>
      <c r="C56" s="73" t="s">
        <v>128</v>
      </c>
      <c r="D56" s="74">
        <v>1</v>
      </c>
      <c r="E56" s="74">
        <v>2</v>
      </c>
      <c r="F56" s="74">
        <v>3</v>
      </c>
      <c r="G56" s="74">
        <v>4</v>
      </c>
      <c r="H56" s="74">
        <v>5</v>
      </c>
      <c r="I56" s="74">
        <v>6</v>
      </c>
      <c r="J56" s="74">
        <v>7</v>
      </c>
      <c r="K56" s="74">
        <v>8</v>
      </c>
      <c r="L56" s="74">
        <v>9</v>
      </c>
      <c r="M56" s="75">
        <v>10</v>
      </c>
      <c r="N56" s="76" t="s">
        <v>21</v>
      </c>
      <c r="O56" s="84"/>
      <c r="P56" s="84"/>
    </row>
    <row r="57" spans="1:16" x14ac:dyDescent="0.25">
      <c r="A57" s="84"/>
      <c r="B57" s="84"/>
      <c r="C57" s="63" t="s">
        <v>116</v>
      </c>
      <c r="D57" s="85">
        <v>2.7695351137487636</v>
      </c>
      <c r="E57" s="85">
        <v>0</v>
      </c>
      <c r="F57" s="85">
        <v>0</v>
      </c>
      <c r="G57" s="85">
        <v>0</v>
      </c>
      <c r="H57" s="85">
        <v>0</v>
      </c>
      <c r="I57" s="85">
        <v>0</v>
      </c>
      <c r="J57" s="85">
        <v>0</v>
      </c>
      <c r="K57" s="85">
        <v>0</v>
      </c>
      <c r="L57" s="85">
        <v>0</v>
      </c>
      <c r="M57" s="85">
        <v>0</v>
      </c>
      <c r="N57" s="85">
        <f t="shared" ref="N57:N67" si="16">AVERAGE(D57:M57)</f>
        <v>0.27695351137487634</v>
      </c>
      <c r="O57" s="84"/>
      <c r="P57" s="84"/>
    </row>
    <row r="58" spans="1:16" x14ac:dyDescent="0.25">
      <c r="A58" s="84"/>
      <c r="B58" s="84"/>
      <c r="C58" s="63" t="s">
        <v>117</v>
      </c>
      <c r="D58" s="85">
        <f>$E$9</f>
        <v>0.79129574678536108</v>
      </c>
      <c r="E58" s="85">
        <v>2.3036649214659688</v>
      </c>
      <c r="F58" s="85">
        <v>20.883534136546185</v>
      </c>
      <c r="G58" s="85">
        <v>0</v>
      </c>
      <c r="H58" s="85">
        <v>3.6144578313253009</v>
      </c>
      <c r="I58" s="85">
        <v>0</v>
      </c>
      <c r="J58" s="85">
        <v>6.5449010654490101</v>
      </c>
      <c r="K58" s="85">
        <v>5.397568863611018</v>
      </c>
      <c r="L58" s="85">
        <v>2.6511134676564159</v>
      </c>
      <c r="M58" s="85">
        <v>93.403547671840357</v>
      </c>
      <c r="N58" s="85">
        <f t="shared" si="16"/>
        <v>13.559008370467961</v>
      </c>
      <c r="O58" s="84"/>
      <c r="P58" s="84"/>
    </row>
    <row r="59" spans="1:16" x14ac:dyDescent="0.25">
      <c r="A59" s="84"/>
      <c r="B59" s="84"/>
      <c r="C59" s="63" t="s">
        <v>140</v>
      </c>
      <c r="D59" s="85">
        <v>0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18.264840182648403</v>
      </c>
      <c r="K59" s="85">
        <v>4.5723207315713159</v>
      </c>
      <c r="L59" s="85">
        <v>0</v>
      </c>
      <c r="M59" s="85">
        <v>0</v>
      </c>
      <c r="N59" s="85">
        <f t="shared" si="16"/>
        <v>2.2837160914219718</v>
      </c>
      <c r="O59" s="84"/>
      <c r="P59" s="84"/>
    </row>
    <row r="60" spans="1:16" x14ac:dyDescent="0.25">
      <c r="A60" s="84"/>
      <c r="B60" s="84"/>
      <c r="C60" s="63" t="s">
        <v>118</v>
      </c>
      <c r="D60" s="85">
        <v>29.772502472799211</v>
      </c>
      <c r="E60" s="85">
        <v>0</v>
      </c>
      <c r="F60" s="85">
        <v>0</v>
      </c>
      <c r="G60" s="85">
        <v>11.743772241992882</v>
      </c>
      <c r="H60" s="85">
        <v>0</v>
      </c>
      <c r="I60" s="85">
        <v>0</v>
      </c>
      <c r="J60" s="85">
        <v>19.330289193302892</v>
      </c>
      <c r="K60" s="85">
        <v>13.27088212334114</v>
      </c>
      <c r="L60" s="85">
        <v>0</v>
      </c>
      <c r="M60" s="85">
        <v>0</v>
      </c>
      <c r="N60" s="85">
        <f t="shared" si="16"/>
        <v>7.4117446031436121</v>
      </c>
      <c r="O60" s="84"/>
      <c r="P60" s="84"/>
    </row>
    <row r="61" spans="1:16" x14ac:dyDescent="0.25">
      <c r="A61" s="84"/>
      <c r="B61" s="84"/>
      <c r="C61" s="63" t="s">
        <v>132</v>
      </c>
      <c r="D61" s="85">
        <v>0</v>
      </c>
      <c r="E61" s="85">
        <v>35.287958115183251</v>
      </c>
      <c r="F61" s="86">
        <f>D18*100/49.8</f>
        <v>40.361445783132538</v>
      </c>
      <c r="G61" s="85">
        <v>0</v>
      </c>
      <c r="H61" s="85">
        <v>0</v>
      </c>
      <c r="I61" s="85">
        <v>0</v>
      </c>
      <c r="J61" s="85">
        <v>55.859969558599701</v>
      </c>
      <c r="K61" s="85">
        <v>21.077283372365336</v>
      </c>
      <c r="L61" s="85">
        <v>0</v>
      </c>
      <c r="M61" s="85">
        <v>0</v>
      </c>
      <c r="N61" s="85">
        <f t="shared" si="16"/>
        <v>15.258665682928086</v>
      </c>
      <c r="O61" s="84"/>
      <c r="P61" s="84"/>
    </row>
    <row r="62" spans="1:16" x14ac:dyDescent="0.25">
      <c r="A62" s="84"/>
      <c r="B62" s="84"/>
      <c r="C62" s="53" t="s">
        <v>137</v>
      </c>
      <c r="D62" s="85">
        <v>0</v>
      </c>
      <c r="E62" s="85">
        <v>0</v>
      </c>
      <c r="F62" s="85">
        <v>0</v>
      </c>
      <c r="G62" s="85">
        <v>27.402135231316723</v>
      </c>
      <c r="H62" s="85">
        <v>0</v>
      </c>
      <c r="I62" s="85">
        <v>0</v>
      </c>
      <c r="J62" s="85">
        <v>0</v>
      </c>
      <c r="K62" s="85">
        <v>0</v>
      </c>
      <c r="L62" s="85">
        <v>0</v>
      </c>
      <c r="M62" s="85">
        <v>0</v>
      </c>
      <c r="N62" s="85">
        <f t="shared" si="16"/>
        <v>2.7402135231316724</v>
      </c>
      <c r="O62" s="84"/>
      <c r="P62" s="84"/>
    </row>
    <row r="63" spans="1:16" x14ac:dyDescent="0.25">
      <c r="A63" s="84"/>
      <c r="B63" s="84"/>
      <c r="C63" s="53" t="s">
        <v>121</v>
      </c>
      <c r="D63" s="85">
        <v>0.29673590504451042</v>
      </c>
      <c r="E63" s="85">
        <v>0</v>
      </c>
      <c r="F63" s="85">
        <v>0</v>
      </c>
      <c r="G63" s="85">
        <v>15.124555160142348</v>
      </c>
      <c r="H63" s="85">
        <v>0</v>
      </c>
      <c r="I63" s="85">
        <v>2.9880478087649402</v>
      </c>
      <c r="J63" s="85">
        <v>0</v>
      </c>
      <c r="K63" s="85">
        <v>0</v>
      </c>
      <c r="L63" s="85">
        <v>13.3</v>
      </c>
      <c r="M63" s="85">
        <v>0</v>
      </c>
      <c r="N63" s="85">
        <f t="shared" si="16"/>
        <v>3.1709338873951802</v>
      </c>
      <c r="O63" s="84"/>
      <c r="P63" s="84"/>
    </row>
    <row r="64" spans="1:16" x14ac:dyDescent="0.25">
      <c r="A64" s="84"/>
      <c r="B64" s="84"/>
      <c r="C64" s="63" t="s">
        <v>141</v>
      </c>
      <c r="D64" s="85">
        <v>0</v>
      </c>
      <c r="E64" s="85">
        <v>23.560209424083769</v>
      </c>
      <c r="F64" s="85">
        <v>0</v>
      </c>
      <c r="G64" s="85">
        <v>39.679715302491104</v>
      </c>
      <c r="H64" s="85">
        <v>0</v>
      </c>
      <c r="I64" s="85">
        <v>0</v>
      </c>
      <c r="J64" s="85">
        <v>0</v>
      </c>
      <c r="K64" s="85">
        <v>2.5984164157466263</v>
      </c>
      <c r="L64" s="85">
        <v>0</v>
      </c>
      <c r="M64" s="85">
        <v>0</v>
      </c>
      <c r="N64" s="85">
        <f t="shared" si="16"/>
        <v>6.5838341142321495</v>
      </c>
      <c r="O64" s="84"/>
      <c r="P64" s="84"/>
    </row>
    <row r="65" spans="1:16" x14ac:dyDescent="0.25">
      <c r="A65" s="84"/>
      <c r="B65" s="84"/>
      <c r="C65" s="63" t="s">
        <v>142</v>
      </c>
      <c r="D65" s="85">
        <v>38.081107814045502</v>
      </c>
      <c r="E65" s="85">
        <v>38.848167539267017</v>
      </c>
      <c r="F65" s="85">
        <v>0</v>
      </c>
      <c r="G65" s="85">
        <v>0</v>
      </c>
      <c r="H65" s="85">
        <v>96.385542168674689</v>
      </c>
      <c r="I65" s="85">
        <v>0</v>
      </c>
      <c r="J65" s="85">
        <v>0</v>
      </c>
      <c r="K65" s="85">
        <v>0</v>
      </c>
      <c r="L65" s="85">
        <v>0</v>
      </c>
      <c r="M65" s="85">
        <v>3.3813747228381374</v>
      </c>
      <c r="N65" s="85">
        <f t="shared" si="16"/>
        <v>17.669619224482535</v>
      </c>
      <c r="O65" s="84"/>
      <c r="P65" s="84"/>
    </row>
    <row r="66" spans="1:16" x14ac:dyDescent="0.25">
      <c r="A66" s="84"/>
      <c r="B66" s="84"/>
      <c r="C66" s="63" t="s">
        <v>115</v>
      </c>
      <c r="D66" s="85">
        <v>28.288822947576659</v>
      </c>
      <c r="E66" s="85">
        <v>0</v>
      </c>
      <c r="F66" s="85">
        <v>38.755020080321287</v>
      </c>
      <c r="G66" s="85">
        <v>6.0498220640569391</v>
      </c>
      <c r="H66" s="85">
        <v>0</v>
      </c>
      <c r="I66" s="85">
        <v>0</v>
      </c>
      <c r="J66" s="85">
        <v>0</v>
      </c>
      <c r="K66" s="85">
        <v>53.083528493364561</v>
      </c>
      <c r="L66" s="85">
        <v>84.093319194061507</v>
      </c>
      <c r="M66" s="85">
        <v>3.2150776053215075</v>
      </c>
      <c r="N66" s="85">
        <f t="shared" si="16"/>
        <v>21.348559038470249</v>
      </c>
      <c r="O66" s="84"/>
      <c r="P66" s="84"/>
    </row>
    <row r="67" spans="1:16" x14ac:dyDescent="0.25">
      <c r="A67" s="84"/>
      <c r="B67" s="84"/>
      <c r="C67" s="63" t="s">
        <v>134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5">
        <v>97.011952191235054</v>
      </c>
      <c r="J67" s="85">
        <v>0</v>
      </c>
      <c r="K67" s="85">
        <v>0</v>
      </c>
      <c r="L67" s="85">
        <v>0</v>
      </c>
      <c r="M67" s="85">
        <v>0</v>
      </c>
      <c r="N67" s="85">
        <f t="shared" si="16"/>
        <v>9.7011952191235054</v>
      </c>
      <c r="O67" s="84"/>
      <c r="P67" s="84"/>
    </row>
    <row r="68" spans="1:16" x14ac:dyDescent="0.25">
      <c r="A68" s="84"/>
      <c r="B68" s="84"/>
      <c r="C68" s="84"/>
      <c r="D68" s="87">
        <f>SUM(D57:D67)</f>
        <v>100.00000000000001</v>
      </c>
      <c r="E68" s="87">
        <f>SUM(E57:E67)</f>
        <v>100</v>
      </c>
      <c r="F68" s="87">
        <f>SUM(F57:F67)</f>
        <v>100.00000000000001</v>
      </c>
      <c r="G68" s="87">
        <f>SUM(G57:G67)</f>
        <v>100</v>
      </c>
      <c r="H68" s="87">
        <f t="shared" ref="H68:M68" si="17">SUM(H57:H67)</f>
        <v>99.999999999999986</v>
      </c>
      <c r="I68" s="87">
        <f t="shared" si="17"/>
        <v>100</v>
      </c>
      <c r="J68" s="87">
        <f t="shared" si="17"/>
        <v>100</v>
      </c>
      <c r="K68" s="87">
        <f t="shared" si="17"/>
        <v>100</v>
      </c>
      <c r="L68" s="87">
        <f t="shared" si="17"/>
        <v>100.04443266171792</v>
      </c>
      <c r="M68" s="87">
        <f t="shared" si="17"/>
        <v>100</v>
      </c>
      <c r="N68" s="87">
        <f>SUM(N57:N67)</f>
        <v>100.00444326617178</v>
      </c>
      <c r="O68" s="84"/>
      <c r="P68" s="84"/>
    </row>
    <row r="69" spans="1:16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</row>
    <row r="70" spans="1:16" x14ac:dyDescent="0.25">
      <c r="C70" s="107">
        <v>15.9</v>
      </c>
      <c r="E70" s="107">
        <v>15.9</v>
      </c>
      <c r="F70" s="191">
        <v>21.1</v>
      </c>
      <c r="G70" s="191">
        <v>13.7</v>
      </c>
      <c r="H70" s="191">
        <v>15.3</v>
      </c>
      <c r="I70" s="193">
        <v>15</v>
      </c>
      <c r="J70" s="193">
        <v>13.4</v>
      </c>
      <c r="K70" s="193">
        <v>21.9</v>
      </c>
      <c r="L70" s="193">
        <v>18.2</v>
      </c>
      <c r="M70" s="193">
        <v>22.2</v>
      </c>
      <c r="N70" s="193">
        <v>27</v>
      </c>
      <c r="O70" s="107">
        <f>AVERAGE(E70:N70)</f>
        <v>18.369999999999997</v>
      </c>
    </row>
    <row r="71" spans="1:16" x14ac:dyDescent="0.25">
      <c r="C71" s="191">
        <v>21.1</v>
      </c>
    </row>
    <row r="72" spans="1:16" x14ac:dyDescent="0.25">
      <c r="C72" s="191">
        <v>13.7</v>
      </c>
    </row>
    <row r="73" spans="1:16" x14ac:dyDescent="0.25">
      <c r="C73" s="191">
        <v>15.3</v>
      </c>
    </row>
    <row r="74" spans="1:16" x14ac:dyDescent="0.25">
      <c r="C74" s="193">
        <v>15</v>
      </c>
    </row>
    <row r="75" spans="1:16" x14ac:dyDescent="0.25">
      <c r="C75" s="193">
        <v>13.4</v>
      </c>
    </row>
    <row r="76" spans="1:16" x14ac:dyDescent="0.25">
      <c r="C76" s="193">
        <v>21.9</v>
      </c>
    </row>
    <row r="77" spans="1:16" x14ac:dyDescent="0.25">
      <c r="C77" s="193">
        <v>18.2</v>
      </c>
    </row>
    <row r="78" spans="1:16" x14ac:dyDescent="0.25">
      <c r="C78" s="193">
        <v>22.2</v>
      </c>
    </row>
    <row r="79" spans="1:16" x14ac:dyDescent="0.25">
      <c r="C79" s="193">
        <v>27</v>
      </c>
    </row>
    <row r="80" spans="1:16" x14ac:dyDescent="0.25">
      <c r="C80" s="107">
        <f>AVERAGE(C70:C79)</f>
        <v>18.369999999999997</v>
      </c>
    </row>
  </sheetData>
  <mergeCells count="28">
    <mergeCell ref="A49:A52"/>
    <mergeCell ref="B49:B52"/>
    <mergeCell ref="B17:B20"/>
    <mergeCell ref="A17:A20"/>
    <mergeCell ref="A34:A38"/>
    <mergeCell ref="B34:B38"/>
    <mergeCell ref="A39:A45"/>
    <mergeCell ref="B39:B45"/>
    <mergeCell ref="A46:A48"/>
    <mergeCell ref="B46:B48"/>
    <mergeCell ref="A21:A26"/>
    <mergeCell ref="B21:B26"/>
    <mergeCell ref="A27:A30"/>
    <mergeCell ref="B27:B30"/>
    <mergeCell ref="A31:A33"/>
    <mergeCell ref="B31:B33"/>
    <mergeCell ref="A5:A11"/>
    <mergeCell ref="B5:B11"/>
    <mergeCell ref="A12:A16"/>
    <mergeCell ref="B12:B16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55" zoomScale="70" zoomScaleNormal="70" workbookViewId="0">
      <selection activeCell="E66" sqref="E66:O66"/>
    </sheetView>
  </sheetViews>
  <sheetFormatPr defaultRowHeight="15" x14ac:dyDescent="0.25"/>
  <cols>
    <col min="1" max="1" width="25.85546875" customWidth="1"/>
    <col min="2" max="2" width="21.85546875" customWidth="1"/>
    <col min="3" max="3" width="50.7109375" customWidth="1"/>
    <col min="4" max="4" width="21.28515625" customWidth="1"/>
    <col min="5" max="5" width="31.42578125" customWidth="1"/>
  </cols>
  <sheetData>
    <row r="1" spans="1:16" x14ac:dyDescent="0.25">
      <c r="A1" s="120" t="s">
        <v>43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16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</row>
    <row r="3" spans="1:16" ht="15.75" x14ac:dyDescent="0.25">
      <c r="A3" s="179" t="s">
        <v>33</v>
      </c>
      <c r="B3" s="180" t="s">
        <v>34</v>
      </c>
      <c r="C3" s="179" t="s">
        <v>35</v>
      </c>
      <c r="D3" s="181" t="s">
        <v>36</v>
      </c>
      <c r="E3" s="182" t="s">
        <v>37</v>
      </c>
      <c r="F3" s="183" t="s">
        <v>38</v>
      </c>
      <c r="G3" s="183"/>
      <c r="H3" s="183"/>
      <c r="I3" s="183"/>
      <c r="J3" s="183"/>
      <c r="K3" s="183"/>
      <c r="L3" s="183"/>
      <c r="M3" s="183"/>
      <c r="N3" s="183"/>
      <c r="O3" s="183"/>
      <c r="P3" s="184" t="s">
        <v>21</v>
      </c>
    </row>
    <row r="4" spans="1:16" ht="15.75" x14ac:dyDescent="0.25">
      <c r="A4" s="179"/>
      <c r="B4" s="180"/>
      <c r="C4" s="179"/>
      <c r="D4" s="181"/>
      <c r="E4" s="182"/>
      <c r="F4" s="90">
        <v>1</v>
      </c>
      <c r="G4" s="90">
        <v>2</v>
      </c>
      <c r="H4" s="90">
        <v>3</v>
      </c>
      <c r="I4" s="90">
        <v>4</v>
      </c>
      <c r="J4" s="90">
        <v>5</v>
      </c>
      <c r="K4" s="90">
        <v>6</v>
      </c>
      <c r="L4" s="90">
        <v>7</v>
      </c>
      <c r="M4" s="90">
        <v>8</v>
      </c>
      <c r="N4" s="90">
        <v>9</v>
      </c>
      <c r="O4" s="90">
        <v>10</v>
      </c>
      <c r="P4" s="184"/>
    </row>
    <row r="5" spans="1:16" ht="15.75" x14ac:dyDescent="0.25">
      <c r="A5" s="185" t="s">
        <v>5</v>
      </c>
      <c r="B5" s="186">
        <f>D5+D6+D7+D8</f>
        <v>20.950000000000003</v>
      </c>
      <c r="C5" s="50" t="s">
        <v>138</v>
      </c>
      <c r="D5" s="50">
        <v>17.350000000000001</v>
      </c>
      <c r="E5" s="91">
        <f>D5*100/20.95</f>
        <v>82.816229116945124</v>
      </c>
      <c r="F5" s="50">
        <v>35</v>
      </c>
      <c r="G5" s="50">
        <v>34.5</v>
      </c>
      <c r="H5" s="50">
        <v>21</v>
      </c>
      <c r="I5" s="50">
        <v>35</v>
      </c>
      <c r="J5" s="50">
        <v>20.5</v>
      </c>
      <c r="K5" s="50">
        <v>18.5</v>
      </c>
      <c r="L5" s="50">
        <v>25</v>
      </c>
      <c r="M5" s="50">
        <v>19</v>
      </c>
      <c r="N5" s="50">
        <v>29</v>
      </c>
      <c r="O5" s="50">
        <v>32</v>
      </c>
      <c r="P5" s="91">
        <f>AVERAGE(F5:O5)</f>
        <v>26.95</v>
      </c>
    </row>
    <row r="6" spans="1:16" ht="15.75" x14ac:dyDescent="0.25">
      <c r="A6" s="185"/>
      <c r="B6" s="187"/>
      <c r="C6" s="92" t="s">
        <v>117</v>
      </c>
      <c r="D6" s="50">
        <v>1.85</v>
      </c>
      <c r="E6" s="91">
        <f t="shared" ref="E6:E8" si="0">D6*100/20.95</f>
        <v>8.8305489260143197</v>
      </c>
      <c r="F6" s="50">
        <v>27</v>
      </c>
      <c r="G6" s="50">
        <v>24</v>
      </c>
      <c r="H6" s="50">
        <v>11</v>
      </c>
      <c r="I6" s="50"/>
      <c r="J6" s="50"/>
      <c r="K6" s="50"/>
      <c r="L6" s="50"/>
      <c r="M6" s="50"/>
      <c r="N6" s="50"/>
      <c r="O6" s="50"/>
      <c r="P6" s="91">
        <f t="shared" ref="P6:P8" si="1">AVERAGE(F6:O6)</f>
        <v>20.666666666666668</v>
      </c>
    </row>
    <row r="7" spans="1:16" ht="15.75" x14ac:dyDescent="0.25">
      <c r="A7" s="185"/>
      <c r="B7" s="187"/>
      <c r="C7" s="50" t="s">
        <v>143</v>
      </c>
      <c r="D7" s="50">
        <v>1.25</v>
      </c>
      <c r="E7" s="91">
        <f t="shared" si="0"/>
        <v>5.9665871121718377</v>
      </c>
      <c r="F7" s="50">
        <v>9.5</v>
      </c>
      <c r="G7" s="50">
        <v>14.5</v>
      </c>
      <c r="H7" s="50">
        <v>10</v>
      </c>
      <c r="I7" s="50">
        <v>14.5</v>
      </c>
      <c r="J7" s="50">
        <v>9.5</v>
      </c>
      <c r="K7" s="50">
        <v>13.5</v>
      </c>
      <c r="L7" s="50">
        <v>11</v>
      </c>
      <c r="M7" s="50">
        <v>15</v>
      </c>
      <c r="N7" s="50">
        <v>23</v>
      </c>
      <c r="O7" s="50">
        <v>12</v>
      </c>
      <c r="P7" s="91">
        <f t="shared" si="1"/>
        <v>13.25</v>
      </c>
    </row>
    <row r="8" spans="1:16" ht="15.75" x14ac:dyDescent="0.25">
      <c r="A8" s="185"/>
      <c r="B8" s="187"/>
      <c r="C8" s="53" t="s">
        <v>121</v>
      </c>
      <c r="D8" s="50">
        <v>0.5</v>
      </c>
      <c r="E8" s="91">
        <f t="shared" si="0"/>
        <v>2.3866348448687353</v>
      </c>
      <c r="F8" s="50">
        <v>7</v>
      </c>
      <c r="G8" s="50">
        <v>9</v>
      </c>
      <c r="H8" s="50">
        <v>5</v>
      </c>
      <c r="I8" s="50">
        <v>4</v>
      </c>
      <c r="J8" s="50">
        <v>4</v>
      </c>
      <c r="K8" s="50">
        <v>4</v>
      </c>
      <c r="L8" s="50">
        <v>11</v>
      </c>
      <c r="M8" s="50"/>
      <c r="N8" s="50"/>
      <c r="O8" s="50"/>
      <c r="P8" s="91">
        <f t="shared" si="1"/>
        <v>6.2857142857142856</v>
      </c>
    </row>
    <row r="9" spans="1:16" ht="15.75" x14ac:dyDescent="0.25">
      <c r="A9" s="185"/>
      <c r="B9" s="188"/>
      <c r="C9" s="93" t="s">
        <v>21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5">
        <f>AVERAGE(P5:P8)</f>
        <v>16.788095238095238</v>
      </c>
    </row>
    <row r="10" spans="1:16" ht="15.75" x14ac:dyDescent="0.25">
      <c r="A10" s="186" t="s">
        <v>6</v>
      </c>
      <c r="B10" s="186">
        <v>23.4</v>
      </c>
      <c r="C10" s="56" t="s">
        <v>119</v>
      </c>
      <c r="D10" s="50">
        <v>23.4</v>
      </c>
      <c r="E10" s="50">
        <v>100</v>
      </c>
      <c r="F10" s="50">
        <v>12.5</v>
      </c>
      <c r="G10" s="50">
        <v>34.5</v>
      </c>
      <c r="H10" s="50">
        <v>12</v>
      </c>
      <c r="I10" s="50">
        <v>10.5</v>
      </c>
      <c r="J10" s="50">
        <v>8</v>
      </c>
      <c r="K10" s="50" t="s">
        <v>144</v>
      </c>
      <c r="L10" s="50">
        <v>13</v>
      </c>
      <c r="M10" s="50">
        <v>14</v>
      </c>
      <c r="N10" s="50">
        <v>16</v>
      </c>
      <c r="O10" s="50">
        <v>14</v>
      </c>
      <c r="P10" s="91">
        <f>AVERAGE(F10:O10)</f>
        <v>14.944444444444445</v>
      </c>
    </row>
    <row r="11" spans="1:16" ht="15.75" x14ac:dyDescent="0.25">
      <c r="A11" s="188"/>
      <c r="B11" s="188"/>
      <c r="C11" s="93" t="s">
        <v>21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5">
        <v>14.9</v>
      </c>
    </row>
    <row r="12" spans="1:16" ht="15.75" x14ac:dyDescent="0.25">
      <c r="A12" s="186" t="s">
        <v>7</v>
      </c>
      <c r="B12" s="186">
        <f>D12+D13+D14+D15</f>
        <v>66.05</v>
      </c>
      <c r="C12" s="80" t="s">
        <v>118</v>
      </c>
      <c r="D12" s="50">
        <v>26</v>
      </c>
      <c r="E12" s="91">
        <f>D12*100/66.05</f>
        <v>39.364118092354282</v>
      </c>
      <c r="F12" s="50">
        <v>25</v>
      </c>
      <c r="G12" s="50">
        <v>21.5</v>
      </c>
      <c r="H12" s="50">
        <v>29.5</v>
      </c>
      <c r="I12" s="50">
        <v>21.5</v>
      </c>
      <c r="J12" s="50">
        <v>27</v>
      </c>
      <c r="K12" s="50">
        <v>24</v>
      </c>
      <c r="L12" s="50">
        <v>27</v>
      </c>
      <c r="M12" s="50">
        <v>39</v>
      </c>
      <c r="N12" s="50">
        <v>27</v>
      </c>
      <c r="O12" s="50">
        <v>35</v>
      </c>
      <c r="P12" s="91">
        <f>AVERAGE(F12:O12)</f>
        <v>27.65</v>
      </c>
    </row>
    <row r="13" spans="1:16" ht="15.75" x14ac:dyDescent="0.25">
      <c r="A13" s="187"/>
      <c r="B13" s="187"/>
      <c r="C13" s="80" t="s">
        <v>145</v>
      </c>
      <c r="D13" s="50">
        <v>37.4</v>
      </c>
      <c r="E13" s="91">
        <f t="shared" ref="E13:E15" si="2">D13*100/66.05</f>
        <v>56.623769871309619</v>
      </c>
      <c r="F13" s="50">
        <v>21</v>
      </c>
      <c r="G13" s="50">
        <v>15</v>
      </c>
      <c r="H13" s="50">
        <v>45.5</v>
      </c>
      <c r="I13" s="50">
        <v>15.5</v>
      </c>
      <c r="J13" s="50">
        <v>16.5</v>
      </c>
      <c r="K13" s="50">
        <v>15.5</v>
      </c>
      <c r="L13" s="50">
        <v>23.5</v>
      </c>
      <c r="M13" s="50">
        <v>25</v>
      </c>
      <c r="N13" s="50">
        <v>16</v>
      </c>
      <c r="O13" s="50">
        <v>15.5</v>
      </c>
      <c r="P13" s="91">
        <f t="shared" ref="P13:P15" si="3">AVERAGE(F13:O13)</f>
        <v>20.9</v>
      </c>
    </row>
    <row r="14" spans="1:16" ht="15.75" x14ac:dyDescent="0.25">
      <c r="A14" s="187"/>
      <c r="B14" s="187"/>
      <c r="C14" s="80" t="s">
        <v>117</v>
      </c>
      <c r="D14" s="50">
        <v>1.05</v>
      </c>
      <c r="E14" s="91">
        <f t="shared" si="2"/>
        <v>1.5897047691143074</v>
      </c>
      <c r="F14" s="50">
        <v>16</v>
      </c>
      <c r="G14" s="50">
        <v>13</v>
      </c>
      <c r="H14" s="50">
        <v>26</v>
      </c>
      <c r="I14" s="50">
        <v>25</v>
      </c>
      <c r="J14" s="50"/>
      <c r="K14" s="50"/>
      <c r="L14" s="50"/>
      <c r="M14" s="50"/>
      <c r="N14" s="50"/>
      <c r="O14" s="50"/>
      <c r="P14" s="91">
        <f t="shared" si="3"/>
        <v>20</v>
      </c>
    </row>
    <row r="15" spans="1:16" ht="15.75" x14ac:dyDescent="0.25">
      <c r="A15" s="187"/>
      <c r="B15" s="187"/>
      <c r="C15" s="80" t="s">
        <v>136</v>
      </c>
      <c r="D15" s="50">
        <v>1.6</v>
      </c>
      <c r="E15" s="91">
        <f t="shared" si="2"/>
        <v>2.4224072672218018</v>
      </c>
      <c r="F15" s="50">
        <v>23</v>
      </c>
      <c r="G15" s="50">
        <v>22.5</v>
      </c>
      <c r="H15" s="50"/>
      <c r="I15" s="50"/>
      <c r="J15" s="50"/>
      <c r="K15" s="50"/>
      <c r="L15" s="50"/>
      <c r="M15" s="50"/>
      <c r="N15" s="50"/>
      <c r="O15" s="50"/>
      <c r="P15" s="91">
        <f t="shared" si="3"/>
        <v>22.75</v>
      </c>
    </row>
    <row r="16" spans="1:16" ht="15.75" x14ac:dyDescent="0.25">
      <c r="A16" s="188"/>
      <c r="B16" s="188"/>
      <c r="C16" s="93" t="s">
        <v>21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5">
        <f>AVERAGE(P12:P15)</f>
        <v>22.824999999999999</v>
      </c>
    </row>
    <row r="17" spans="1:16" ht="15.75" x14ac:dyDescent="0.25">
      <c r="A17" s="164" t="s">
        <v>8</v>
      </c>
      <c r="B17" s="164">
        <f>D17+D18</f>
        <v>28.599999999999998</v>
      </c>
      <c r="C17" s="50" t="s">
        <v>138</v>
      </c>
      <c r="D17" s="63">
        <v>12.2</v>
      </c>
      <c r="E17" s="11">
        <f>D17*100/28.6</f>
        <v>42.657342657342653</v>
      </c>
      <c r="F17" s="63">
        <v>32.5</v>
      </c>
      <c r="G17" s="63">
        <v>28.5</v>
      </c>
      <c r="H17" s="63">
        <v>21</v>
      </c>
      <c r="I17" s="63">
        <v>4</v>
      </c>
      <c r="J17" s="63">
        <v>11</v>
      </c>
      <c r="K17" s="63">
        <v>20</v>
      </c>
      <c r="L17" s="63">
        <v>31</v>
      </c>
      <c r="M17" s="63">
        <v>19</v>
      </c>
      <c r="N17" s="63">
        <v>20</v>
      </c>
      <c r="O17" s="63">
        <v>29.5</v>
      </c>
      <c r="P17" s="11">
        <f>AVERAGE(F17:O17)</f>
        <v>21.65</v>
      </c>
    </row>
    <row r="18" spans="1:16" ht="15.75" x14ac:dyDescent="0.25">
      <c r="A18" s="164"/>
      <c r="B18" s="164"/>
      <c r="C18" s="80" t="s">
        <v>136</v>
      </c>
      <c r="D18" s="63">
        <v>16.399999999999999</v>
      </c>
      <c r="E18" s="11">
        <f>D18*100/28.6</f>
        <v>57.342657342657333</v>
      </c>
      <c r="F18" s="63">
        <v>8.5</v>
      </c>
      <c r="G18" s="63">
        <v>10</v>
      </c>
      <c r="H18" s="63">
        <v>7.5</v>
      </c>
      <c r="I18" s="63">
        <v>8</v>
      </c>
      <c r="J18" s="63">
        <v>8</v>
      </c>
      <c r="K18" s="63">
        <v>4</v>
      </c>
      <c r="L18" s="63">
        <v>5.5</v>
      </c>
      <c r="M18" s="63">
        <v>5</v>
      </c>
      <c r="N18" s="63">
        <v>6</v>
      </c>
      <c r="O18" s="63">
        <v>8</v>
      </c>
      <c r="P18" s="11">
        <f>AVERAGE(F18:O18)</f>
        <v>7.05</v>
      </c>
    </row>
    <row r="19" spans="1:16" ht="15.75" x14ac:dyDescent="0.25">
      <c r="A19" s="164"/>
      <c r="B19" s="164"/>
      <c r="C19" s="93" t="s">
        <v>21</v>
      </c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5">
        <f>AVERAGE(P17:P18)</f>
        <v>14.35</v>
      </c>
    </row>
    <row r="20" spans="1:16" x14ac:dyDescent="0.25">
      <c r="A20" s="161" t="s">
        <v>9</v>
      </c>
      <c r="B20" s="161">
        <f>D20+D21+D22</f>
        <v>94.3</v>
      </c>
      <c r="C20" s="53" t="s">
        <v>121</v>
      </c>
      <c r="D20" s="6">
        <v>12.5</v>
      </c>
      <c r="E20" s="11">
        <f>D20*100/94.3</f>
        <v>13.255567338282079</v>
      </c>
      <c r="F20" s="6">
        <v>8</v>
      </c>
      <c r="G20" s="6">
        <v>11</v>
      </c>
      <c r="H20" s="6">
        <v>13</v>
      </c>
      <c r="I20" s="6">
        <v>11</v>
      </c>
      <c r="J20" s="6">
        <v>7</v>
      </c>
      <c r="K20" s="6">
        <v>8</v>
      </c>
      <c r="L20" s="6">
        <v>6</v>
      </c>
      <c r="M20" s="6">
        <v>5</v>
      </c>
      <c r="N20" s="6">
        <v>11</v>
      </c>
      <c r="O20" s="6">
        <v>10</v>
      </c>
      <c r="P20" s="63">
        <f>AVERAGE(F20:O20)</f>
        <v>9</v>
      </c>
    </row>
    <row r="21" spans="1:16" ht="15.75" x14ac:dyDescent="0.25">
      <c r="A21" s="162"/>
      <c r="B21" s="162"/>
      <c r="C21" s="92" t="s">
        <v>117</v>
      </c>
      <c r="D21" s="6">
        <v>2.5</v>
      </c>
      <c r="E21" s="11">
        <f t="shared" ref="E21:E22" si="4">D21*100/94.3</f>
        <v>2.6511134676564159</v>
      </c>
      <c r="F21" s="6">
        <v>27</v>
      </c>
      <c r="G21" s="6">
        <v>25</v>
      </c>
      <c r="H21" s="6">
        <v>26</v>
      </c>
      <c r="I21" s="6">
        <v>25</v>
      </c>
      <c r="J21" s="6"/>
      <c r="K21" s="6"/>
      <c r="L21" s="6"/>
      <c r="M21" s="6"/>
      <c r="N21" s="6"/>
      <c r="O21" s="6"/>
      <c r="P21" s="63">
        <f t="shared" ref="P21:P22" si="5">AVERAGE(F21:O21)</f>
        <v>25.75</v>
      </c>
    </row>
    <row r="22" spans="1:16" ht="15.75" x14ac:dyDescent="0.25">
      <c r="A22" s="162"/>
      <c r="B22" s="162"/>
      <c r="C22" s="50" t="s">
        <v>138</v>
      </c>
      <c r="D22" s="6">
        <v>79.3</v>
      </c>
      <c r="E22" s="11">
        <f t="shared" si="4"/>
        <v>84.093319194061507</v>
      </c>
      <c r="F22" s="6">
        <v>21</v>
      </c>
      <c r="G22" s="6">
        <v>29</v>
      </c>
      <c r="H22" s="6">
        <v>28</v>
      </c>
      <c r="I22" s="6">
        <v>7</v>
      </c>
      <c r="J22" s="6">
        <v>3</v>
      </c>
      <c r="K22" s="6">
        <v>15</v>
      </c>
      <c r="L22" s="6">
        <v>11</v>
      </c>
      <c r="M22" s="6">
        <v>6.5</v>
      </c>
      <c r="N22" s="6">
        <v>7</v>
      </c>
      <c r="O22" s="6">
        <v>6</v>
      </c>
      <c r="P22" s="63">
        <f t="shared" si="5"/>
        <v>13.35</v>
      </c>
    </row>
    <row r="23" spans="1:16" ht="15.75" x14ac:dyDescent="0.25">
      <c r="A23" s="163"/>
      <c r="B23" s="163"/>
      <c r="C23" s="93" t="s">
        <v>21</v>
      </c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5">
        <f>AVERAGE(P20:P22)</f>
        <v>16.033333333333335</v>
      </c>
    </row>
    <row r="24" spans="1:16" x14ac:dyDescent="0.25">
      <c r="A24" s="143" t="s">
        <v>120</v>
      </c>
      <c r="B24" s="143">
        <f>D24+D25+D26</f>
        <v>37.35</v>
      </c>
      <c r="C24" s="63" t="s">
        <v>140</v>
      </c>
      <c r="D24" s="63">
        <v>1.35</v>
      </c>
      <c r="E24" s="11">
        <f>D24*100/37.35</f>
        <v>3.6144578313253009</v>
      </c>
      <c r="F24" s="63">
        <v>11</v>
      </c>
      <c r="G24" s="63">
        <v>14</v>
      </c>
      <c r="H24" s="63">
        <v>10</v>
      </c>
      <c r="I24" s="63">
        <v>15</v>
      </c>
      <c r="J24" s="63"/>
      <c r="K24" s="63"/>
      <c r="L24" s="63"/>
      <c r="M24" s="63"/>
      <c r="N24" s="63"/>
      <c r="O24" s="63"/>
      <c r="P24" s="11">
        <f>AVERAGE(F24:O24)</f>
        <v>12.5</v>
      </c>
    </row>
    <row r="25" spans="1:16" x14ac:dyDescent="0.25">
      <c r="A25" s="144"/>
      <c r="B25" s="144"/>
      <c r="C25" s="63" t="s">
        <v>117</v>
      </c>
      <c r="D25" s="63">
        <v>0.75</v>
      </c>
      <c r="E25" s="11">
        <f t="shared" ref="E25:E26" si="6">D25*100/37.35</f>
        <v>2.0080321285140563</v>
      </c>
      <c r="F25" s="63">
        <v>15</v>
      </c>
      <c r="G25" s="63">
        <v>22</v>
      </c>
      <c r="H25" s="63">
        <v>13.5</v>
      </c>
      <c r="I25" s="63">
        <v>16.5</v>
      </c>
      <c r="J25" s="63">
        <v>9.5</v>
      </c>
      <c r="K25" s="63">
        <v>13</v>
      </c>
      <c r="L25" s="63"/>
      <c r="M25" s="63"/>
      <c r="N25" s="63"/>
      <c r="O25" s="63"/>
      <c r="P25" s="11">
        <f t="shared" ref="P25:P26" si="7">AVERAGE(F25:O25)</f>
        <v>14.916666666666666</v>
      </c>
    </row>
    <row r="26" spans="1:16" x14ac:dyDescent="0.25">
      <c r="A26" s="144"/>
      <c r="B26" s="144"/>
      <c r="C26" s="53" t="s">
        <v>126</v>
      </c>
      <c r="D26" s="63">
        <v>35.25</v>
      </c>
      <c r="E26" s="11">
        <f t="shared" si="6"/>
        <v>94.377510040160644</v>
      </c>
      <c r="F26" s="63">
        <v>28</v>
      </c>
      <c r="G26" s="63">
        <v>17</v>
      </c>
      <c r="H26" s="63">
        <v>20</v>
      </c>
      <c r="I26" s="63">
        <v>11.5</v>
      </c>
      <c r="J26" s="63">
        <v>13</v>
      </c>
      <c r="K26" s="63">
        <v>24</v>
      </c>
      <c r="L26" s="63">
        <v>33</v>
      </c>
      <c r="M26" s="63">
        <v>16</v>
      </c>
      <c r="N26" s="63">
        <v>18.5</v>
      </c>
      <c r="O26" s="63">
        <v>11</v>
      </c>
      <c r="P26" s="11">
        <f t="shared" si="7"/>
        <v>19.2</v>
      </c>
    </row>
    <row r="27" spans="1:16" ht="15.75" x14ac:dyDescent="0.25">
      <c r="A27" s="145"/>
      <c r="B27" s="145"/>
      <c r="C27" s="93" t="s">
        <v>21</v>
      </c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5">
        <f>AVERAGE(P25:P26)</f>
        <v>17.058333333333334</v>
      </c>
    </row>
    <row r="28" spans="1:16" ht="15.75" x14ac:dyDescent="0.25">
      <c r="A28" s="143" t="s">
        <v>122</v>
      </c>
      <c r="B28" s="143">
        <f>D28+D29+D30</f>
        <v>11.6</v>
      </c>
      <c r="C28" s="80" t="s">
        <v>145</v>
      </c>
      <c r="D28" s="63">
        <v>8.5</v>
      </c>
      <c r="E28" s="11">
        <f>D28*100/11.6</f>
        <v>73.275862068965523</v>
      </c>
      <c r="F28" s="63">
        <v>11</v>
      </c>
      <c r="G28" s="63">
        <v>15.5</v>
      </c>
      <c r="H28" s="63">
        <v>5.5</v>
      </c>
      <c r="I28" s="63">
        <v>12.5</v>
      </c>
      <c r="J28" s="63">
        <v>11</v>
      </c>
      <c r="K28" s="63">
        <v>8</v>
      </c>
      <c r="L28" s="63">
        <v>10</v>
      </c>
      <c r="M28" s="63">
        <v>9</v>
      </c>
      <c r="N28" s="63">
        <v>8</v>
      </c>
      <c r="O28" s="63">
        <v>8</v>
      </c>
      <c r="P28" s="11">
        <f>AVERAGE(F28:O28)</f>
        <v>9.85</v>
      </c>
    </row>
    <row r="29" spans="1:16" x14ac:dyDescent="0.25">
      <c r="A29" s="144"/>
      <c r="B29" s="144"/>
      <c r="C29" s="53" t="s">
        <v>121</v>
      </c>
      <c r="D29" s="63">
        <v>1.4</v>
      </c>
      <c r="E29" s="11">
        <f t="shared" ref="E29:E30" si="8">D29*100/11.6</f>
        <v>12.068965517241379</v>
      </c>
      <c r="F29" s="63">
        <v>10</v>
      </c>
      <c r="G29" s="63">
        <v>9</v>
      </c>
      <c r="H29" s="63"/>
      <c r="I29" s="63"/>
      <c r="J29" s="63"/>
      <c r="K29" s="63"/>
      <c r="L29" s="63"/>
      <c r="M29" s="63"/>
      <c r="N29" s="63"/>
      <c r="O29" s="63"/>
      <c r="P29" s="11">
        <f t="shared" ref="P29:P30" si="9">AVERAGE(F29:O29)</f>
        <v>9.5</v>
      </c>
    </row>
    <row r="30" spans="1:16" x14ac:dyDescent="0.25">
      <c r="A30" s="144"/>
      <c r="B30" s="144"/>
      <c r="C30" s="56" t="s">
        <v>135</v>
      </c>
      <c r="D30" s="63">
        <v>1.7</v>
      </c>
      <c r="E30" s="11">
        <f t="shared" si="8"/>
        <v>14.655172413793103</v>
      </c>
      <c r="F30" s="63">
        <v>10.5</v>
      </c>
      <c r="G30" s="63">
        <v>11</v>
      </c>
      <c r="H30" s="63">
        <v>7.5</v>
      </c>
      <c r="I30" s="63">
        <v>12</v>
      </c>
      <c r="J30" s="63">
        <v>11.5</v>
      </c>
      <c r="K30" s="63">
        <v>8</v>
      </c>
      <c r="L30" s="63">
        <v>4.5</v>
      </c>
      <c r="M30" s="63">
        <v>4</v>
      </c>
      <c r="N30" s="63">
        <v>4</v>
      </c>
      <c r="O30" s="63">
        <v>3.5</v>
      </c>
      <c r="P30" s="11">
        <f t="shared" si="9"/>
        <v>7.65</v>
      </c>
    </row>
    <row r="31" spans="1:16" ht="15.75" x14ac:dyDescent="0.25">
      <c r="A31" s="145"/>
      <c r="B31" s="145"/>
      <c r="C31" s="93" t="s">
        <v>21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5">
        <f>AVERAGE(P29:P30)</f>
        <v>8.5749999999999993</v>
      </c>
    </row>
    <row r="32" spans="1:16" ht="15.75" x14ac:dyDescent="0.25">
      <c r="A32" s="143" t="s">
        <v>12</v>
      </c>
      <c r="B32" s="143">
        <f>D32+D33+D34+D35+D36</f>
        <v>48.25</v>
      </c>
      <c r="C32" s="50" t="s">
        <v>138</v>
      </c>
      <c r="D32" s="63">
        <v>41.9</v>
      </c>
      <c r="E32" s="11">
        <f>D32*100/48.25</f>
        <v>86.839378238341965</v>
      </c>
      <c r="F32" s="63">
        <v>28</v>
      </c>
      <c r="G32" s="63">
        <v>24</v>
      </c>
      <c r="H32" s="63">
        <v>30</v>
      </c>
      <c r="I32" s="63"/>
      <c r="J32" s="63"/>
      <c r="K32" s="63"/>
      <c r="L32" s="63"/>
      <c r="M32" s="63"/>
      <c r="N32" s="63"/>
      <c r="O32" s="63"/>
      <c r="P32" s="11">
        <f>AVERAGE(F32:O32)</f>
        <v>27.333333333333332</v>
      </c>
    </row>
    <row r="33" spans="1:16" ht="15.75" x14ac:dyDescent="0.25">
      <c r="A33" s="144"/>
      <c r="B33" s="144"/>
      <c r="C33" s="92" t="s">
        <v>117</v>
      </c>
      <c r="D33" s="63">
        <v>2.25</v>
      </c>
      <c r="E33" s="11">
        <f t="shared" ref="E33:E36" si="10">D33*100/48.25</f>
        <v>4.6632124352331603</v>
      </c>
      <c r="F33" s="63">
        <v>19</v>
      </c>
      <c r="G33" s="63">
        <v>26</v>
      </c>
      <c r="H33" s="63">
        <v>13</v>
      </c>
      <c r="I33" s="63">
        <v>10</v>
      </c>
      <c r="J33" s="63">
        <v>12</v>
      </c>
      <c r="K33" s="63">
        <v>17</v>
      </c>
      <c r="L33" s="63">
        <v>7</v>
      </c>
      <c r="M33" s="63">
        <v>20</v>
      </c>
      <c r="N33" s="63">
        <v>20</v>
      </c>
      <c r="O33" s="63"/>
      <c r="P33" s="11">
        <f t="shared" ref="P33:P36" si="11">AVERAGE(F33:O33)</f>
        <v>16</v>
      </c>
    </row>
    <row r="34" spans="1:16" ht="15.75" x14ac:dyDescent="0.25">
      <c r="A34" s="144"/>
      <c r="B34" s="144"/>
      <c r="C34" s="50" t="s">
        <v>140</v>
      </c>
      <c r="D34" s="63">
        <v>1.6</v>
      </c>
      <c r="E34" s="11">
        <f t="shared" si="10"/>
        <v>3.3160621761658029</v>
      </c>
      <c r="F34" s="63">
        <v>14</v>
      </c>
      <c r="G34" s="63">
        <v>15</v>
      </c>
      <c r="H34" s="63">
        <v>16</v>
      </c>
      <c r="I34" s="63">
        <v>16</v>
      </c>
      <c r="J34" s="63"/>
      <c r="K34" s="63"/>
      <c r="L34" s="63"/>
      <c r="M34" s="63"/>
      <c r="N34" s="63"/>
      <c r="O34" s="63"/>
      <c r="P34" s="11">
        <f t="shared" si="11"/>
        <v>15.25</v>
      </c>
    </row>
    <row r="35" spans="1:16" ht="15.75" x14ac:dyDescent="0.25">
      <c r="A35" s="144"/>
      <c r="B35" s="144"/>
      <c r="C35" s="80" t="s">
        <v>136</v>
      </c>
      <c r="D35" s="63">
        <v>1.1499999999999999</v>
      </c>
      <c r="E35" s="11">
        <f t="shared" si="10"/>
        <v>2.3834196891191706</v>
      </c>
      <c r="F35" s="63">
        <v>4</v>
      </c>
      <c r="G35" s="63">
        <v>5</v>
      </c>
      <c r="H35" s="63">
        <v>5</v>
      </c>
      <c r="I35" s="63">
        <v>6</v>
      </c>
      <c r="J35" s="63">
        <v>6</v>
      </c>
      <c r="K35" s="63">
        <v>9</v>
      </c>
      <c r="L35" s="63">
        <v>7</v>
      </c>
      <c r="M35" s="63">
        <v>6</v>
      </c>
      <c r="N35" s="63">
        <v>6.5</v>
      </c>
      <c r="O35" s="63">
        <v>29</v>
      </c>
      <c r="P35" s="11">
        <f t="shared" si="11"/>
        <v>8.35</v>
      </c>
    </row>
    <row r="36" spans="1:16" ht="15.75" x14ac:dyDescent="0.25">
      <c r="A36" s="144"/>
      <c r="B36" s="144"/>
      <c r="C36" s="53" t="s">
        <v>121</v>
      </c>
      <c r="D36" s="97">
        <v>1.35</v>
      </c>
      <c r="E36" s="11">
        <f t="shared" si="10"/>
        <v>2.7979274611398965</v>
      </c>
      <c r="F36" s="97">
        <v>13</v>
      </c>
      <c r="G36" s="97">
        <v>8</v>
      </c>
      <c r="H36" s="97">
        <v>8</v>
      </c>
      <c r="I36" s="97">
        <v>7</v>
      </c>
      <c r="J36" s="97">
        <v>10</v>
      </c>
      <c r="K36" s="97"/>
      <c r="L36" s="97"/>
      <c r="M36" s="97"/>
      <c r="N36" s="97"/>
      <c r="O36" s="97"/>
      <c r="P36" s="11">
        <f t="shared" si="11"/>
        <v>9.1999999999999993</v>
      </c>
    </row>
    <row r="37" spans="1:16" ht="15.75" x14ac:dyDescent="0.25">
      <c r="A37" s="145"/>
      <c r="B37" s="145"/>
      <c r="C37" s="93" t="s">
        <v>21</v>
      </c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5">
        <f>AVERAGE(P35:P36)</f>
        <v>8.7749999999999986</v>
      </c>
    </row>
    <row r="38" spans="1:16" x14ac:dyDescent="0.25">
      <c r="A38" s="143" t="s">
        <v>125</v>
      </c>
      <c r="B38" s="143">
        <f>D38+D39+D40+D41+D42</f>
        <v>26.95</v>
      </c>
      <c r="C38" s="56" t="s">
        <v>135</v>
      </c>
      <c r="D38" s="63">
        <v>18.899999999999999</v>
      </c>
      <c r="E38" s="11">
        <f>D38*100/26.95</f>
        <v>70.129870129870127</v>
      </c>
      <c r="F38" s="6">
        <v>27</v>
      </c>
      <c r="G38" s="6">
        <v>6</v>
      </c>
      <c r="H38" s="6">
        <v>7</v>
      </c>
      <c r="I38" s="6">
        <v>6</v>
      </c>
      <c r="J38" s="6">
        <v>10.5</v>
      </c>
      <c r="K38" s="6">
        <v>6.5</v>
      </c>
      <c r="L38" s="6">
        <v>26</v>
      </c>
      <c r="M38" s="6">
        <v>18</v>
      </c>
      <c r="N38" s="6">
        <v>15</v>
      </c>
      <c r="O38" s="6">
        <v>7</v>
      </c>
      <c r="P38" s="102">
        <f>AVERAGE(F38:O38)</f>
        <v>12.9</v>
      </c>
    </row>
    <row r="39" spans="1:16" ht="15.75" x14ac:dyDescent="0.25">
      <c r="A39" s="144"/>
      <c r="B39" s="144"/>
      <c r="C39" s="80" t="s">
        <v>136</v>
      </c>
      <c r="D39" s="63">
        <v>3.25</v>
      </c>
      <c r="E39" s="11">
        <f t="shared" ref="E39:E42" si="12">D39*100/26.95</f>
        <v>12.059369202226346</v>
      </c>
      <c r="F39" s="6">
        <v>31</v>
      </c>
      <c r="G39" s="6">
        <v>32</v>
      </c>
      <c r="H39" s="6">
        <v>28</v>
      </c>
      <c r="I39" s="6">
        <v>27.5</v>
      </c>
      <c r="J39" s="6">
        <v>23</v>
      </c>
      <c r="K39" s="6"/>
      <c r="L39" s="6"/>
      <c r="M39" s="6"/>
      <c r="N39" s="6"/>
      <c r="O39" s="6"/>
      <c r="P39" s="102">
        <f t="shared" ref="P39:P42" si="13">AVERAGE(F39:O39)</f>
        <v>28.3</v>
      </c>
    </row>
    <row r="40" spans="1:16" ht="15.75" x14ac:dyDescent="0.25">
      <c r="A40" s="144"/>
      <c r="B40" s="144"/>
      <c r="C40" s="50" t="s">
        <v>140</v>
      </c>
      <c r="D40" s="63">
        <v>2.5</v>
      </c>
      <c r="E40" s="11">
        <f t="shared" si="12"/>
        <v>9.2764378478664202</v>
      </c>
      <c r="F40" s="6">
        <v>16</v>
      </c>
      <c r="G40" s="6">
        <v>17</v>
      </c>
      <c r="H40" s="6">
        <v>12.5</v>
      </c>
      <c r="I40" s="6">
        <v>18</v>
      </c>
      <c r="J40" s="6">
        <v>12</v>
      </c>
      <c r="K40" s="6">
        <v>14</v>
      </c>
      <c r="L40" s="6">
        <v>17</v>
      </c>
      <c r="M40" s="6">
        <v>11</v>
      </c>
      <c r="N40" s="6">
        <v>8</v>
      </c>
      <c r="O40" s="6">
        <v>2</v>
      </c>
      <c r="P40" s="102">
        <f t="shared" si="13"/>
        <v>12.75</v>
      </c>
    </row>
    <row r="41" spans="1:16" x14ac:dyDescent="0.25">
      <c r="A41" s="144"/>
      <c r="B41" s="144"/>
      <c r="C41" s="65" t="s">
        <v>116</v>
      </c>
      <c r="D41" s="63">
        <v>0.75</v>
      </c>
      <c r="E41" s="11">
        <f t="shared" si="12"/>
        <v>2.7829313543599259</v>
      </c>
      <c r="F41" s="6">
        <v>8</v>
      </c>
      <c r="G41" s="6">
        <v>7</v>
      </c>
      <c r="H41" s="6">
        <v>7</v>
      </c>
      <c r="I41" s="6">
        <v>6.5</v>
      </c>
      <c r="J41" s="6">
        <v>6</v>
      </c>
      <c r="K41" s="6">
        <v>7</v>
      </c>
      <c r="L41" s="6">
        <v>6</v>
      </c>
      <c r="M41" s="6">
        <v>5.5</v>
      </c>
      <c r="N41" s="6">
        <v>5</v>
      </c>
      <c r="O41" s="6">
        <v>4</v>
      </c>
      <c r="P41" s="102">
        <f t="shared" si="13"/>
        <v>6.2</v>
      </c>
    </row>
    <row r="42" spans="1:16" ht="15.75" x14ac:dyDescent="0.25">
      <c r="A42" s="144"/>
      <c r="B42" s="144"/>
      <c r="C42" s="92" t="s">
        <v>117</v>
      </c>
      <c r="D42" s="63">
        <v>1.55</v>
      </c>
      <c r="E42" s="11">
        <f t="shared" si="12"/>
        <v>5.7513914656771803</v>
      </c>
      <c r="F42" s="6">
        <v>18</v>
      </c>
      <c r="G42" s="6">
        <v>19</v>
      </c>
      <c r="H42" s="6">
        <v>14</v>
      </c>
      <c r="I42" s="6">
        <v>9.5</v>
      </c>
      <c r="J42" s="6">
        <v>12</v>
      </c>
      <c r="K42" s="6">
        <v>8.5</v>
      </c>
      <c r="L42" s="6">
        <v>9</v>
      </c>
      <c r="M42" s="6">
        <v>7.5</v>
      </c>
      <c r="N42" s="6">
        <v>9.5</v>
      </c>
      <c r="O42" s="6"/>
      <c r="P42" s="102">
        <f t="shared" si="13"/>
        <v>11.888888888888889</v>
      </c>
    </row>
    <row r="43" spans="1:16" ht="15.75" x14ac:dyDescent="0.25">
      <c r="A43" s="145"/>
      <c r="B43" s="145"/>
      <c r="C43" s="93" t="s">
        <v>21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5">
        <f>AVERAGE(P41:P42)</f>
        <v>9.0444444444444443</v>
      </c>
    </row>
    <row r="44" spans="1:16" ht="15.75" x14ac:dyDescent="0.25">
      <c r="A44" s="164" t="s">
        <v>127</v>
      </c>
      <c r="B44" s="164">
        <f>D44+D45+D46+D47</f>
        <v>17.850000000000001</v>
      </c>
      <c r="C44" s="98" t="s">
        <v>138</v>
      </c>
      <c r="D44" s="64">
        <v>5.9</v>
      </c>
      <c r="E44" s="11">
        <f>D44*100/17.85</f>
        <v>33.053221288515402</v>
      </c>
      <c r="F44" s="6">
        <v>32.5</v>
      </c>
      <c r="G44" s="6">
        <v>26.5</v>
      </c>
      <c r="H44" s="6">
        <v>25.5</v>
      </c>
      <c r="I44" s="6">
        <v>6.5</v>
      </c>
      <c r="J44" s="6">
        <v>7.5</v>
      </c>
      <c r="K44" s="6">
        <v>10</v>
      </c>
      <c r="L44" s="6">
        <v>8</v>
      </c>
      <c r="M44" s="6">
        <v>6.5</v>
      </c>
      <c r="N44" s="6">
        <v>14</v>
      </c>
      <c r="O44" s="6">
        <v>7</v>
      </c>
      <c r="P44" s="103">
        <f>AVERAGE(F44:O44)</f>
        <v>14.4</v>
      </c>
    </row>
    <row r="45" spans="1:16" ht="15.75" x14ac:dyDescent="0.25">
      <c r="A45" s="164"/>
      <c r="B45" s="164"/>
      <c r="C45" s="99" t="s">
        <v>117</v>
      </c>
      <c r="D45" s="64">
        <v>2.15</v>
      </c>
      <c r="E45" s="11">
        <f t="shared" ref="E45:E47" si="14">D45*100/17.85</f>
        <v>12.044817927170868</v>
      </c>
      <c r="F45" s="6">
        <v>27</v>
      </c>
      <c r="G45" s="6">
        <v>9</v>
      </c>
      <c r="H45" s="6">
        <v>8</v>
      </c>
      <c r="I45" s="6">
        <v>12</v>
      </c>
      <c r="J45" s="6">
        <v>28</v>
      </c>
      <c r="K45" s="6">
        <v>16</v>
      </c>
      <c r="L45" s="6">
        <v>20</v>
      </c>
      <c r="M45" s="6">
        <v>19.5</v>
      </c>
      <c r="N45" s="6">
        <v>24</v>
      </c>
      <c r="O45" s="6"/>
      <c r="P45" s="103">
        <f t="shared" ref="P45:P47" si="15">AVERAGE(F45:O45)</f>
        <v>18.166666666666668</v>
      </c>
    </row>
    <row r="46" spans="1:16" x14ac:dyDescent="0.25">
      <c r="A46" s="164"/>
      <c r="B46" s="164"/>
      <c r="C46" s="53" t="s">
        <v>137</v>
      </c>
      <c r="D46" s="64">
        <v>9.5</v>
      </c>
      <c r="E46" s="11">
        <f t="shared" si="14"/>
        <v>53.221288515406158</v>
      </c>
      <c r="F46" s="6">
        <v>7</v>
      </c>
      <c r="G46" s="6">
        <v>6.5</v>
      </c>
      <c r="H46" s="6">
        <v>5</v>
      </c>
      <c r="I46" s="6">
        <v>4</v>
      </c>
      <c r="J46" s="6"/>
      <c r="K46" s="6"/>
      <c r="L46" s="6"/>
      <c r="M46" s="6"/>
      <c r="N46" s="6"/>
      <c r="O46" s="6"/>
      <c r="P46" s="103">
        <f t="shared" si="15"/>
        <v>5.625</v>
      </c>
    </row>
    <row r="47" spans="1:16" ht="15.75" x14ac:dyDescent="0.25">
      <c r="A47" s="164"/>
      <c r="B47" s="164"/>
      <c r="C47" s="100" t="s">
        <v>136</v>
      </c>
      <c r="D47" s="64">
        <v>0.3</v>
      </c>
      <c r="E47" s="11">
        <f t="shared" si="14"/>
        <v>1.6806722689075628</v>
      </c>
      <c r="F47" s="6">
        <v>27</v>
      </c>
      <c r="G47" s="6">
        <v>10</v>
      </c>
      <c r="H47" s="6">
        <v>11</v>
      </c>
      <c r="I47" s="6">
        <v>14</v>
      </c>
      <c r="J47" s="6">
        <v>15.3</v>
      </c>
      <c r="K47" s="6">
        <v>16</v>
      </c>
      <c r="L47" s="6">
        <v>10</v>
      </c>
      <c r="M47" s="6">
        <v>8</v>
      </c>
      <c r="N47" s="6">
        <v>8</v>
      </c>
      <c r="O47" s="6">
        <v>8</v>
      </c>
      <c r="P47" s="103">
        <f t="shared" si="15"/>
        <v>12.73</v>
      </c>
    </row>
    <row r="48" spans="1:16" ht="15.75" x14ac:dyDescent="0.25">
      <c r="A48" s="164"/>
      <c r="B48" s="164"/>
      <c r="C48" s="101" t="s">
        <v>21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5">
        <f>AVERAGE(P47:P47)</f>
        <v>12.73</v>
      </c>
    </row>
    <row r="49" spans="1:16" x14ac:dyDescent="0.2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</row>
    <row r="50" spans="1:16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</row>
    <row r="51" spans="1:16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</row>
    <row r="52" spans="1:16" x14ac:dyDescent="0.25">
      <c r="A52" s="84"/>
      <c r="B52" s="84"/>
      <c r="C52" s="73" t="s">
        <v>128</v>
      </c>
      <c r="D52" s="74">
        <v>1</v>
      </c>
      <c r="E52" s="74">
        <v>2</v>
      </c>
      <c r="F52" s="74">
        <v>3</v>
      </c>
      <c r="G52" s="74">
        <v>4</v>
      </c>
      <c r="H52" s="74">
        <v>5</v>
      </c>
      <c r="I52" s="74">
        <v>6</v>
      </c>
      <c r="J52" s="74">
        <v>7</v>
      </c>
      <c r="K52" s="74">
        <v>8</v>
      </c>
      <c r="L52" s="74">
        <v>9</v>
      </c>
      <c r="M52" s="75">
        <v>10</v>
      </c>
      <c r="N52" s="76" t="s">
        <v>21</v>
      </c>
      <c r="O52" s="84"/>
      <c r="P52" s="84"/>
    </row>
    <row r="53" spans="1:16" x14ac:dyDescent="0.25">
      <c r="A53" s="84"/>
      <c r="B53" s="84"/>
      <c r="C53" s="65" t="s">
        <v>116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2.7829313543599259</v>
      </c>
      <c r="M53" s="102">
        <v>0</v>
      </c>
      <c r="N53" s="102">
        <f>AVERAGE(D53:M53)</f>
        <v>0.2782931354359926</v>
      </c>
      <c r="O53" s="84"/>
      <c r="P53" s="84"/>
    </row>
    <row r="54" spans="1:16" x14ac:dyDescent="0.25">
      <c r="A54" s="84"/>
      <c r="B54" s="84"/>
      <c r="C54" s="63" t="s">
        <v>117</v>
      </c>
      <c r="D54" s="102">
        <v>8.8305489260143197</v>
      </c>
      <c r="E54" s="102">
        <v>0</v>
      </c>
      <c r="F54" s="102">
        <v>1.5897047691143074</v>
      </c>
      <c r="G54" s="102">
        <v>0</v>
      </c>
      <c r="H54" s="102">
        <v>2.6511134676564159</v>
      </c>
      <c r="I54" s="102">
        <v>2.0080321285140563</v>
      </c>
      <c r="J54" s="102">
        <v>0</v>
      </c>
      <c r="K54" s="102">
        <v>4.6632124352331603</v>
      </c>
      <c r="L54" s="102">
        <v>5.7513914656771803</v>
      </c>
      <c r="M54" s="102">
        <v>12</v>
      </c>
      <c r="N54" s="102">
        <f t="shared" ref="N54:N63" si="16">AVERAGE(D54:M54)</f>
        <v>3.749400319220944</v>
      </c>
      <c r="O54" s="84"/>
      <c r="P54" s="84"/>
    </row>
    <row r="55" spans="1:16" x14ac:dyDescent="0.25">
      <c r="A55" s="84"/>
      <c r="B55" s="84"/>
      <c r="C55" s="63" t="s">
        <v>140</v>
      </c>
      <c r="D55" s="102">
        <v>5.9665871121718377</v>
      </c>
      <c r="E55" s="102">
        <v>0</v>
      </c>
      <c r="F55" s="102">
        <v>0</v>
      </c>
      <c r="G55" s="102">
        <v>0</v>
      </c>
      <c r="H55" s="102">
        <v>0</v>
      </c>
      <c r="I55" s="102">
        <v>3.6144578313253009</v>
      </c>
      <c r="J55" s="102">
        <v>0</v>
      </c>
      <c r="K55" s="102">
        <v>3.3160621761658029</v>
      </c>
      <c r="L55" s="102">
        <v>9.2764378478664202</v>
      </c>
      <c r="M55" s="102">
        <v>0</v>
      </c>
      <c r="N55" s="102">
        <f t="shared" si="16"/>
        <v>2.2173544967529359</v>
      </c>
      <c r="O55" s="84"/>
      <c r="P55" s="84"/>
    </row>
    <row r="56" spans="1:16" x14ac:dyDescent="0.25">
      <c r="A56" s="84"/>
      <c r="B56" s="84"/>
      <c r="C56" s="63" t="s">
        <v>118</v>
      </c>
      <c r="D56" s="102">
        <v>0</v>
      </c>
      <c r="E56" s="102">
        <v>0</v>
      </c>
      <c r="F56" s="102">
        <v>39.364118092354282</v>
      </c>
      <c r="G56" s="102">
        <v>0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102">
        <v>0</v>
      </c>
      <c r="N56" s="102">
        <f t="shared" si="16"/>
        <v>3.9364118092354281</v>
      </c>
      <c r="O56" s="84"/>
      <c r="P56" s="84"/>
    </row>
    <row r="57" spans="1:16" x14ac:dyDescent="0.25">
      <c r="A57" s="84"/>
      <c r="B57" s="84"/>
      <c r="C57" s="63" t="s">
        <v>132</v>
      </c>
      <c r="D57" s="102">
        <v>0</v>
      </c>
      <c r="E57" s="102">
        <v>0</v>
      </c>
      <c r="F57" s="102">
        <v>56.623769871309619</v>
      </c>
      <c r="G57" s="102">
        <v>0</v>
      </c>
      <c r="H57" s="102">
        <v>0</v>
      </c>
      <c r="I57" s="102">
        <v>0</v>
      </c>
      <c r="J57" s="102">
        <v>73.275862068965523</v>
      </c>
      <c r="K57" s="102">
        <v>0</v>
      </c>
      <c r="L57" s="102">
        <v>0</v>
      </c>
      <c r="M57" s="102">
        <v>0</v>
      </c>
      <c r="N57" s="102">
        <f t="shared" si="16"/>
        <v>12.989963194027514</v>
      </c>
      <c r="O57" s="84"/>
      <c r="P57" s="84"/>
    </row>
    <row r="58" spans="1:16" x14ac:dyDescent="0.25">
      <c r="A58" s="84"/>
      <c r="B58" s="84"/>
      <c r="C58" s="53" t="s">
        <v>137</v>
      </c>
      <c r="D58" s="102">
        <v>0</v>
      </c>
      <c r="E58" s="102">
        <v>0</v>
      </c>
      <c r="F58" s="102">
        <v>0</v>
      </c>
      <c r="G58" s="102">
        <v>0</v>
      </c>
      <c r="H58" s="102">
        <v>0</v>
      </c>
      <c r="I58" s="102">
        <v>0</v>
      </c>
      <c r="J58" s="102">
        <v>0</v>
      </c>
      <c r="K58" s="102">
        <v>0</v>
      </c>
      <c r="L58" s="102">
        <v>0</v>
      </c>
      <c r="M58" s="102">
        <v>53.2</v>
      </c>
      <c r="N58" s="102">
        <f t="shared" si="16"/>
        <v>5.32</v>
      </c>
      <c r="O58" s="84"/>
      <c r="P58" s="84"/>
    </row>
    <row r="59" spans="1:16" x14ac:dyDescent="0.25">
      <c r="A59" s="84"/>
      <c r="B59" s="84"/>
      <c r="C59" s="53" t="s">
        <v>121</v>
      </c>
      <c r="D59" s="102">
        <v>2.3866348448687353</v>
      </c>
      <c r="E59" s="102">
        <v>0</v>
      </c>
      <c r="F59" s="102">
        <v>0</v>
      </c>
      <c r="G59" s="102">
        <v>0</v>
      </c>
      <c r="H59" s="102">
        <v>13.255567338282079</v>
      </c>
      <c r="I59" s="102">
        <v>0</v>
      </c>
      <c r="J59" s="102">
        <v>12.068965517241379</v>
      </c>
      <c r="K59" s="102">
        <v>2.7979274611398965</v>
      </c>
      <c r="L59" s="102">
        <v>0</v>
      </c>
      <c r="M59" s="102">
        <v>0</v>
      </c>
      <c r="N59" s="102">
        <f t="shared" si="16"/>
        <v>3.0509095161532089</v>
      </c>
      <c r="O59" s="84"/>
      <c r="P59" s="84"/>
    </row>
    <row r="60" spans="1:16" x14ac:dyDescent="0.25">
      <c r="A60" s="84"/>
      <c r="B60" s="84"/>
      <c r="C60" s="63" t="s">
        <v>141</v>
      </c>
      <c r="D60" s="102">
        <v>0</v>
      </c>
      <c r="E60" s="102">
        <v>0</v>
      </c>
      <c r="F60" s="102">
        <v>2.4224072672218018</v>
      </c>
      <c r="G60" s="102">
        <v>57.342657342657333</v>
      </c>
      <c r="H60" s="102">
        <v>0</v>
      </c>
      <c r="I60" s="102">
        <v>0</v>
      </c>
      <c r="J60" s="102">
        <v>0</v>
      </c>
      <c r="K60" s="102">
        <v>2.3834196891191706</v>
      </c>
      <c r="L60" s="102">
        <v>12.059369202226346</v>
      </c>
      <c r="M60" s="102">
        <v>1.7</v>
      </c>
      <c r="N60" s="102">
        <f t="shared" si="16"/>
        <v>7.5907853501224647</v>
      </c>
      <c r="O60" s="84"/>
      <c r="P60" s="84"/>
    </row>
    <row r="61" spans="1:16" x14ac:dyDescent="0.25">
      <c r="A61" s="84"/>
      <c r="B61" s="84"/>
      <c r="C61" s="53" t="s">
        <v>126</v>
      </c>
      <c r="D61" s="102">
        <v>0</v>
      </c>
      <c r="E61" s="102">
        <v>0</v>
      </c>
      <c r="F61" s="102">
        <v>0</v>
      </c>
      <c r="G61" s="102">
        <v>0</v>
      </c>
      <c r="H61" s="102">
        <v>0</v>
      </c>
      <c r="I61" s="102">
        <v>94.377510040160644</v>
      </c>
      <c r="J61" s="102">
        <v>0</v>
      </c>
      <c r="K61" s="102">
        <v>0</v>
      </c>
      <c r="L61" s="102">
        <v>0</v>
      </c>
      <c r="M61" s="102">
        <v>0</v>
      </c>
      <c r="N61" s="102">
        <f t="shared" si="16"/>
        <v>9.4377510040160644</v>
      </c>
      <c r="O61" s="84"/>
      <c r="P61" s="84"/>
    </row>
    <row r="62" spans="1:16" x14ac:dyDescent="0.25">
      <c r="A62" s="84"/>
      <c r="B62" s="84"/>
      <c r="C62" s="63" t="s">
        <v>115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14.655172413793103</v>
      </c>
      <c r="K62" s="102">
        <v>0</v>
      </c>
      <c r="L62" s="102">
        <v>0</v>
      </c>
      <c r="M62" s="102">
        <v>0</v>
      </c>
      <c r="N62" s="102">
        <f t="shared" si="16"/>
        <v>1.4655172413793103</v>
      </c>
      <c r="O62" s="84"/>
      <c r="P62" s="84"/>
    </row>
    <row r="63" spans="1:16" x14ac:dyDescent="0.25">
      <c r="A63" s="84"/>
      <c r="B63" s="84"/>
      <c r="C63" s="63" t="s">
        <v>138</v>
      </c>
      <c r="D63" s="102">
        <v>82.816229116945124</v>
      </c>
      <c r="E63" s="102">
        <v>100</v>
      </c>
      <c r="F63" s="102">
        <v>0</v>
      </c>
      <c r="G63" s="102">
        <v>42.657342657342653</v>
      </c>
      <c r="H63" s="102">
        <v>84.093319194061507</v>
      </c>
      <c r="I63" s="102">
        <v>0</v>
      </c>
      <c r="J63" s="102">
        <v>0</v>
      </c>
      <c r="K63" s="102">
        <v>86.839378238341965</v>
      </c>
      <c r="L63" s="102">
        <v>70.129870129870127</v>
      </c>
      <c r="M63" s="102">
        <v>33.053221288515402</v>
      </c>
      <c r="N63" s="102">
        <f t="shared" si="16"/>
        <v>49.958936062507675</v>
      </c>
      <c r="O63" s="84"/>
      <c r="P63" s="84"/>
    </row>
    <row r="64" spans="1:16" x14ac:dyDescent="0.25">
      <c r="A64" s="84"/>
      <c r="B64" s="84"/>
      <c r="C64" s="84"/>
      <c r="D64" s="104">
        <f>SUM(D53:D63)</f>
        <v>100.00000000000001</v>
      </c>
      <c r="E64" s="104">
        <f t="shared" ref="E64:M64" si="17">SUM(E53:E63)</f>
        <v>100</v>
      </c>
      <c r="F64" s="104">
        <f t="shared" si="17"/>
        <v>100.00000000000001</v>
      </c>
      <c r="G64" s="104">
        <f t="shared" si="17"/>
        <v>99.999999999999986</v>
      </c>
      <c r="H64" s="104">
        <f t="shared" si="17"/>
        <v>100</v>
      </c>
      <c r="I64" s="104">
        <f t="shared" si="17"/>
        <v>100</v>
      </c>
      <c r="J64" s="104">
        <f t="shared" si="17"/>
        <v>100</v>
      </c>
      <c r="K64" s="104">
        <f t="shared" si="17"/>
        <v>100</v>
      </c>
      <c r="L64" s="104">
        <f t="shared" si="17"/>
        <v>100</v>
      </c>
      <c r="M64" s="104">
        <f t="shared" si="17"/>
        <v>99.953221288515408</v>
      </c>
      <c r="N64" s="105">
        <f>SUM(N53:N63)</f>
        <v>99.995322128851541</v>
      </c>
      <c r="O64" s="84"/>
      <c r="P64" s="84"/>
    </row>
    <row r="66" spans="3:15" ht="15.75" x14ac:dyDescent="0.25">
      <c r="C66" s="107">
        <v>16.8</v>
      </c>
      <c r="E66" s="107">
        <v>16.8</v>
      </c>
      <c r="F66" s="196">
        <v>14.9</v>
      </c>
      <c r="G66" s="107">
        <v>22.8</v>
      </c>
      <c r="H66" s="196">
        <v>14.4</v>
      </c>
      <c r="I66" s="196">
        <v>16</v>
      </c>
      <c r="J66" s="197">
        <v>17.100000000000001</v>
      </c>
      <c r="K66" s="197">
        <v>8.6</v>
      </c>
      <c r="L66" s="197">
        <v>8.8000000000000007</v>
      </c>
      <c r="M66" s="197">
        <v>9</v>
      </c>
      <c r="N66" s="197">
        <v>12.7</v>
      </c>
      <c r="O66" s="198">
        <f>AVERAGE(E66:N66)</f>
        <v>14.109999999999996</v>
      </c>
    </row>
    <row r="67" spans="3:15" ht="15.75" x14ac:dyDescent="0.25">
      <c r="C67" s="196">
        <v>14.9</v>
      </c>
    </row>
    <row r="68" spans="3:15" x14ac:dyDescent="0.25">
      <c r="C68" s="107">
        <v>22.8</v>
      </c>
    </row>
    <row r="69" spans="3:15" ht="15.75" x14ac:dyDescent="0.25">
      <c r="C69" s="196">
        <v>14.4</v>
      </c>
    </row>
    <row r="70" spans="3:15" ht="15.75" x14ac:dyDescent="0.25">
      <c r="C70" s="196">
        <v>16</v>
      </c>
    </row>
    <row r="71" spans="3:15" ht="15.75" x14ac:dyDescent="0.25">
      <c r="C71" s="197">
        <v>17.100000000000001</v>
      </c>
    </row>
    <row r="72" spans="3:15" ht="15.75" x14ac:dyDescent="0.25">
      <c r="C72" s="197">
        <v>8.6</v>
      </c>
    </row>
    <row r="73" spans="3:15" ht="15.75" x14ac:dyDescent="0.25">
      <c r="C73" s="197">
        <v>8.8000000000000007</v>
      </c>
    </row>
    <row r="74" spans="3:15" ht="15.75" x14ac:dyDescent="0.25">
      <c r="C74" s="197">
        <v>9</v>
      </c>
    </row>
    <row r="75" spans="3:15" ht="15.75" x14ac:dyDescent="0.25">
      <c r="C75" s="197">
        <v>12.7</v>
      </c>
    </row>
    <row r="76" spans="3:15" x14ac:dyDescent="0.25">
      <c r="C76" s="198">
        <f>AVERAGE(C66:C75)</f>
        <v>14.109999999999996</v>
      </c>
    </row>
  </sheetData>
  <mergeCells count="28">
    <mergeCell ref="A44:A48"/>
    <mergeCell ref="B44:B48"/>
    <mergeCell ref="A28:A31"/>
    <mergeCell ref="B28:B31"/>
    <mergeCell ref="A32:A37"/>
    <mergeCell ref="B32:B37"/>
    <mergeCell ref="A38:A43"/>
    <mergeCell ref="B38:B43"/>
    <mergeCell ref="A17:A19"/>
    <mergeCell ref="B17:B19"/>
    <mergeCell ref="A20:A23"/>
    <mergeCell ref="B20:B23"/>
    <mergeCell ref="A24:A27"/>
    <mergeCell ref="B24:B27"/>
    <mergeCell ref="A5:A9"/>
    <mergeCell ref="B5:B9"/>
    <mergeCell ref="A10:A11"/>
    <mergeCell ref="B10:B11"/>
    <mergeCell ref="A12:A16"/>
    <mergeCell ref="B12:B16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46" zoomScale="70" zoomScaleNormal="70" workbookViewId="0">
      <selection activeCell="F61" sqref="F61:Q61"/>
    </sheetView>
  </sheetViews>
  <sheetFormatPr defaultRowHeight="15" x14ac:dyDescent="0.25"/>
  <cols>
    <col min="1" max="1" width="19.5703125" customWidth="1"/>
    <col min="2" max="2" width="22.85546875" customWidth="1"/>
    <col min="3" max="3" width="46.28515625" customWidth="1"/>
    <col min="4" max="4" width="19" customWidth="1"/>
    <col min="5" max="5" width="28.85546875" customWidth="1"/>
  </cols>
  <sheetData>
    <row r="1" spans="1:16" x14ac:dyDescent="0.25">
      <c r="A1" s="120" t="s">
        <v>43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16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</row>
    <row r="3" spans="1:16" ht="15.75" x14ac:dyDescent="0.25">
      <c r="A3" s="179" t="s">
        <v>33</v>
      </c>
      <c r="B3" s="180" t="s">
        <v>34</v>
      </c>
      <c r="C3" s="179" t="s">
        <v>35</v>
      </c>
      <c r="D3" s="181" t="s">
        <v>36</v>
      </c>
      <c r="E3" s="182" t="s">
        <v>37</v>
      </c>
      <c r="F3" s="183" t="s">
        <v>38</v>
      </c>
      <c r="G3" s="183"/>
      <c r="H3" s="183"/>
      <c r="I3" s="183"/>
      <c r="J3" s="183"/>
      <c r="K3" s="183"/>
      <c r="L3" s="183"/>
      <c r="M3" s="183"/>
      <c r="N3" s="183"/>
      <c r="O3" s="183"/>
      <c r="P3" s="184" t="s">
        <v>21</v>
      </c>
    </row>
    <row r="4" spans="1:16" ht="15.75" x14ac:dyDescent="0.25">
      <c r="A4" s="179"/>
      <c r="B4" s="180"/>
      <c r="C4" s="179"/>
      <c r="D4" s="181"/>
      <c r="E4" s="182"/>
      <c r="F4" s="90">
        <v>1</v>
      </c>
      <c r="G4" s="90">
        <v>2</v>
      </c>
      <c r="H4" s="90">
        <v>3</v>
      </c>
      <c r="I4" s="90">
        <v>4</v>
      </c>
      <c r="J4" s="90">
        <v>5</v>
      </c>
      <c r="K4" s="90">
        <v>6</v>
      </c>
      <c r="L4" s="90">
        <v>7</v>
      </c>
      <c r="M4" s="90">
        <v>8</v>
      </c>
      <c r="N4" s="90">
        <v>9</v>
      </c>
      <c r="O4" s="90">
        <v>10</v>
      </c>
      <c r="P4" s="184"/>
    </row>
    <row r="5" spans="1:16" x14ac:dyDescent="0.25">
      <c r="A5" s="164" t="s">
        <v>6</v>
      </c>
      <c r="B5" s="189">
        <v>31.3</v>
      </c>
      <c r="C5" s="77" t="s">
        <v>140</v>
      </c>
      <c r="D5" s="63">
        <v>7</v>
      </c>
      <c r="E5" s="11">
        <v>22.4</v>
      </c>
      <c r="F5" s="63">
        <v>14.8</v>
      </c>
      <c r="G5" s="63">
        <v>13.6</v>
      </c>
      <c r="H5" s="63">
        <v>14</v>
      </c>
      <c r="I5" s="63">
        <v>14</v>
      </c>
      <c r="J5" s="63">
        <v>15</v>
      </c>
      <c r="K5" s="63">
        <v>16.399999999999999</v>
      </c>
      <c r="L5" s="63">
        <v>15.8</v>
      </c>
      <c r="M5" s="63">
        <v>17.899999999999999</v>
      </c>
      <c r="N5" s="63">
        <v>13</v>
      </c>
      <c r="O5" s="63">
        <v>13</v>
      </c>
      <c r="P5" s="53">
        <f>AVERAGE(F5:O5)</f>
        <v>14.75</v>
      </c>
    </row>
    <row r="6" spans="1:16" ht="15.75" x14ac:dyDescent="0.25">
      <c r="A6" s="164"/>
      <c r="B6" s="189"/>
      <c r="C6" s="80" t="s">
        <v>136</v>
      </c>
      <c r="D6" s="63">
        <v>10.1</v>
      </c>
      <c r="E6" s="11">
        <v>32.200000000000003</v>
      </c>
      <c r="F6" s="63">
        <v>14.5</v>
      </c>
      <c r="G6" s="63">
        <v>29.5</v>
      </c>
      <c r="H6" s="63">
        <v>20</v>
      </c>
      <c r="I6" s="63">
        <v>23</v>
      </c>
      <c r="J6" s="63"/>
      <c r="K6" s="63"/>
      <c r="L6" s="63"/>
      <c r="M6" s="63"/>
      <c r="N6" s="63"/>
      <c r="O6" s="63"/>
      <c r="P6" s="53">
        <f t="shared" ref="P6:P7" si="0">AVERAGE(F6:O6)</f>
        <v>21.75</v>
      </c>
    </row>
    <row r="7" spans="1:16" x14ac:dyDescent="0.25">
      <c r="A7" s="164"/>
      <c r="B7" s="189"/>
      <c r="C7" s="53" t="s">
        <v>126</v>
      </c>
      <c r="D7" s="63">
        <v>14.2</v>
      </c>
      <c r="E7" s="11">
        <v>45.6</v>
      </c>
      <c r="F7" s="63">
        <v>28</v>
      </c>
      <c r="G7" s="63">
        <v>31</v>
      </c>
      <c r="H7" s="63">
        <v>13</v>
      </c>
      <c r="I7" s="63">
        <v>10</v>
      </c>
      <c r="J7" s="63">
        <v>25</v>
      </c>
      <c r="K7" s="63">
        <v>25</v>
      </c>
      <c r="L7" s="63">
        <v>29</v>
      </c>
      <c r="M7" s="63">
        <v>32</v>
      </c>
      <c r="N7" s="63">
        <v>32.5</v>
      </c>
      <c r="O7" s="63">
        <v>34</v>
      </c>
      <c r="P7" s="53">
        <f t="shared" si="0"/>
        <v>25.95</v>
      </c>
    </row>
    <row r="8" spans="1:16" ht="15.75" x14ac:dyDescent="0.25">
      <c r="A8" s="164"/>
      <c r="B8" s="189"/>
      <c r="C8" s="94" t="s">
        <v>21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5">
        <f>AVERAGE(P5:P7)</f>
        <v>20.816666666666666</v>
      </c>
    </row>
    <row r="9" spans="1:16" ht="15.75" x14ac:dyDescent="0.25">
      <c r="A9" s="185" t="s">
        <v>7</v>
      </c>
      <c r="B9" s="185">
        <v>46.2</v>
      </c>
      <c r="C9" s="77" t="s">
        <v>138</v>
      </c>
      <c r="D9" s="50">
        <v>46.2</v>
      </c>
      <c r="E9" s="91">
        <v>100</v>
      </c>
      <c r="F9" s="50">
        <v>39</v>
      </c>
      <c r="G9" s="50">
        <v>26</v>
      </c>
      <c r="H9" s="50">
        <v>21</v>
      </c>
      <c r="I9" s="50">
        <v>28</v>
      </c>
      <c r="J9" s="50">
        <v>21</v>
      </c>
      <c r="K9" s="50">
        <v>18.5</v>
      </c>
      <c r="L9" s="50">
        <v>32</v>
      </c>
      <c r="M9" s="50">
        <v>14.5</v>
      </c>
      <c r="N9" s="50">
        <v>3.5</v>
      </c>
      <c r="O9" s="50">
        <v>10.5</v>
      </c>
      <c r="P9" s="91">
        <f>AVERAGE(F9:O9)</f>
        <v>21.4</v>
      </c>
    </row>
    <row r="10" spans="1:16" ht="15.75" x14ac:dyDescent="0.25">
      <c r="A10" s="185"/>
      <c r="B10" s="185"/>
      <c r="C10" s="94" t="s">
        <v>21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5">
        <v>21.4</v>
      </c>
    </row>
    <row r="11" spans="1:16" x14ac:dyDescent="0.25">
      <c r="A11" s="185" t="s">
        <v>8</v>
      </c>
      <c r="B11" s="190">
        <v>25.7</v>
      </c>
      <c r="C11" s="77" t="s">
        <v>138</v>
      </c>
      <c r="D11" s="63">
        <v>6.8</v>
      </c>
      <c r="E11" s="11">
        <v>26.4</v>
      </c>
      <c r="F11" s="63">
        <v>41</v>
      </c>
      <c r="G11" s="63">
        <v>34.5</v>
      </c>
      <c r="H11" s="63">
        <v>29</v>
      </c>
      <c r="I11" s="63">
        <v>8</v>
      </c>
      <c r="J11" s="63">
        <v>29</v>
      </c>
      <c r="K11" s="63">
        <v>30.5</v>
      </c>
      <c r="L11" s="63">
        <v>30</v>
      </c>
      <c r="M11" s="63">
        <v>10.5</v>
      </c>
      <c r="N11" s="63">
        <v>38</v>
      </c>
      <c r="O11" s="63">
        <v>14.5</v>
      </c>
      <c r="P11" s="63">
        <f>AVERAGE(F11:O11)</f>
        <v>26.5</v>
      </c>
    </row>
    <row r="12" spans="1:16" ht="15.75" x14ac:dyDescent="0.25">
      <c r="A12" s="185"/>
      <c r="B12" s="190"/>
      <c r="C12" s="80" t="s">
        <v>136</v>
      </c>
      <c r="D12" s="63">
        <v>0.4</v>
      </c>
      <c r="E12" s="11">
        <v>1.8</v>
      </c>
      <c r="F12" s="63">
        <v>26</v>
      </c>
      <c r="G12" s="63">
        <v>21</v>
      </c>
      <c r="H12" s="63">
        <v>7</v>
      </c>
      <c r="I12" s="63"/>
      <c r="J12" s="63"/>
      <c r="K12" s="63"/>
      <c r="L12" s="63"/>
      <c r="M12" s="63"/>
      <c r="N12" s="63"/>
      <c r="O12" s="63"/>
      <c r="P12" s="63">
        <f t="shared" ref="P12:P13" si="1">AVERAGE(F12:O12)</f>
        <v>18</v>
      </c>
    </row>
    <row r="13" spans="1:16" x14ac:dyDescent="0.25">
      <c r="A13" s="185"/>
      <c r="B13" s="190"/>
      <c r="C13" s="53" t="s">
        <v>118</v>
      </c>
      <c r="D13" s="63">
        <v>18.5</v>
      </c>
      <c r="E13" s="11">
        <v>71.8</v>
      </c>
      <c r="F13" s="63">
        <v>39</v>
      </c>
      <c r="G13" s="63">
        <v>42</v>
      </c>
      <c r="H13" s="63">
        <v>12</v>
      </c>
      <c r="I13" s="63">
        <v>45</v>
      </c>
      <c r="J13" s="63"/>
      <c r="K13" s="63"/>
      <c r="L13" s="63"/>
      <c r="M13" s="63"/>
      <c r="N13" s="63"/>
      <c r="O13" s="63"/>
      <c r="P13" s="63">
        <f t="shared" si="1"/>
        <v>34.5</v>
      </c>
    </row>
    <row r="14" spans="1:16" ht="15.75" x14ac:dyDescent="0.25">
      <c r="A14" s="185"/>
      <c r="B14" s="190"/>
      <c r="C14" s="94" t="s">
        <v>21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5">
        <f>AVERAGE(P11:P13)</f>
        <v>26.333333333333332</v>
      </c>
    </row>
    <row r="15" spans="1:16" x14ac:dyDescent="0.25">
      <c r="A15" s="143" t="s">
        <v>9</v>
      </c>
      <c r="B15" s="143">
        <f>D15+D16+D17</f>
        <v>17.150000000000002</v>
      </c>
      <c r="C15" s="53" t="s">
        <v>118</v>
      </c>
      <c r="D15" s="63">
        <v>6.15</v>
      </c>
      <c r="E15" s="11">
        <f>D15*100/17.15</f>
        <v>35.860058309037903</v>
      </c>
      <c r="F15" s="63">
        <v>34</v>
      </c>
      <c r="G15" s="63">
        <v>21</v>
      </c>
      <c r="H15" s="63">
        <v>20</v>
      </c>
      <c r="I15" s="63">
        <v>30</v>
      </c>
      <c r="J15" s="63">
        <v>25</v>
      </c>
      <c r="K15" s="63">
        <v>23</v>
      </c>
      <c r="L15" s="63">
        <v>24</v>
      </c>
      <c r="M15" s="63">
        <v>24.5</v>
      </c>
      <c r="N15" s="63"/>
      <c r="O15" s="63"/>
      <c r="P15" s="11">
        <f>AVERAGE(E15:O15)</f>
        <v>26.373339812115322</v>
      </c>
    </row>
    <row r="16" spans="1:16" ht="15.75" x14ac:dyDescent="0.25">
      <c r="A16" s="144"/>
      <c r="B16" s="144"/>
      <c r="C16" s="92" t="s">
        <v>117</v>
      </c>
      <c r="D16" s="63">
        <v>0.7</v>
      </c>
      <c r="E16" s="11">
        <f>D16*100/17.15</f>
        <v>4.0816326530612246</v>
      </c>
      <c r="F16" s="63">
        <v>10</v>
      </c>
      <c r="G16" s="63"/>
      <c r="H16" s="63"/>
      <c r="I16" s="63"/>
      <c r="J16" s="63"/>
      <c r="K16" s="63"/>
      <c r="L16" s="63"/>
      <c r="M16" s="63"/>
      <c r="N16" s="63"/>
      <c r="O16" s="63"/>
      <c r="P16" s="11">
        <f t="shared" ref="P16:P17" si="2">AVERAGE(E16:O16)</f>
        <v>7.0408163265306118</v>
      </c>
    </row>
    <row r="17" spans="1:16" x14ac:dyDescent="0.25">
      <c r="A17" s="144"/>
      <c r="B17" s="144"/>
      <c r="C17" s="77" t="s">
        <v>138</v>
      </c>
      <c r="D17" s="63">
        <v>10.3</v>
      </c>
      <c r="E17" s="11">
        <f>D17*100/17.15</f>
        <v>60.058309037900877</v>
      </c>
      <c r="F17" s="63">
        <v>29</v>
      </c>
      <c r="G17" s="63">
        <v>32</v>
      </c>
      <c r="H17" s="63">
        <v>12</v>
      </c>
      <c r="I17" s="63">
        <v>17</v>
      </c>
      <c r="J17" s="63">
        <v>5</v>
      </c>
      <c r="K17" s="63">
        <v>5.5</v>
      </c>
      <c r="L17" s="63">
        <v>6</v>
      </c>
      <c r="M17" s="63">
        <v>18.5</v>
      </c>
      <c r="N17" s="63">
        <v>20</v>
      </c>
      <c r="O17" s="63">
        <v>6.5</v>
      </c>
      <c r="P17" s="11">
        <f t="shared" si="2"/>
        <v>19.232573548900078</v>
      </c>
    </row>
    <row r="18" spans="1:16" ht="15.75" x14ac:dyDescent="0.25">
      <c r="A18" s="144"/>
      <c r="B18" s="145"/>
      <c r="C18" s="94" t="s">
        <v>21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5">
        <f>AVERAGE(P15:P17)</f>
        <v>17.54890989584867</v>
      </c>
    </row>
    <row r="19" spans="1:16" x14ac:dyDescent="0.25">
      <c r="A19" s="144" t="s">
        <v>120</v>
      </c>
      <c r="B19" s="143">
        <f>D19+D20+D21+D22</f>
        <v>25.900000000000002</v>
      </c>
      <c r="C19" s="56" t="s">
        <v>135</v>
      </c>
      <c r="D19" s="63">
        <v>15.55</v>
      </c>
      <c r="E19" s="11">
        <f>D19*100/25.9</f>
        <v>60.038610038610045</v>
      </c>
      <c r="F19" s="63">
        <v>12</v>
      </c>
      <c r="G19" s="63">
        <v>25</v>
      </c>
      <c r="H19" s="63">
        <v>26.5</v>
      </c>
      <c r="I19" s="63">
        <v>27</v>
      </c>
      <c r="J19" s="63">
        <v>6</v>
      </c>
      <c r="K19" s="63">
        <v>29</v>
      </c>
      <c r="L19" s="63">
        <v>34</v>
      </c>
      <c r="M19" s="63">
        <v>26</v>
      </c>
      <c r="N19" s="63">
        <v>25</v>
      </c>
      <c r="O19" s="63">
        <v>14</v>
      </c>
      <c r="P19" s="63">
        <f>AVERAGE(F19:O19)</f>
        <v>22.45</v>
      </c>
    </row>
    <row r="20" spans="1:16" x14ac:dyDescent="0.25">
      <c r="A20" s="144"/>
      <c r="B20" s="144"/>
      <c r="C20" s="53" t="s">
        <v>126</v>
      </c>
      <c r="D20" s="63">
        <v>7.65</v>
      </c>
      <c r="E20" s="11">
        <f t="shared" ref="E20:E22" si="3">D20*100/25.9</f>
        <v>29.536679536679539</v>
      </c>
      <c r="F20" s="63">
        <v>20</v>
      </c>
      <c r="G20" s="63">
        <v>28</v>
      </c>
      <c r="H20" s="63">
        <v>15</v>
      </c>
      <c r="I20" s="63">
        <v>30</v>
      </c>
      <c r="J20" s="63">
        <v>22</v>
      </c>
      <c r="K20" s="63">
        <v>18</v>
      </c>
      <c r="L20" s="63">
        <v>20</v>
      </c>
      <c r="M20" s="63">
        <v>25</v>
      </c>
      <c r="N20" s="63">
        <v>15</v>
      </c>
      <c r="O20" s="63">
        <v>24</v>
      </c>
      <c r="P20" s="63">
        <f t="shared" ref="P20:P22" si="4">AVERAGE(F20:O20)</f>
        <v>21.7</v>
      </c>
    </row>
    <row r="21" spans="1:16" ht="15.75" x14ac:dyDescent="0.25">
      <c r="A21" s="144"/>
      <c r="B21" s="144"/>
      <c r="C21" s="92" t="s">
        <v>117</v>
      </c>
      <c r="D21" s="63">
        <v>1.25</v>
      </c>
      <c r="E21" s="11">
        <f t="shared" si="3"/>
        <v>4.8262548262548268</v>
      </c>
      <c r="F21" s="63">
        <v>13</v>
      </c>
      <c r="G21" s="63">
        <v>12</v>
      </c>
      <c r="H21" s="63">
        <v>13</v>
      </c>
      <c r="I21" s="63">
        <v>7</v>
      </c>
      <c r="J21" s="63">
        <v>6.5</v>
      </c>
      <c r="K21" s="63">
        <v>9</v>
      </c>
      <c r="L21" s="63">
        <v>8</v>
      </c>
      <c r="M21" s="63"/>
      <c r="N21" s="63"/>
      <c r="O21" s="63"/>
      <c r="P21" s="63">
        <f t="shared" si="4"/>
        <v>9.7857142857142865</v>
      </c>
    </row>
    <row r="22" spans="1:16" x14ac:dyDescent="0.25">
      <c r="A22" s="144"/>
      <c r="B22" s="144"/>
      <c r="C22" s="53" t="s">
        <v>121</v>
      </c>
      <c r="D22" s="63">
        <v>1.45</v>
      </c>
      <c r="E22" s="11">
        <f t="shared" si="3"/>
        <v>5.5984555984555984</v>
      </c>
      <c r="F22" s="63">
        <v>10</v>
      </c>
      <c r="G22" s="63">
        <v>11</v>
      </c>
      <c r="H22" s="63">
        <v>7</v>
      </c>
      <c r="I22" s="63">
        <v>7</v>
      </c>
      <c r="J22" s="63"/>
      <c r="K22" s="63"/>
      <c r="L22" s="63"/>
      <c r="M22" s="63"/>
      <c r="N22" s="63"/>
      <c r="O22" s="63"/>
      <c r="P22" s="63">
        <f t="shared" si="4"/>
        <v>8.75</v>
      </c>
    </row>
    <row r="23" spans="1:16" ht="15.75" x14ac:dyDescent="0.25">
      <c r="A23" s="145"/>
      <c r="B23" s="145"/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5">
        <f>AVERAGE(P20:P22)</f>
        <v>13.411904761904763</v>
      </c>
    </row>
    <row r="24" spans="1:16" ht="15.75" x14ac:dyDescent="0.25">
      <c r="A24" s="143" t="s">
        <v>122</v>
      </c>
      <c r="B24" s="143">
        <f>D24+D25+D26</f>
        <v>8.6500000000000021</v>
      </c>
      <c r="C24" s="80" t="s">
        <v>145</v>
      </c>
      <c r="D24" s="11">
        <v>5.9</v>
      </c>
      <c r="E24" s="11">
        <f>D24*100/8.65</f>
        <v>68.20809248554913</v>
      </c>
      <c r="F24" s="11">
        <v>16.5</v>
      </c>
      <c r="G24" s="11">
        <v>14</v>
      </c>
      <c r="H24" s="11">
        <v>25</v>
      </c>
      <c r="I24" s="11">
        <v>20</v>
      </c>
      <c r="J24" s="11">
        <v>18</v>
      </c>
      <c r="K24" s="11">
        <v>16</v>
      </c>
      <c r="L24" s="11">
        <v>16.5</v>
      </c>
      <c r="M24" s="11">
        <v>12</v>
      </c>
      <c r="N24" s="11">
        <v>14.5</v>
      </c>
      <c r="O24" s="11">
        <v>16</v>
      </c>
      <c r="P24" s="82">
        <f>AVERAGE(F24:O24)</f>
        <v>16.850000000000001</v>
      </c>
    </row>
    <row r="25" spans="1:16" x14ac:dyDescent="0.25">
      <c r="A25" s="144"/>
      <c r="B25" s="144"/>
      <c r="C25" s="56" t="s">
        <v>135</v>
      </c>
      <c r="D25" s="11">
        <v>2.2000000000000002</v>
      </c>
      <c r="E25" s="11">
        <f t="shared" ref="E25:E26" si="5">D25*100/8.65</f>
        <v>25.433526011560694</v>
      </c>
      <c r="F25" s="11">
        <v>6</v>
      </c>
      <c r="G25" s="11">
        <v>3</v>
      </c>
      <c r="H25" s="11">
        <v>7.5</v>
      </c>
      <c r="I25" s="11">
        <v>6</v>
      </c>
      <c r="J25" s="11">
        <v>6</v>
      </c>
      <c r="K25" s="11">
        <v>6</v>
      </c>
      <c r="L25" s="11">
        <v>4.5</v>
      </c>
      <c r="M25" s="11">
        <v>5</v>
      </c>
      <c r="N25" s="11">
        <v>8</v>
      </c>
      <c r="O25" s="11">
        <v>3</v>
      </c>
      <c r="P25" s="82">
        <f t="shared" ref="P25:P26" si="6">AVERAGE(F25:O25)</f>
        <v>5.5</v>
      </c>
    </row>
    <row r="26" spans="1:16" ht="15.75" x14ac:dyDescent="0.25">
      <c r="A26" s="144"/>
      <c r="B26" s="144"/>
      <c r="C26" s="80" t="s">
        <v>136</v>
      </c>
      <c r="D26" s="11">
        <v>0.55000000000000004</v>
      </c>
      <c r="E26" s="11">
        <f t="shared" si="5"/>
        <v>6.3583815028901736</v>
      </c>
      <c r="F26" s="11">
        <v>7</v>
      </c>
      <c r="G26" s="11">
        <v>7</v>
      </c>
      <c r="H26" s="11">
        <v>8</v>
      </c>
      <c r="I26" s="11"/>
      <c r="J26" s="11"/>
      <c r="K26" s="11"/>
      <c r="L26" s="11"/>
      <c r="M26" s="11"/>
      <c r="N26" s="11"/>
      <c r="O26" s="11"/>
      <c r="P26" s="82">
        <f t="shared" si="6"/>
        <v>7.333333333333333</v>
      </c>
    </row>
    <row r="27" spans="1:16" ht="15.75" x14ac:dyDescent="0.25">
      <c r="A27" s="145"/>
      <c r="B27" s="145"/>
      <c r="C27" s="94" t="s">
        <v>21</v>
      </c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95">
        <f>AVERAGE(P24:P26)</f>
        <v>9.8944444444444439</v>
      </c>
    </row>
    <row r="28" spans="1:16" x14ac:dyDescent="0.25">
      <c r="A28" s="143" t="s">
        <v>12</v>
      </c>
      <c r="B28" s="143">
        <f>D28+D29+D30+D31</f>
        <v>24.35</v>
      </c>
      <c r="C28" s="53" t="s">
        <v>137</v>
      </c>
      <c r="D28" s="63">
        <v>5.65</v>
      </c>
      <c r="E28" s="11">
        <f>D28*100/24.35</f>
        <v>23.203285420944557</v>
      </c>
      <c r="F28" s="63">
        <v>27</v>
      </c>
      <c r="G28" s="63">
        <v>25</v>
      </c>
      <c r="H28" s="63">
        <v>23</v>
      </c>
      <c r="I28" s="63">
        <v>23</v>
      </c>
      <c r="J28" s="63">
        <v>24</v>
      </c>
      <c r="K28" s="63">
        <v>22</v>
      </c>
      <c r="L28" s="63">
        <v>13</v>
      </c>
      <c r="M28" s="63">
        <v>14</v>
      </c>
      <c r="N28" s="63">
        <v>8</v>
      </c>
      <c r="O28" s="63">
        <v>8</v>
      </c>
      <c r="P28" s="63">
        <f>AVERAGE(F28:O28)</f>
        <v>18.7</v>
      </c>
    </row>
    <row r="29" spans="1:16" ht="15.75" x14ac:dyDescent="0.25">
      <c r="A29" s="144"/>
      <c r="B29" s="144"/>
      <c r="C29" s="80" t="s">
        <v>145</v>
      </c>
      <c r="D29" s="63">
        <v>7</v>
      </c>
      <c r="E29" s="11">
        <f t="shared" ref="E29:E30" si="7">D29*100/24.35</f>
        <v>28.747433264887061</v>
      </c>
      <c r="F29" s="63">
        <v>30.5</v>
      </c>
      <c r="G29" s="63">
        <v>30</v>
      </c>
      <c r="H29" s="63">
        <v>34</v>
      </c>
      <c r="I29" s="63">
        <v>19</v>
      </c>
      <c r="J29" s="63">
        <v>31</v>
      </c>
      <c r="K29" s="63"/>
      <c r="L29" s="63"/>
      <c r="M29" s="63"/>
      <c r="N29" s="63"/>
      <c r="O29" s="63"/>
      <c r="P29" s="63">
        <f t="shared" ref="P29:P31" si="8">AVERAGE(F29:O29)</f>
        <v>28.9</v>
      </c>
    </row>
    <row r="30" spans="1:16" ht="15.75" x14ac:dyDescent="0.25">
      <c r="A30" s="144"/>
      <c r="B30" s="144"/>
      <c r="C30" s="92" t="s">
        <v>117</v>
      </c>
      <c r="D30" s="63">
        <v>3.4</v>
      </c>
      <c r="E30" s="11">
        <f t="shared" si="7"/>
        <v>13.963039014373717</v>
      </c>
      <c r="F30" s="63">
        <v>10</v>
      </c>
      <c r="G30" s="63">
        <v>14</v>
      </c>
      <c r="H30" s="63">
        <v>12</v>
      </c>
      <c r="I30" s="63">
        <v>10</v>
      </c>
      <c r="J30" s="63">
        <v>5</v>
      </c>
      <c r="K30" s="63">
        <v>6</v>
      </c>
      <c r="L30" s="63">
        <v>9</v>
      </c>
      <c r="M30" s="63">
        <v>11.5</v>
      </c>
      <c r="N30" s="63">
        <v>9</v>
      </c>
      <c r="O30" s="63">
        <v>8</v>
      </c>
      <c r="P30" s="63">
        <f t="shared" si="8"/>
        <v>9.4499999999999993</v>
      </c>
    </row>
    <row r="31" spans="1:16" x14ac:dyDescent="0.25">
      <c r="A31" s="144"/>
      <c r="B31" s="144"/>
      <c r="C31" s="56" t="s">
        <v>135</v>
      </c>
      <c r="D31" s="63">
        <v>8.3000000000000007</v>
      </c>
      <c r="E31" s="11">
        <f>D31*100/24.35</f>
        <v>34.086242299794662</v>
      </c>
      <c r="F31" s="63">
        <v>27</v>
      </c>
      <c r="G31" s="63">
        <v>16</v>
      </c>
      <c r="H31" s="63">
        <v>12.5</v>
      </c>
      <c r="I31" s="63">
        <v>14.5</v>
      </c>
      <c r="J31" s="63">
        <v>6</v>
      </c>
      <c r="K31" s="63">
        <v>7</v>
      </c>
      <c r="L31" s="63">
        <v>5.5</v>
      </c>
      <c r="M31" s="63">
        <v>10.5</v>
      </c>
      <c r="N31" s="63">
        <v>16</v>
      </c>
      <c r="O31" s="63">
        <v>14.5</v>
      </c>
      <c r="P31" s="63">
        <f t="shared" si="8"/>
        <v>12.95</v>
      </c>
    </row>
    <row r="32" spans="1:16" ht="15.75" x14ac:dyDescent="0.25">
      <c r="A32" s="145"/>
      <c r="B32" s="145"/>
      <c r="C32" s="94" t="s">
        <v>21</v>
      </c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95">
        <f>AVERAGE(P28:P31)</f>
        <v>17.5</v>
      </c>
    </row>
    <row r="33" spans="1:16" x14ac:dyDescent="0.25">
      <c r="A33" s="164" t="s">
        <v>125</v>
      </c>
      <c r="B33" s="143">
        <f>D33+D34+D35+D36+D37</f>
        <v>32.15</v>
      </c>
      <c r="C33" s="53" t="s">
        <v>118</v>
      </c>
      <c r="D33" s="63">
        <v>17.5</v>
      </c>
      <c r="E33" s="11">
        <f>D33*100/B33</f>
        <v>54.432348367029554</v>
      </c>
      <c r="F33" s="63">
        <v>30</v>
      </c>
      <c r="G33" s="63">
        <v>24</v>
      </c>
      <c r="H33" s="63">
        <v>31</v>
      </c>
      <c r="I33" s="63">
        <v>33</v>
      </c>
      <c r="J33" s="63">
        <v>16</v>
      </c>
      <c r="K33" s="63">
        <v>26</v>
      </c>
      <c r="L33" s="63">
        <v>26</v>
      </c>
      <c r="M33" s="63">
        <v>31</v>
      </c>
      <c r="N33" s="63">
        <v>16.7</v>
      </c>
      <c r="O33" s="63">
        <v>29.5</v>
      </c>
      <c r="P33" s="63">
        <f>AVERAGE(F33:O33)</f>
        <v>26.32</v>
      </c>
    </row>
    <row r="34" spans="1:16" ht="15.75" x14ac:dyDescent="0.25">
      <c r="A34" s="164"/>
      <c r="B34" s="144"/>
      <c r="C34" s="80" t="s">
        <v>136</v>
      </c>
      <c r="D34" s="63">
        <v>0.6</v>
      </c>
      <c r="E34" s="11">
        <f>D34*100/32.15</f>
        <v>1.8662519440124417</v>
      </c>
      <c r="F34" s="63">
        <v>7</v>
      </c>
      <c r="G34" s="63">
        <v>6</v>
      </c>
      <c r="H34" s="63">
        <v>5</v>
      </c>
      <c r="I34" s="63">
        <v>7.5</v>
      </c>
      <c r="J34" s="63"/>
      <c r="K34" s="63"/>
      <c r="L34" s="63"/>
      <c r="M34" s="63"/>
      <c r="N34" s="63"/>
      <c r="O34" s="63"/>
      <c r="P34" s="63">
        <f t="shared" ref="P34:P37" si="9">AVERAGE(F34:O34)</f>
        <v>6.375</v>
      </c>
    </row>
    <row r="35" spans="1:16" x14ac:dyDescent="0.25">
      <c r="A35" s="164"/>
      <c r="B35" s="144"/>
      <c r="C35" s="56" t="s">
        <v>135</v>
      </c>
      <c r="D35" s="63">
        <v>9.15</v>
      </c>
      <c r="E35" s="11">
        <f t="shared" ref="E35:E37" si="10">D35*100/32.15</f>
        <v>28.460342146189738</v>
      </c>
      <c r="F35" s="63">
        <v>17.5</v>
      </c>
      <c r="G35" s="63">
        <v>9</v>
      </c>
      <c r="H35" s="63">
        <v>9</v>
      </c>
      <c r="I35" s="63">
        <v>7</v>
      </c>
      <c r="J35" s="63">
        <v>29</v>
      </c>
      <c r="K35" s="63">
        <v>23</v>
      </c>
      <c r="L35" s="63">
        <v>9</v>
      </c>
      <c r="M35" s="63">
        <v>22</v>
      </c>
      <c r="N35" s="63">
        <v>18.5</v>
      </c>
      <c r="O35" s="63">
        <v>10.5</v>
      </c>
      <c r="P35" s="63">
        <f t="shared" si="9"/>
        <v>15.45</v>
      </c>
    </row>
    <row r="36" spans="1:16" x14ac:dyDescent="0.25">
      <c r="A36" s="164"/>
      <c r="B36" s="144"/>
      <c r="C36" s="53" t="s">
        <v>137</v>
      </c>
      <c r="D36" s="63">
        <v>3.1</v>
      </c>
      <c r="E36" s="11">
        <f t="shared" si="10"/>
        <v>9.6423017107309494</v>
      </c>
      <c r="F36" s="63">
        <v>21</v>
      </c>
      <c r="G36" s="63">
        <v>14</v>
      </c>
      <c r="H36" s="63">
        <v>13</v>
      </c>
      <c r="I36" s="63">
        <v>13</v>
      </c>
      <c r="J36" s="63">
        <v>11.5</v>
      </c>
      <c r="K36" s="63">
        <v>11</v>
      </c>
      <c r="L36" s="63">
        <v>12</v>
      </c>
      <c r="M36" s="63">
        <v>11</v>
      </c>
      <c r="N36" s="63">
        <v>8</v>
      </c>
      <c r="O36" s="63">
        <v>10.5</v>
      </c>
      <c r="P36" s="63">
        <f t="shared" si="9"/>
        <v>12.5</v>
      </c>
    </row>
    <row r="37" spans="1:16" ht="15.75" x14ac:dyDescent="0.25">
      <c r="A37" s="164"/>
      <c r="B37" s="144"/>
      <c r="C37" s="92" t="s">
        <v>117</v>
      </c>
      <c r="D37" s="63">
        <v>1.8</v>
      </c>
      <c r="E37" s="11">
        <f t="shared" si="10"/>
        <v>5.598755832037325</v>
      </c>
      <c r="F37" s="63">
        <v>20</v>
      </c>
      <c r="G37" s="63">
        <v>11</v>
      </c>
      <c r="H37" s="63">
        <v>11</v>
      </c>
      <c r="I37" s="63">
        <v>6.5</v>
      </c>
      <c r="J37" s="63">
        <v>14</v>
      </c>
      <c r="K37" s="63"/>
      <c r="L37" s="63"/>
      <c r="M37" s="63"/>
      <c r="N37" s="63"/>
      <c r="O37" s="63"/>
      <c r="P37" s="63">
        <f t="shared" si="9"/>
        <v>12.5</v>
      </c>
    </row>
    <row r="38" spans="1:16" ht="15.75" x14ac:dyDescent="0.25">
      <c r="A38" s="164"/>
      <c r="B38" s="145"/>
      <c r="C38" s="94" t="s">
        <v>21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5">
        <f>AVERAGE(P33:P37)</f>
        <v>14.629</v>
      </c>
    </row>
    <row r="39" spans="1:16" x14ac:dyDescent="0.25">
      <c r="A39" s="143" t="s">
        <v>127</v>
      </c>
      <c r="B39" s="164">
        <v>92.3</v>
      </c>
      <c r="C39" s="77" t="s">
        <v>138</v>
      </c>
      <c r="D39" s="64">
        <v>43.4</v>
      </c>
      <c r="E39" s="82">
        <f>D39*100/92.3</f>
        <v>47.020585048754064</v>
      </c>
      <c r="F39" s="64">
        <v>28</v>
      </c>
      <c r="G39" s="64">
        <v>22</v>
      </c>
      <c r="H39" s="64">
        <v>16</v>
      </c>
      <c r="I39" s="64">
        <v>16</v>
      </c>
      <c r="J39" s="64">
        <v>37</v>
      </c>
      <c r="K39" s="64">
        <v>28</v>
      </c>
      <c r="L39" s="64">
        <v>12</v>
      </c>
      <c r="M39" s="64">
        <v>12</v>
      </c>
      <c r="N39" s="64">
        <v>35</v>
      </c>
      <c r="O39" s="64">
        <v>34</v>
      </c>
      <c r="P39" s="82">
        <f>AVERAGE(F39:O39)</f>
        <v>24</v>
      </c>
    </row>
    <row r="40" spans="1:16" ht="15.75" x14ac:dyDescent="0.25">
      <c r="A40" s="144"/>
      <c r="B40" s="164"/>
      <c r="C40" s="92" t="s">
        <v>117</v>
      </c>
      <c r="D40" s="64">
        <v>5.7</v>
      </c>
      <c r="E40" s="82">
        <f t="shared" ref="E40:E41" si="11">D40*100/92.3</f>
        <v>6.1755146262188516</v>
      </c>
      <c r="F40" s="64">
        <v>17</v>
      </c>
      <c r="G40" s="64">
        <v>11</v>
      </c>
      <c r="H40" s="64">
        <v>13</v>
      </c>
      <c r="I40" s="64">
        <v>10</v>
      </c>
      <c r="J40" s="64">
        <v>11</v>
      </c>
      <c r="K40" s="64">
        <v>8</v>
      </c>
      <c r="L40" s="64">
        <v>6</v>
      </c>
      <c r="M40" s="64">
        <v>18</v>
      </c>
      <c r="N40" s="64">
        <v>22</v>
      </c>
      <c r="O40" s="63"/>
      <c r="P40" s="82">
        <f t="shared" ref="P40:P41" si="12">AVERAGE(F40:O40)</f>
        <v>12.888888888888889</v>
      </c>
    </row>
    <row r="41" spans="1:16" ht="15.75" x14ac:dyDescent="0.25">
      <c r="A41" s="144"/>
      <c r="B41" s="164"/>
      <c r="C41" s="80" t="s">
        <v>145</v>
      </c>
      <c r="D41" s="64">
        <v>43.2</v>
      </c>
      <c r="E41" s="82">
        <f t="shared" si="11"/>
        <v>46.803900325027087</v>
      </c>
      <c r="F41" s="64">
        <v>12</v>
      </c>
      <c r="G41" s="64">
        <v>16</v>
      </c>
      <c r="H41" s="64">
        <v>25</v>
      </c>
      <c r="I41" s="64">
        <v>24.5</v>
      </c>
      <c r="J41" s="64">
        <v>15</v>
      </c>
      <c r="K41" s="64">
        <v>10</v>
      </c>
      <c r="L41" s="64">
        <v>14</v>
      </c>
      <c r="M41" s="64">
        <v>8</v>
      </c>
      <c r="N41" s="64">
        <v>27</v>
      </c>
      <c r="O41" s="64">
        <v>31</v>
      </c>
      <c r="P41" s="82">
        <f t="shared" si="12"/>
        <v>18.25</v>
      </c>
    </row>
    <row r="42" spans="1:16" ht="15.75" x14ac:dyDescent="0.25">
      <c r="A42" s="145"/>
      <c r="B42" s="164"/>
      <c r="C42" s="94" t="s">
        <v>21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5">
        <f>AVERAGE(P37:P41)</f>
        <v>16.453577777777777</v>
      </c>
    </row>
    <row r="43" spans="1:16" x14ac:dyDescent="0.25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</row>
    <row r="44" spans="1:16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</row>
    <row r="45" spans="1:16" x14ac:dyDescent="0.2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</row>
    <row r="46" spans="1:16" x14ac:dyDescent="0.25">
      <c r="A46" s="107"/>
      <c r="B46" s="107"/>
      <c r="C46" s="73" t="s">
        <v>128</v>
      </c>
      <c r="D46" s="74">
        <v>2</v>
      </c>
      <c r="E46" s="74">
        <v>3</v>
      </c>
      <c r="F46" s="74">
        <v>4</v>
      </c>
      <c r="G46" s="74">
        <v>5</v>
      </c>
      <c r="H46" s="74">
        <v>6</v>
      </c>
      <c r="I46" s="74">
        <v>7</v>
      </c>
      <c r="J46" s="74">
        <v>8</v>
      </c>
      <c r="K46" s="74">
        <v>9</v>
      </c>
      <c r="L46" s="75">
        <v>10</v>
      </c>
      <c r="M46" s="52" t="s">
        <v>21</v>
      </c>
      <c r="N46" s="107"/>
      <c r="O46" s="107"/>
      <c r="P46" s="107"/>
    </row>
    <row r="47" spans="1:16" ht="15.75" x14ac:dyDescent="0.25">
      <c r="A47" s="107"/>
      <c r="B47" s="107"/>
      <c r="C47" s="92" t="s">
        <v>117</v>
      </c>
      <c r="D47" s="96">
        <v>0</v>
      </c>
      <c r="E47" s="96">
        <v>0</v>
      </c>
      <c r="F47" s="96">
        <v>0</v>
      </c>
      <c r="G47" s="96">
        <v>4.0999999999999996</v>
      </c>
      <c r="H47" s="96">
        <v>4.8262548262548268</v>
      </c>
      <c r="I47" s="96">
        <v>0</v>
      </c>
      <c r="J47" s="96">
        <v>13.963039014373717</v>
      </c>
      <c r="K47" s="96">
        <v>5.598755832037325</v>
      </c>
      <c r="L47" s="96">
        <v>6.1755146262188516</v>
      </c>
      <c r="M47" s="96">
        <f>AVERAGE(D47:L47)</f>
        <v>3.8515071443205238</v>
      </c>
      <c r="N47" s="107"/>
      <c r="O47" s="107"/>
      <c r="P47" s="107"/>
    </row>
    <row r="48" spans="1:16" x14ac:dyDescent="0.25">
      <c r="A48" s="107"/>
      <c r="B48" s="107"/>
      <c r="C48" s="77" t="s">
        <v>140</v>
      </c>
      <c r="D48" s="96">
        <v>22.417153996101366</v>
      </c>
      <c r="E48" s="96">
        <v>0</v>
      </c>
      <c r="F48" s="96">
        <v>0</v>
      </c>
      <c r="G48" s="96">
        <v>0</v>
      </c>
      <c r="H48" s="96">
        <v>0</v>
      </c>
      <c r="I48" s="96">
        <v>0</v>
      </c>
      <c r="J48" s="96">
        <v>0</v>
      </c>
      <c r="K48" s="96">
        <v>54.432348367029554</v>
      </c>
      <c r="L48" s="96">
        <v>0</v>
      </c>
      <c r="M48" s="96">
        <f t="shared" ref="M48:M56" si="13">AVERAGE(D48:L48)</f>
        <v>8.5388335959034354</v>
      </c>
      <c r="N48" s="107"/>
      <c r="O48" s="107"/>
      <c r="P48" s="107"/>
    </row>
    <row r="49" spans="1:17" x14ac:dyDescent="0.25">
      <c r="A49" s="107"/>
      <c r="B49" s="107"/>
      <c r="C49" s="53" t="s">
        <v>118</v>
      </c>
      <c r="D49" s="96">
        <v>0</v>
      </c>
      <c r="E49" s="96">
        <v>0</v>
      </c>
      <c r="F49" s="96">
        <v>71.813285457809698</v>
      </c>
      <c r="G49" s="96">
        <v>35.9</v>
      </c>
      <c r="H49" s="96">
        <v>0</v>
      </c>
      <c r="I49" s="96">
        <v>0</v>
      </c>
      <c r="J49" s="96">
        <v>0</v>
      </c>
      <c r="K49" s="96">
        <v>0</v>
      </c>
      <c r="L49" s="96">
        <v>0</v>
      </c>
      <c r="M49" s="96">
        <f t="shared" si="13"/>
        <v>11.96814282864552</v>
      </c>
      <c r="N49" s="107"/>
      <c r="O49" s="107"/>
      <c r="P49" s="107"/>
    </row>
    <row r="50" spans="1:17" ht="15.75" x14ac:dyDescent="0.25">
      <c r="A50" s="107"/>
      <c r="B50" s="107"/>
      <c r="C50" s="80" t="s">
        <v>145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68.20809248554913</v>
      </c>
      <c r="J50" s="96">
        <v>28.747433264887061</v>
      </c>
      <c r="K50" s="96">
        <v>0</v>
      </c>
      <c r="L50" s="96">
        <v>46.803900325027087</v>
      </c>
      <c r="M50" s="96">
        <f t="shared" si="13"/>
        <v>15.973269563940367</v>
      </c>
      <c r="N50" s="107"/>
      <c r="O50" s="107"/>
      <c r="P50" s="107"/>
    </row>
    <row r="51" spans="1:17" x14ac:dyDescent="0.25">
      <c r="A51" s="107"/>
      <c r="B51" s="107"/>
      <c r="C51" s="53" t="s">
        <v>137</v>
      </c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23.203285420944557</v>
      </c>
      <c r="K51" s="96">
        <v>9.6423017107309494</v>
      </c>
      <c r="L51" s="96">
        <v>0</v>
      </c>
      <c r="M51" s="96">
        <f t="shared" si="13"/>
        <v>3.6495096812972787</v>
      </c>
      <c r="N51" s="107"/>
      <c r="O51" s="107"/>
      <c r="P51" s="107"/>
    </row>
    <row r="52" spans="1:17" x14ac:dyDescent="0.25">
      <c r="A52" s="107"/>
      <c r="B52" s="107"/>
      <c r="C52" s="53" t="s">
        <v>121</v>
      </c>
      <c r="D52" s="96">
        <v>0</v>
      </c>
      <c r="E52" s="96">
        <v>0</v>
      </c>
      <c r="F52" s="96">
        <v>0</v>
      </c>
      <c r="G52" s="96">
        <v>0</v>
      </c>
      <c r="H52" s="96">
        <v>5.5984555984555984</v>
      </c>
      <c r="I52" s="96">
        <v>0</v>
      </c>
      <c r="J52" s="96">
        <v>0</v>
      </c>
      <c r="K52" s="96">
        <v>0</v>
      </c>
      <c r="L52" s="96">
        <v>0</v>
      </c>
      <c r="M52" s="96">
        <f t="shared" si="13"/>
        <v>0.622050622050622</v>
      </c>
      <c r="N52" s="107"/>
      <c r="O52" s="107"/>
      <c r="P52" s="107"/>
    </row>
    <row r="53" spans="1:17" ht="15.75" x14ac:dyDescent="0.25">
      <c r="A53" s="107"/>
      <c r="B53" s="107"/>
      <c r="C53" s="80" t="s">
        <v>136</v>
      </c>
      <c r="D53" s="96">
        <v>31.968810916179336</v>
      </c>
      <c r="E53" s="96">
        <v>0</v>
      </c>
      <c r="F53" s="96">
        <v>1.7953321364452424</v>
      </c>
      <c r="G53" s="96">
        <v>0</v>
      </c>
      <c r="H53" s="96">
        <v>0</v>
      </c>
      <c r="I53" s="96">
        <v>6.3583815028901736</v>
      </c>
      <c r="J53" s="96">
        <v>0</v>
      </c>
      <c r="K53" s="96">
        <v>1.8662519440124417</v>
      </c>
      <c r="L53" s="96">
        <v>0</v>
      </c>
      <c r="M53" s="96">
        <f t="shared" si="13"/>
        <v>4.6654196110585771</v>
      </c>
      <c r="N53" s="107"/>
      <c r="O53" s="107"/>
      <c r="P53" s="107"/>
    </row>
    <row r="54" spans="1:17" x14ac:dyDescent="0.25">
      <c r="A54" s="107"/>
      <c r="B54" s="107"/>
      <c r="C54" s="53" t="s">
        <v>126</v>
      </c>
      <c r="D54" s="96">
        <v>45.614035087719301</v>
      </c>
      <c r="E54" s="96">
        <v>0</v>
      </c>
      <c r="F54" s="96">
        <v>0</v>
      </c>
      <c r="G54" s="96">
        <v>0</v>
      </c>
      <c r="H54" s="96">
        <v>29.536679536679539</v>
      </c>
      <c r="I54" s="96">
        <v>0</v>
      </c>
      <c r="J54" s="96">
        <v>0</v>
      </c>
      <c r="K54" s="96">
        <v>0</v>
      </c>
      <c r="L54" s="96">
        <v>0</v>
      </c>
      <c r="M54" s="96">
        <f t="shared" si="13"/>
        <v>8.3500794027109819</v>
      </c>
      <c r="N54" s="107"/>
      <c r="O54" s="107"/>
      <c r="P54" s="107"/>
    </row>
    <row r="55" spans="1:17" x14ac:dyDescent="0.25">
      <c r="A55" s="107"/>
      <c r="B55" s="107"/>
      <c r="C55" s="56" t="s">
        <v>135</v>
      </c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25.433526011560694</v>
      </c>
      <c r="J55" s="96">
        <v>34.086242299794662</v>
      </c>
      <c r="K55" s="96">
        <v>28.460342146189738</v>
      </c>
      <c r="L55" s="96">
        <v>0</v>
      </c>
      <c r="M55" s="96">
        <f t="shared" si="13"/>
        <v>9.7755678286161221</v>
      </c>
      <c r="N55" s="107"/>
      <c r="O55" s="107"/>
      <c r="P55" s="107"/>
    </row>
    <row r="56" spans="1:17" x14ac:dyDescent="0.25">
      <c r="A56" s="107"/>
      <c r="B56" s="107"/>
      <c r="C56" s="77" t="s">
        <v>138</v>
      </c>
      <c r="D56" s="96">
        <v>0</v>
      </c>
      <c r="E56" s="96">
        <v>100</v>
      </c>
      <c r="F56" s="96">
        <v>26.391382405745063</v>
      </c>
      <c r="G56" s="96">
        <v>60.1</v>
      </c>
      <c r="H56" s="96">
        <v>60.038610038610045</v>
      </c>
      <c r="I56" s="96">
        <v>0</v>
      </c>
      <c r="J56" s="96">
        <v>0</v>
      </c>
      <c r="K56" s="96">
        <v>0</v>
      </c>
      <c r="L56" s="96">
        <v>47.020585048754064</v>
      </c>
      <c r="M56" s="96">
        <f t="shared" si="13"/>
        <v>32.61673083256769</v>
      </c>
      <c r="N56" s="107"/>
      <c r="O56" s="107"/>
      <c r="P56" s="107"/>
    </row>
    <row r="57" spans="1:17" x14ac:dyDescent="0.25">
      <c r="A57" s="107"/>
      <c r="B57" s="107"/>
      <c r="C57" s="107"/>
      <c r="D57" s="108">
        <f>SUM(D47:D56)</f>
        <v>100</v>
      </c>
      <c r="E57" s="108">
        <f t="shared" ref="E57:M57" si="14">SUM(E47:E56)</f>
        <v>100</v>
      </c>
      <c r="F57" s="108">
        <f t="shared" si="14"/>
        <v>100</v>
      </c>
      <c r="G57" s="108">
        <f t="shared" si="14"/>
        <v>100.1</v>
      </c>
      <c r="H57" s="108">
        <f t="shared" si="14"/>
        <v>100.00000000000001</v>
      </c>
      <c r="I57" s="108">
        <f t="shared" si="14"/>
        <v>100</v>
      </c>
      <c r="J57" s="108">
        <f t="shared" si="14"/>
        <v>100</v>
      </c>
      <c r="K57" s="108">
        <f t="shared" si="14"/>
        <v>100.00000000000003</v>
      </c>
      <c r="L57" s="108">
        <f t="shared" si="14"/>
        <v>100</v>
      </c>
      <c r="M57" s="108">
        <f t="shared" si="14"/>
        <v>100.01111111111112</v>
      </c>
      <c r="N57" s="107"/>
      <c r="O57" s="107"/>
      <c r="P57" s="107"/>
    </row>
    <row r="61" spans="1:17" ht="15.75" x14ac:dyDescent="0.25">
      <c r="D61">
        <v>20.8</v>
      </c>
      <c r="F61" s="13">
        <v>20.8</v>
      </c>
      <c r="G61" s="200">
        <v>21.4</v>
      </c>
      <c r="H61" s="13">
        <v>26.3</v>
      </c>
      <c r="I61" s="201">
        <v>17.5</v>
      </c>
      <c r="J61" s="13">
        <v>17.5</v>
      </c>
      <c r="K61" s="13">
        <v>13.4</v>
      </c>
      <c r="L61" s="13">
        <v>9.9</v>
      </c>
      <c r="M61" s="13">
        <v>17.5</v>
      </c>
      <c r="N61" s="13">
        <v>14.6</v>
      </c>
      <c r="O61" s="201">
        <v>16.5</v>
      </c>
      <c r="P61" s="13">
        <v>16.600000000000001</v>
      </c>
      <c r="Q61" s="13">
        <f>AVERAGE(F61:P61)</f>
        <v>17.454545454545453</v>
      </c>
    </row>
    <row r="62" spans="1:17" ht="15.75" x14ac:dyDescent="0.25">
      <c r="D62" s="196">
        <v>21.4</v>
      </c>
    </row>
    <row r="63" spans="1:17" x14ac:dyDescent="0.25">
      <c r="D63">
        <v>26.3</v>
      </c>
    </row>
    <row r="64" spans="1:17" x14ac:dyDescent="0.25">
      <c r="D64" s="199">
        <v>17.5</v>
      </c>
    </row>
    <row r="65" spans="4:4" x14ac:dyDescent="0.25">
      <c r="D65">
        <v>17.5</v>
      </c>
    </row>
    <row r="66" spans="4:4" x14ac:dyDescent="0.25">
      <c r="D66">
        <v>13.4</v>
      </c>
    </row>
    <row r="67" spans="4:4" x14ac:dyDescent="0.25">
      <c r="D67">
        <v>9.9</v>
      </c>
    </row>
    <row r="68" spans="4:4" x14ac:dyDescent="0.25">
      <c r="D68">
        <v>17.5</v>
      </c>
    </row>
    <row r="69" spans="4:4" x14ac:dyDescent="0.25">
      <c r="D69">
        <v>14.6</v>
      </c>
    </row>
    <row r="70" spans="4:4" x14ac:dyDescent="0.25">
      <c r="D70" s="199">
        <v>16.5</v>
      </c>
    </row>
    <row r="71" spans="4:4" x14ac:dyDescent="0.25">
      <c r="D71">
        <f>AVERAGE(D61:D70)</f>
        <v>17.54</v>
      </c>
    </row>
  </sheetData>
  <mergeCells count="26">
    <mergeCell ref="A28:A32"/>
    <mergeCell ref="B28:B32"/>
    <mergeCell ref="A33:A38"/>
    <mergeCell ref="B33:B38"/>
    <mergeCell ref="A39:A42"/>
    <mergeCell ref="B39:B42"/>
    <mergeCell ref="A15:A18"/>
    <mergeCell ref="B15:B18"/>
    <mergeCell ref="A19:A23"/>
    <mergeCell ref="B19:B23"/>
    <mergeCell ref="A24:A27"/>
    <mergeCell ref="B24:B27"/>
    <mergeCell ref="A5:A8"/>
    <mergeCell ref="B5:B8"/>
    <mergeCell ref="A9:A10"/>
    <mergeCell ref="B9:B10"/>
    <mergeCell ref="A11:A14"/>
    <mergeCell ref="B11:B14"/>
    <mergeCell ref="A1:P2"/>
    <mergeCell ref="A3:A4"/>
    <mergeCell ref="B3:B4"/>
    <mergeCell ref="C3:C4"/>
    <mergeCell ref="D3:D4"/>
    <mergeCell ref="E3:E4"/>
    <mergeCell ref="F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Урожайность</vt:lpstr>
      <vt:lpstr>Поект пок и NDVI</vt:lpstr>
      <vt:lpstr>Почва</vt:lpstr>
      <vt:lpstr>Заг4</vt:lpstr>
      <vt:lpstr>Заг5</vt:lpstr>
      <vt:lpstr>Заг6</vt:lpstr>
      <vt:lpstr>Заг 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2022-10-06T22:42:37Z</dcterms:modified>
</cp:coreProperties>
</file>