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cion de Ventas" sheetId="1" r:id="rId4"/>
    <sheet state="visible" name="Flujo de caja" sheetId="2" r:id="rId5"/>
    <sheet state="hidden" name="Hoja2" sheetId="3" r:id="rId6"/>
    <sheet state="hidden" name="Hoja3" sheetId="4" r:id="rId7"/>
  </sheets>
  <definedNames>
    <definedName name="Idioma">'IDEAL Completo'!#REF!</definedName>
    <definedName name="Leader">'IDEAL Completo'!#REF!</definedName>
    <definedName name="NoAplicable">'IDEAL Completo'!#REF!</definedName>
  </definedNames>
  <calcPr/>
  <extLst>
    <ext uri="GoogleSheetsCustomDataVersion2">
      <go:sheetsCustomData xmlns:go="http://customooxmlschemas.google.com/" r:id="rId8" roundtripDataChecksum="14wKHCaNNWZEaI5ulf/eh44raq7U78z0+CU8v5j1VV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">
      <text>
        <t xml:space="preserve">======
ID#AAABJbys_TY
tc={AD1A2ACD-02DA-41D8-8F46-ACB66E765D97}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unidades del producto o servicio que se va a vender</t>
      </text>
    </comment>
    <comment authorId="0" ref="C18">
      <text>
        <t xml:space="preserve">======
ID#AAABJbys_TU
tc={39374BFB-CF8F-42A9-9427-B56BECAD0BEB}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estima un incremento del 10% en la remuneración.  Se multiplica por 12 meses que tiene el año el valor Por mes de la remuneración</t>
      </text>
    </comment>
    <comment authorId="0" ref="A16">
      <text>
        <t xml:space="preserve">======
ID#AAABJbys_TQ
tc={1CA868A3-5AC2-401C-80C6-5EF855A88654}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costos Operativos tienen que ver con lo necesario para que la comercialización pueda darse.  Recordar que los costos operativos que se tuvieron en cuenta para la construcción del producto o servicio ya ocurrieron y van cargados al precio de venta establecido para el producto/servicio.</t>
      </text>
    </comment>
    <comment authorId="0" ref="B34">
      <text>
        <t xml:space="preserve">======
ID#AAABJbys_TM
tc={1E633447-9702-413A-B76D-0BE6A4CDCF1F}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presta servicio de soporte a cada licencia vendida de 2 horas por mes, siendo un total de 24 horas al año de horas de soporte técnico por cada licencia.</t>
      </text>
    </comment>
    <comment authorId="0" ref="A8">
      <text>
        <t xml:space="preserve">======
ID#AAABJbys_S4
tc={6524981A-20A0-4178-9F0B-27FDE9993AEA}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Generalmente, se hacen solo una vez, al iniciar la comercialización del proyecto, o algunas veces, en determinados momentos durante la proyección de tiempo que se esté haciendo.  Por ejemplo, cada 3 años, cada 6 meses, según sea el caso.  Habría que hacer la proyección también y tenerlo en cuenta en el flujo de caja para restarlo.</t>
      </text>
    </comment>
    <comment authorId="0" ref="A18">
      <text>
        <t xml:space="preserve">======
ID#AAABJbys_S0
tc={DF32A348-5C5C-41A7-B924-30898E33655C}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Suponiendo que 1 sola persona desarrolla toda el proyecto</t>
      </text>
    </comment>
    <comment authorId="0" ref="C34">
      <text>
        <t xml:space="preserve">======
ID#AAABJbys_Sw
tc={827FBA39-1C1D-40B4-BB47-1269F6183143}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Suponiendo que se incrementa cada año 10% el valor de la hora de personal de soporte y con la proyección de crecimiento en ventas 
de 10% cada año</t>
      </text>
    </comment>
    <comment authorId="0" ref="B35">
      <text>
        <t xml:space="preserve">======
ID#AAABJbys_Ss
tc={E4192F02-E08A-4057-B689-3424703085B1}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Suponiendo que se consumen 120 Kw/H por mes y se incrementa el consumo de acuerdo con la cantidad de horas de soporte que aumentan con cada licencia que se vende.</t>
      </text>
    </comment>
    <comment authorId="0" ref="B40">
      <text>
        <t xml:space="preserve">======
ID#AAABJbkKs94
tc={59FB89DB-C68C-49F2-82C9-6DC12B07E2FC}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Suponiendo que la empresa se crea como Régimen Simple de Tributación (No responsable de IVA)</t>
      </text>
    </comment>
    <comment authorId="0" ref="A20">
      <text>
        <t xml:space="preserve">======
ID#AAABJbkKs90
USUARIO    (2024-03-18 16:21:38)
De los Equipos, Muebles y Enseres, Vehículos.  Como Computadores 10% anual por 10 años.  Es lo que deja de valer el "Activo" cada año por su uso y desgaste. Se le restaría a valor de compra.</t>
      </text>
    </comment>
    <comment authorId="0" ref="B24">
      <text>
        <t xml:space="preserve">======
ID#AAABJbkKs9w
tc={5EA6736A-5779-4AF0-8D5E-E992C4DFCB7A}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estima una inflación anual en la economía nacional del 3.5%</t>
      </text>
    </comment>
    <comment authorId="0" ref="B2">
      <text>
        <t xml:space="preserve">======
ID#AAABJbkKs9s
tc={43E3F374-76AC-471B-8418-81D33092AD63}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unidad de tiempo puede ser Meses o Años</t>
      </text>
    </comment>
    <comment authorId="0" ref="B41">
      <text>
        <t xml:space="preserve">======
ID#AAABJbkKs9k
tc={F0601EA8-D476-4C6A-83EE-6DA1CF45FD17}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este caso solo se hará inversión de capital al inicio.  Es posible que en un proyecto se requiera una reinversión de capital en determinados periodos de tiempo, por ejemplo, cada 3 años, cada 9 meses, etc.</t>
      </text>
    </comment>
    <comment authorId="0" ref="C19">
      <text>
        <t xml:space="preserve">======
ID#AAABJbkKs9c
tc={0A8FF45E-E5F1-468D-BF64-76AD41C55C7D}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estima un incremento del 10% anual en los Gastos de Administración</t>
      </text>
    </comment>
    <comment authorId="0" ref="A34">
      <text>
        <t xml:space="preserve">======
ID#AAABJbkKs9Y
tc={2A09D0FD-ABDA-4E7F-AF1E-210DA06B1E69}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Varían cada año de acuerdo con el número de licencias que se vendan</t>
      </text>
    </comment>
    <comment authorId="0" ref="A29">
      <text>
        <t xml:space="preserve">======
ID#AAABJbkKs9U
tc={2FA24886-4539-44FD-BBD3-E3DCF80B25A5}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Aunque se tenga un promedio de valor de la factura de energía, en realidad este costo dependerá del consumo, el cual estará sujeto a la cantidad de horas de soporte que se den, por ejemplo, entre otros.  Se estima un valor de Kw/H y una cantidad de Kw en un determinado teimpo.</t>
      </text>
    </comment>
    <comment authorId="0" ref="A28">
      <text>
        <t xml:space="preserve">======
ID#AAABJbkKs9Q
tc={B19F3C87-6FB8-4C03-BC39-7E5A7B518777}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contratarán tantas horas como licencias del producto se vendan.</t>
      </text>
    </comment>
    <comment authorId="0" ref="B27">
      <text>
        <t xml:space="preserve">======
ID#AAABJbkKs9M
tc={ACCC7DCF-9900-4D49-80B3-6FFEEB046AF3}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 mes</t>
      </text>
    </comment>
    <comment authorId="0" ref="B17">
      <text>
        <t xml:space="preserve">======
ID#AAABJbkKs9E
tc={21513F00-C3D7-4ACC-8BF4-9757E5D7571F}    (2024-03-18 16:21:38)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calculan los costos fijos por mes y luego se estiman por cada año con el incremento correspondiente</t>
      </text>
    </comment>
  </commentList>
  <extLst>
    <ext uri="GoogleSheetsCustomDataVersion2">
      <go:sheetsCustomData xmlns:go="http://customooxmlschemas.google.com/" r:id="rId1" roundtripDataSignature="AMtx7mjR1B27yl6lub5Z9ZGA7Z93uZdTU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8">
      <text>
        <t xml:space="preserve">======
ID#AAABJbys_Tc
soportenws    (2024-03-18 16:21:38)
Costo de implementar el sistema por primera vez.</t>
      </text>
    </comment>
    <comment authorId="0" ref="P17">
      <text>
        <t xml:space="preserve">======
ID#AAABJbys_Tg
soportenws    (2024-03-18 16:21:38)
10% de los ingresos por ventas anuales.</t>
      </text>
    </comment>
    <comment authorId="0" ref="L39">
      <text>
        <t xml:space="preserve">======
ID#AAABJbys_TI
Patricia    (2024-03-18 16:21:38)
PÉRDIDAS DE ARRASTRE</t>
      </text>
    </comment>
    <comment authorId="0" ref="P18">
      <text>
        <t xml:space="preserve">======
ID#AAABJbys_TA
Patricia    (2024-03-18 16:21:38)
No considerar</t>
      </text>
    </comment>
    <comment authorId="0" ref="H39">
      <text>
        <t xml:space="preserve">======
ID#AAABJbys_TE
Patricia    (2024-03-18 16:21:38)
PÉRDIDAS DE ARRASTRE</t>
      </text>
    </comment>
    <comment authorId="0" ref="N9">
      <text>
        <t xml:space="preserve">======
ID#AAABJbys_S8
soportenws    (2024-03-18 16:21:38)
Se paga por cada cliente nuevo capturado.</t>
      </text>
    </comment>
    <comment authorId="0" ref="P15">
      <text>
        <t xml:space="preserve">======
ID#AAABJbys_So
Patricia    (2024-03-18 16:21:38)
Activo a depeciar en forma lineal a 5 años.</t>
      </text>
    </comment>
    <comment authorId="0" ref="K39">
      <text>
        <t xml:space="preserve">======
ID#AAABJbkKs9o
Patricia    (2024-03-18 16:21:38)
PÉRDIDAS DE ARRASTRE</t>
      </text>
    </comment>
    <comment authorId="0" ref="I39">
      <text>
        <t xml:space="preserve">======
ID#AAABJbkKs9g
Patricia    (2024-03-18 16:21:38)
PÉRDIDAS DE ARRASTRE</t>
      </text>
    </comment>
    <comment authorId="0" ref="J39">
      <text>
        <t xml:space="preserve">======
ID#AAABJbkKs9I
Patricia    (2024-03-18 16:21:38)
PÉRDIDAS DE ARRASTRE</t>
      </text>
    </comment>
    <comment authorId="0" ref="G39">
      <text>
        <t xml:space="preserve">======
ID#AAABJbkKs88
Patricia    (2024-03-18 16:21:38)
PÉRDIDAS DE ARRASTRE</t>
      </text>
    </comment>
    <comment authorId="0" ref="P9">
      <text>
        <t xml:space="preserve">======
ID#AAABJbkKs9A
soportenws    (2024-03-18 16:21:38)
% del precio anual del servicio.</t>
      </text>
    </comment>
  </commentList>
  <extLst>
    <ext uri="GoogleSheetsCustomDataVersion2">
      <go:sheetsCustomData xmlns:go="http://customooxmlschemas.google.com/" r:id="rId1" roundtripDataSignature="AMtx7miTqBansUNSXVKnSiF4BxWI/Sy5Ag=="/>
    </ext>
  </extLst>
</comments>
</file>

<file path=xl/sharedStrings.xml><?xml version="1.0" encoding="utf-8"?>
<sst xmlns="http://schemas.openxmlformats.org/spreadsheetml/2006/main" count="173" uniqueCount="155">
  <si>
    <t>Proyección Ventas de acuerdo con el Estudio de Mercado</t>
  </si>
  <si>
    <t>Año</t>
  </si>
  <si>
    <t xml:space="preserve">Licencias </t>
  </si>
  <si>
    <t>Precio Unit</t>
  </si>
  <si>
    <t>Total Ingresos x Ventas</t>
  </si>
  <si>
    <t>Inversiones iniciales</t>
  </si>
  <si>
    <t>Vr Bruto</t>
  </si>
  <si>
    <t>IVA</t>
  </si>
  <si>
    <t>Neto</t>
  </si>
  <si>
    <t>Almacenamiento Nube</t>
  </si>
  <si>
    <t>Licencias uso aplicaciones software</t>
  </si>
  <si>
    <t>Computadores</t>
  </si>
  <si>
    <t>Total</t>
  </si>
  <si>
    <t>inflación 3,5%</t>
  </si>
  <si>
    <t>Costos Operativos</t>
  </si>
  <si>
    <t>Fijos</t>
  </si>
  <si>
    <t>Por Mes</t>
  </si>
  <si>
    <t>Año 1</t>
  </si>
  <si>
    <t>Año 2</t>
  </si>
  <si>
    <t>Año 3</t>
  </si>
  <si>
    <t>Año 4</t>
  </si>
  <si>
    <t>Año 5</t>
  </si>
  <si>
    <t xml:space="preserve">Remuneración </t>
  </si>
  <si>
    <t>Internet</t>
  </si>
  <si>
    <t>Depreciación</t>
  </si>
  <si>
    <t>Total Año 1</t>
  </si>
  <si>
    <t>Costos Fijos</t>
  </si>
  <si>
    <t>Variables</t>
  </si>
  <si>
    <t xml:space="preserve">Insumos </t>
  </si>
  <si>
    <t>Vr. unitario</t>
  </si>
  <si>
    <t xml:space="preserve">Hora Personal de Soporte Técnico </t>
  </si>
  <si>
    <t>Kw/hora (Energía eléctrica)</t>
  </si>
  <si>
    <t>Total Cto Unt Var</t>
  </si>
  <si>
    <t>Horas Personal Soporte Técnico</t>
  </si>
  <si>
    <t>Total costo Kw/H por año</t>
  </si>
  <si>
    <t>Total Costos Variables</t>
  </si>
  <si>
    <t>K Trab</t>
  </si>
  <si>
    <t>IMPUESTO A LA RENTA</t>
  </si>
  <si>
    <t>CAPITAL DE TRABAJO</t>
  </si>
  <si>
    <t>Año 0</t>
  </si>
  <si>
    <t>100% INGRESOS X VENTS</t>
  </si>
  <si>
    <t>Costo de Oportunidad</t>
  </si>
  <si>
    <t>Lo que espera ganarse en el negocio el inversionista</t>
  </si>
  <si>
    <t>FLUJO DE CAJA PROYECTADO</t>
  </si>
  <si>
    <t>DETALLE</t>
  </si>
  <si>
    <t>Ingresos por Ventas</t>
  </si>
  <si>
    <t>Costos Variables</t>
  </si>
  <si>
    <t>UTILIDAD BRUTA (ANTES DE IMPUESTOS)</t>
  </si>
  <si>
    <t>Impuesto a la Utilidad</t>
  </si>
  <si>
    <t>UTILIDAD NETA</t>
  </si>
  <si>
    <t>FLUJO DE CAJA OPERACIONAL</t>
  </si>
  <si>
    <t>Inversiones</t>
  </si>
  <si>
    <t>FLUJO DE CAPITAL</t>
  </si>
  <si>
    <t>FLUJO DE CAJA TOTAL</t>
  </si>
  <si>
    <t>FLUJO DE CAJA ACUMULADO</t>
  </si>
  <si>
    <t>VNA</t>
  </si>
  <si>
    <t>TIR</t>
  </si>
  <si>
    <t>Costo de oportunidad</t>
  </si>
  <si>
    <t>Payback (Tiempo de Recuperación)</t>
  </si>
  <si>
    <t>AÑO 0</t>
  </si>
  <si>
    <t>AÑO 1</t>
  </si>
  <si>
    <t>AÑO 2</t>
  </si>
  <si>
    <t>AÑO 3</t>
  </si>
  <si>
    <t>AÑO 4</t>
  </si>
  <si>
    <t>AÑO 5</t>
  </si>
  <si>
    <t>Flujo de Caja Total</t>
  </si>
  <si>
    <t>Flujo Acumulado</t>
  </si>
  <si>
    <t>Payback es igual a:</t>
  </si>
  <si>
    <t>Período ultimo con flujo acumulado negativo + valor absoluto del último flujo acumulado negativo / Valor del flujo de caja en el siguiente periodo</t>
  </si>
  <si>
    <t>PERIODO ANTERIOR AL CAMBIO DE SIGNO</t>
  </si>
  <si>
    <t>VALOR ABSOLUTO DEL FLUJO ACUMULADO</t>
  </si>
  <si>
    <t>FLUJO DE CAJA EN EL SIGUIENTE PERIODO</t>
  </si>
  <si>
    <t>PAYBAK</t>
  </si>
  <si>
    <t>AÑOS</t>
  </si>
  <si>
    <t>Un período corto de recuperación (un corto Payback) configura un retorno rápido de la inversión, práctica muy útil para las empresas que recién comienzan o para las pequeñas empresas.</t>
  </si>
  <si>
    <t>Con un Período Payback corto, se reducen los riesgos de pérdidas, al asegurar el flujo positivo.</t>
  </si>
  <si>
    <t>Un Período Payback corto, mejorará la liquidez de forma rápida.</t>
  </si>
  <si>
    <t>La tasa de descuento</t>
  </si>
  <si>
    <t>La tasa de descuento es el tipo de interés que nos permite "traducir" el dinero del futuro a dinero del presente.</t>
  </si>
  <si>
    <t>Cuando el 100% es aporte efectivo privado el descuento se mide como "costo de oportunidad" (haber dejado de invertir en otro proyecto o negocio)</t>
  </si>
  <si>
    <t>CDT están ofreciendo en promedio una tasa del 7% efectivo anual</t>
  </si>
  <si>
    <r>
      <rPr>
        <rFont val="Calibri"/>
        <b/>
        <color rgb="FF000000"/>
        <sz val="16.0"/>
      </rPr>
      <t xml:space="preserve">PROYECTO ATI  </t>
    </r>
    <r>
      <rPr>
        <rFont val="Calibri"/>
        <b/>
        <color rgb="FF000000"/>
        <sz val="14.0"/>
      </rPr>
      <t xml:space="preserve">(American Technology Information)  </t>
    </r>
    <r>
      <rPr>
        <rFont val="Calibri"/>
        <b/>
        <color rgb="FF000000"/>
        <sz val="16.0"/>
      </rPr>
      <t xml:space="preserve"> </t>
    </r>
    <r>
      <rPr>
        <rFont val="Calibri"/>
        <b/>
        <color rgb="FF000000"/>
        <sz val="18.0"/>
      </rPr>
      <t xml:space="preserve">           </t>
    </r>
  </si>
  <si>
    <t xml:space="preserve">N° de Hoteles &amp; Moteles </t>
  </si>
  <si>
    <t>ITEM</t>
  </si>
  <si>
    <t>Datos del Proyecto ATI</t>
  </si>
  <si>
    <t>Participación de mercado</t>
  </si>
  <si>
    <t>Precio anual servicio x Motel, Hotel , C MIN.</t>
  </si>
  <si>
    <t>U$</t>
  </si>
  <si>
    <t xml:space="preserve">clientes nuevos </t>
  </si>
  <si>
    <t>Costos variables de producción.</t>
  </si>
  <si>
    <t xml:space="preserve">clientes acumulados </t>
  </si>
  <si>
    <t>Comisión x ventas.</t>
  </si>
  <si>
    <t>-</t>
  </si>
  <si>
    <t xml:space="preserve">Función de Ingresos ATI </t>
  </si>
  <si>
    <t>Costo fijo anual de producción.</t>
  </si>
  <si>
    <t>Item</t>
  </si>
  <si>
    <t>Costo fijo marketing y ventas Año 1.</t>
  </si>
  <si>
    <t>Costo fijo marketing y ventas Año 2-5.</t>
  </si>
  <si>
    <r>
      <rPr>
        <rFont val="Arial"/>
        <color rgb="FFDD0806"/>
        <sz val="10.0"/>
        <vertAlign val="superscript"/>
      </rPr>
      <t xml:space="preserve">1 </t>
    </r>
    <r>
      <rPr>
        <rFont val="Arial"/>
        <color rgb="FFDD0806"/>
        <sz val="10.0"/>
      </rPr>
      <t>SE CALCULA UN CRECIMIENTO DE LAS VENTAS ANUALES DEL 6% PORQUE EL CRECIMIENTO DEL SECTOR CÁRNICO EN LOS ÚLTIMOS 10 AÑOS HA SIDO DEL 8.8% Y EL AVICOLA 6.4%, ESPECIFICAMENTE, HA SIDO DE …</t>
    </r>
  </si>
  <si>
    <r>
      <rPr>
        <rFont val="Calibri"/>
        <color theme="1"/>
        <sz val="11.0"/>
      </rPr>
      <t>VENTAS  (kilo)</t>
    </r>
    <r>
      <rPr>
        <rFont val="Calibri"/>
        <color rgb="FFDD0806"/>
        <sz val="11.0"/>
        <vertAlign val="superscript"/>
      </rPr>
      <t>1</t>
    </r>
  </si>
  <si>
    <t>Costo fijo anual de administración.</t>
  </si>
  <si>
    <r>
      <rPr>
        <rFont val="Calibri"/>
        <color theme="1"/>
        <sz val="11.0"/>
      </rPr>
      <t>PRECIO UNITARIO</t>
    </r>
    <r>
      <rPr>
        <rFont val="Calibri"/>
        <color rgb="FFDD0806"/>
        <sz val="11.0"/>
        <vertAlign val="superscript"/>
      </rPr>
      <t>2</t>
    </r>
  </si>
  <si>
    <t>Costo fijo anual de desarrollo.</t>
  </si>
  <si>
    <t>Inversión en activos.</t>
  </si>
  <si>
    <t xml:space="preserve">Flujo de Caja </t>
  </si>
  <si>
    <t>Capital de trabajo antes de inicar operaciones.</t>
  </si>
  <si>
    <t>Años</t>
  </si>
  <si>
    <t>Capital de trabajo.</t>
  </si>
  <si>
    <t>%</t>
  </si>
  <si>
    <t>Valor terminal del negocio al año 5 de operaciones.</t>
  </si>
  <si>
    <t>Multiplo de EBITDA</t>
  </si>
  <si>
    <t>INGRESOS</t>
  </si>
  <si>
    <t>TRR (Tasa de Retorno Requerida)</t>
  </si>
  <si>
    <t xml:space="preserve">INGRESOS X VENTAS </t>
  </si>
  <si>
    <t>Tasa Impositiva</t>
  </si>
  <si>
    <t>COSTOS VARIABLES</t>
  </si>
  <si>
    <t>Depreciación Obras civiles</t>
  </si>
  <si>
    <r>
      <rPr>
        <rFont val="Calibri"/>
        <color rgb="FFFF0000"/>
        <sz val="11.0"/>
      </rPr>
      <t>Costo de variables (unidad)</t>
    </r>
    <r>
      <rPr>
        <rFont val="Calibri"/>
        <color rgb="FFDD0806"/>
        <sz val="11.0"/>
        <vertAlign val="superscript"/>
      </rPr>
      <t>3</t>
    </r>
  </si>
  <si>
    <t>CAPITAL DE TRABAJO PRIMER SEMESTRE PRIMER AÑO</t>
  </si>
  <si>
    <t>144663/2</t>
  </si>
  <si>
    <t>Costos Variables totales</t>
  </si>
  <si>
    <t xml:space="preserve">Margen de contribución </t>
  </si>
  <si>
    <r>
      <rPr>
        <rFont val="Arial"/>
        <color rgb="FFDD0806"/>
        <sz val="10.0"/>
        <vertAlign val="superscript"/>
      </rPr>
      <t xml:space="preserve">1 </t>
    </r>
    <r>
      <rPr>
        <rFont val="Arial"/>
        <color rgb="FFDD0806"/>
        <sz val="10.0"/>
      </rPr>
      <t>SE CALCULA UN CRECIMIENTO DE LAS VENTAS ANUALES DEL 6% PORQUE EL CRECIMIENTO DEL SECTOR CÁRNICO EN LOS ÚLTIMOS 10 AÑOS HA SIDO DEL 8.8% Y EL AVICOLA 6.4%, ESPECIFICAMENTE, HA SIDO DE …</t>
    </r>
  </si>
  <si>
    <t>MC PORCENTUAL</t>
  </si>
  <si>
    <r>
      <rPr>
        <rFont val="Arial"/>
        <color rgb="FFDD0806"/>
        <sz val="10.0"/>
        <vertAlign val="superscript"/>
      </rPr>
      <t xml:space="preserve">1 </t>
    </r>
    <r>
      <rPr>
        <rFont val="Arial"/>
        <color rgb="FFDD0806"/>
        <sz val="10.0"/>
      </rPr>
      <t xml:space="preserve">SE CALCULA UN CRECIMIENTO DE LAS VENTAS ANUALES DEL </t>
    </r>
    <r>
      <rPr>
        <rFont val="Arial"/>
        <color rgb="FF666699"/>
        <sz val="10.0"/>
      </rPr>
      <t>3%</t>
    </r>
    <r>
      <rPr>
        <rFont val="Arial"/>
        <color rgb="FFDD0806"/>
        <sz val="10.0"/>
      </rPr>
      <t xml:space="preserve"> PORQUE EL CRECIMIENTO DEL SECTOR CÁRNICO EN LOS ÚLTIMOS 10 AÑOS HA SIDO DEL 8.8% Y EL AVICOLA 6.4%, ESPECIFICAMENTE, HA SIDO DE …</t>
    </r>
  </si>
  <si>
    <t xml:space="preserve">Q BREAK EVEN </t>
  </si>
  <si>
    <r>
      <rPr>
        <rFont val="Arial"/>
        <color rgb="FFDD0806"/>
        <sz val="10.0"/>
        <vertAlign val="superscript"/>
      </rPr>
      <t xml:space="preserve">2 </t>
    </r>
    <r>
      <rPr>
        <rFont val="Arial"/>
        <color rgb="FFDD0806"/>
        <sz val="10.0"/>
      </rPr>
      <t>SE CALCULA UNA INFLACIÓN DEL 3.5% PARTIENDO DE  PRONOSTICOS DE INFLACIÓN DE LOS ANALISTAS DEL BANCO DE LA REPÚBLICA</t>
    </r>
  </si>
  <si>
    <t>COSTOS FIJOS</t>
  </si>
  <si>
    <t>Costo fijo de administración.</t>
  </si>
  <si>
    <t xml:space="preserve">COSTOS TOTALES </t>
  </si>
  <si>
    <t>= EBITDA</t>
  </si>
  <si>
    <t>Depreciación Obras Civiles (2,2%)</t>
  </si>
  <si>
    <t>Valor Libro Obras Civiles</t>
  </si>
  <si>
    <t>Depreciacion Activos Fijos (-)(20%)</t>
  </si>
  <si>
    <t>Valor Libro Activos Fijos (5 años)</t>
  </si>
  <si>
    <t>Depreciacion Activos Fijos (-)(10%)</t>
  </si>
  <si>
    <t>Valor Libro Activos Fijos (10 años)</t>
  </si>
  <si>
    <t>DEPRECICACIÓN TOTAL</t>
  </si>
  <si>
    <t>UAI. (EBIT)</t>
  </si>
  <si>
    <t>Impuesto 20%</t>
  </si>
  <si>
    <t>= UDI</t>
  </si>
  <si>
    <t>Depreciación. (+)</t>
  </si>
  <si>
    <t>Valor Libro.</t>
  </si>
  <si>
    <t xml:space="preserve">inversion en activos </t>
  </si>
  <si>
    <t>inversion en KT (Capital de Trabajo)</t>
  </si>
  <si>
    <t>Recuperación K T</t>
  </si>
  <si>
    <t>Valor terminal.</t>
  </si>
  <si>
    <t>FLUJO NETO</t>
  </si>
  <si>
    <t>FLUJO NETO ACUMULADO</t>
  </si>
  <si>
    <t>VPN</t>
  </si>
  <si>
    <r>
      <rPr>
        <rFont val="Arial"/>
        <color theme="1"/>
        <sz val="11.0"/>
      </rPr>
      <t>1.</t>
    </r>
    <r>
      <rPr>
        <rFont val="Times New Roman"/>
        <color rgb="FF000000"/>
        <sz val="7.0"/>
      </rPr>
      <t xml:space="preserve">    </t>
    </r>
    <r>
      <rPr>
        <rFont val="Arial"/>
        <color rgb="FF000000"/>
        <sz val="11.0"/>
      </rPr>
      <t>((Ebitda + inversión en activos) x (1 – Tasa de impuesto) )+Depreciación – Inversión en activos – Inversión en capital de trabajo</t>
    </r>
  </si>
  <si>
    <t>E) Precio mínimo a cobrar para que el proyecto sea viable económicamente es:</t>
  </si>
  <si>
    <t xml:space="preserve">Con un precio de KU$ 15.4; el valor presente neto (VPN) se hace cero (0). </t>
  </si>
  <si>
    <t>Aún así, el proyecto es rentable, porque se obtiene la tasa que el inversionista pide, equivalente al</t>
  </si>
  <si>
    <t>15% (TRR), o Tasa Requerida de Retorno.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</si>
</sst>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_-* #,##0.00_-;\-* #,##0.00_-;_-* &quot;-&quot;??_-;_-@"/>
    <numFmt numFmtId="165" formatCode="&quot;$&quot;#,##0"/>
    <numFmt numFmtId="166" formatCode="&quot;$&quot;#,##0.00"/>
    <numFmt numFmtId="167" formatCode="_-&quot;$&quot;* #,##0_-;\-&quot;$&quot;* #,##0_-;_-&quot;$&quot;* &quot;-&quot;_-;_-@"/>
    <numFmt numFmtId="168" formatCode="_-* #,##0_-;\-* #,##0_-;_-* &quot;-&quot;??_-;_-@"/>
    <numFmt numFmtId="169" formatCode="_-&quot;$&quot;* #,##0.000_-;\-&quot;$&quot;* #,##0.000_-;_-&quot;$&quot;* &quot;-&quot;_-;_-@"/>
    <numFmt numFmtId="170" formatCode="_-&quot;$&quot;* #,##0_-;\-&quot;$&quot;* #,##0_-;_-&quot;$&quot;* &quot;-&quot;?_-;_-@"/>
    <numFmt numFmtId="171" formatCode="_(&quot;$&quot;\ * #,##0.00_);_(&quot;$&quot;\ * \(#,##0.00\);_(&quot;$&quot;\ * &quot;-&quot;??_);_(@_)"/>
    <numFmt numFmtId="172" formatCode="_(* #,##0.00_);_(* \(#,##0.00\);_(* &quot;-&quot;??_);_(@_)"/>
    <numFmt numFmtId="173" formatCode="&quot;$&quot;\ #,##0.00;[Red]\-&quot;$&quot;\ #,##0.00"/>
    <numFmt numFmtId="174" formatCode="0.0000"/>
    <numFmt numFmtId="175" formatCode="_-&quot;$&quot;\ * #,##0_-;\-&quot;$&quot;\ * #,##0_-;_-&quot;$&quot;\ * &quot;-&quot;??_-;_-@"/>
  </numFmts>
  <fonts count="42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rgb="FFFF0000"/>
      <name val="Calibri"/>
    </font>
    <font>
      <b/>
      <sz val="11.0"/>
      <color rgb="FFFF0000"/>
      <name val="Calibri"/>
    </font>
    <font>
      <sz val="11.0"/>
      <color theme="1"/>
      <name val="Calibri"/>
    </font>
    <font>
      <b/>
      <sz val="18.0"/>
      <color theme="1"/>
      <name val="Calibri"/>
    </font>
    <font>
      <sz val="9.0"/>
      <color theme="1"/>
      <name val="Calibri"/>
    </font>
    <font>
      <b/>
      <sz val="12.0"/>
      <color rgb="FFFFFFFF"/>
      <name val="Arial"/>
    </font>
    <font>
      <sz val="12.0"/>
      <color theme="0"/>
      <name val="Arial"/>
    </font>
    <font>
      <sz val="12.0"/>
      <color rgb="FFFFFFFF"/>
      <name val="Arial"/>
    </font>
    <font>
      <b/>
      <sz val="9.0"/>
      <color rgb="FFFFFFFF"/>
      <name val="Arial"/>
    </font>
    <font>
      <b/>
      <sz val="12.0"/>
      <color theme="1"/>
      <name val="Arial"/>
    </font>
    <font>
      <sz val="8.0"/>
      <color rgb="FFFFFFFF"/>
      <name val="Calibri"/>
    </font>
    <font>
      <b/>
      <sz val="9.0"/>
      <color theme="1"/>
      <name val="Calibri"/>
    </font>
    <font>
      <sz val="8.0"/>
      <color theme="1"/>
      <name val="Calibri"/>
    </font>
    <font>
      <sz val="8.0"/>
      <color rgb="FFFFFFFF"/>
      <name val="Arial"/>
    </font>
    <font>
      <b/>
      <sz val="8.0"/>
      <color theme="1"/>
      <name val="Arial"/>
    </font>
    <font>
      <b/>
      <sz val="9.0"/>
      <color rgb="FFFFFFFF"/>
      <name val="Calibri"/>
    </font>
    <font>
      <b/>
      <sz val="8.0"/>
      <color rgb="FFFFFFFF"/>
      <name val="Calibri"/>
    </font>
    <font>
      <b/>
      <sz val="9.0"/>
      <color rgb="FF1F3864"/>
      <name val="Calibri"/>
    </font>
    <font>
      <b/>
      <sz val="8.0"/>
      <color rgb="FF1F3864"/>
      <name val="Calibri"/>
    </font>
    <font>
      <sz val="8.0"/>
      <color rgb="FF1F3864"/>
      <name val="Calibri"/>
    </font>
    <font>
      <b/>
      <sz val="9.0"/>
      <color rgb="FFFF0000"/>
      <name val="Calibri"/>
    </font>
    <font>
      <sz val="9.0"/>
      <color rgb="FF333333"/>
      <name val="Calibri"/>
    </font>
    <font>
      <sz val="9.0"/>
      <color rgb="FF555555"/>
      <name val="Arial"/>
    </font>
    <font>
      <sz val="11.0"/>
      <color theme="1"/>
      <name val="Aparajita"/>
    </font>
    <font>
      <sz val="10.0"/>
      <color theme="1"/>
      <name val="Calibri"/>
    </font>
    <font>
      <b/>
      <sz val="10.0"/>
      <color rgb="FFFFFFFF"/>
      <name val="Arial"/>
    </font>
    <font>
      <sz val="11.0"/>
      <color rgb="FF000000"/>
      <name val="Calibri"/>
    </font>
    <font>
      <b/>
      <sz val="10.0"/>
      <color theme="1"/>
      <name val="Arial"/>
    </font>
    <font>
      <sz val="10.0"/>
      <color rgb="FFFF0000"/>
      <name val="Arial"/>
    </font>
    <font>
      <b/>
      <sz val="9.0"/>
      <color rgb="FF003366"/>
      <name val="Arial"/>
    </font>
    <font>
      <b/>
      <sz val="9.0"/>
      <color theme="1"/>
      <name val="Arial"/>
    </font>
    <font>
      <sz val="7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9.0"/>
      <color rgb="FFFF0000"/>
      <name val="Arial"/>
    </font>
    <font>
      <b/>
      <sz val="9.0"/>
      <color rgb="FFFF0000"/>
      <name val="Arial"/>
    </font>
    <font>
      <b/>
      <sz val="10.0"/>
      <color rgb="FFFF0000"/>
      <name val="Arial"/>
    </font>
    <font>
      <sz val="11.0"/>
      <color theme="1"/>
      <name val="Arial"/>
    </font>
    <font>
      <sz val="11.0"/>
      <color theme="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97CFD5"/>
        <bgColor rgb="FF97CFD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44709D"/>
        <bgColor rgb="FF44709D"/>
      </patternFill>
    </fill>
    <fill>
      <patternFill patternType="solid">
        <fgColor rgb="FFAFC5DC"/>
        <bgColor rgb="FFAFC5DC"/>
      </patternFill>
    </fill>
    <fill>
      <patternFill patternType="solid">
        <fgColor rgb="FFD7E2ED"/>
        <bgColor rgb="FFD7E2ED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000090"/>
        <bgColor rgb="FF00009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EF2CB"/>
        <bgColor rgb="FFFEF2CB"/>
      </patternFill>
    </fill>
    <fill>
      <patternFill patternType="solid">
        <fgColor rgb="FFC9BED8"/>
        <bgColor rgb="FFC9BED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</fills>
  <borders count="38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/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/>
      <top style="medium">
        <color rgb="FFFFFFFF"/>
      </top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/>
      <right style="medium">
        <color rgb="FFFFFFFF"/>
      </right>
      <top/>
      <bottom/>
    </border>
    <border>
      <right style="medium">
        <color rgb="FFFFFFFF"/>
      </right>
    </border>
    <border>
      <left/>
      <right style="medium">
        <color rgb="FFFFFFFF"/>
      </right>
      <top/>
      <bottom style="medium">
        <color rgb="FFFFFFFF"/>
      </bottom>
    </border>
    <border>
      <left style="medium">
        <color rgb="FFFFFFFF"/>
      </left>
      <right/>
      <top/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shrinkToFit="0" wrapText="1"/>
    </xf>
    <xf borderId="5" fillId="0" fontId="3" numFmtId="3" xfId="0" applyAlignment="1" applyBorder="1" applyFont="1" applyNumberFormat="1">
      <alignment horizontal="right" vertical="center"/>
    </xf>
    <xf borderId="6" fillId="0" fontId="3" numFmtId="3" xfId="0" applyAlignment="1" applyBorder="1" applyFont="1" applyNumberFormat="1">
      <alignment horizontal="right" vertical="center"/>
    </xf>
    <xf borderId="3" fillId="0" fontId="3" numFmtId="3" xfId="0" applyAlignment="1" applyBorder="1" applyFont="1" applyNumberFormat="1">
      <alignment horizontal="right" vertical="center"/>
    </xf>
    <xf borderId="0" fillId="0" fontId="3" numFmtId="3" xfId="0" applyAlignment="1" applyFont="1" applyNumberFormat="1">
      <alignment horizontal="right" vertical="center"/>
    </xf>
    <xf borderId="3" fillId="0" fontId="1" numFmtId="0" xfId="0" applyBorder="1" applyFont="1"/>
    <xf borderId="3" fillId="0" fontId="3" numFmtId="164" xfId="0" applyAlignment="1" applyBorder="1" applyFont="1" applyNumberFormat="1">
      <alignment horizontal="right"/>
    </xf>
    <xf borderId="3" fillId="0" fontId="4" numFmtId="165" xfId="0" applyBorder="1" applyFont="1" applyNumberFormat="1"/>
    <xf borderId="4" fillId="0" fontId="4" numFmtId="165" xfId="0" applyBorder="1" applyFont="1" applyNumberFormat="1"/>
    <xf borderId="0" fillId="0" fontId="4" numFmtId="165" xfId="0" applyFont="1" applyNumberFormat="1"/>
    <xf borderId="0" fillId="0" fontId="5" numFmtId="166" xfId="0" applyFont="1" applyNumberFormat="1"/>
    <xf borderId="3" fillId="0" fontId="5" numFmtId="167" xfId="0" applyBorder="1" applyFont="1" applyNumberFormat="1"/>
    <xf borderId="3" fillId="0" fontId="3" numFmtId="168" xfId="0" applyBorder="1" applyFont="1" applyNumberFormat="1"/>
    <xf borderId="0" fillId="0" fontId="5" numFmtId="164" xfId="0" applyFont="1" applyNumberFormat="1"/>
    <xf borderId="3" fillId="0" fontId="1" numFmtId="167" xfId="0" applyBorder="1" applyFont="1" applyNumberFormat="1"/>
    <xf borderId="0" fillId="0" fontId="1" numFmtId="0" xfId="0" applyFont="1"/>
    <xf borderId="0" fillId="0" fontId="5" numFmtId="167" xfId="0" applyFont="1" applyNumberFormat="1"/>
    <xf borderId="0" fillId="0" fontId="5" numFmtId="169" xfId="0" applyFont="1" applyNumberFormat="1"/>
    <xf borderId="0" fillId="0" fontId="5" numFmtId="9" xfId="0" applyFont="1" applyNumberFormat="1"/>
    <xf borderId="7" fillId="2" fontId="6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2" fontId="5" numFmtId="0" xfId="0" applyBorder="1" applyFont="1"/>
    <xf borderId="3" fillId="2" fontId="6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3" fillId="2" fontId="1" numFmtId="0" xfId="0" applyBorder="1" applyFont="1"/>
    <xf borderId="3" fillId="2" fontId="5" numFmtId="167" xfId="0" applyBorder="1" applyFont="1" applyNumberFormat="1"/>
    <xf borderId="3" fillId="2" fontId="5" numFmtId="170" xfId="0" applyBorder="1" applyFont="1" applyNumberFormat="1"/>
    <xf borderId="11" fillId="2" fontId="5" numFmtId="170" xfId="0" applyBorder="1" applyFont="1" applyNumberFormat="1"/>
    <xf borderId="0" fillId="0" fontId="5" numFmtId="170" xfId="0" applyFont="1" applyNumberFormat="1"/>
    <xf borderId="4" fillId="2" fontId="1" numFmtId="0" xfId="0" applyAlignment="1" applyBorder="1" applyFont="1">
      <alignment horizontal="center"/>
    </xf>
    <xf borderId="12" fillId="0" fontId="2" numFmtId="0" xfId="0" applyBorder="1" applyFont="1"/>
    <xf borderId="3" fillId="2" fontId="1" numFmtId="167" xfId="0" applyBorder="1" applyFont="1" applyNumberFormat="1"/>
    <xf borderId="11" fillId="2" fontId="1" numFmtId="167" xfId="0" applyBorder="1" applyFont="1" applyNumberFormat="1"/>
    <xf borderId="0" fillId="0" fontId="1" numFmtId="167" xfId="0" applyFont="1" applyNumberFormat="1"/>
    <xf borderId="13" fillId="2" fontId="1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3" fillId="3" fontId="3" numFmtId="168" xfId="0" applyBorder="1" applyFill="1" applyFont="1" applyNumberFormat="1"/>
    <xf borderId="3" fillId="0" fontId="3" numFmtId="168" xfId="0" applyAlignment="1" applyBorder="1" applyFont="1" applyNumberFormat="1">
      <alignment horizontal="center" vertical="center"/>
    </xf>
    <xf borderId="4" fillId="0" fontId="3" numFmtId="168" xfId="0" applyAlignment="1" applyBorder="1" applyFont="1" applyNumberFormat="1">
      <alignment horizontal="center" vertical="center"/>
    </xf>
    <xf borderId="0" fillId="0" fontId="3" numFmtId="168" xfId="0" applyAlignment="1" applyFont="1" applyNumberFormat="1">
      <alignment horizontal="center" vertical="center"/>
    </xf>
    <xf borderId="3" fillId="4" fontId="6" numFmtId="0" xfId="0" applyBorder="1" applyFill="1" applyFont="1"/>
    <xf borderId="10" fillId="4" fontId="5" numFmtId="0" xfId="0" applyBorder="1" applyFont="1"/>
    <xf borderId="15" fillId="4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3" fillId="4" fontId="1" numFmtId="0" xfId="0" applyAlignment="1" applyBorder="1" applyFont="1">
      <alignment shrinkToFit="0" wrapText="1"/>
    </xf>
    <xf borderId="3" fillId="4" fontId="5" numFmtId="167" xfId="0" applyBorder="1" applyFont="1" applyNumberFormat="1"/>
    <xf borderId="10" fillId="4" fontId="5" numFmtId="164" xfId="0" applyBorder="1" applyFont="1" applyNumberFormat="1"/>
    <xf borderId="3" fillId="4" fontId="1" numFmtId="0" xfId="0" applyBorder="1" applyFont="1"/>
    <xf borderId="3" fillId="4" fontId="1" numFmtId="167" xfId="0" applyBorder="1" applyFont="1" applyNumberFormat="1"/>
    <xf borderId="3" fillId="5" fontId="1" numFmtId="0" xfId="0" applyBorder="1" applyFill="1" applyFont="1"/>
    <xf borderId="0" fillId="0" fontId="3" numFmtId="4" xfId="0" applyAlignment="1" applyFont="1" applyNumberFormat="1">
      <alignment horizontal="center" vertical="center"/>
    </xf>
    <xf borderId="3" fillId="6" fontId="4" numFmtId="165" xfId="0" applyBorder="1" applyFill="1" applyFont="1" applyNumberFormat="1"/>
    <xf borderId="10" fillId="4" fontId="1" numFmtId="0" xfId="0" applyBorder="1" applyFont="1"/>
    <xf borderId="10" fillId="4" fontId="5" numFmtId="165" xfId="0" applyBorder="1" applyFont="1" applyNumberFormat="1"/>
    <xf borderId="0" fillId="0" fontId="5" numFmtId="165" xfId="0" applyFont="1" applyNumberFormat="1"/>
    <xf borderId="0" fillId="0" fontId="7" numFmtId="165" xfId="0" applyFont="1" applyNumberFormat="1"/>
    <xf borderId="0" fillId="0" fontId="7" numFmtId="171" xfId="0" applyFont="1" applyNumberFormat="1"/>
    <xf borderId="0" fillId="0" fontId="5" numFmtId="0" xfId="0" applyFont="1"/>
    <xf borderId="10" fillId="6" fontId="5" numFmtId="0" xfId="0" applyBorder="1" applyFont="1"/>
    <xf borderId="16" fillId="7" fontId="8" numFmtId="0" xfId="0" applyAlignment="1" applyBorder="1" applyFill="1" applyFont="1">
      <alignment horizontal="center" shrinkToFit="0" vertical="center" wrapText="1"/>
    </xf>
    <xf borderId="17" fillId="7" fontId="9" numFmtId="38" xfId="0" applyAlignment="1" applyBorder="1" applyFont="1" applyNumberForma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18" fillId="0" fontId="9" numFmtId="38" xfId="0" applyAlignment="1" applyBorder="1" applyFont="1" applyNumberFormat="1">
      <alignment shrinkToFit="0" vertical="center" wrapText="1"/>
    </xf>
    <xf borderId="17" fillId="0" fontId="10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shrinkToFit="0" vertical="center" wrapText="1"/>
    </xf>
    <xf borderId="21" fillId="0" fontId="2" numFmtId="0" xfId="0" applyBorder="1" applyFont="1"/>
    <xf borderId="22" fillId="7" fontId="11" numFmtId="38" xfId="0" applyAlignment="1" applyBorder="1" applyFont="1" applyNumberFormat="1">
      <alignment horizontal="center" shrinkToFit="0" vertical="center" wrapText="1"/>
    </xf>
    <xf borderId="17" fillId="0" fontId="11" numFmtId="38" xfId="0" applyAlignment="1" applyBorder="1" applyFont="1" applyNumberFormat="1">
      <alignment horizontal="center" shrinkToFit="0" vertical="center" wrapText="1"/>
    </xf>
    <xf borderId="21" fillId="0" fontId="10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2" fillId="7" fontId="13" numFmtId="0" xfId="0" applyAlignment="1" applyBorder="1" applyFont="1">
      <alignment horizontal="left" shrinkToFit="0" vertical="center" wrapText="1"/>
    </xf>
    <xf borderId="24" fillId="8" fontId="14" numFmtId="38" xfId="0" applyAlignment="1" applyBorder="1" applyFill="1" applyFont="1" applyNumberFormat="1">
      <alignment horizontal="right" shrinkToFit="0" vertical="center" wrapText="1"/>
    </xf>
    <xf borderId="24" fillId="8" fontId="15" numFmtId="38" xfId="0" applyAlignment="1" applyBorder="1" applyFont="1" applyNumberFormat="1">
      <alignment horizontal="right" shrinkToFit="0" vertical="center" wrapText="1"/>
    </xf>
    <xf borderId="25" fillId="0" fontId="15" numFmtId="38" xfId="0" applyAlignment="1" applyBorder="1" applyFont="1" applyNumberFormat="1">
      <alignment horizontal="right" shrinkToFit="0" vertical="center" wrapText="1"/>
    </xf>
    <xf borderId="0" fillId="0" fontId="15" numFmtId="0" xfId="0" applyFont="1"/>
    <xf borderId="21" fillId="0" fontId="16" numFmtId="0" xfId="0" applyAlignment="1" applyBorder="1" applyFont="1">
      <alignment shrinkToFit="0" vertical="center" wrapText="1"/>
    </xf>
    <xf borderId="23" fillId="0" fontId="17" numFmtId="0" xfId="0" applyAlignment="1" applyBorder="1" applyFont="1">
      <alignment shrinkToFit="0" vertical="center" wrapText="1"/>
    </xf>
    <xf borderId="26" fillId="9" fontId="15" numFmtId="38" xfId="0" applyAlignment="1" applyBorder="1" applyFill="1" applyFont="1" applyNumberFormat="1">
      <alignment shrinkToFit="0" vertical="center" wrapText="1"/>
    </xf>
    <xf borderId="23" fillId="0" fontId="15" numFmtId="38" xfId="0" applyAlignment="1" applyBorder="1" applyFont="1" applyNumberFormat="1">
      <alignment shrinkToFit="0" vertical="center" wrapText="1"/>
    </xf>
    <xf borderId="22" fillId="7" fontId="18" numFmtId="0" xfId="0" applyAlignment="1" applyBorder="1" applyFont="1">
      <alignment horizontal="left" shrinkToFit="0" vertical="center" wrapText="1"/>
    </xf>
    <xf borderId="10" fillId="7" fontId="19" numFmtId="38" xfId="0" applyAlignment="1" applyBorder="1" applyFont="1" applyNumberFormat="1">
      <alignment horizontal="right" shrinkToFit="0" vertical="center" wrapText="1"/>
    </xf>
    <xf borderId="0" fillId="0" fontId="19" numFmtId="38" xfId="0" applyAlignment="1" applyFont="1" applyNumberFormat="1">
      <alignment horizontal="right" shrinkToFit="0" vertical="center" wrapText="1"/>
    </xf>
    <xf borderId="10" fillId="6" fontId="15" numFmtId="0" xfId="0" applyBorder="1" applyFont="1"/>
    <xf borderId="22" fillId="10" fontId="20" numFmtId="0" xfId="0" applyAlignment="1" applyBorder="1" applyFill="1" applyFont="1">
      <alignment horizontal="left" shrinkToFit="0" vertical="center" wrapText="1"/>
    </xf>
    <xf borderId="27" fillId="10" fontId="21" numFmtId="38" xfId="0" applyAlignment="1" applyBorder="1" applyFont="1" applyNumberFormat="1">
      <alignment horizontal="right" shrinkToFit="0" vertical="center" wrapText="1"/>
    </xf>
    <xf borderId="28" fillId="0" fontId="21" numFmtId="38" xfId="0" applyAlignment="1" applyBorder="1" applyFont="1" applyNumberFormat="1">
      <alignment horizontal="right" shrinkToFit="0" vertical="center" wrapText="1"/>
    </xf>
    <xf borderId="10" fillId="6" fontId="22" numFmtId="0" xfId="0" applyBorder="1" applyFont="1"/>
    <xf borderId="10" fillId="10" fontId="22" numFmtId="0" xfId="0" applyBorder="1" applyFont="1"/>
    <xf borderId="22" fillId="10" fontId="21" numFmtId="38" xfId="0" applyAlignment="1" applyBorder="1" applyFont="1" applyNumberFormat="1">
      <alignment horizontal="right" shrinkToFit="0" vertical="center" wrapText="1"/>
    </xf>
    <xf borderId="17" fillId="0" fontId="21" numFmtId="38" xfId="0" applyAlignment="1" applyBorder="1" applyFont="1" applyNumberFormat="1">
      <alignment horizontal="right" shrinkToFit="0" vertical="center" wrapText="1"/>
    </xf>
    <xf borderId="0" fillId="0" fontId="7" numFmtId="38" xfId="0" applyAlignment="1" applyFont="1" applyNumberFormat="1">
      <alignment horizontal="right"/>
    </xf>
    <xf borderId="0" fillId="0" fontId="7" numFmtId="0" xfId="0" applyFont="1"/>
    <xf borderId="0" fillId="0" fontId="7" numFmtId="10" xfId="0" applyAlignment="1" applyFont="1" applyNumberFormat="1">
      <alignment horizontal="right"/>
    </xf>
    <xf borderId="0" fillId="0" fontId="4" numFmtId="0" xfId="0" applyFont="1"/>
    <xf borderId="0" fillId="0" fontId="23" numFmtId="9" xfId="0" applyAlignment="1" applyFont="1" applyNumberFormat="1">
      <alignment horizontal="right"/>
    </xf>
    <xf borderId="10" fillId="11" fontId="4" numFmtId="0" xfId="0" applyBorder="1" applyFill="1" applyFont="1"/>
    <xf borderId="10" fillId="11" fontId="14" numFmtId="38" xfId="0" applyAlignment="1" applyBorder="1" applyFont="1" applyNumberFormat="1">
      <alignment horizontal="right"/>
    </xf>
    <xf borderId="0" fillId="0" fontId="15" numFmtId="38" xfId="0" applyAlignment="1" applyFont="1" applyNumberFormat="1">
      <alignment horizontal="right"/>
    </xf>
    <xf borderId="4" fillId="0" fontId="7" numFmtId="38" xfId="0" applyAlignment="1" applyBorder="1" applyFont="1" applyNumberFormat="1">
      <alignment horizontal="left" shrinkToFit="0" wrapText="1"/>
    </xf>
    <xf borderId="29" fillId="0" fontId="2" numFmtId="0" xfId="0" applyBorder="1" applyFont="1"/>
    <xf borderId="0" fillId="0" fontId="5" numFmtId="0" xfId="0" applyAlignment="1" applyFont="1">
      <alignment shrinkToFit="0" wrapText="1"/>
    </xf>
    <xf borderId="0" fillId="0" fontId="23" numFmtId="40" xfId="0" applyAlignment="1" applyFont="1" applyNumberFormat="1">
      <alignment horizontal="right"/>
    </xf>
    <xf borderId="0" fillId="0" fontId="23" numFmtId="38" xfId="0" applyAlignment="1" applyFont="1" applyNumberFormat="1">
      <alignment horizontal="right"/>
    </xf>
    <xf borderId="0" fillId="0" fontId="24" numFmtId="0" xfId="0" applyFont="1"/>
    <xf borderId="0" fillId="0" fontId="25" numFmtId="0" xfId="0" applyFont="1"/>
    <xf borderId="5" fillId="0" fontId="26" numFmtId="3" xfId="0" applyAlignment="1" applyBorder="1" applyFont="1" applyNumberFormat="1">
      <alignment horizontal="center" vertical="center"/>
    </xf>
    <xf borderId="0" fillId="0" fontId="27" numFmtId="0" xfId="0" applyAlignment="1" applyFont="1">
      <alignment horizontal="right"/>
    </xf>
    <xf borderId="0" fillId="0" fontId="6" numFmtId="0" xfId="0" applyFont="1"/>
    <xf borderId="6" fillId="12" fontId="28" numFmtId="0" xfId="0" applyAlignment="1" applyBorder="1" applyFill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10" fillId="12" fontId="28" numFmtId="0" xfId="0" applyAlignment="1" applyBorder="1" applyFont="1">
      <alignment horizontal="center"/>
    </xf>
    <xf borderId="2" fillId="0" fontId="5" numFmtId="0" xfId="0" applyAlignment="1" applyBorder="1" applyFont="1">
      <alignment horizontal="right"/>
    </xf>
    <xf borderId="32" fillId="0" fontId="29" numFmtId="0" xfId="0" applyAlignment="1" applyBorder="1" applyFont="1">
      <alignment shrinkToFit="0" vertical="top" wrapText="1"/>
    </xf>
    <xf borderId="33" fillId="0" fontId="29" numFmtId="0" xfId="0" applyAlignment="1" applyBorder="1" applyFont="1">
      <alignment shrinkToFit="0" vertical="top" wrapText="1"/>
    </xf>
    <xf borderId="4" fillId="12" fontId="28" numFmtId="0" xfId="0" applyAlignment="1" applyBorder="1" applyFont="1">
      <alignment horizontal="center"/>
    </xf>
    <xf borderId="34" fillId="0" fontId="29" numFmtId="0" xfId="0" applyAlignment="1" applyBorder="1" applyFont="1">
      <alignment shrinkToFit="0" vertical="top" wrapText="1"/>
    </xf>
    <xf borderId="35" fillId="0" fontId="29" numFmtId="10" xfId="0" applyAlignment="1" applyBorder="1" applyFont="1" applyNumberFormat="1">
      <alignment shrinkToFit="0" vertical="top" wrapText="1"/>
    </xf>
    <xf borderId="35" fillId="0" fontId="29" numFmtId="9" xfId="0" applyAlignment="1" applyBorder="1" applyFont="1" applyNumberFormat="1">
      <alignment shrinkToFit="0" vertical="top" wrapText="1"/>
    </xf>
    <xf borderId="3" fillId="13" fontId="5" numFmtId="0" xfId="0" applyAlignment="1" applyBorder="1" applyFill="1" applyFont="1">
      <alignment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3" fontId="5" numFmtId="172" xfId="0" applyAlignment="1" applyBorder="1" applyFont="1" applyNumberFormat="1">
      <alignment horizontal="right" shrinkToFit="0" vertical="center" wrapText="1"/>
    </xf>
    <xf borderId="3" fillId="0" fontId="29" numFmtId="0" xfId="0" applyAlignment="1" applyBorder="1" applyFont="1">
      <alignment shrinkToFit="0" vertical="top" wrapText="1"/>
    </xf>
    <xf borderId="3" fillId="3" fontId="5" numFmtId="2" xfId="0" applyAlignment="1" applyBorder="1" applyFont="1" applyNumberFormat="1">
      <alignment horizontal="right" shrinkToFit="0" vertical="center" wrapText="1"/>
    </xf>
    <xf borderId="3" fillId="0" fontId="5" numFmtId="0" xfId="0" applyBorder="1" applyFont="1"/>
    <xf quotePrefix="1" borderId="3" fillId="3" fontId="5" numFmtId="0" xfId="0" applyAlignment="1" applyBorder="1" applyFont="1">
      <alignment horizontal="center" shrinkToFit="0" vertical="center" wrapText="1"/>
    </xf>
    <xf borderId="3" fillId="3" fontId="5" numFmtId="9" xfId="0" applyAlignment="1" applyBorder="1" applyFont="1" applyNumberFormat="1">
      <alignment horizontal="right" shrinkToFit="0" vertical="center" wrapText="1"/>
    </xf>
    <xf borderId="3" fillId="3" fontId="5" numFmtId="0" xfId="0" applyAlignment="1" applyBorder="1" applyFont="1">
      <alignment horizontal="right" shrinkToFit="0" vertical="center" wrapText="1"/>
    </xf>
    <xf borderId="3" fillId="13" fontId="30" numFmtId="0" xfId="0" applyAlignment="1" applyBorder="1" applyFont="1">
      <alignment horizontal="center"/>
    </xf>
    <xf borderId="4" fillId="13" fontId="30" numFmtId="0" xfId="0" applyAlignment="1" applyBorder="1" applyFont="1">
      <alignment horizontal="center"/>
    </xf>
    <xf borderId="10" fillId="13" fontId="30" numFmtId="0" xfId="0" applyAlignment="1" applyBorder="1" applyFont="1">
      <alignment horizontal="center"/>
    </xf>
    <xf borderId="33" fillId="0" fontId="29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/>
    </xf>
    <xf borderId="3" fillId="13" fontId="5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left"/>
    </xf>
    <xf borderId="3" fillId="3" fontId="5" numFmtId="0" xfId="0" applyAlignment="1" applyBorder="1" applyFont="1">
      <alignment shrinkToFit="0" wrapText="1"/>
    </xf>
    <xf borderId="3" fillId="3" fontId="5" numFmtId="164" xfId="0" applyBorder="1" applyFont="1" applyNumberFormat="1"/>
    <xf borderId="3" fillId="3" fontId="3" numFmtId="164" xfId="0" applyAlignment="1" applyBorder="1" applyFont="1" applyNumberFormat="1">
      <alignment horizontal="right"/>
    </xf>
    <xf borderId="3" fillId="3" fontId="5" numFmtId="0" xfId="0" applyBorder="1" applyFont="1"/>
    <xf borderId="4" fillId="14" fontId="32" numFmtId="0" xfId="0" applyAlignment="1" applyBorder="1" applyFill="1" applyFont="1">
      <alignment horizontal="center"/>
    </xf>
    <xf borderId="10" fillId="14" fontId="32" numFmtId="0" xfId="0" applyAlignment="1" applyBorder="1" applyFont="1">
      <alignment horizontal="center"/>
    </xf>
    <xf borderId="3" fillId="13" fontId="33" numFmtId="0" xfId="0" applyAlignment="1" applyBorder="1" applyFont="1">
      <alignment horizontal="center"/>
    </xf>
    <xf borderId="4" fillId="13" fontId="33" numFmtId="0" xfId="0" applyAlignment="1" applyBorder="1" applyFont="1">
      <alignment horizontal="center"/>
    </xf>
    <xf borderId="10" fillId="13" fontId="33" numFmtId="0" xfId="0" applyAlignment="1" applyBorder="1" applyFont="1">
      <alignment horizontal="center"/>
    </xf>
    <xf borderId="3" fillId="13" fontId="3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3" fontId="3" numFmtId="9" xfId="0" applyAlignment="1" applyBorder="1" applyFont="1" applyNumberFormat="1">
      <alignment horizontal="right" shrinkToFit="0" vertical="center" wrapText="1"/>
    </xf>
    <xf borderId="3" fillId="3" fontId="34" numFmtId="0" xfId="0" applyAlignment="1" applyBorder="1" applyFont="1">
      <alignment horizontal="center" shrinkToFit="0" vertical="center" wrapText="1"/>
    </xf>
    <xf borderId="3" fillId="3" fontId="35" numFmtId="0" xfId="0" applyAlignment="1" applyBorder="1" applyFont="1">
      <alignment horizontal="right" shrinkToFit="0" vertical="center" wrapText="1"/>
    </xf>
    <xf borderId="3" fillId="3" fontId="36" numFmtId="0" xfId="0" applyAlignment="1" applyBorder="1" applyFont="1">
      <alignment shrinkToFit="0" wrapText="1"/>
    </xf>
    <xf borderId="3" fillId="3" fontId="33" numFmtId="164" xfId="0" applyBorder="1" applyFont="1" applyNumberFormat="1"/>
    <xf borderId="3" fillId="15" fontId="37" numFmtId="0" xfId="0" applyAlignment="1" applyBorder="1" applyFill="1" applyFont="1">
      <alignment horizontal="left" shrinkToFit="0" wrapText="1"/>
    </xf>
    <xf borderId="3" fillId="15" fontId="36" numFmtId="164" xfId="0" applyBorder="1" applyFont="1" applyNumberFormat="1"/>
    <xf borderId="3" fillId="16" fontId="3" numFmtId="164" xfId="0" applyBorder="1" applyFill="1" applyFont="1" applyNumberFormat="1"/>
    <xf borderId="3" fillId="3" fontId="36" numFmtId="0" xfId="0" applyAlignment="1" applyBorder="1" applyFont="1">
      <alignment horizontal="left" shrinkToFit="0" wrapText="1"/>
    </xf>
    <xf borderId="3" fillId="3" fontId="33" numFmtId="0" xfId="0" applyBorder="1" applyFont="1"/>
    <xf borderId="3" fillId="3" fontId="5" numFmtId="10" xfId="0" applyAlignment="1" applyBorder="1" applyFont="1" applyNumberFormat="1">
      <alignment horizontal="right" shrinkToFit="0" vertical="center" wrapText="1"/>
    </xf>
    <xf borderId="3" fillId="3" fontId="3" numFmtId="0" xfId="0" applyAlignment="1" applyBorder="1" applyFont="1">
      <alignment horizontal="left"/>
    </xf>
    <xf borderId="3" fillId="3" fontId="36" numFmtId="2" xfId="0" applyBorder="1" applyFont="1" applyNumberFormat="1"/>
    <xf borderId="3" fillId="3" fontId="3" numFmtId="164" xfId="0" applyBorder="1" applyFont="1" applyNumberFormat="1"/>
    <xf borderId="5" fillId="0" fontId="3" numFmtId="4" xfId="0" applyAlignment="1" applyBorder="1" applyFont="1" applyNumberFormat="1">
      <alignment horizontal="center" vertical="center"/>
    </xf>
    <xf borderId="36" fillId="13" fontId="5" numFmtId="0" xfId="0" applyAlignment="1" applyBorder="1" applyFont="1">
      <alignment shrinkToFit="0" vertical="center" wrapText="1"/>
    </xf>
    <xf borderId="0" fillId="0" fontId="28" numFmtId="0" xfId="0" applyAlignment="1" applyFont="1">
      <alignment horizontal="left"/>
    </xf>
    <xf borderId="3" fillId="17" fontId="38" numFmtId="0" xfId="0" applyBorder="1" applyFill="1" applyFont="1"/>
    <xf borderId="3" fillId="17" fontId="36" numFmtId="164" xfId="0" applyBorder="1" applyFont="1" applyNumberFormat="1"/>
    <xf borderId="0" fillId="0" fontId="35" numFmtId="171" xfId="0" applyAlignment="1" applyFont="1" applyNumberFormat="1">
      <alignment horizontal="right"/>
    </xf>
    <xf borderId="10" fillId="12" fontId="39" numFmtId="0" xfId="0" applyBorder="1" applyFont="1"/>
    <xf borderId="3" fillId="17" fontId="36" numFmtId="9" xfId="0" applyBorder="1" applyFont="1" applyNumberFormat="1"/>
    <xf borderId="3" fillId="17" fontId="37" numFmtId="10" xfId="0" applyBorder="1" applyFont="1" applyNumberFormat="1"/>
    <xf borderId="3" fillId="17" fontId="36" numFmtId="172" xfId="0" applyBorder="1" applyFont="1" applyNumberFormat="1"/>
    <xf borderId="3" fillId="0" fontId="37" numFmtId="0" xfId="0" applyBorder="1" applyFont="1"/>
    <xf borderId="3" fillId="3" fontId="36" numFmtId="0" xfId="0" applyBorder="1" applyFont="1"/>
    <xf borderId="0" fillId="0" fontId="5" numFmtId="171" xfId="0" applyFont="1" applyNumberFormat="1"/>
    <xf borderId="3" fillId="3" fontId="3" numFmtId="0" xfId="0" applyAlignment="1" applyBorder="1" applyFont="1">
      <alignment horizontal="left" shrinkToFit="0" vertical="center" wrapText="1"/>
    </xf>
    <xf borderId="0" fillId="0" fontId="5" numFmtId="172" xfId="0" applyFont="1" applyNumberFormat="1"/>
    <xf borderId="3" fillId="15" fontId="39" numFmtId="0" xfId="0" applyBorder="1" applyFont="1"/>
    <xf borderId="3" fillId="15" fontId="30" numFmtId="2" xfId="0" applyBorder="1" applyFont="1" applyNumberFormat="1"/>
    <xf borderId="0" fillId="0" fontId="5" numFmtId="173" xfId="0" applyFont="1" applyNumberFormat="1"/>
    <xf quotePrefix="1" borderId="15" fillId="18" fontId="33" numFmtId="0" xfId="0" applyBorder="1" applyFill="1" applyFont="1"/>
    <xf borderId="15" fillId="18" fontId="36" numFmtId="174" xfId="0" applyBorder="1" applyFont="1" applyNumberFormat="1"/>
    <xf borderId="0" fillId="0" fontId="5" numFmtId="0" xfId="0" applyAlignment="1" applyFont="1">
      <alignment horizontal="right"/>
    </xf>
    <xf borderId="37" fillId="0" fontId="37" numFmtId="0" xfId="0" applyBorder="1" applyFont="1"/>
    <xf borderId="37" fillId="0" fontId="36" numFmtId="0" xfId="0" applyBorder="1" applyFont="1"/>
    <xf quotePrefix="1" borderId="15" fillId="6" fontId="37" numFmtId="0" xfId="0" applyBorder="1" applyFont="1"/>
    <xf borderId="15" fillId="6" fontId="36" numFmtId="174" xfId="0" applyBorder="1" applyFont="1" applyNumberFormat="1"/>
    <xf borderId="10" fillId="6" fontId="5" numFmtId="0" xfId="0" applyAlignment="1" applyBorder="1" applyFont="1">
      <alignment horizontal="right"/>
    </xf>
    <xf borderId="3" fillId="0" fontId="3" numFmtId="0" xfId="0" applyBorder="1" applyFont="1"/>
    <xf borderId="3" fillId="0" fontId="3" numFmtId="164" xfId="0" applyBorder="1" applyFont="1" applyNumberFormat="1"/>
    <xf borderId="0" fillId="0" fontId="5" numFmtId="2" xfId="0" applyFont="1" applyNumberFormat="1"/>
    <xf borderId="3" fillId="18" fontId="5" numFmtId="0" xfId="0" applyBorder="1" applyFont="1"/>
    <xf borderId="3" fillId="18" fontId="5" numFmtId="164" xfId="0" applyBorder="1" applyFont="1" applyNumberFormat="1"/>
    <xf quotePrefix="1" borderId="3" fillId="18" fontId="30" numFmtId="0" xfId="0" applyBorder="1" applyFont="1"/>
    <xf borderId="3" fillId="13" fontId="5" numFmtId="0" xfId="0" applyBorder="1" applyFont="1"/>
    <xf borderId="3" fillId="0" fontId="33" numFmtId="0" xfId="0" applyBorder="1" applyFont="1"/>
    <xf borderId="37" fillId="0" fontId="33" numFmtId="0" xfId="0" applyBorder="1" applyFont="1"/>
    <xf borderId="37" fillId="0" fontId="36" numFmtId="175" xfId="0" applyBorder="1" applyFont="1" applyNumberFormat="1"/>
    <xf borderId="3" fillId="13" fontId="30" numFmtId="0" xfId="0" applyBorder="1" applyFont="1"/>
    <xf borderId="3" fillId="19" fontId="5" numFmtId="172" xfId="0" applyBorder="1" applyFill="1" applyFont="1" applyNumberFormat="1"/>
    <xf borderId="3" fillId="18" fontId="5" numFmtId="173" xfId="0" applyBorder="1" applyFont="1" applyNumberFormat="1"/>
    <xf borderId="3" fillId="20" fontId="5" numFmtId="173" xfId="0" applyBorder="1" applyFill="1" applyFont="1" applyNumberFormat="1"/>
    <xf borderId="3" fillId="18" fontId="5" numFmtId="9" xfId="0" applyBorder="1" applyFont="1" applyNumberFormat="1"/>
    <xf borderId="3" fillId="20" fontId="5" numFmtId="9" xfId="0" applyBorder="1" applyFont="1" applyNumberFormat="1"/>
    <xf borderId="0" fillId="0" fontId="40" numFmtId="0" xfId="0" applyAlignment="1" applyFont="1">
      <alignment horizontal="left" vertical="center"/>
    </xf>
    <xf borderId="0" fillId="0" fontId="5" numFmtId="1" xfId="0" applyFont="1" applyNumberFormat="1"/>
    <xf borderId="10" fillId="3" fontId="5" numFmtId="0" xfId="0" applyBorder="1" applyFont="1"/>
    <xf borderId="10" fillId="3" fontId="41" numFmtId="0" xfId="0" applyBorder="1" applyFont="1"/>
    <xf borderId="0" fillId="0" fontId="30" numFmtId="0" xfId="0" applyFont="1"/>
    <xf borderId="0" fillId="0" fontId="3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64</xdr:row>
      <xdr:rowOff>66675</xdr:rowOff>
    </xdr:from>
    <xdr:ext cx="5981700" cy="2733675"/>
    <xdr:sp>
      <xdr:nvSpPr>
        <xdr:cNvPr id="3" name="Shape 3"/>
        <xdr:cNvSpPr/>
      </xdr:nvSpPr>
      <xdr:spPr>
        <a:xfrm>
          <a:off x="2359913" y="2417925"/>
          <a:ext cx="5972175" cy="2724150"/>
        </a:xfrm>
        <a:prstGeom prst="wedgeRoundRectCallout">
          <a:avLst>
            <a:gd fmla="val -20833" name="adj1"/>
            <a:gd fmla="val 62500" name="adj2"/>
            <a:gd fmla="val 0" name="adj3"/>
          </a:avLst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1133475</xdr:colOff>
      <xdr:row>64</xdr:row>
      <xdr:rowOff>133350</xdr:rowOff>
    </xdr:from>
    <xdr:ext cx="5210175" cy="2495550"/>
    <xdr:sp>
      <xdr:nvSpPr>
        <xdr:cNvPr id="4" name="Shape 4"/>
        <xdr:cNvSpPr txBox="1"/>
      </xdr:nvSpPr>
      <xdr:spPr>
        <a:xfrm>
          <a:off x="2745675" y="2536988"/>
          <a:ext cx="5200650" cy="24860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Se pide: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A. Construya el cuadro de ventas proyectado a 5 años, grafique la curva de clientes acumulados y comente respecto al perfil obtenido en relación al horizonte de evaluación considerado.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B. Construya el FCL antes de impuesto (apropiado para evaluaciones preliminares) y determine la inversión total requerida.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C. Grafique las curvas de ingresos junto a los costos variables y costos fijos, y comente la figura resultante.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D. Calcule el VPN y la TIR del proyecto y comente los resultados obtenidos.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86"/>
    <col customWidth="1" min="2" max="2" width="15.43"/>
    <col customWidth="1" min="3" max="7" width="21.43"/>
    <col customWidth="1" min="8" max="8" width="14.14"/>
    <col customWidth="1" min="9" max="9" width="14.71"/>
    <col customWidth="1" min="10" max="10" width="16.43"/>
    <col customWidth="1" min="11" max="11" width="14.86"/>
    <col customWidth="1" min="12" max="12" width="17.86"/>
    <col customWidth="1" min="13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customHeight="1">
      <c r="A2" s="3" t="s">
        <v>1</v>
      </c>
      <c r="B2" s="3">
        <v>1.0</v>
      </c>
      <c r="C2" s="3">
        <v>2.0</v>
      </c>
      <c r="D2" s="3">
        <v>3.0</v>
      </c>
      <c r="E2" s="4">
        <v>4.0</v>
      </c>
      <c r="F2" s="3">
        <v>5.0</v>
      </c>
      <c r="G2" s="5"/>
      <c r="H2" s="5"/>
      <c r="I2" s="5"/>
      <c r="J2" s="5"/>
      <c r="K2" s="5"/>
    </row>
    <row r="3" ht="14.25" customHeight="1">
      <c r="A3" s="6" t="s">
        <v>2</v>
      </c>
      <c r="B3" s="7">
        <v>200000.0</v>
      </c>
      <c r="C3" s="7">
        <f t="shared" ref="C3:F3" si="1">B3*1.1</f>
        <v>220000</v>
      </c>
      <c r="D3" s="7">
        <f t="shared" si="1"/>
        <v>242000</v>
      </c>
      <c r="E3" s="8">
        <f t="shared" si="1"/>
        <v>266200</v>
      </c>
      <c r="F3" s="9">
        <f t="shared" si="1"/>
        <v>292820</v>
      </c>
      <c r="G3" s="10"/>
      <c r="H3" s="10"/>
      <c r="I3" s="10"/>
      <c r="J3" s="10"/>
      <c r="K3" s="10"/>
    </row>
    <row r="4" ht="14.25" customHeight="1">
      <c r="A4" s="11" t="s">
        <v>3</v>
      </c>
      <c r="B4" s="12">
        <v>2000000.0</v>
      </c>
      <c r="C4" s="7">
        <f t="shared" ref="C4:F4" si="2">B4*1.07</f>
        <v>2140000</v>
      </c>
      <c r="D4" s="7">
        <f t="shared" si="2"/>
        <v>2289800</v>
      </c>
      <c r="E4" s="8">
        <f t="shared" si="2"/>
        <v>2450086</v>
      </c>
      <c r="F4" s="9">
        <f t="shared" si="2"/>
        <v>2621592.02</v>
      </c>
      <c r="G4" s="10"/>
      <c r="H4" s="10"/>
      <c r="I4" s="10"/>
      <c r="J4" s="10"/>
      <c r="K4" s="10"/>
    </row>
    <row r="5" ht="14.25" customHeight="1">
      <c r="A5" s="11" t="s">
        <v>4</v>
      </c>
      <c r="B5" s="13">
        <f t="shared" ref="B5:F5" si="3">B3*B4</f>
        <v>400000000000</v>
      </c>
      <c r="C5" s="13">
        <f t="shared" si="3"/>
        <v>470800000000</v>
      </c>
      <c r="D5" s="13">
        <f t="shared" si="3"/>
        <v>554131600000</v>
      </c>
      <c r="E5" s="14">
        <f t="shared" si="3"/>
        <v>652212893200</v>
      </c>
      <c r="F5" s="13">
        <f t="shared" si="3"/>
        <v>767654575296</v>
      </c>
      <c r="G5" s="15"/>
      <c r="H5" s="15"/>
      <c r="I5" s="15"/>
      <c r="J5" s="15"/>
      <c r="K5" s="15"/>
    </row>
    <row r="6" ht="14.25" customHeight="1">
      <c r="B6" s="16"/>
      <c r="C6" s="16"/>
      <c r="D6" s="16"/>
      <c r="E6" s="16"/>
      <c r="F6" s="16"/>
      <c r="G6" s="16"/>
      <c r="H6" s="16"/>
      <c r="I6" s="16"/>
      <c r="J6" s="16"/>
      <c r="K6" s="16"/>
    </row>
    <row r="7" ht="14.25" customHeight="1"/>
    <row r="8" ht="14.25" customHeight="1">
      <c r="A8" s="11" t="s">
        <v>5</v>
      </c>
      <c r="B8" s="3" t="s">
        <v>6</v>
      </c>
      <c r="C8" s="3" t="s">
        <v>7</v>
      </c>
      <c r="D8" s="3" t="s">
        <v>8</v>
      </c>
    </row>
    <row r="9" ht="14.25" customHeight="1">
      <c r="A9" s="11" t="s">
        <v>9</v>
      </c>
      <c r="B9" s="17">
        <v>1.5E7</v>
      </c>
      <c r="C9" s="17"/>
      <c r="D9" s="17">
        <f t="shared" ref="D9:D11" si="4">B9+C9</f>
        <v>15000000</v>
      </c>
    </row>
    <row r="10" ht="14.25" customHeight="1">
      <c r="A10" s="6" t="s">
        <v>10</v>
      </c>
      <c r="B10" s="18">
        <v>1.2E7</v>
      </c>
      <c r="C10" s="18">
        <f t="shared" ref="C10:C11" si="5">B10*0.19</f>
        <v>2280000</v>
      </c>
      <c r="D10" s="18">
        <f t="shared" si="4"/>
        <v>14280000</v>
      </c>
    </row>
    <row r="11" ht="14.25" customHeight="1">
      <c r="A11" s="11" t="s">
        <v>11</v>
      </c>
      <c r="B11" s="18">
        <v>8000000.0</v>
      </c>
      <c r="C11" s="18">
        <f t="shared" si="5"/>
        <v>1520000</v>
      </c>
      <c r="D11" s="18">
        <f t="shared" si="4"/>
        <v>9520000</v>
      </c>
      <c r="G11" s="19"/>
    </row>
    <row r="12" ht="14.25" customHeight="1">
      <c r="A12" s="11" t="s">
        <v>12</v>
      </c>
      <c r="B12" s="17">
        <f t="shared" ref="B12:D12" si="6">SUM(B9:B11)</f>
        <v>35000000</v>
      </c>
      <c r="C12" s="17">
        <f t="shared" si="6"/>
        <v>3800000</v>
      </c>
      <c r="D12" s="20">
        <f t="shared" si="6"/>
        <v>38800000</v>
      </c>
    </row>
    <row r="13" ht="14.25" customHeight="1">
      <c r="A13" s="21"/>
      <c r="B13" s="22"/>
    </row>
    <row r="14" ht="14.25" customHeight="1">
      <c r="A14" s="21" t="s">
        <v>13</v>
      </c>
      <c r="B14" s="23"/>
      <c r="C14" s="24"/>
    </row>
    <row r="15" ht="14.25" customHeight="1"/>
    <row r="16" ht="37.5" customHeight="1">
      <c r="A16" s="25" t="s">
        <v>14</v>
      </c>
      <c r="B16" s="26"/>
      <c r="C16" s="27"/>
      <c r="D16" s="28"/>
      <c r="E16" s="28"/>
      <c r="F16" s="28"/>
      <c r="G16" s="28"/>
    </row>
    <row r="17" ht="27.0" customHeight="1">
      <c r="A17" s="29" t="s">
        <v>15</v>
      </c>
      <c r="B17" s="30" t="s">
        <v>16</v>
      </c>
      <c r="C17" s="30" t="s">
        <v>17</v>
      </c>
      <c r="D17" s="30" t="s">
        <v>18</v>
      </c>
      <c r="E17" s="30" t="s">
        <v>19</v>
      </c>
      <c r="F17" s="31" t="s">
        <v>20</v>
      </c>
      <c r="G17" s="30" t="s">
        <v>21</v>
      </c>
      <c r="H17" s="5"/>
      <c r="I17" s="5"/>
      <c r="J17" s="5"/>
      <c r="K17" s="5"/>
      <c r="L17" s="5"/>
    </row>
    <row r="18" ht="14.25" customHeight="1">
      <c r="A18" s="32" t="s">
        <v>22</v>
      </c>
      <c r="B18" s="33">
        <v>4000000.0</v>
      </c>
      <c r="C18" s="33">
        <f>B18*12</f>
        <v>48000000</v>
      </c>
      <c r="D18" s="34">
        <f t="shared" ref="D18:G18" si="7">C18*1.1</f>
        <v>52800000</v>
      </c>
      <c r="E18" s="34">
        <f t="shared" si="7"/>
        <v>58080000</v>
      </c>
      <c r="F18" s="35">
        <f t="shared" si="7"/>
        <v>63888000</v>
      </c>
      <c r="G18" s="34">
        <f t="shared" si="7"/>
        <v>70276800</v>
      </c>
      <c r="H18" s="36"/>
      <c r="I18" s="36"/>
      <c r="J18" s="36"/>
    </row>
    <row r="19" ht="14.25" customHeight="1">
      <c r="A19" s="32" t="s">
        <v>23</v>
      </c>
      <c r="B19" s="33">
        <v>130000.0</v>
      </c>
      <c r="C19" s="33">
        <f>B19*1.1*12</f>
        <v>1716000</v>
      </c>
      <c r="D19" s="34">
        <f t="shared" ref="D19:G19" si="8">C19*1.1</f>
        <v>1887600</v>
      </c>
      <c r="E19" s="34">
        <f t="shared" si="8"/>
        <v>2076360</v>
      </c>
      <c r="F19" s="35">
        <f t="shared" si="8"/>
        <v>2283996</v>
      </c>
      <c r="G19" s="34">
        <f t="shared" si="8"/>
        <v>2512395.6</v>
      </c>
      <c r="H19" s="36"/>
      <c r="I19" s="36"/>
      <c r="J19" s="36"/>
    </row>
    <row r="20" ht="14.25" customHeight="1">
      <c r="A20" s="32" t="s">
        <v>24</v>
      </c>
      <c r="B20" s="33"/>
      <c r="C20" s="33">
        <f>B11/3</f>
        <v>2666666.667</v>
      </c>
      <c r="D20" s="34">
        <f t="shared" ref="D20:E20" si="9">C20</f>
        <v>2666666.667</v>
      </c>
      <c r="E20" s="34">
        <f t="shared" si="9"/>
        <v>2666666.667</v>
      </c>
      <c r="F20" s="35">
        <v>0.0</v>
      </c>
      <c r="G20" s="34">
        <v>0.0</v>
      </c>
      <c r="H20" s="36"/>
      <c r="I20" s="36"/>
      <c r="J20" s="36"/>
    </row>
    <row r="21" ht="14.25" customHeight="1">
      <c r="A21" s="37" t="s">
        <v>25</v>
      </c>
      <c r="B21" s="38"/>
      <c r="C21" s="39">
        <f t="shared" ref="C21:G21" si="10">SUM(C18:C19)</f>
        <v>49716000</v>
      </c>
      <c r="D21" s="39">
        <f t="shared" si="10"/>
        <v>54687600</v>
      </c>
      <c r="E21" s="39">
        <f t="shared" si="10"/>
        <v>60156360</v>
      </c>
      <c r="F21" s="40">
        <f t="shared" si="10"/>
        <v>66171996</v>
      </c>
      <c r="G21" s="39">
        <f t="shared" si="10"/>
        <v>72789195.6</v>
      </c>
      <c r="H21" s="41"/>
      <c r="I21" s="41"/>
      <c r="J21" s="41"/>
    </row>
    <row r="22" ht="14.25" customHeight="1">
      <c r="A22" s="28"/>
      <c r="B22" s="28"/>
      <c r="C22" s="28"/>
      <c r="D22" s="28"/>
      <c r="E22" s="28"/>
      <c r="F22" s="28"/>
      <c r="G22" s="28"/>
    </row>
    <row r="23" ht="14.25" customHeight="1">
      <c r="A23" s="42" t="s">
        <v>1</v>
      </c>
      <c r="B23" s="42">
        <v>1.0</v>
      </c>
      <c r="C23" s="42">
        <v>2.0</v>
      </c>
      <c r="D23" s="42">
        <v>3.0</v>
      </c>
      <c r="E23" s="43">
        <v>4.0</v>
      </c>
      <c r="F23" s="30">
        <v>5.0</v>
      </c>
      <c r="G23" s="5"/>
      <c r="H23" s="5"/>
      <c r="I23" s="5"/>
      <c r="J23" s="5"/>
      <c r="K23" s="5"/>
    </row>
    <row r="24" ht="14.25" customHeight="1">
      <c r="A24" s="32" t="s">
        <v>26</v>
      </c>
      <c r="B24" s="44">
        <f>C21</f>
        <v>49716000</v>
      </c>
      <c r="C24" s="45">
        <f t="shared" ref="C24:F24" si="11">B24*1.035</f>
        <v>51456060</v>
      </c>
      <c r="D24" s="45">
        <f t="shared" si="11"/>
        <v>53257022.1</v>
      </c>
      <c r="E24" s="46">
        <f t="shared" si="11"/>
        <v>55121017.87</v>
      </c>
      <c r="F24" s="45">
        <f t="shared" si="11"/>
        <v>57050253.5</v>
      </c>
      <c r="G24" s="47"/>
      <c r="H24" s="47"/>
      <c r="I24" s="47"/>
      <c r="J24" s="47"/>
      <c r="K24" s="47"/>
    </row>
    <row r="25" ht="14.25" customHeight="1"/>
    <row r="26" ht="30.0" customHeight="1">
      <c r="A26" s="48" t="s">
        <v>27</v>
      </c>
      <c r="B26" s="49"/>
      <c r="C26" s="49"/>
      <c r="D26" s="49"/>
      <c r="E26" s="49"/>
      <c r="F26" s="49"/>
      <c r="G26" s="49"/>
      <c r="H26" s="49"/>
      <c r="I26" s="49"/>
    </row>
    <row r="27" ht="14.25" customHeight="1">
      <c r="A27" s="50" t="s">
        <v>28</v>
      </c>
      <c r="B27" s="51" t="s">
        <v>29</v>
      </c>
      <c r="C27" s="49"/>
      <c r="D27" s="49"/>
      <c r="E27" s="49"/>
      <c r="F27" s="49"/>
      <c r="G27" s="49"/>
      <c r="H27" s="49"/>
      <c r="I27" s="49"/>
    </row>
    <row r="28" ht="14.25" customHeight="1">
      <c r="A28" s="52" t="s">
        <v>30</v>
      </c>
      <c r="B28" s="53">
        <v>16000.0</v>
      </c>
      <c r="C28" s="49"/>
      <c r="D28" s="49"/>
      <c r="E28" s="49"/>
      <c r="F28" s="54"/>
      <c r="G28" s="49"/>
      <c r="H28" s="49"/>
      <c r="I28" s="49"/>
    </row>
    <row r="29" ht="14.25" customHeight="1">
      <c r="A29" s="55" t="s">
        <v>31</v>
      </c>
      <c r="B29" s="53">
        <v>2000.0</v>
      </c>
      <c r="C29" s="49"/>
      <c r="D29" s="49"/>
      <c r="E29" s="49"/>
      <c r="F29" s="49"/>
      <c r="G29" s="49"/>
      <c r="H29" s="49"/>
      <c r="I29" s="49"/>
    </row>
    <row r="30" ht="14.25" customHeight="1">
      <c r="A30" s="55" t="s">
        <v>32</v>
      </c>
      <c r="B30" s="56">
        <f>SUM(B28:B29)</f>
        <v>18000</v>
      </c>
      <c r="C30" s="49"/>
      <c r="D30" s="49"/>
      <c r="E30" s="49"/>
      <c r="F30" s="49"/>
      <c r="G30" s="49"/>
      <c r="H30" s="49"/>
      <c r="I30" s="49"/>
    </row>
    <row r="31" ht="14.25" customHeight="1">
      <c r="A31" s="49"/>
      <c r="B31" s="49"/>
      <c r="C31" s="49"/>
      <c r="D31" s="49"/>
      <c r="E31" s="49"/>
      <c r="F31" s="49"/>
      <c r="G31" s="49"/>
      <c r="H31" s="49"/>
      <c r="I31" s="49"/>
    </row>
    <row r="32" ht="14.25" customHeight="1">
      <c r="A32" s="49"/>
      <c r="B32" s="49"/>
      <c r="C32" s="49"/>
      <c r="D32" s="49"/>
      <c r="E32" s="49"/>
      <c r="F32" s="49"/>
      <c r="G32" s="49"/>
      <c r="H32" s="49"/>
      <c r="I32" s="49"/>
    </row>
    <row r="33" ht="14.25" customHeight="1">
      <c r="A33" s="51" t="s">
        <v>1</v>
      </c>
      <c r="B33" s="51">
        <v>1.0</v>
      </c>
      <c r="C33" s="51">
        <v>2.0</v>
      </c>
      <c r="D33" s="51">
        <v>3.0</v>
      </c>
      <c r="E33" s="51">
        <v>4.0</v>
      </c>
      <c r="F33" s="51">
        <v>5.0</v>
      </c>
      <c r="G33" s="5"/>
      <c r="H33" s="5"/>
      <c r="I33" s="5"/>
      <c r="J33" s="5"/>
      <c r="K33" s="5"/>
    </row>
    <row r="34" ht="14.25" customHeight="1">
      <c r="A34" s="57" t="s">
        <v>33</v>
      </c>
      <c r="B34" s="9">
        <f>B28*B3*24</f>
        <v>76800000000</v>
      </c>
      <c r="C34" s="9">
        <f t="shared" ref="C34:F34" si="12">B34*1.1*1.1</f>
        <v>92928000000</v>
      </c>
      <c r="D34" s="9">
        <f t="shared" si="12"/>
        <v>112442880000</v>
      </c>
      <c r="E34" s="9">
        <f t="shared" si="12"/>
        <v>136055884800</v>
      </c>
      <c r="F34" s="9">
        <f t="shared" si="12"/>
        <v>164627620608</v>
      </c>
      <c r="G34" s="10"/>
      <c r="H34" s="10"/>
      <c r="I34" s="10"/>
      <c r="J34" s="10"/>
      <c r="K34" s="10"/>
    </row>
    <row r="35" ht="14.25" customHeight="1">
      <c r="A35" s="55" t="s">
        <v>34</v>
      </c>
      <c r="B35" s="44">
        <f>120*B29*12</f>
        <v>2880000</v>
      </c>
      <c r="C35" s="45">
        <f t="shared" ref="C35:F35" si="13">+(B35*3.5%)+B35</f>
        <v>2980800</v>
      </c>
      <c r="D35" s="45">
        <f t="shared" si="13"/>
        <v>3085128</v>
      </c>
      <c r="E35" s="45">
        <f t="shared" si="13"/>
        <v>3193107.48</v>
      </c>
      <c r="F35" s="45">
        <f t="shared" si="13"/>
        <v>3304866.242</v>
      </c>
      <c r="G35" s="58"/>
      <c r="H35" s="58"/>
      <c r="I35" s="58"/>
      <c r="J35" s="58"/>
      <c r="K35" s="58"/>
    </row>
    <row r="36" ht="14.25" customHeight="1">
      <c r="A36" s="55" t="s">
        <v>35</v>
      </c>
      <c r="B36" s="59">
        <f t="shared" ref="B36:F36" si="14">B34+B35</f>
        <v>76802880000</v>
      </c>
      <c r="C36" s="59">
        <f t="shared" si="14"/>
        <v>92930980800</v>
      </c>
      <c r="D36" s="59">
        <f t="shared" si="14"/>
        <v>112445965128</v>
      </c>
      <c r="E36" s="59">
        <f t="shared" si="14"/>
        <v>136059077907</v>
      </c>
      <c r="F36" s="59">
        <f t="shared" si="14"/>
        <v>164630925474</v>
      </c>
      <c r="G36" s="15"/>
      <c r="H36" s="15"/>
      <c r="I36" s="15"/>
      <c r="J36" s="15"/>
      <c r="K36" s="15"/>
    </row>
    <row r="37" ht="14.25" customHeight="1">
      <c r="A37" s="49"/>
      <c r="B37" s="49"/>
      <c r="C37" s="49"/>
      <c r="D37" s="49"/>
      <c r="E37" s="49"/>
      <c r="F37" s="49"/>
      <c r="G37" s="49"/>
      <c r="H37" s="49"/>
      <c r="I37" s="49"/>
    </row>
    <row r="38" ht="14.25" customHeight="1">
      <c r="A38" s="60" t="s">
        <v>36</v>
      </c>
      <c r="B38" s="61">
        <f>B36/12</f>
        <v>6400240000</v>
      </c>
      <c r="C38" s="49"/>
      <c r="D38" s="49"/>
      <c r="E38" s="49"/>
      <c r="F38" s="49"/>
      <c r="G38" s="49"/>
      <c r="H38" s="49"/>
      <c r="I38" s="49"/>
    </row>
    <row r="39" ht="14.25" customHeight="1">
      <c r="B39" s="62"/>
    </row>
    <row r="40" ht="14.25" customHeight="1">
      <c r="A40" s="60" t="s">
        <v>37</v>
      </c>
      <c r="B40" s="24">
        <v>0.02</v>
      </c>
    </row>
    <row r="41" ht="14.25" customHeight="1">
      <c r="A41" s="60" t="s">
        <v>38</v>
      </c>
      <c r="B41" s="51" t="s">
        <v>39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4.25" customHeight="1">
      <c r="A42" s="60" t="s">
        <v>40</v>
      </c>
      <c r="B42" s="63">
        <f>+B5/3</f>
        <v>133333333333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</row>
    <row r="43" ht="14.25" customHeight="1"/>
    <row r="44" ht="14.25" customHeight="1">
      <c r="A44" s="60" t="s">
        <v>41</v>
      </c>
      <c r="B44" s="24">
        <v>0.12</v>
      </c>
      <c r="C44" s="65" t="s">
        <v>42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K1"/>
    <mergeCell ref="A16:C16"/>
    <mergeCell ref="A21:B21"/>
  </mergeCells>
  <printOptions horizontalCentered="1"/>
  <pageMargins bottom="0.7480314960629921" footer="0.0" header="0.0" left="0.7086614173228347" right="0.7086614173228347" top="0.7480314960629921"/>
  <pageSetup scale="65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43"/>
    <col customWidth="1" min="2" max="2" width="13.43"/>
    <col customWidth="1" min="3" max="12" width="12.71"/>
    <col customWidth="1" min="13" max="13" width="11.43"/>
    <col customWidth="1" min="14" max="14" width="18.43"/>
    <col customWidth="1" min="15" max="16" width="11.43"/>
    <col customWidth="1" min="17" max="26" width="9.14"/>
  </cols>
  <sheetData>
    <row r="1" ht="14.25" customHeight="1">
      <c r="A1" s="5" t="s">
        <v>43</v>
      </c>
      <c r="M1" s="66"/>
    </row>
    <row r="2" ht="14.25" customHeight="1">
      <c r="A2" s="5"/>
      <c r="M2" s="66"/>
    </row>
    <row r="3" ht="14.25" customHeight="1">
      <c r="A3" s="67" t="s">
        <v>44</v>
      </c>
      <c r="B3" s="68" t="s">
        <v>1</v>
      </c>
      <c r="C3" s="69"/>
      <c r="D3" s="69"/>
      <c r="E3" s="69"/>
      <c r="F3" s="69"/>
      <c r="G3" s="70"/>
      <c r="H3" s="71"/>
      <c r="I3" s="71"/>
      <c r="J3" s="71"/>
      <c r="K3" s="71"/>
      <c r="L3" s="71"/>
      <c r="N3" s="72"/>
      <c r="O3" s="73"/>
      <c r="P3" s="74"/>
    </row>
    <row r="4" ht="14.25" customHeight="1">
      <c r="A4" s="75"/>
      <c r="B4" s="76">
        <v>0.0</v>
      </c>
      <c r="C4" s="76">
        <v>1.0</v>
      </c>
      <c r="D4" s="76">
        <v>2.0</v>
      </c>
      <c r="E4" s="76">
        <v>3.0</v>
      </c>
      <c r="F4" s="76">
        <v>4.0</v>
      </c>
      <c r="G4" s="76">
        <v>5.0</v>
      </c>
      <c r="H4" s="77"/>
      <c r="I4" s="77"/>
      <c r="J4" s="77"/>
      <c r="K4" s="77"/>
      <c r="L4" s="77"/>
      <c r="N4" s="78"/>
      <c r="O4" s="79"/>
      <c r="P4" s="79"/>
    </row>
    <row r="5" ht="15.0" customHeight="1">
      <c r="A5" s="80" t="s">
        <v>45</v>
      </c>
      <c r="B5" s="81"/>
      <c r="C5" s="82">
        <f>'Proyeccion de Ventas'!B5</f>
        <v>400000000000</v>
      </c>
      <c r="D5" s="82">
        <f>'Proyeccion de Ventas'!C5</f>
        <v>470800000000</v>
      </c>
      <c r="E5" s="82">
        <f>'Proyeccion de Ventas'!D5</f>
        <v>554131600000</v>
      </c>
      <c r="F5" s="82">
        <f>'Proyeccion de Ventas'!E5</f>
        <v>652212893200</v>
      </c>
      <c r="G5" s="82">
        <f>'Proyeccion de Ventas'!F5</f>
        <v>767654575296</v>
      </c>
      <c r="H5" s="83"/>
      <c r="I5" s="83"/>
      <c r="J5" s="83"/>
      <c r="K5" s="83"/>
      <c r="L5" s="83"/>
      <c r="M5" s="84"/>
      <c r="N5" s="85"/>
      <c r="O5" s="86"/>
      <c r="P5" s="86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80" t="s">
        <v>26</v>
      </c>
      <c r="B6" s="87"/>
      <c r="C6" s="87">
        <f>-1*'Proyeccion de Ventas'!B24</f>
        <v>-49716000</v>
      </c>
      <c r="D6" s="87">
        <f>-1*'Proyeccion de Ventas'!C24</f>
        <v>-51456060</v>
      </c>
      <c r="E6" s="87">
        <f>-1*'Proyeccion de Ventas'!D24</f>
        <v>-53257022.1</v>
      </c>
      <c r="F6" s="87">
        <f>-1*'Proyeccion de Ventas'!E24</f>
        <v>-55121017.87</v>
      </c>
      <c r="G6" s="87">
        <f>-1*'Proyeccion de Ventas'!F24</f>
        <v>-57050253.5</v>
      </c>
      <c r="H6" s="88"/>
      <c r="I6" s="88"/>
      <c r="J6" s="88"/>
      <c r="K6" s="88"/>
      <c r="L6" s="88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80" t="s">
        <v>46</v>
      </c>
      <c r="B7" s="87"/>
      <c r="C7" s="87">
        <f>-1*'Proyeccion de Ventas'!B36</f>
        <v>-76802880000</v>
      </c>
      <c r="D7" s="87">
        <f>-1*'Proyeccion de Ventas'!C36</f>
        <v>-92930980800</v>
      </c>
      <c r="E7" s="87">
        <f>-1*'Proyeccion de Ventas'!D36</f>
        <v>-112445965128</v>
      </c>
      <c r="F7" s="87">
        <f>-1*'Proyeccion de Ventas'!E36</f>
        <v>-136059077907</v>
      </c>
      <c r="G7" s="87">
        <f>-1*'Proyeccion de Ventas'!F36</f>
        <v>-164630925474</v>
      </c>
      <c r="H7" s="88"/>
      <c r="I7" s="88"/>
      <c r="J7" s="88"/>
      <c r="K7" s="88"/>
      <c r="L7" s="88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5.0" customHeight="1">
      <c r="A8" s="89" t="s">
        <v>47</v>
      </c>
      <c r="B8" s="90"/>
      <c r="C8" s="90">
        <f t="shared" ref="C8:G8" si="1">SUM(C5:C7)</f>
        <v>323147404000</v>
      </c>
      <c r="D8" s="90">
        <f t="shared" si="1"/>
        <v>377817563140</v>
      </c>
      <c r="E8" s="90">
        <f t="shared" si="1"/>
        <v>441632377850</v>
      </c>
      <c r="F8" s="90">
        <f t="shared" si="1"/>
        <v>516098694275</v>
      </c>
      <c r="G8" s="90">
        <f t="shared" si="1"/>
        <v>602966599569</v>
      </c>
      <c r="H8" s="91"/>
      <c r="I8" s="91"/>
      <c r="J8" s="91"/>
      <c r="K8" s="91"/>
      <c r="L8" s="91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0" customHeight="1">
      <c r="A9" s="80" t="s">
        <v>48</v>
      </c>
      <c r="B9" s="87"/>
      <c r="C9" s="87">
        <f t="shared" ref="C9:G9" si="2">(C8*0.02)</f>
        <v>6462948080</v>
      </c>
      <c r="D9" s="87">
        <f t="shared" si="2"/>
        <v>7556351263</v>
      </c>
      <c r="E9" s="87">
        <f t="shared" si="2"/>
        <v>8832647557</v>
      </c>
      <c r="F9" s="87">
        <f t="shared" si="2"/>
        <v>10321973885</v>
      </c>
      <c r="G9" s="87">
        <f t="shared" si="2"/>
        <v>12059331991</v>
      </c>
      <c r="H9" s="88"/>
      <c r="I9" s="88"/>
      <c r="J9" s="88"/>
      <c r="K9" s="88"/>
      <c r="L9" s="88"/>
      <c r="M9" s="92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0" customHeight="1">
      <c r="A10" s="89" t="s">
        <v>49</v>
      </c>
      <c r="B10" s="90"/>
      <c r="C10" s="90">
        <f t="shared" ref="C10:G10" si="3">(C8-C9)</f>
        <v>316684455920</v>
      </c>
      <c r="D10" s="90">
        <f t="shared" si="3"/>
        <v>370261211877</v>
      </c>
      <c r="E10" s="90">
        <f t="shared" si="3"/>
        <v>432799730293</v>
      </c>
      <c r="F10" s="90">
        <f t="shared" si="3"/>
        <v>505776720389</v>
      </c>
      <c r="G10" s="90">
        <f t="shared" si="3"/>
        <v>590907267577</v>
      </c>
      <c r="H10" s="91"/>
      <c r="I10" s="91"/>
      <c r="J10" s="91"/>
      <c r="K10" s="91"/>
      <c r="L10" s="91"/>
      <c r="M10" s="92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0" customHeight="1">
      <c r="A11" s="89" t="s">
        <v>50</v>
      </c>
      <c r="B11" s="90"/>
      <c r="C11" s="90">
        <f t="shared" ref="C11:G11" si="4">SUM(C10)</f>
        <v>316684455920</v>
      </c>
      <c r="D11" s="90">
        <f t="shared" si="4"/>
        <v>370261211877</v>
      </c>
      <c r="E11" s="90">
        <f t="shared" si="4"/>
        <v>432799730293</v>
      </c>
      <c r="F11" s="90">
        <f t="shared" si="4"/>
        <v>505776720389</v>
      </c>
      <c r="G11" s="90">
        <f t="shared" si="4"/>
        <v>590907267577</v>
      </c>
      <c r="H11" s="91"/>
      <c r="I11" s="91"/>
      <c r="J11" s="91"/>
      <c r="K11" s="91"/>
      <c r="L11" s="91"/>
      <c r="M11" s="92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0" customHeight="1">
      <c r="A12" s="80" t="s">
        <v>51</v>
      </c>
      <c r="B12" s="87">
        <f>-'Proyeccion de Ventas'!D12</f>
        <v>-38800000</v>
      </c>
      <c r="C12" s="87"/>
      <c r="D12" s="87"/>
      <c r="E12" s="87"/>
      <c r="F12" s="87"/>
      <c r="G12" s="87"/>
      <c r="H12" s="88"/>
      <c r="I12" s="88"/>
      <c r="J12" s="88"/>
      <c r="K12" s="88"/>
      <c r="L12" s="88"/>
      <c r="M12" s="92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0" customHeight="1">
      <c r="A13" s="93" t="s">
        <v>52</v>
      </c>
      <c r="B13" s="94">
        <f t="shared" ref="B13:G13" si="5">SUM(B12)</f>
        <v>-38800000</v>
      </c>
      <c r="C13" s="94">
        <f t="shared" si="5"/>
        <v>0</v>
      </c>
      <c r="D13" s="94">
        <f t="shared" si="5"/>
        <v>0</v>
      </c>
      <c r="E13" s="94">
        <f t="shared" si="5"/>
        <v>0</v>
      </c>
      <c r="F13" s="94">
        <f t="shared" si="5"/>
        <v>0</v>
      </c>
      <c r="G13" s="94">
        <f t="shared" si="5"/>
        <v>0</v>
      </c>
      <c r="H13" s="95"/>
      <c r="I13" s="95"/>
      <c r="J13" s="95"/>
      <c r="K13" s="95"/>
      <c r="L13" s="95"/>
      <c r="M13" s="96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 ht="15.0" customHeight="1">
      <c r="A14" s="93" t="s">
        <v>53</v>
      </c>
      <c r="B14" s="98">
        <f>B13</f>
        <v>-38800000</v>
      </c>
      <c r="C14" s="98">
        <f t="shared" ref="C14:G14" si="6">(C11+C13)</f>
        <v>316684455920</v>
      </c>
      <c r="D14" s="98">
        <f t="shared" si="6"/>
        <v>370261211877</v>
      </c>
      <c r="E14" s="98">
        <f t="shared" si="6"/>
        <v>432799730293</v>
      </c>
      <c r="F14" s="98">
        <f t="shared" si="6"/>
        <v>505776720389</v>
      </c>
      <c r="G14" s="98">
        <f t="shared" si="6"/>
        <v>590907267577</v>
      </c>
      <c r="H14" s="99"/>
      <c r="I14" s="99"/>
      <c r="J14" s="99"/>
      <c r="K14" s="99"/>
      <c r="L14" s="99"/>
      <c r="M14" s="96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ht="15.0" customHeight="1">
      <c r="A15" s="93" t="s">
        <v>54</v>
      </c>
      <c r="B15" s="98">
        <f>+B14</f>
        <v>-38800000</v>
      </c>
      <c r="C15" s="98">
        <f t="shared" ref="C15:G15" si="7">+B15+C14</f>
        <v>316645655920</v>
      </c>
      <c r="D15" s="98">
        <f t="shared" si="7"/>
        <v>686906867797</v>
      </c>
      <c r="E15" s="98">
        <f t="shared" si="7"/>
        <v>1119706598090</v>
      </c>
      <c r="F15" s="98">
        <f t="shared" si="7"/>
        <v>1625483318479</v>
      </c>
      <c r="G15" s="98">
        <f t="shared" si="7"/>
        <v>2216390586057</v>
      </c>
      <c r="H15" s="99"/>
      <c r="I15" s="99"/>
      <c r="J15" s="99"/>
      <c r="K15" s="99"/>
      <c r="L15" s="99"/>
      <c r="M15" s="96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 ht="14.25" customHeight="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66"/>
    </row>
    <row r="17" ht="14.25" customHeight="1">
      <c r="A17" s="101" t="s">
        <v>55</v>
      </c>
      <c r="B17" s="100">
        <f t="array" ref="B17">NPV(0.12,B14,C14,D14,E14,F14,G14)</f>
        <v>1377384242224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66"/>
    </row>
    <row r="18" ht="14.25" customHeight="1">
      <c r="A18" s="101" t="s">
        <v>56</v>
      </c>
      <c r="B18" s="102">
        <f>IRR(B14:G14,-12%)</f>
        <v>8162.139694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66"/>
    </row>
    <row r="19" ht="14.25" customHeight="1">
      <c r="A19" s="101"/>
      <c r="B19" s="102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66"/>
    </row>
    <row r="20" ht="14.25" customHeight="1">
      <c r="A20" s="103" t="s">
        <v>57</v>
      </c>
      <c r="B20" s="104">
        <v>0.12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66"/>
    </row>
    <row r="21" ht="14.25" customHeight="1"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66"/>
    </row>
    <row r="22" ht="14.25" customHeight="1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66"/>
    </row>
    <row r="23" ht="14.25" customHeight="1">
      <c r="A23" s="105" t="s">
        <v>58</v>
      </c>
      <c r="B23" s="106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66"/>
    </row>
    <row r="24" ht="14.25" customHeight="1">
      <c r="B24" s="100" t="s">
        <v>59</v>
      </c>
      <c r="C24" s="100" t="s">
        <v>60</v>
      </c>
      <c r="D24" s="100" t="s">
        <v>61</v>
      </c>
      <c r="E24" s="100" t="s">
        <v>62</v>
      </c>
      <c r="F24" s="100" t="s">
        <v>63</v>
      </c>
      <c r="G24" s="100" t="s">
        <v>64</v>
      </c>
      <c r="H24" s="100"/>
      <c r="I24" s="100"/>
      <c r="J24" s="100"/>
      <c r="K24" s="100"/>
      <c r="L24" s="100"/>
      <c r="M24" s="66"/>
    </row>
    <row r="25" ht="14.25" customHeight="1">
      <c r="A25" s="65" t="s">
        <v>65</v>
      </c>
      <c r="B25" s="107">
        <f t="shared" ref="B25:G25" si="8">B14</f>
        <v>-38800000</v>
      </c>
      <c r="C25" s="107">
        <f t="shared" si="8"/>
        <v>316684455920</v>
      </c>
      <c r="D25" s="107">
        <f t="shared" si="8"/>
        <v>370261211877</v>
      </c>
      <c r="E25" s="107">
        <f t="shared" si="8"/>
        <v>432799730293</v>
      </c>
      <c r="F25" s="107">
        <f t="shared" si="8"/>
        <v>505776720389</v>
      </c>
      <c r="G25" s="107">
        <f t="shared" si="8"/>
        <v>590907267577</v>
      </c>
      <c r="H25" s="107"/>
      <c r="I25" s="107"/>
      <c r="J25" s="107"/>
      <c r="K25" s="107"/>
      <c r="L25" s="107"/>
      <c r="M25" s="66"/>
    </row>
    <row r="26" ht="14.25" customHeight="1">
      <c r="A26" s="65" t="s">
        <v>66</v>
      </c>
      <c r="B26" s="100">
        <f>+B25</f>
        <v>-38800000</v>
      </c>
      <c r="C26" s="100">
        <f t="shared" ref="C26:G26" si="9">+B26+C25</f>
        <v>316645655920</v>
      </c>
      <c r="D26" s="100">
        <f t="shared" si="9"/>
        <v>686906867797</v>
      </c>
      <c r="E26" s="100">
        <f t="shared" si="9"/>
        <v>1119706598090</v>
      </c>
      <c r="F26" s="100">
        <f t="shared" si="9"/>
        <v>1625483318479</v>
      </c>
      <c r="G26" s="100">
        <f t="shared" si="9"/>
        <v>2216390586057</v>
      </c>
      <c r="H26" s="100"/>
      <c r="I26" s="100"/>
      <c r="J26" s="100"/>
      <c r="K26" s="100"/>
      <c r="L26" s="100"/>
      <c r="M26" s="66"/>
    </row>
    <row r="27" ht="14.25" customHeight="1"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66"/>
    </row>
    <row r="28" ht="25.5" customHeight="1">
      <c r="A28" s="65" t="s">
        <v>67</v>
      </c>
      <c r="B28" s="108" t="s">
        <v>68</v>
      </c>
      <c r="C28" s="109"/>
      <c r="D28" s="109"/>
      <c r="E28" s="109"/>
      <c r="F28" s="109"/>
      <c r="G28" s="38"/>
      <c r="H28" s="100"/>
      <c r="I28" s="100"/>
      <c r="J28" s="100"/>
      <c r="K28" s="100"/>
      <c r="L28" s="100"/>
      <c r="M28" s="66"/>
    </row>
    <row r="29" ht="14.25" customHeight="1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66"/>
    </row>
    <row r="30" ht="14.25" customHeight="1">
      <c r="A30" s="110" t="s">
        <v>69</v>
      </c>
      <c r="B30" s="100">
        <v>2.0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66"/>
    </row>
    <row r="31" ht="14.25" customHeight="1">
      <c r="A31" s="110" t="s">
        <v>70</v>
      </c>
      <c r="B31" s="100">
        <f>ABS(D26)</f>
        <v>686906867797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66"/>
    </row>
    <row r="32" ht="14.25" customHeight="1">
      <c r="A32" s="110" t="s">
        <v>71</v>
      </c>
      <c r="B32" s="100">
        <f>+E25</f>
        <v>432799730293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66"/>
    </row>
    <row r="33" ht="14.25" customHeight="1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66"/>
    </row>
    <row r="34" ht="14.25" customHeight="1">
      <c r="A34" s="103" t="s">
        <v>72</v>
      </c>
      <c r="B34" s="111">
        <f>(B30+(B31/B32))</f>
        <v>3.587124066</v>
      </c>
      <c r="C34" s="112" t="s">
        <v>73</v>
      </c>
      <c r="D34" s="112"/>
      <c r="E34" s="112"/>
      <c r="F34" s="112"/>
      <c r="G34" s="100"/>
      <c r="H34" s="100"/>
      <c r="I34" s="100"/>
      <c r="J34" s="100"/>
      <c r="K34" s="100"/>
      <c r="L34" s="100"/>
      <c r="M34" s="66"/>
    </row>
    <row r="35" ht="14.25" customHeight="1">
      <c r="A35" s="101" t="s">
        <v>74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66"/>
    </row>
    <row r="36" ht="14.25" customHeight="1">
      <c r="A36" s="101" t="s">
        <v>75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66"/>
    </row>
    <row r="37" ht="14.25" customHeight="1">
      <c r="A37" s="101" t="s">
        <v>76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66"/>
    </row>
    <row r="38" ht="14.25" customHeight="1"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66"/>
    </row>
    <row r="39" ht="14.25" customHeight="1">
      <c r="A39" s="103" t="s">
        <v>77</v>
      </c>
      <c r="B39" s="111">
        <v>0.12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66"/>
    </row>
    <row r="40" ht="14.25" customHeight="1">
      <c r="A40" s="101" t="s">
        <v>78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66"/>
    </row>
    <row r="41" ht="14.25" customHeight="1">
      <c r="A41" s="101" t="s">
        <v>79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66"/>
    </row>
    <row r="42" ht="14.25" customHeight="1">
      <c r="A42" s="21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66"/>
    </row>
    <row r="43" ht="14.25" customHeight="1">
      <c r="A43" s="113" t="s">
        <v>80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66"/>
    </row>
    <row r="44" ht="14.25" customHeight="1">
      <c r="A44" s="101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66"/>
    </row>
    <row r="45" ht="14.25" customHeight="1">
      <c r="A45" s="101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66"/>
    </row>
    <row r="46" ht="14.25" customHeight="1">
      <c r="A46" s="101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66"/>
    </row>
    <row r="47" ht="14.25" customHeight="1">
      <c r="A47" s="114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66"/>
    </row>
    <row r="48" ht="14.25" customHeight="1"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66"/>
    </row>
    <row r="49" ht="14.25" customHeight="1"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66"/>
    </row>
    <row r="50" ht="14.25" customHeight="1"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66"/>
    </row>
    <row r="51" ht="14.25" customHeight="1"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66"/>
    </row>
    <row r="52" ht="14.25" customHeight="1"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66"/>
    </row>
    <row r="53" ht="14.25" customHeight="1"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66"/>
    </row>
    <row r="54" ht="14.25" customHeight="1"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66"/>
    </row>
    <row r="55" ht="14.25" customHeight="1"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66"/>
    </row>
    <row r="56" ht="14.25" customHeight="1"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66"/>
    </row>
    <row r="57" ht="14.25" customHeight="1"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66"/>
    </row>
    <row r="58" ht="14.25" customHeight="1"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66"/>
    </row>
    <row r="59" ht="14.25" customHeight="1"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66"/>
    </row>
    <row r="60" ht="14.25" customHeight="1"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66"/>
    </row>
    <row r="61" ht="14.25" customHeight="1"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66"/>
    </row>
    <row r="62" ht="14.25" customHeight="1"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66"/>
    </row>
    <row r="63" ht="14.25" customHeight="1"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66"/>
    </row>
    <row r="64" ht="14.25" customHeight="1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66"/>
    </row>
    <row r="65" ht="14.25" customHeight="1"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66"/>
    </row>
    <row r="66" ht="14.25" customHeight="1"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66"/>
    </row>
    <row r="67" ht="14.25" customHeight="1"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66"/>
    </row>
    <row r="68" ht="14.25" customHeight="1"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66"/>
    </row>
    <row r="69" ht="14.25" customHeight="1"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66"/>
    </row>
    <row r="70" ht="14.25" customHeight="1"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66"/>
    </row>
    <row r="71" ht="14.25" customHeight="1"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66"/>
    </row>
    <row r="72" ht="14.25" customHeight="1"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66"/>
    </row>
    <row r="73" ht="14.25" customHeight="1"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66"/>
    </row>
    <row r="74" ht="14.25" customHeight="1"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66"/>
    </row>
    <row r="75" ht="14.25" customHeight="1"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66"/>
    </row>
    <row r="76" ht="14.25" customHeight="1"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66"/>
    </row>
    <row r="77" ht="14.25" customHeight="1"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66"/>
    </row>
    <row r="78" ht="14.25" customHeight="1"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66"/>
    </row>
    <row r="79" ht="14.25" customHeight="1"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66"/>
    </row>
    <row r="80" ht="14.25" customHeight="1"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66"/>
    </row>
    <row r="81" ht="14.25" customHeight="1"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66"/>
    </row>
    <row r="82" ht="14.25" customHeight="1"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66"/>
    </row>
    <row r="83" ht="14.25" customHeight="1"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66"/>
    </row>
    <row r="84" ht="14.25" customHeight="1"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66"/>
    </row>
    <row r="85" ht="14.25" customHeight="1"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66"/>
    </row>
    <row r="86" ht="14.25" customHeight="1"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66"/>
    </row>
    <row r="87" ht="14.25" customHeight="1"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</row>
    <row r="88" ht="14.25" customHeight="1"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</row>
    <row r="89" ht="14.25" customHeight="1"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</row>
    <row r="90" ht="14.25" customHeight="1"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</row>
    <row r="91" ht="14.25" customHeight="1"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66"/>
    </row>
    <row r="92" ht="14.25" customHeight="1"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</row>
    <row r="93" ht="14.25" customHeight="1"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</row>
    <row r="94" ht="14.25" customHeight="1"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</row>
    <row r="95" ht="14.25" customHeight="1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</row>
    <row r="96" ht="14.25" customHeight="1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66"/>
    </row>
    <row r="97" ht="14.25" customHeight="1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66"/>
    </row>
    <row r="98" ht="14.25" customHeight="1"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66"/>
    </row>
    <row r="99" ht="14.25" customHeight="1"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66"/>
    </row>
    <row r="100" ht="14.25" customHeight="1"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66"/>
    </row>
    <row r="101" ht="14.25" customHeight="1"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66"/>
    </row>
    <row r="102" ht="14.25" customHeight="1"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66"/>
    </row>
    <row r="103" ht="14.25" customHeight="1"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66"/>
    </row>
    <row r="104" ht="14.25" customHeight="1"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66"/>
    </row>
    <row r="105" ht="14.25" customHeight="1"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66"/>
    </row>
    <row r="106" ht="14.25" customHeight="1"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66"/>
    </row>
    <row r="107" ht="14.25" customHeight="1"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66"/>
    </row>
    <row r="108" ht="14.25" customHeight="1"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66"/>
    </row>
    <row r="109" ht="14.25" customHeight="1"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66"/>
    </row>
    <row r="110" ht="14.25" customHeight="1"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66"/>
    </row>
    <row r="111" ht="14.25" customHeight="1"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66"/>
    </row>
    <row r="112" ht="14.25" customHeight="1"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66"/>
    </row>
    <row r="113" ht="14.25" customHeight="1"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66"/>
    </row>
    <row r="114" ht="14.25" customHeight="1"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66"/>
    </row>
    <row r="115" ht="14.25" customHeight="1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66"/>
    </row>
    <row r="116" ht="14.25" customHeight="1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66"/>
    </row>
    <row r="117" ht="14.25" customHeight="1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66"/>
    </row>
    <row r="118" ht="14.25" customHeight="1"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66"/>
    </row>
    <row r="119" ht="14.25" customHeight="1"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66"/>
    </row>
    <row r="120" ht="14.25" customHeight="1"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66"/>
    </row>
    <row r="121" ht="14.25" customHeight="1"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66"/>
    </row>
    <row r="122" ht="14.25" customHeight="1"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66"/>
    </row>
    <row r="123" ht="14.25" customHeight="1"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66"/>
    </row>
    <row r="124" ht="14.25" customHeight="1"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66"/>
    </row>
    <row r="125" ht="14.25" customHeight="1"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66"/>
    </row>
    <row r="126" ht="14.25" customHeight="1"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66"/>
    </row>
    <row r="127" ht="14.25" customHeight="1"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66"/>
    </row>
    <row r="128" ht="14.25" customHeight="1"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66"/>
    </row>
    <row r="129" ht="14.25" customHeight="1"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66"/>
    </row>
    <row r="130" ht="14.25" customHeight="1"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66"/>
    </row>
    <row r="131" ht="14.25" customHeight="1"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66"/>
    </row>
    <row r="132" ht="14.25" customHeight="1"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66"/>
    </row>
    <row r="133" ht="14.25" customHeight="1"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66"/>
    </row>
    <row r="134" ht="14.25" customHeight="1"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66"/>
    </row>
    <row r="135" ht="14.25" customHeight="1"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66"/>
    </row>
    <row r="136" ht="14.25" customHeight="1"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66"/>
    </row>
    <row r="137" ht="14.25" customHeight="1"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66"/>
    </row>
    <row r="138" ht="14.25" customHeight="1"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66"/>
    </row>
    <row r="139" ht="14.25" customHeight="1"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66"/>
    </row>
    <row r="140" ht="14.25" customHeight="1"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66"/>
    </row>
    <row r="141" ht="14.25" customHeight="1"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66"/>
    </row>
    <row r="142" ht="14.25" customHeight="1"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66"/>
    </row>
    <row r="143" ht="14.25" customHeight="1"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66"/>
    </row>
    <row r="144" ht="14.25" customHeight="1"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66"/>
    </row>
    <row r="145" ht="14.25" customHeight="1"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66"/>
    </row>
    <row r="146" ht="14.25" customHeight="1"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66"/>
    </row>
    <row r="147" ht="14.25" customHeight="1"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66"/>
    </row>
    <row r="148" ht="14.25" customHeight="1"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66"/>
    </row>
    <row r="149" ht="14.25" customHeight="1"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66"/>
    </row>
    <row r="150" ht="14.25" customHeight="1"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66"/>
    </row>
    <row r="151" ht="14.25" customHeight="1"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66"/>
    </row>
    <row r="152" ht="14.25" customHeight="1"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66"/>
    </row>
    <row r="153" ht="14.25" customHeight="1"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66"/>
    </row>
    <row r="154" ht="14.25" customHeight="1"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66"/>
    </row>
    <row r="155" ht="14.25" customHeight="1"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66"/>
    </row>
    <row r="156" ht="14.25" customHeight="1"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66"/>
    </row>
    <row r="157" ht="14.25" customHeight="1"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66"/>
    </row>
    <row r="158" ht="14.25" customHeight="1"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66"/>
    </row>
    <row r="159" ht="14.25" customHeight="1"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66"/>
    </row>
    <row r="160" ht="14.25" customHeight="1"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66"/>
    </row>
    <row r="161" ht="14.25" customHeight="1"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66"/>
    </row>
    <row r="162" ht="14.25" customHeight="1"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66"/>
    </row>
    <row r="163" ht="14.25" customHeight="1"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66"/>
    </row>
    <row r="164" ht="14.25" customHeight="1"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66"/>
    </row>
    <row r="165" ht="14.25" customHeight="1"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66"/>
    </row>
    <row r="166" ht="14.25" customHeight="1"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66"/>
    </row>
    <row r="167" ht="14.25" customHeight="1"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66"/>
    </row>
    <row r="168" ht="14.25" customHeight="1"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66"/>
    </row>
    <row r="169" ht="14.25" customHeight="1"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66"/>
    </row>
    <row r="170" ht="14.25" customHeight="1"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66"/>
    </row>
    <row r="171" ht="14.25" customHeight="1"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66"/>
    </row>
    <row r="172" ht="14.25" customHeight="1"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66"/>
    </row>
    <row r="173" ht="14.25" customHeight="1"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66"/>
    </row>
    <row r="174" ht="14.25" customHeight="1"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66"/>
    </row>
    <row r="175" ht="14.25" customHeight="1"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66"/>
    </row>
    <row r="176" ht="14.25" customHeight="1"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66"/>
    </row>
    <row r="177" ht="14.25" customHeight="1"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66"/>
    </row>
    <row r="178" ht="14.25" customHeight="1"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66"/>
    </row>
    <row r="179" ht="14.25" customHeight="1"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66"/>
    </row>
    <row r="180" ht="14.25" customHeight="1"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66"/>
    </row>
    <row r="181" ht="14.25" customHeight="1"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66"/>
    </row>
    <row r="182" ht="14.25" customHeight="1"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66"/>
    </row>
    <row r="183" ht="14.25" customHeight="1"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66"/>
    </row>
    <row r="184" ht="14.25" customHeight="1"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66"/>
    </row>
    <row r="185" ht="14.25" customHeight="1"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66"/>
    </row>
    <row r="186" ht="14.25" customHeight="1"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66"/>
    </row>
    <row r="187" ht="14.25" customHeight="1"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66"/>
    </row>
    <row r="188" ht="14.25" customHeight="1"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66"/>
    </row>
    <row r="189" ht="14.25" customHeight="1"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66"/>
    </row>
    <row r="190" ht="14.25" customHeight="1"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66"/>
    </row>
    <row r="191" ht="14.25" customHeight="1"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66"/>
    </row>
    <row r="192" ht="14.25" customHeight="1"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66"/>
    </row>
    <row r="193" ht="14.25" customHeight="1"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66"/>
    </row>
    <row r="194" ht="14.25" customHeight="1"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66"/>
    </row>
    <row r="195" ht="14.25" customHeight="1"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66"/>
    </row>
    <row r="196" ht="14.25" customHeight="1"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66"/>
    </row>
    <row r="197" ht="14.25" customHeight="1"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66"/>
    </row>
    <row r="198" ht="14.25" customHeight="1"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66"/>
    </row>
    <row r="199" ht="14.25" customHeight="1"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66"/>
    </row>
    <row r="200" ht="14.25" customHeight="1"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66"/>
    </row>
    <row r="201" ht="14.25" customHeight="1"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66"/>
    </row>
    <row r="202" ht="14.25" customHeight="1"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66"/>
    </row>
    <row r="203" ht="14.25" customHeight="1"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66"/>
    </row>
    <row r="204" ht="14.25" customHeight="1"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66"/>
    </row>
    <row r="205" ht="14.25" customHeight="1"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66"/>
    </row>
    <row r="206" ht="14.25" customHeight="1"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66"/>
    </row>
    <row r="207" ht="14.25" customHeight="1"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66"/>
    </row>
    <row r="208" ht="14.25" customHeight="1"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66"/>
    </row>
    <row r="209" ht="14.25" customHeight="1"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66"/>
    </row>
    <row r="210" ht="14.25" customHeight="1"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66"/>
    </row>
    <row r="211" ht="14.25" customHeight="1"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66"/>
    </row>
    <row r="212" ht="14.25" customHeight="1"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66"/>
    </row>
    <row r="213" ht="14.25" customHeight="1"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66"/>
    </row>
    <row r="214" ht="14.25" customHeight="1"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66"/>
    </row>
    <row r="215" ht="14.25" customHeight="1"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66"/>
    </row>
    <row r="216" ht="14.25" customHeight="1"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66"/>
    </row>
    <row r="217" ht="14.25" customHeight="1"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66"/>
    </row>
    <row r="218" ht="14.25" customHeight="1"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66"/>
    </row>
    <row r="219" ht="14.25" customHeight="1"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66"/>
    </row>
    <row r="220" ht="14.25" customHeight="1"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66"/>
    </row>
    <row r="221" ht="14.25" customHeight="1"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66"/>
    </row>
    <row r="222" ht="14.25" customHeight="1"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66"/>
    </row>
    <row r="223" ht="14.25" customHeight="1"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66"/>
    </row>
    <row r="224" ht="14.25" customHeight="1"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66"/>
    </row>
    <row r="225" ht="14.25" customHeight="1"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66"/>
    </row>
    <row r="226" ht="14.25" customHeight="1"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66"/>
    </row>
    <row r="227" ht="14.25" customHeight="1"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66"/>
    </row>
    <row r="228" ht="14.25" customHeight="1"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66"/>
    </row>
    <row r="229" ht="14.25" customHeight="1"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66"/>
    </row>
    <row r="230" ht="14.25" customHeight="1"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66"/>
    </row>
    <row r="231" ht="14.25" customHeight="1"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66"/>
    </row>
    <row r="232" ht="14.25" customHeight="1"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66"/>
    </row>
    <row r="233" ht="14.25" customHeight="1"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66"/>
    </row>
    <row r="234" ht="14.25" customHeight="1"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66"/>
    </row>
    <row r="235" ht="14.25" customHeight="1"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66"/>
    </row>
    <row r="236" ht="14.25" customHeight="1"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66"/>
    </row>
    <row r="237" ht="14.25" customHeight="1"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66"/>
    </row>
    <row r="238" ht="14.25" customHeight="1"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66"/>
    </row>
    <row r="239" ht="14.25" customHeight="1"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66"/>
    </row>
    <row r="240" ht="14.25" customHeight="1"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66"/>
    </row>
    <row r="241" ht="14.25" customHeight="1"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66"/>
    </row>
    <row r="242" ht="14.25" customHeight="1"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66"/>
    </row>
    <row r="243" ht="14.25" customHeight="1"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66"/>
    </row>
    <row r="244" ht="14.25" customHeight="1"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66"/>
    </row>
    <row r="245" ht="14.25" customHeight="1"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66"/>
    </row>
    <row r="246" ht="14.25" customHeight="1"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66"/>
    </row>
    <row r="247" ht="14.25" customHeight="1"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66"/>
    </row>
    <row r="248" ht="14.25" customHeight="1"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66"/>
    </row>
    <row r="249" ht="14.25" customHeight="1"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66"/>
    </row>
    <row r="250" ht="14.25" customHeight="1"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66"/>
    </row>
    <row r="251" ht="14.25" customHeight="1"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66"/>
    </row>
    <row r="252" ht="14.25" customHeight="1"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66"/>
    </row>
    <row r="253" ht="14.25" customHeight="1"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66"/>
    </row>
    <row r="254" ht="14.25" customHeight="1"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66"/>
    </row>
    <row r="255" ht="14.25" customHeight="1"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66"/>
    </row>
    <row r="256" ht="14.25" customHeight="1"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66"/>
    </row>
    <row r="257" ht="14.25" customHeight="1"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66"/>
    </row>
    <row r="258" ht="14.25" customHeight="1"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66"/>
    </row>
    <row r="259" ht="14.25" customHeight="1"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66"/>
    </row>
    <row r="260" ht="14.25" customHeight="1"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66"/>
    </row>
    <row r="261" ht="14.25" customHeight="1"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66"/>
    </row>
    <row r="262" ht="14.25" customHeight="1"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66"/>
    </row>
    <row r="263" ht="14.25" customHeight="1"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66"/>
    </row>
    <row r="264" ht="14.25" customHeight="1"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66"/>
    </row>
    <row r="265" ht="14.25" customHeight="1"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66"/>
    </row>
    <row r="266" ht="14.25" customHeight="1"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66"/>
    </row>
    <row r="267" ht="14.25" customHeight="1"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66"/>
    </row>
    <row r="268" ht="14.25" customHeight="1"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66"/>
    </row>
    <row r="269" ht="14.25" customHeight="1"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66"/>
    </row>
    <row r="270" ht="14.25" customHeight="1"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66"/>
    </row>
    <row r="271" ht="14.25" customHeight="1"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66"/>
    </row>
    <row r="272" ht="14.25" customHeight="1"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66"/>
    </row>
    <row r="273" ht="14.25" customHeight="1"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66"/>
    </row>
    <row r="274" ht="14.25" customHeight="1"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66"/>
    </row>
    <row r="275" ht="14.25" customHeight="1"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66"/>
    </row>
    <row r="276" ht="14.25" customHeight="1"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66"/>
    </row>
    <row r="277" ht="14.25" customHeight="1"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66"/>
    </row>
    <row r="278" ht="14.25" customHeight="1"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66"/>
    </row>
    <row r="279" ht="14.25" customHeight="1"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66"/>
    </row>
    <row r="280" ht="14.25" customHeight="1"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66"/>
    </row>
    <row r="281" ht="14.25" customHeight="1"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66"/>
    </row>
    <row r="282" ht="14.25" customHeight="1"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66"/>
    </row>
    <row r="283" ht="14.25" customHeight="1"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66"/>
    </row>
    <row r="284" ht="14.25" customHeight="1"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66"/>
    </row>
    <row r="285" ht="14.25" customHeight="1"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66"/>
    </row>
    <row r="286" ht="14.25" customHeight="1"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66"/>
    </row>
    <row r="287" ht="14.25" customHeight="1"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66"/>
    </row>
    <row r="288" ht="14.25" customHeight="1"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66"/>
    </row>
    <row r="289" ht="14.25" customHeight="1"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66"/>
    </row>
    <row r="290" ht="14.25" customHeight="1"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66"/>
    </row>
    <row r="291" ht="14.25" customHeight="1"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66"/>
    </row>
    <row r="292" ht="14.25" customHeight="1"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66"/>
    </row>
    <row r="293" ht="14.25" customHeight="1"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66"/>
    </row>
    <row r="294" ht="14.25" customHeight="1"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66"/>
    </row>
    <row r="295" ht="14.25" customHeight="1"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66"/>
    </row>
    <row r="296" ht="14.25" customHeight="1"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66"/>
    </row>
    <row r="297" ht="14.25" customHeight="1"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66"/>
    </row>
    <row r="298" ht="14.25" customHeight="1"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66"/>
    </row>
    <row r="299" ht="14.25" customHeight="1"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66"/>
    </row>
    <row r="300" ht="14.25" customHeight="1"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66"/>
    </row>
    <row r="301" ht="14.25" customHeight="1"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66"/>
    </row>
    <row r="302" ht="14.25" customHeight="1"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66"/>
    </row>
    <row r="303" ht="14.25" customHeight="1"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66"/>
    </row>
    <row r="304" ht="14.25" customHeight="1"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66"/>
    </row>
    <row r="305" ht="14.25" customHeight="1"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66"/>
    </row>
    <row r="306" ht="14.25" customHeight="1"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66"/>
    </row>
    <row r="307" ht="14.25" customHeight="1"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66"/>
    </row>
    <row r="308" ht="14.25" customHeight="1"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66"/>
    </row>
    <row r="309" ht="14.25" customHeight="1"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66"/>
    </row>
    <row r="310" ht="14.25" customHeight="1"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66"/>
    </row>
    <row r="311" ht="14.25" customHeight="1"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66"/>
    </row>
    <row r="312" ht="14.25" customHeight="1"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66"/>
    </row>
    <row r="313" ht="14.25" customHeight="1"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66"/>
    </row>
    <row r="314" ht="14.25" customHeight="1"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66"/>
    </row>
    <row r="315" ht="14.25" customHeight="1"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66"/>
    </row>
    <row r="316" ht="14.25" customHeight="1"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66"/>
    </row>
    <row r="317" ht="14.25" customHeight="1"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66"/>
    </row>
    <row r="318" ht="14.25" customHeight="1"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66"/>
    </row>
    <row r="319" ht="14.25" customHeight="1"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66"/>
    </row>
    <row r="320" ht="14.25" customHeight="1"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66"/>
    </row>
    <row r="321" ht="14.25" customHeight="1"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66"/>
    </row>
    <row r="322" ht="14.25" customHeight="1"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66"/>
    </row>
    <row r="323" ht="14.25" customHeight="1"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66"/>
    </row>
    <row r="324" ht="14.25" customHeight="1"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66"/>
    </row>
    <row r="325" ht="14.25" customHeight="1"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66"/>
    </row>
    <row r="326" ht="14.25" customHeight="1"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66"/>
    </row>
    <row r="327" ht="14.25" customHeight="1"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66"/>
    </row>
    <row r="328" ht="14.25" customHeight="1"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66"/>
    </row>
    <row r="329" ht="14.25" customHeight="1"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66"/>
    </row>
    <row r="330" ht="14.25" customHeight="1"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66"/>
    </row>
    <row r="331" ht="14.25" customHeight="1"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66"/>
    </row>
    <row r="332" ht="14.25" customHeight="1"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66"/>
    </row>
    <row r="333" ht="14.25" customHeight="1"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66"/>
    </row>
    <row r="334" ht="14.25" customHeight="1"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66"/>
    </row>
    <row r="335" ht="14.25" customHeight="1"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66"/>
    </row>
    <row r="336" ht="14.25" customHeight="1"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66"/>
    </row>
    <row r="337" ht="14.25" customHeight="1"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66"/>
    </row>
    <row r="338" ht="14.25" customHeight="1"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66"/>
    </row>
    <row r="339" ht="14.25" customHeight="1"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66"/>
    </row>
    <row r="340" ht="14.25" customHeight="1"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66"/>
    </row>
    <row r="341" ht="14.25" customHeight="1"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66"/>
    </row>
    <row r="342" ht="14.25" customHeight="1"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66"/>
    </row>
    <row r="343" ht="14.25" customHeight="1"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66"/>
    </row>
    <row r="344" ht="14.25" customHeight="1"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66"/>
    </row>
    <row r="345" ht="14.25" customHeight="1"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66"/>
    </row>
    <row r="346" ht="14.25" customHeight="1"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66"/>
    </row>
    <row r="347" ht="14.25" customHeight="1"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66"/>
    </row>
    <row r="348" ht="14.25" customHeight="1"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66"/>
    </row>
    <row r="349" ht="14.25" customHeight="1"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66"/>
    </row>
    <row r="350" ht="14.25" customHeight="1"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66"/>
    </row>
    <row r="351" ht="14.25" customHeight="1"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66"/>
    </row>
    <row r="352" ht="14.25" customHeight="1"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66"/>
    </row>
    <row r="353" ht="14.25" customHeight="1"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66"/>
    </row>
    <row r="354" ht="14.25" customHeight="1"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66"/>
    </row>
    <row r="355" ht="14.25" customHeight="1"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66"/>
    </row>
    <row r="356" ht="14.25" customHeight="1"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66"/>
    </row>
    <row r="357" ht="14.25" customHeight="1"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66"/>
    </row>
    <row r="358" ht="14.25" customHeight="1"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66"/>
    </row>
    <row r="359" ht="14.25" customHeight="1"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66"/>
    </row>
    <row r="360" ht="14.25" customHeight="1"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66"/>
    </row>
    <row r="361" ht="14.25" customHeight="1"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66"/>
    </row>
    <row r="362" ht="14.25" customHeight="1"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66"/>
    </row>
    <row r="363" ht="14.25" customHeight="1"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66"/>
    </row>
    <row r="364" ht="14.25" customHeight="1"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66"/>
    </row>
    <row r="365" ht="14.25" customHeight="1"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66"/>
    </row>
    <row r="366" ht="14.25" customHeight="1"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66"/>
    </row>
    <row r="367" ht="14.25" customHeight="1"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66"/>
    </row>
    <row r="368" ht="14.25" customHeight="1"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66"/>
    </row>
    <row r="369" ht="14.25" customHeight="1"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66"/>
    </row>
    <row r="370" ht="14.25" customHeight="1"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66"/>
    </row>
    <row r="371" ht="14.25" customHeight="1"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66"/>
    </row>
    <row r="372" ht="14.25" customHeight="1"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66"/>
    </row>
    <row r="373" ht="14.25" customHeight="1"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66"/>
    </row>
    <row r="374" ht="14.25" customHeight="1"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66"/>
    </row>
    <row r="375" ht="14.25" customHeight="1"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66"/>
    </row>
    <row r="376" ht="14.25" customHeight="1"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66"/>
    </row>
    <row r="377" ht="14.25" customHeight="1"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66"/>
    </row>
    <row r="378" ht="14.25" customHeight="1"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66"/>
    </row>
    <row r="379" ht="14.25" customHeight="1"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66"/>
    </row>
    <row r="380" ht="14.25" customHeight="1"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66"/>
    </row>
    <row r="381" ht="14.25" customHeight="1"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66"/>
    </row>
    <row r="382" ht="14.25" customHeight="1"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66"/>
    </row>
    <row r="383" ht="14.25" customHeight="1"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66"/>
    </row>
    <row r="384" ht="14.25" customHeight="1"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66"/>
    </row>
    <row r="385" ht="14.25" customHeight="1"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66"/>
    </row>
    <row r="386" ht="14.25" customHeight="1"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66"/>
    </row>
    <row r="387" ht="14.25" customHeight="1"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66"/>
    </row>
    <row r="388" ht="14.25" customHeight="1"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66"/>
    </row>
    <row r="389" ht="14.25" customHeight="1"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66"/>
    </row>
    <row r="390" ht="14.25" customHeight="1"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66"/>
    </row>
    <row r="391" ht="14.25" customHeight="1"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66"/>
    </row>
    <row r="392" ht="14.25" customHeight="1"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66"/>
    </row>
    <row r="393" ht="14.25" customHeight="1"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66"/>
    </row>
    <row r="394" ht="14.25" customHeight="1"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66"/>
    </row>
    <row r="395" ht="14.25" customHeight="1"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66"/>
    </row>
    <row r="396" ht="14.25" customHeight="1"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66"/>
    </row>
    <row r="397" ht="14.25" customHeight="1"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66"/>
    </row>
    <row r="398" ht="14.25" customHeight="1"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66"/>
    </row>
    <row r="399" ht="14.25" customHeight="1"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66"/>
    </row>
    <row r="400" ht="14.25" customHeight="1"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66"/>
    </row>
    <row r="401" ht="14.25" customHeight="1"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66"/>
    </row>
    <row r="402" ht="14.25" customHeight="1"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66"/>
    </row>
    <row r="403" ht="14.25" customHeight="1"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66"/>
    </row>
    <row r="404" ht="14.25" customHeight="1"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66"/>
    </row>
    <row r="405" ht="14.25" customHeight="1"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66"/>
    </row>
    <row r="406" ht="14.25" customHeight="1"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66"/>
    </row>
    <row r="407" ht="14.25" customHeight="1"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66"/>
    </row>
    <row r="408" ht="14.25" customHeight="1"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66"/>
    </row>
    <row r="409" ht="14.25" customHeight="1"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66"/>
    </row>
    <row r="410" ht="14.25" customHeight="1"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66"/>
    </row>
    <row r="411" ht="14.25" customHeight="1"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66"/>
    </row>
    <row r="412" ht="14.25" customHeight="1"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66"/>
    </row>
    <row r="413" ht="14.25" customHeight="1"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66"/>
    </row>
    <row r="414" ht="14.25" customHeight="1"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66"/>
    </row>
    <row r="415" ht="14.25" customHeight="1"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66"/>
    </row>
    <row r="416" ht="14.25" customHeight="1"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66"/>
    </row>
    <row r="417" ht="14.25" customHeight="1"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66"/>
    </row>
    <row r="418" ht="14.25" customHeight="1"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66"/>
    </row>
    <row r="419" ht="14.25" customHeight="1"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66"/>
    </row>
    <row r="420" ht="14.25" customHeight="1"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66"/>
    </row>
    <row r="421" ht="14.25" customHeight="1"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66"/>
    </row>
    <row r="422" ht="14.25" customHeight="1"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66"/>
    </row>
    <row r="423" ht="14.25" customHeight="1"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66"/>
    </row>
    <row r="424" ht="14.25" customHeight="1"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66"/>
    </row>
    <row r="425" ht="14.25" customHeight="1"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66"/>
    </row>
    <row r="426" ht="14.25" customHeight="1"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66"/>
    </row>
    <row r="427" ht="14.25" customHeight="1"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66"/>
    </row>
    <row r="428" ht="14.25" customHeight="1"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66"/>
    </row>
    <row r="429" ht="14.25" customHeight="1"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66"/>
    </row>
    <row r="430" ht="14.25" customHeight="1"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66"/>
    </row>
    <row r="431" ht="14.25" customHeight="1"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66"/>
    </row>
    <row r="432" ht="14.25" customHeight="1"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66"/>
    </row>
    <row r="433" ht="14.25" customHeight="1"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66"/>
    </row>
    <row r="434" ht="14.25" customHeight="1"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66"/>
    </row>
    <row r="435" ht="14.25" customHeight="1"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66"/>
    </row>
    <row r="436" ht="14.25" customHeight="1"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66"/>
    </row>
    <row r="437" ht="14.25" customHeight="1"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66"/>
    </row>
    <row r="438" ht="14.25" customHeight="1"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66"/>
    </row>
    <row r="439" ht="14.25" customHeight="1"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66"/>
    </row>
    <row r="440" ht="14.25" customHeight="1"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66"/>
    </row>
    <row r="441" ht="14.25" customHeight="1"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66"/>
    </row>
    <row r="442" ht="14.25" customHeight="1"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66"/>
    </row>
    <row r="443" ht="14.25" customHeight="1"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66"/>
    </row>
    <row r="444" ht="14.25" customHeight="1"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66"/>
    </row>
    <row r="445" ht="14.25" customHeight="1"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66"/>
    </row>
    <row r="446" ht="14.25" customHeight="1"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66"/>
    </row>
    <row r="447" ht="14.25" customHeight="1"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66"/>
    </row>
    <row r="448" ht="14.25" customHeight="1"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66"/>
    </row>
    <row r="449" ht="14.25" customHeight="1"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66"/>
    </row>
    <row r="450" ht="14.25" customHeight="1"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66"/>
    </row>
    <row r="451" ht="14.25" customHeight="1"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66"/>
    </row>
    <row r="452" ht="14.25" customHeight="1"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66"/>
    </row>
    <row r="453" ht="14.25" customHeight="1"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66"/>
    </row>
    <row r="454" ht="14.25" customHeight="1"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66"/>
    </row>
    <row r="455" ht="14.25" customHeight="1"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66"/>
    </row>
    <row r="456" ht="14.25" customHeight="1"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66"/>
    </row>
    <row r="457" ht="14.25" customHeight="1"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66"/>
    </row>
    <row r="458" ht="14.25" customHeight="1"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66"/>
    </row>
    <row r="459" ht="14.25" customHeight="1"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66"/>
    </row>
    <row r="460" ht="14.25" customHeight="1"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66"/>
    </row>
    <row r="461" ht="14.25" customHeight="1"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66"/>
    </row>
    <row r="462" ht="14.25" customHeight="1"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66"/>
    </row>
    <row r="463" ht="14.25" customHeight="1"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66"/>
    </row>
    <row r="464" ht="14.25" customHeight="1"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66"/>
    </row>
    <row r="465" ht="14.25" customHeight="1"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66"/>
    </row>
    <row r="466" ht="14.25" customHeight="1"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66"/>
    </row>
    <row r="467" ht="14.25" customHeight="1"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66"/>
    </row>
    <row r="468" ht="14.25" customHeight="1"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66"/>
    </row>
    <row r="469" ht="14.25" customHeight="1"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66"/>
    </row>
    <row r="470" ht="14.25" customHeight="1"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66"/>
    </row>
    <row r="471" ht="14.25" customHeight="1"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66"/>
    </row>
    <row r="472" ht="14.25" customHeight="1"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66"/>
    </row>
    <row r="473" ht="14.25" customHeight="1"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66"/>
    </row>
    <row r="474" ht="14.25" customHeight="1"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66"/>
    </row>
    <row r="475" ht="14.25" customHeight="1"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66"/>
    </row>
    <row r="476" ht="14.25" customHeight="1"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66"/>
    </row>
    <row r="477" ht="14.25" customHeight="1"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66"/>
    </row>
    <row r="478" ht="14.25" customHeight="1"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66"/>
    </row>
    <row r="479" ht="14.25" customHeight="1"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66"/>
    </row>
    <row r="480" ht="14.25" customHeight="1"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66"/>
    </row>
    <row r="481" ht="14.25" customHeight="1"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66"/>
    </row>
    <row r="482" ht="14.25" customHeight="1"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66"/>
    </row>
    <row r="483" ht="14.25" customHeight="1"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66"/>
    </row>
    <row r="484" ht="14.25" customHeight="1"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66"/>
    </row>
    <row r="485" ht="14.25" customHeight="1"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66"/>
    </row>
    <row r="486" ht="14.25" customHeight="1"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66"/>
    </row>
    <row r="487" ht="14.25" customHeight="1"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66"/>
    </row>
    <row r="488" ht="14.25" customHeight="1"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66"/>
    </row>
    <row r="489" ht="14.25" customHeight="1"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66"/>
    </row>
    <row r="490" ht="14.25" customHeight="1"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66"/>
    </row>
    <row r="491" ht="14.25" customHeight="1"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66"/>
    </row>
    <row r="492" ht="14.25" customHeight="1"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66"/>
    </row>
    <row r="493" ht="14.25" customHeight="1"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66"/>
    </row>
    <row r="494" ht="14.25" customHeight="1"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66"/>
    </row>
    <row r="495" ht="14.25" customHeight="1"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66"/>
    </row>
    <row r="496" ht="14.25" customHeight="1"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66"/>
    </row>
    <row r="497" ht="14.25" customHeight="1"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66"/>
    </row>
    <row r="498" ht="14.25" customHeight="1"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66"/>
    </row>
    <row r="499" ht="14.25" customHeight="1"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66"/>
    </row>
    <row r="500" ht="14.25" customHeight="1"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66"/>
    </row>
    <row r="501" ht="14.25" customHeight="1"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66"/>
    </row>
    <row r="502" ht="14.25" customHeight="1"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66"/>
    </row>
    <row r="503" ht="14.25" customHeight="1"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66"/>
    </row>
    <row r="504" ht="14.25" customHeight="1"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66"/>
    </row>
    <row r="505" ht="14.25" customHeight="1"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66"/>
    </row>
    <row r="506" ht="14.25" customHeight="1"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66"/>
    </row>
    <row r="507" ht="14.25" customHeight="1"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66"/>
    </row>
    <row r="508" ht="14.25" customHeight="1"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66"/>
    </row>
    <row r="509" ht="14.25" customHeight="1"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66"/>
    </row>
    <row r="510" ht="14.25" customHeight="1"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66"/>
    </row>
    <row r="511" ht="14.25" customHeight="1"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66"/>
    </row>
    <row r="512" ht="14.25" customHeight="1"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66"/>
    </row>
    <row r="513" ht="14.25" customHeight="1"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66"/>
    </row>
    <row r="514" ht="14.25" customHeight="1"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66"/>
    </row>
    <row r="515" ht="14.25" customHeight="1"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66"/>
    </row>
    <row r="516" ht="14.25" customHeight="1"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66"/>
    </row>
    <row r="517" ht="14.25" customHeight="1"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66"/>
    </row>
    <row r="518" ht="14.25" customHeight="1"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66"/>
    </row>
    <row r="519" ht="14.25" customHeight="1"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66"/>
    </row>
    <row r="520" ht="14.25" customHeight="1"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66"/>
    </row>
    <row r="521" ht="14.25" customHeight="1"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66"/>
    </row>
    <row r="522" ht="14.25" customHeight="1"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66"/>
    </row>
    <row r="523" ht="14.25" customHeight="1"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66"/>
    </row>
    <row r="524" ht="14.25" customHeight="1"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66"/>
    </row>
    <row r="525" ht="14.25" customHeight="1"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66"/>
    </row>
    <row r="526" ht="14.25" customHeight="1"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66"/>
    </row>
    <row r="527" ht="14.25" customHeight="1"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66"/>
    </row>
    <row r="528" ht="14.25" customHeight="1"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66"/>
    </row>
    <row r="529" ht="14.25" customHeight="1"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66"/>
    </row>
    <row r="530" ht="14.25" customHeight="1"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66"/>
    </row>
    <row r="531" ht="14.25" customHeight="1"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66"/>
    </row>
    <row r="532" ht="14.25" customHeight="1"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66"/>
    </row>
    <row r="533" ht="14.25" customHeight="1"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66"/>
    </row>
    <row r="534" ht="14.25" customHeight="1"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66"/>
    </row>
    <row r="535" ht="14.25" customHeight="1"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66"/>
    </row>
    <row r="536" ht="14.25" customHeight="1"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66"/>
    </row>
    <row r="537" ht="14.25" customHeight="1"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66"/>
    </row>
    <row r="538" ht="14.25" customHeight="1"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66"/>
    </row>
    <row r="539" ht="14.25" customHeight="1"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66"/>
    </row>
    <row r="540" ht="14.25" customHeight="1"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66"/>
    </row>
    <row r="541" ht="14.25" customHeight="1"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66"/>
    </row>
    <row r="542" ht="14.25" customHeight="1"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66"/>
    </row>
    <row r="543" ht="14.25" customHeight="1"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66"/>
    </row>
    <row r="544" ht="14.25" customHeight="1"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66"/>
    </row>
    <row r="545" ht="14.25" customHeight="1"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66"/>
    </row>
    <row r="546" ht="14.25" customHeight="1"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66"/>
    </row>
    <row r="547" ht="14.25" customHeight="1"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66"/>
    </row>
    <row r="548" ht="14.25" customHeight="1"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66"/>
    </row>
    <row r="549" ht="14.25" customHeight="1"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66"/>
    </row>
    <row r="550" ht="14.25" customHeight="1"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66"/>
    </row>
    <row r="551" ht="14.25" customHeight="1"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66"/>
    </row>
    <row r="552" ht="14.25" customHeight="1"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66"/>
    </row>
    <row r="553" ht="14.25" customHeight="1"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66"/>
    </row>
    <row r="554" ht="14.25" customHeight="1"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66"/>
    </row>
    <row r="555" ht="14.25" customHeight="1"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66"/>
    </row>
    <row r="556" ht="14.25" customHeight="1"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66"/>
    </row>
    <row r="557" ht="14.25" customHeight="1"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66"/>
    </row>
    <row r="558" ht="14.25" customHeight="1"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66"/>
    </row>
    <row r="559" ht="14.25" customHeight="1"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66"/>
    </row>
    <row r="560" ht="14.25" customHeight="1"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66"/>
    </row>
    <row r="561" ht="14.25" customHeight="1"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66"/>
    </row>
    <row r="562" ht="14.25" customHeight="1"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66"/>
    </row>
    <row r="563" ht="14.25" customHeight="1"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66"/>
    </row>
    <row r="564" ht="14.25" customHeight="1"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66"/>
    </row>
    <row r="565" ht="14.25" customHeight="1"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66"/>
    </row>
    <row r="566" ht="14.25" customHeight="1"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66"/>
    </row>
    <row r="567" ht="14.25" customHeight="1"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66"/>
    </row>
    <row r="568" ht="14.25" customHeight="1"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66"/>
    </row>
    <row r="569" ht="14.25" customHeight="1"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66"/>
    </row>
    <row r="570" ht="14.25" customHeight="1"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66"/>
    </row>
    <row r="571" ht="14.25" customHeight="1"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66"/>
    </row>
    <row r="572" ht="14.25" customHeight="1"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66"/>
    </row>
    <row r="573" ht="14.25" customHeight="1"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66"/>
    </row>
    <row r="574" ht="14.25" customHeight="1"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66"/>
    </row>
    <row r="575" ht="14.25" customHeight="1"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66"/>
    </row>
    <row r="576" ht="14.25" customHeight="1"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66"/>
    </row>
    <row r="577" ht="14.25" customHeight="1"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66"/>
    </row>
    <row r="578" ht="14.25" customHeight="1"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66"/>
    </row>
    <row r="579" ht="14.25" customHeight="1"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66"/>
    </row>
    <row r="580" ht="14.25" customHeight="1"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66"/>
    </row>
    <row r="581" ht="14.25" customHeight="1"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66"/>
    </row>
    <row r="582" ht="14.25" customHeight="1"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66"/>
    </row>
    <row r="583" ht="14.25" customHeight="1"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66"/>
    </row>
    <row r="584" ht="14.25" customHeight="1"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66"/>
    </row>
    <row r="585" ht="14.25" customHeight="1"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66"/>
    </row>
    <row r="586" ht="14.25" customHeight="1"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66"/>
    </row>
    <row r="587" ht="14.25" customHeight="1"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66"/>
    </row>
    <row r="588" ht="14.25" customHeight="1"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66"/>
    </row>
    <row r="589" ht="14.25" customHeight="1"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66"/>
    </row>
    <row r="590" ht="14.25" customHeight="1"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66"/>
    </row>
    <row r="591" ht="14.25" customHeight="1"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66"/>
    </row>
    <row r="592" ht="14.25" customHeight="1"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66"/>
    </row>
    <row r="593" ht="14.25" customHeight="1"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66"/>
    </row>
    <row r="594" ht="14.25" customHeight="1"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66"/>
    </row>
    <row r="595" ht="14.25" customHeight="1"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66"/>
    </row>
    <row r="596" ht="14.25" customHeight="1"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66"/>
    </row>
    <row r="597" ht="14.25" customHeight="1"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66"/>
    </row>
    <row r="598" ht="14.25" customHeight="1"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66"/>
    </row>
    <row r="599" ht="14.25" customHeight="1"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66"/>
    </row>
    <row r="600" ht="14.25" customHeight="1"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66"/>
    </row>
    <row r="601" ht="14.25" customHeight="1"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66"/>
    </row>
    <row r="602" ht="14.25" customHeight="1"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66"/>
    </row>
    <row r="603" ht="14.25" customHeight="1"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66"/>
    </row>
    <row r="604" ht="14.25" customHeight="1"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66"/>
    </row>
    <row r="605" ht="14.25" customHeight="1"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66"/>
    </row>
    <row r="606" ht="14.25" customHeight="1"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66"/>
    </row>
    <row r="607" ht="14.25" customHeight="1"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66"/>
    </row>
    <row r="608" ht="14.25" customHeight="1"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66"/>
    </row>
    <row r="609" ht="14.25" customHeight="1"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66"/>
    </row>
    <row r="610" ht="14.25" customHeight="1"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66"/>
    </row>
    <row r="611" ht="14.25" customHeight="1"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66"/>
    </row>
    <row r="612" ht="14.25" customHeight="1"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66"/>
    </row>
    <row r="613" ht="14.25" customHeight="1"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66"/>
    </row>
    <row r="614" ht="14.25" customHeight="1"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66"/>
    </row>
    <row r="615" ht="14.25" customHeight="1"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66"/>
    </row>
    <row r="616" ht="14.25" customHeight="1"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66"/>
    </row>
    <row r="617" ht="14.25" customHeight="1"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66"/>
    </row>
    <row r="618" ht="14.25" customHeight="1"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66"/>
    </row>
    <row r="619" ht="14.25" customHeight="1"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66"/>
    </row>
    <row r="620" ht="14.25" customHeight="1"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66"/>
    </row>
    <row r="621" ht="14.25" customHeight="1"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66"/>
    </row>
    <row r="622" ht="14.25" customHeight="1"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66"/>
    </row>
    <row r="623" ht="14.25" customHeight="1"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66"/>
    </row>
    <row r="624" ht="14.25" customHeight="1"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66"/>
    </row>
    <row r="625" ht="14.25" customHeight="1"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66"/>
    </row>
    <row r="626" ht="14.25" customHeight="1"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66"/>
    </row>
    <row r="627" ht="14.25" customHeight="1"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66"/>
    </row>
    <row r="628" ht="14.25" customHeight="1"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66"/>
    </row>
    <row r="629" ht="14.25" customHeight="1"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66"/>
    </row>
    <row r="630" ht="14.25" customHeight="1"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66"/>
    </row>
    <row r="631" ht="14.25" customHeight="1"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66"/>
    </row>
    <row r="632" ht="14.25" customHeight="1"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66"/>
    </row>
    <row r="633" ht="14.25" customHeight="1"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66"/>
    </row>
    <row r="634" ht="14.25" customHeight="1"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66"/>
    </row>
    <row r="635" ht="14.25" customHeight="1"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66"/>
    </row>
    <row r="636" ht="14.25" customHeight="1"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66"/>
    </row>
    <row r="637" ht="14.25" customHeight="1"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66"/>
    </row>
    <row r="638" ht="14.25" customHeight="1"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66"/>
    </row>
    <row r="639" ht="14.25" customHeight="1"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66"/>
    </row>
    <row r="640" ht="14.25" customHeight="1"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66"/>
    </row>
    <row r="641" ht="14.25" customHeight="1"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66"/>
    </row>
    <row r="642" ht="14.25" customHeight="1"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66"/>
    </row>
    <row r="643" ht="14.25" customHeight="1"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66"/>
    </row>
    <row r="644" ht="14.25" customHeight="1"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66"/>
    </row>
    <row r="645" ht="14.25" customHeight="1"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66"/>
    </row>
    <row r="646" ht="14.25" customHeight="1"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66"/>
    </row>
    <row r="647" ht="14.25" customHeight="1"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66"/>
    </row>
    <row r="648" ht="14.25" customHeight="1"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66"/>
    </row>
    <row r="649" ht="14.25" customHeight="1"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66"/>
    </row>
    <row r="650" ht="14.25" customHeight="1"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66"/>
    </row>
    <row r="651" ht="14.25" customHeight="1"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66"/>
    </row>
    <row r="652" ht="14.25" customHeight="1"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66"/>
    </row>
    <row r="653" ht="14.25" customHeight="1"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66"/>
    </row>
    <row r="654" ht="14.25" customHeight="1"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66"/>
    </row>
    <row r="655" ht="14.25" customHeight="1"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66"/>
    </row>
    <row r="656" ht="14.25" customHeight="1"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66"/>
    </row>
    <row r="657" ht="14.25" customHeight="1"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66"/>
    </row>
    <row r="658" ht="14.25" customHeight="1"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66"/>
    </row>
    <row r="659" ht="14.25" customHeight="1"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66"/>
    </row>
    <row r="660" ht="14.25" customHeight="1"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66"/>
    </row>
    <row r="661" ht="14.25" customHeight="1"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66"/>
    </row>
    <row r="662" ht="14.25" customHeight="1"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66"/>
    </row>
    <row r="663" ht="14.25" customHeight="1"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66"/>
    </row>
    <row r="664" ht="14.25" customHeight="1"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66"/>
    </row>
    <row r="665" ht="14.25" customHeight="1"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66"/>
    </row>
    <row r="666" ht="14.25" customHeight="1"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66"/>
    </row>
    <row r="667" ht="14.25" customHeight="1"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66"/>
    </row>
    <row r="668" ht="14.25" customHeight="1"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66"/>
    </row>
    <row r="669" ht="14.25" customHeight="1"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66"/>
    </row>
    <row r="670" ht="14.25" customHeight="1"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66"/>
    </row>
    <row r="671" ht="14.25" customHeight="1"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66"/>
    </row>
    <row r="672" ht="14.25" customHeight="1"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66"/>
    </row>
    <row r="673" ht="14.25" customHeight="1"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66"/>
    </row>
    <row r="674" ht="14.25" customHeight="1"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66"/>
    </row>
    <row r="675" ht="14.25" customHeight="1"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66"/>
    </row>
    <row r="676" ht="14.25" customHeight="1"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66"/>
    </row>
    <row r="677" ht="14.25" customHeight="1"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66"/>
    </row>
    <row r="678" ht="14.25" customHeight="1"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66"/>
    </row>
    <row r="679" ht="14.25" customHeight="1"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66"/>
    </row>
    <row r="680" ht="14.25" customHeight="1"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66"/>
    </row>
    <row r="681" ht="14.25" customHeight="1"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66"/>
    </row>
    <row r="682" ht="14.25" customHeight="1"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66"/>
    </row>
    <row r="683" ht="14.25" customHeight="1"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66"/>
    </row>
    <row r="684" ht="14.25" customHeight="1"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66"/>
    </row>
    <row r="685" ht="14.25" customHeight="1"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66"/>
    </row>
    <row r="686" ht="14.25" customHeight="1"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66"/>
    </row>
    <row r="687" ht="14.25" customHeight="1"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66"/>
    </row>
    <row r="688" ht="14.25" customHeight="1"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66"/>
    </row>
    <row r="689" ht="14.25" customHeight="1"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66"/>
    </row>
    <row r="690" ht="14.25" customHeight="1"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66"/>
    </row>
    <row r="691" ht="14.25" customHeight="1"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66"/>
    </row>
    <row r="692" ht="14.25" customHeight="1"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66"/>
    </row>
    <row r="693" ht="14.25" customHeight="1"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66"/>
    </row>
    <row r="694" ht="14.25" customHeight="1"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66"/>
    </row>
    <row r="695" ht="14.25" customHeight="1"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66"/>
    </row>
    <row r="696" ht="14.25" customHeight="1"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66"/>
    </row>
    <row r="697" ht="14.25" customHeight="1"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66"/>
    </row>
    <row r="698" ht="14.25" customHeight="1"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66"/>
    </row>
    <row r="699" ht="14.25" customHeight="1"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66"/>
    </row>
    <row r="700" ht="14.25" customHeight="1"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66"/>
    </row>
    <row r="701" ht="14.25" customHeight="1"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66"/>
    </row>
    <row r="702" ht="14.25" customHeight="1"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66"/>
    </row>
    <row r="703" ht="14.25" customHeight="1"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66"/>
    </row>
    <row r="704" ht="14.25" customHeight="1"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66"/>
    </row>
    <row r="705" ht="14.25" customHeight="1"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66"/>
    </row>
    <row r="706" ht="14.25" customHeight="1"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66"/>
    </row>
    <row r="707" ht="14.25" customHeight="1"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66"/>
    </row>
    <row r="708" ht="14.25" customHeight="1"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66"/>
    </row>
    <row r="709" ht="14.25" customHeight="1"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66"/>
    </row>
    <row r="710" ht="14.25" customHeight="1"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66"/>
    </row>
    <row r="711" ht="14.25" customHeight="1"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66"/>
    </row>
    <row r="712" ht="14.25" customHeight="1"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66"/>
    </row>
    <row r="713" ht="14.25" customHeight="1"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66"/>
    </row>
    <row r="714" ht="14.25" customHeight="1"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66"/>
    </row>
    <row r="715" ht="14.25" customHeight="1"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66"/>
    </row>
    <row r="716" ht="14.25" customHeight="1"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66"/>
    </row>
    <row r="717" ht="14.25" customHeight="1"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66"/>
    </row>
    <row r="718" ht="14.25" customHeight="1"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66"/>
    </row>
    <row r="719" ht="14.25" customHeight="1"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66"/>
    </row>
    <row r="720" ht="14.25" customHeight="1"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66"/>
    </row>
    <row r="721" ht="14.25" customHeight="1"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66"/>
    </row>
    <row r="722" ht="14.25" customHeight="1"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66"/>
    </row>
    <row r="723" ht="14.25" customHeight="1"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66"/>
    </row>
    <row r="724" ht="14.25" customHeight="1"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66"/>
    </row>
    <row r="725" ht="14.25" customHeight="1"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66"/>
    </row>
    <row r="726" ht="14.25" customHeight="1"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66"/>
    </row>
    <row r="727" ht="14.25" customHeight="1"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66"/>
    </row>
    <row r="728" ht="14.25" customHeight="1"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66"/>
    </row>
    <row r="729" ht="14.25" customHeight="1"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66"/>
    </row>
    <row r="730" ht="14.25" customHeight="1"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66"/>
    </row>
    <row r="731" ht="14.25" customHeight="1"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66"/>
    </row>
    <row r="732" ht="14.25" customHeight="1"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66"/>
    </row>
    <row r="733" ht="14.25" customHeight="1"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66"/>
    </row>
    <row r="734" ht="14.25" customHeight="1"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66"/>
    </row>
    <row r="735" ht="14.25" customHeight="1"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66"/>
    </row>
    <row r="736" ht="14.25" customHeight="1"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66"/>
    </row>
    <row r="737" ht="14.25" customHeight="1"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66"/>
    </row>
    <row r="738" ht="14.25" customHeight="1"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66"/>
    </row>
    <row r="739" ht="14.25" customHeight="1"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66"/>
    </row>
    <row r="740" ht="14.25" customHeight="1"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66"/>
    </row>
    <row r="741" ht="14.25" customHeight="1"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66"/>
    </row>
    <row r="742" ht="14.25" customHeight="1"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66"/>
    </row>
    <row r="743" ht="14.25" customHeight="1"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66"/>
    </row>
    <row r="744" ht="14.25" customHeight="1"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66"/>
    </row>
    <row r="745" ht="14.25" customHeight="1"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66"/>
    </row>
    <row r="746" ht="14.25" customHeight="1"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66"/>
    </row>
    <row r="747" ht="14.25" customHeight="1"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66"/>
    </row>
    <row r="748" ht="14.25" customHeight="1"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66"/>
    </row>
    <row r="749" ht="14.25" customHeight="1"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66"/>
    </row>
    <row r="750" ht="14.25" customHeight="1"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66"/>
    </row>
    <row r="751" ht="14.25" customHeight="1"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66"/>
    </row>
    <row r="752" ht="14.25" customHeight="1"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66"/>
    </row>
    <row r="753" ht="14.25" customHeight="1"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66"/>
    </row>
    <row r="754" ht="14.25" customHeight="1"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66"/>
    </row>
    <row r="755" ht="14.25" customHeight="1"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66"/>
    </row>
    <row r="756" ht="14.25" customHeight="1"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66"/>
    </row>
    <row r="757" ht="14.25" customHeight="1"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66"/>
    </row>
    <row r="758" ht="14.25" customHeight="1"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66"/>
    </row>
    <row r="759" ht="14.25" customHeight="1"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66"/>
    </row>
    <row r="760" ht="14.25" customHeight="1"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66"/>
    </row>
    <row r="761" ht="14.25" customHeight="1"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66"/>
    </row>
    <row r="762" ht="14.25" customHeight="1"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66"/>
    </row>
    <row r="763" ht="14.25" customHeight="1"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66"/>
    </row>
    <row r="764" ht="14.25" customHeight="1"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66"/>
    </row>
    <row r="765" ht="14.25" customHeight="1"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66"/>
    </row>
    <row r="766" ht="14.25" customHeight="1"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66"/>
    </row>
    <row r="767" ht="14.25" customHeight="1"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66"/>
    </row>
    <row r="768" ht="14.25" customHeight="1"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66"/>
    </row>
    <row r="769" ht="14.25" customHeight="1"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66"/>
    </row>
    <row r="770" ht="14.25" customHeight="1"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66"/>
    </row>
    <row r="771" ht="14.25" customHeight="1"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66"/>
    </row>
    <row r="772" ht="14.25" customHeight="1"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66"/>
    </row>
    <row r="773" ht="14.25" customHeight="1"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66"/>
    </row>
    <row r="774" ht="14.25" customHeight="1"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66"/>
    </row>
    <row r="775" ht="14.25" customHeight="1"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66"/>
    </row>
    <row r="776" ht="14.25" customHeight="1"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66"/>
    </row>
    <row r="777" ht="14.25" customHeight="1"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66"/>
    </row>
    <row r="778" ht="14.25" customHeight="1"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66"/>
    </row>
    <row r="779" ht="14.25" customHeight="1"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66"/>
    </row>
    <row r="780" ht="14.25" customHeight="1"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66"/>
    </row>
    <row r="781" ht="14.25" customHeight="1"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66"/>
    </row>
    <row r="782" ht="14.25" customHeight="1"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66"/>
    </row>
    <row r="783" ht="14.25" customHeight="1"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66"/>
    </row>
    <row r="784" ht="14.25" customHeight="1"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66"/>
    </row>
    <row r="785" ht="14.25" customHeight="1"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66"/>
    </row>
    <row r="786" ht="14.25" customHeight="1"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66"/>
    </row>
    <row r="787" ht="14.25" customHeight="1"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66"/>
    </row>
    <row r="788" ht="14.25" customHeight="1"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66"/>
    </row>
    <row r="789" ht="14.25" customHeight="1"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66"/>
    </row>
    <row r="790" ht="14.25" customHeight="1"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66"/>
    </row>
    <row r="791" ht="14.25" customHeight="1"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66"/>
    </row>
    <row r="792" ht="14.25" customHeight="1"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66"/>
    </row>
    <row r="793" ht="14.25" customHeight="1"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66"/>
    </row>
    <row r="794" ht="14.25" customHeight="1"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66"/>
    </row>
    <row r="795" ht="14.25" customHeight="1"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66"/>
    </row>
    <row r="796" ht="14.25" customHeight="1"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66"/>
    </row>
    <row r="797" ht="14.25" customHeight="1"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66"/>
    </row>
    <row r="798" ht="14.25" customHeight="1"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66"/>
    </row>
    <row r="799" ht="14.25" customHeight="1"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66"/>
    </row>
    <row r="800" ht="14.25" customHeight="1"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66"/>
    </row>
    <row r="801" ht="14.25" customHeight="1"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66"/>
    </row>
    <row r="802" ht="14.25" customHeight="1"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66"/>
    </row>
    <row r="803" ht="14.25" customHeight="1"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66"/>
    </row>
    <row r="804" ht="14.25" customHeight="1"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66"/>
    </row>
    <row r="805" ht="14.25" customHeight="1"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66"/>
    </row>
    <row r="806" ht="14.25" customHeight="1"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66"/>
    </row>
    <row r="807" ht="14.25" customHeight="1"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66"/>
    </row>
    <row r="808" ht="14.25" customHeight="1"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66"/>
    </row>
    <row r="809" ht="14.25" customHeight="1"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66"/>
    </row>
    <row r="810" ht="14.25" customHeight="1"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66"/>
    </row>
    <row r="811" ht="14.25" customHeight="1"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66"/>
    </row>
    <row r="812" ht="14.25" customHeight="1"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66"/>
    </row>
    <row r="813" ht="14.25" customHeight="1"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66"/>
    </row>
    <row r="814" ht="14.25" customHeight="1"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66"/>
    </row>
    <row r="815" ht="14.25" customHeight="1"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66"/>
    </row>
    <row r="816" ht="14.25" customHeight="1"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66"/>
    </row>
    <row r="817" ht="14.25" customHeight="1"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66"/>
    </row>
    <row r="818" ht="14.25" customHeight="1"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66"/>
    </row>
    <row r="819" ht="14.25" customHeight="1"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66"/>
    </row>
    <row r="820" ht="14.25" customHeight="1"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66"/>
    </row>
    <row r="821" ht="14.25" customHeight="1"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66"/>
    </row>
    <row r="822" ht="14.25" customHeight="1"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66"/>
    </row>
    <row r="823" ht="14.25" customHeight="1"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66"/>
    </row>
    <row r="824" ht="14.25" customHeight="1"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66"/>
    </row>
    <row r="825" ht="14.25" customHeight="1"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66"/>
    </row>
    <row r="826" ht="14.25" customHeight="1"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66"/>
    </row>
    <row r="827" ht="14.25" customHeight="1"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66"/>
    </row>
    <row r="828" ht="14.25" customHeight="1"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66"/>
    </row>
    <row r="829" ht="14.25" customHeight="1"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66"/>
    </row>
    <row r="830" ht="14.25" customHeight="1"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66"/>
    </row>
    <row r="831" ht="14.25" customHeight="1"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66"/>
    </row>
    <row r="832" ht="14.25" customHeight="1"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66"/>
    </row>
    <row r="833" ht="14.25" customHeight="1"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66"/>
    </row>
    <row r="834" ht="14.25" customHeight="1"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66"/>
    </row>
    <row r="835" ht="14.25" customHeight="1"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66"/>
    </row>
    <row r="836" ht="14.25" customHeight="1"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66"/>
    </row>
    <row r="837" ht="14.25" customHeight="1"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66"/>
    </row>
    <row r="838" ht="14.25" customHeight="1"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66"/>
    </row>
    <row r="839" ht="14.25" customHeight="1"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66"/>
    </row>
    <row r="840" ht="14.25" customHeight="1"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66"/>
    </row>
    <row r="841" ht="14.25" customHeight="1"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66"/>
    </row>
    <row r="842" ht="14.25" customHeight="1"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66"/>
    </row>
    <row r="843" ht="14.25" customHeight="1"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66"/>
    </row>
    <row r="844" ht="14.25" customHeight="1"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66"/>
    </row>
    <row r="845" ht="14.25" customHeight="1"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66"/>
    </row>
    <row r="846" ht="14.25" customHeight="1"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66"/>
    </row>
    <row r="847" ht="14.25" customHeight="1"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66"/>
    </row>
    <row r="848" ht="14.25" customHeight="1"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66"/>
    </row>
    <row r="849" ht="14.25" customHeight="1"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66"/>
    </row>
    <row r="850" ht="14.25" customHeight="1"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66"/>
    </row>
    <row r="851" ht="14.25" customHeight="1"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66"/>
    </row>
    <row r="852" ht="14.25" customHeight="1"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66"/>
    </row>
    <row r="853" ht="14.25" customHeight="1"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66"/>
    </row>
    <row r="854" ht="14.25" customHeight="1"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66"/>
    </row>
    <row r="855" ht="14.25" customHeight="1"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66"/>
    </row>
    <row r="856" ht="14.25" customHeight="1"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66"/>
    </row>
    <row r="857" ht="14.25" customHeight="1"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66"/>
    </row>
    <row r="858" ht="14.25" customHeight="1"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66"/>
    </row>
    <row r="859" ht="14.25" customHeight="1"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66"/>
    </row>
    <row r="860" ht="14.25" customHeight="1"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66"/>
    </row>
    <row r="861" ht="14.25" customHeight="1"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66"/>
    </row>
    <row r="862" ht="14.25" customHeight="1"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66"/>
    </row>
    <row r="863" ht="14.25" customHeight="1"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66"/>
    </row>
    <row r="864" ht="14.25" customHeight="1"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66"/>
    </row>
    <row r="865" ht="14.25" customHeight="1"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66"/>
    </row>
    <row r="866" ht="14.25" customHeight="1"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66"/>
    </row>
    <row r="867" ht="14.25" customHeight="1"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66"/>
    </row>
    <row r="868" ht="14.25" customHeight="1"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66"/>
    </row>
    <row r="869" ht="14.25" customHeight="1"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66"/>
    </row>
    <row r="870" ht="14.25" customHeight="1"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66"/>
    </row>
    <row r="871" ht="14.25" customHeight="1"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66"/>
    </row>
    <row r="872" ht="14.25" customHeight="1"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66"/>
    </row>
    <row r="873" ht="14.25" customHeight="1"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66"/>
    </row>
    <row r="874" ht="14.25" customHeight="1"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66"/>
    </row>
    <row r="875" ht="14.25" customHeight="1"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66"/>
    </row>
    <row r="876" ht="14.25" customHeight="1"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66"/>
    </row>
    <row r="877" ht="14.25" customHeight="1"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66"/>
    </row>
    <row r="878" ht="14.25" customHeight="1"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66"/>
    </row>
    <row r="879" ht="14.25" customHeight="1"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66"/>
    </row>
    <row r="880" ht="14.25" customHeight="1"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66"/>
    </row>
    <row r="881" ht="14.25" customHeight="1"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66"/>
    </row>
    <row r="882" ht="14.25" customHeight="1"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66"/>
    </row>
    <row r="883" ht="14.25" customHeight="1"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66"/>
    </row>
    <row r="884" ht="14.25" customHeight="1"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66"/>
    </row>
    <row r="885" ht="14.25" customHeight="1"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66"/>
    </row>
    <row r="886" ht="14.25" customHeight="1"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66"/>
    </row>
    <row r="887" ht="14.25" customHeight="1"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66"/>
    </row>
    <row r="888" ht="14.25" customHeight="1"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66"/>
    </row>
    <row r="889" ht="14.25" customHeight="1"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66"/>
    </row>
    <row r="890" ht="14.25" customHeight="1"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66"/>
    </row>
    <row r="891" ht="14.25" customHeight="1"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66"/>
    </row>
    <row r="892" ht="14.25" customHeight="1"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66"/>
    </row>
    <row r="893" ht="14.25" customHeight="1"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66"/>
    </row>
    <row r="894" ht="14.25" customHeight="1"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66"/>
    </row>
    <row r="895" ht="14.25" customHeight="1"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66"/>
    </row>
    <row r="896" ht="14.25" customHeight="1"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66"/>
    </row>
    <row r="897" ht="14.25" customHeight="1"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66"/>
    </row>
    <row r="898" ht="14.25" customHeight="1"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66"/>
    </row>
    <row r="899" ht="14.25" customHeight="1"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66"/>
    </row>
    <row r="900" ht="14.25" customHeight="1"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66"/>
    </row>
    <row r="901" ht="14.25" customHeight="1"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66"/>
    </row>
    <row r="902" ht="14.25" customHeight="1"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66"/>
    </row>
    <row r="903" ht="14.25" customHeight="1"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66"/>
    </row>
    <row r="904" ht="14.25" customHeight="1"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66"/>
    </row>
    <row r="905" ht="14.25" customHeight="1"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66"/>
    </row>
    <row r="906" ht="14.25" customHeight="1"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66"/>
    </row>
    <row r="907" ht="14.25" customHeight="1"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66"/>
    </row>
    <row r="908" ht="14.25" customHeight="1"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66"/>
    </row>
    <row r="909" ht="14.25" customHeight="1"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66"/>
    </row>
    <row r="910" ht="14.25" customHeight="1"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66"/>
    </row>
    <row r="911" ht="14.25" customHeight="1"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66"/>
    </row>
    <row r="912" ht="14.25" customHeight="1"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66"/>
    </row>
    <row r="913" ht="14.25" customHeight="1"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66"/>
    </row>
    <row r="914" ht="14.25" customHeight="1"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66"/>
    </row>
    <row r="915" ht="14.25" customHeight="1"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66"/>
    </row>
    <row r="916" ht="14.25" customHeight="1"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66"/>
    </row>
    <row r="917" ht="14.25" customHeight="1"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66"/>
    </row>
    <row r="918" ht="14.25" customHeight="1"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66"/>
    </row>
    <row r="919" ht="14.25" customHeight="1"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66"/>
    </row>
    <row r="920" ht="14.25" customHeight="1"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66"/>
    </row>
    <row r="921" ht="14.25" customHeight="1"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66"/>
    </row>
    <row r="922" ht="14.25" customHeight="1"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66"/>
    </row>
    <row r="923" ht="14.25" customHeight="1"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66"/>
    </row>
    <row r="924" ht="14.25" customHeight="1"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66"/>
    </row>
    <row r="925" ht="14.25" customHeight="1"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66"/>
    </row>
    <row r="926" ht="14.25" customHeight="1"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66"/>
    </row>
    <row r="927" ht="14.25" customHeight="1"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66"/>
    </row>
    <row r="928" ht="14.25" customHeight="1"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66"/>
    </row>
    <row r="929" ht="14.25" customHeight="1"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66"/>
    </row>
    <row r="930" ht="14.25" customHeight="1"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66"/>
    </row>
    <row r="931" ht="14.25" customHeight="1"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66"/>
    </row>
    <row r="932" ht="14.25" customHeight="1"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66"/>
    </row>
    <row r="933" ht="14.25" customHeight="1"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66"/>
    </row>
    <row r="934" ht="14.25" customHeight="1"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66"/>
    </row>
    <row r="935" ht="14.25" customHeight="1"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66"/>
    </row>
    <row r="936" ht="14.25" customHeight="1"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66"/>
    </row>
    <row r="937" ht="14.25" customHeight="1"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66"/>
    </row>
    <row r="938" ht="14.25" customHeight="1"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66"/>
    </row>
    <row r="939" ht="14.25" customHeight="1"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66"/>
    </row>
    <row r="940" ht="14.25" customHeight="1"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66"/>
    </row>
    <row r="941" ht="14.25" customHeight="1"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66"/>
    </row>
    <row r="942" ht="14.25" customHeight="1"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66"/>
    </row>
    <row r="943" ht="14.25" customHeight="1"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66"/>
    </row>
    <row r="944" ht="14.25" customHeight="1"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66"/>
    </row>
    <row r="945" ht="14.25" customHeight="1"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66"/>
    </row>
    <row r="946" ht="14.25" customHeight="1"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66"/>
    </row>
    <row r="947" ht="14.25" customHeight="1"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66"/>
    </row>
    <row r="948" ht="14.25" customHeight="1"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66"/>
    </row>
    <row r="949" ht="14.25" customHeight="1"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66"/>
    </row>
    <row r="950" ht="14.25" customHeight="1"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66"/>
    </row>
    <row r="951" ht="14.25" customHeight="1"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66"/>
    </row>
    <row r="952" ht="14.25" customHeight="1"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66"/>
    </row>
    <row r="953" ht="14.25" customHeight="1"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66"/>
    </row>
    <row r="954" ht="14.25" customHeight="1"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66"/>
    </row>
    <row r="955" ht="14.25" customHeight="1"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66"/>
    </row>
    <row r="956" ht="14.25" customHeight="1"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66"/>
    </row>
    <row r="957" ht="14.25" customHeight="1"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66"/>
    </row>
    <row r="958" ht="14.25" customHeight="1"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66"/>
    </row>
    <row r="959" ht="14.25" customHeight="1"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66"/>
    </row>
    <row r="960" ht="14.25" customHeight="1"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66"/>
    </row>
    <row r="961" ht="14.25" customHeight="1"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66"/>
    </row>
    <row r="962" ht="14.25" customHeight="1"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66"/>
    </row>
    <row r="963" ht="14.25" customHeight="1"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66"/>
    </row>
    <row r="964" ht="14.25" customHeight="1"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66"/>
    </row>
    <row r="965" ht="14.25" customHeight="1"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66"/>
    </row>
    <row r="966" ht="14.25" customHeight="1"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66"/>
    </row>
    <row r="967" ht="14.25" customHeight="1"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66"/>
    </row>
    <row r="968" ht="14.25" customHeight="1"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66"/>
    </row>
    <row r="969" ht="14.25" customHeight="1"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66"/>
    </row>
    <row r="970" ht="14.25" customHeight="1"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66"/>
    </row>
    <row r="971" ht="14.25" customHeight="1"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66"/>
    </row>
    <row r="972" ht="14.25" customHeight="1"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66"/>
    </row>
    <row r="973" ht="14.25" customHeight="1"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66"/>
    </row>
    <row r="974" ht="14.25" customHeight="1"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66"/>
    </row>
    <row r="975" ht="14.25" customHeight="1"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66"/>
    </row>
    <row r="976" ht="14.25" customHeight="1"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66"/>
    </row>
    <row r="977" ht="14.25" customHeight="1"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66"/>
    </row>
    <row r="978" ht="14.25" customHeight="1"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66"/>
    </row>
    <row r="979" ht="14.25" customHeight="1"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66"/>
    </row>
    <row r="980" ht="14.25" customHeight="1"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66"/>
    </row>
    <row r="981" ht="14.25" customHeight="1"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66"/>
    </row>
    <row r="982" ht="14.25" customHeight="1"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66"/>
    </row>
    <row r="983" ht="14.25" customHeight="1"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66"/>
    </row>
    <row r="984" ht="14.25" customHeight="1"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66"/>
    </row>
    <row r="985" ht="14.25" customHeight="1"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66"/>
    </row>
    <row r="986" ht="14.25" customHeight="1"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66"/>
    </row>
    <row r="987" ht="14.25" customHeight="1"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66"/>
    </row>
    <row r="988" ht="14.25" customHeight="1"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66"/>
    </row>
    <row r="989" ht="14.25" customHeight="1"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66"/>
    </row>
    <row r="990" ht="14.25" customHeight="1"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66"/>
    </row>
    <row r="991" ht="14.25" customHeight="1"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66"/>
    </row>
    <row r="992" ht="14.25" customHeight="1"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66"/>
    </row>
    <row r="993" ht="14.25" customHeight="1"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66"/>
    </row>
    <row r="994" ht="14.25" customHeight="1"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66"/>
    </row>
    <row r="995" ht="14.25" customHeight="1"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66"/>
    </row>
    <row r="996" ht="14.25" customHeight="1"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66"/>
    </row>
    <row r="997" ht="14.25" customHeight="1"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66"/>
    </row>
    <row r="998" ht="14.25" customHeight="1"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66"/>
    </row>
  </sheetData>
  <mergeCells count="5">
    <mergeCell ref="A1:L1"/>
    <mergeCell ref="A2:L2"/>
    <mergeCell ref="A3:A4"/>
    <mergeCell ref="B3:G3"/>
    <mergeCell ref="B28:G2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8.43"/>
    <col customWidth="1" min="3" max="12" width="17.29"/>
    <col customWidth="1" min="13" max="13" width="5.71"/>
    <col customWidth="1" min="14" max="14" width="46.86"/>
    <col customWidth="1" min="15" max="15" width="15.29"/>
    <col customWidth="1" min="16" max="16" width="12.86"/>
    <col customWidth="1" min="17" max="19" width="11.43"/>
    <col customWidth="1" min="20" max="26" width="9.14"/>
  </cols>
  <sheetData>
    <row r="1" ht="19.5" customHeight="1">
      <c r="G1" s="115">
        <v>144662.525</v>
      </c>
      <c r="H1" s="115">
        <f t="shared" ref="H1:P1" si="1">+(G1*5.9%)+G1</f>
        <v>153197.614</v>
      </c>
      <c r="I1" s="115">
        <f t="shared" si="1"/>
        <v>162236.2732</v>
      </c>
      <c r="J1" s="115">
        <f t="shared" si="1"/>
        <v>171808.2133</v>
      </c>
      <c r="K1" s="115">
        <f t="shared" si="1"/>
        <v>181944.8979</v>
      </c>
      <c r="L1" s="115">
        <f t="shared" si="1"/>
        <v>192679.6469</v>
      </c>
      <c r="M1" s="115">
        <f t="shared" si="1"/>
        <v>204047.746</v>
      </c>
      <c r="N1" s="115">
        <f t="shared" si="1"/>
        <v>216086.5631</v>
      </c>
      <c r="O1" s="115">
        <f t="shared" si="1"/>
        <v>228835.6703</v>
      </c>
      <c r="P1" s="115">
        <f t="shared" si="1"/>
        <v>242336.9748</v>
      </c>
    </row>
    <row r="2" ht="19.5" customHeight="1">
      <c r="O2" s="116"/>
    </row>
    <row r="3" ht="19.5" customHeight="1">
      <c r="B3" s="117" t="s">
        <v>81</v>
      </c>
      <c r="O3" s="116"/>
    </row>
    <row r="4" ht="19.5" customHeight="1">
      <c r="N4" s="65">
        <f>1.2*5000</f>
        <v>6000</v>
      </c>
      <c r="O4" s="116"/>
    </row>
    <row r="5" ht="19.5" customHeight="1">
      <c r="A5" s="118" t="s">
        <v>82</v>
      </c>
      <c r="B5" s="119"/>
      <c r="C5" s="119"/>
      <c r="D5" s="119"/>
      <c r="E5" s="119"/>
      <c r="F5" s="119"/>
      <c r="G5" s="120"/>
      <c r="H5" s="121"/>
      <c r="I5" s="121"/>
      <c r="J5" s="121"/>
      <c r="K5" s="121"/>
      <c r="L5" s="121"/>
      <c r="N5" s="122"/>
      <c r="O5" s="2"/>
    </row>
    <row r="6" ht="19.5" customHeight="1">
      <c r="A6" s="123" t="s">
        <v>83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N6" s="125" t="s">
        <v>84</v>
      </c>
      <c r="O6" s="109"/>
      <c r="P6" s="38"/>
    </row>
    <row r="7" ht="19.5" customHeight="1">
      <c r="A7" s="126" t="s">
        <v>85</v>
      </c>
      <c r="B7" s="127"/>
      <c r="C7" s="127"/>
      <c r="D7" s="127"/>
      <c r="E7" s="127"/>
      <c r="F7" s="127"/>
      <c r="G7" s="128"/>
      <c r="H7" s="128"/>
      <c r="I7" s="128"/>
      <c r="J7" s="128"/>
      <c r="K7" s="128"/>
      <c r="L7" s="128"/>
      <c r="N7" s="129" t="s">
        <v>86</v>
      </c>
      <c r="O7" s="130" t="s">
        <v>87</v>
      </c>
      <c r="P7" s="131">
        <f>20</f>
        <v>20</v>
      </c>
    </row>
    <row r="8" ht="19.5" customHeight="1">
      <c r="A8" s="132" t="s">
        <v>88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N8" s="129" t="s">
        <v>89</v>
      </c>
      <c r="O8" s="130" t="s">
        <v>87</v>
      </c>
      <c r="P8" s="133">
        <v>18.0</v>
      </c>
    </row>
    <row r="9" ht="19.5" customHeight="1">
      <c r="A9" s="132" t="s">
        <v>90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N9" s="129" t="s">
        <v>91</v>
      </c>
      <c r="O9" s="135" t="s">
        <v>92</v>
      </c>
      <c r="P9" s="136">
        <v>0.1</v>
      </c>
    </row>
    <row r="10" ht="19.5" customHeight="1">
      <c r="A10" s="125" t="s">
        <v>93</v>
      </c>
      <c r="B10" s="109"/>
      <c r="C10" s="109"/>
      <c r="D10" s="109"/>
      <c r="E10" s="109"/>
      <c r="F10" s="109"/>
      <c r="G10" s="38"/>
      <c r="H10" s="121"/>
      <c r="I10" s="121"/>
      <c r="J10" s="121"/>
      <c r="K10" s="121"/>
      <c r="L10" s="121"/>
      <c r="N10" s="129" t="s">
        <v>94</v>
      </c>
      <c r="O10" s="130" t="s">
        <v>87</v>
      </c>
      <c r="P10" s="137">
        <v>300.0</v>
      </c>
    </row>
    <row r="11" ht="19.5" customHeight="1">
      <c r="A11" s="138" t="s">
        <v>95</v>
      </c>
      <c r="B11" s="139">
        <v>0.0</v>
      </c>
      <c r="C11" s="109"/>
      <c r="D11" s="109"/>
      <c r="E11" s="109"/>
      <c r="F11" s="109"/>
      <c r="G11" s="38"/>
      <c r="H11" s="140"/>
      <c r="I11" s="140"/>
      <c r="J11" s="140"/>
      <c r="K11" s="140"/>
      <c r="L11" s="140"/>
      <c r="N11" s="129" t="s">
        <v>96</v>
      </c>
      <c r="O11" s="130" t="s">
        <v>87</v>
      </c>
      <c r="P11" s="137">
        <v>200.0</v>
      </c>
    </row>
    <row r="12" ht="19.5" customHeight="1">
      <c r="A12" s="138" t="s">
        <v>73</v>
      </c>
      <c r="B12" s="141">
        <v>0.0</v>
      </c>
      <c r="C12" s="141">
        <v>1.0</v>
      </c>
      <c r="D12" s="141">
        <f t="shared" ref="D12:L12" si="2">+C12+1</f>
        <v>2</v>
      </c>
      <c r="E12" s="141">
        <f t="shared" si="2"/>
        <v>3</v>
      </c>
      <c r="F12" s="141">
        <f t="shared" si="2"/>
        <v>4</v>
      </c>
      <c r="G12" s="141">
        <f t="shared" si="2"/>
        <v>5</v>
      </c>
      <c r="H12" s="141">
        <f t="shared" si="2"/>
        <v>6</v>
      </c>
      <c r="I12" s="141">
        <f t="shared" si="2"/>
        <v>7</v>
      </c>
      <c r="J12" s="141">
        <f t="shared" si="2"/>
        <v>8</v>
      </c>
      <c r="K12" s="141">
        <f t="shared" si="2"/>
        <v>9</v>
      </c>
      <c r="L12" s="141">
        <f t="shared" si="2"/>
        <v>10</v>
      </c>
      <c r="M12" s="142"/>
      <c r="N12" s="143" t="s">
        <v>97</v>
      </c>
      <c r="O12" s="130" t="s">
        <v>87</v>
      </c>
      <c r="P12" s="130">
        <v>150.0</v>
      </c>
      <c r="Q12" s="142"/>
      <c r="R12" s="142"/>
      <c r="S12" s="144" t="s">
        <v>98</v>
      </c>
      <c r="T12" s="142"/>
      <c r="U12" s="142"/>
      <c r="V12" s="142"/>
      <c r="W12" s="142"/>
      <c r="X12" s="142"/>
      <c r="Y12" s="142"/>
      <c r="Z12" s="142"/>
    </row>
    <row r="13" ht="19.5" customHeight="1">
      <c r="A13" s="145" t="s">
        <v>99</v>
      </c>
      <c r="B13" s="146">
        <f>(B$8*$P$7)</f>
        <v>0</v>
      </c>
      <c r="C13" s="7">
        <v>144662.525</v>
      </c>
      <c r="D13" s="7">
        <f t="shared" ref="D13:L13" si="3">+(C13*3%)+C13</f>
        <v>149002.4008</v>
      </c>
      <c r="E13" s="7">
        <f t="shared" si="3"/>
        <v>153472.4728</v>
      </c>
      <c r="F13" s="7">
        <f t="shared" si="3"/>
        <v>158076.647</v>
      </c>
      <c r="G13" s="7">
        <f t="shared" si="3"/>
        <v>162818.9464</v>
      </c>
      <c r="H13" s="7">
        <f t="shared" si="3"/>
        <v>167703.5148</v>
      </c>
      <c r="I13" s="7">
        <f t="shared" si="3"/>
        <v>172734.6202</v>
      </c>
      <c r="J13" s="7">
        <f t="shared" si="3"/>
        <v>177916.6588</v>
      </c>
      <c r="K13" s="7">
        <f t="shared" si="3"/>
        <v>183254.1586</v>
      </c>
      <c r="L13" s="7">
        <f t="shared" si="3"/>
        <v>188751.7833</v>
      </c>
      <c r="N13" s="129" t="s">
        <v>100</v>
      </c>
      <c r="O13" s="130" t="s">
        <v>87</v>
      </c>
      <c r="P13" s="137">
        <v>600.0</v>
      </c>
    </row>
    <row r="14" ht="19.5" customHeight="1">
      <c r="A14" s="145" t="s">
        <v>101</v>
      </c>
      <c r="B14" s="146">
        <f>(B$9*$P$7)</f>
        <v>0</v>
      </c>
      <c r="C14" s="147">
        <v>10000.0</v>
      </c>
      <c r="D14" s="7">
        <f t="shared" ref="D14:L14" si="4">+(C14*3.5%)+C14</f>
        <v>10350</v>
      </c>
      <c r="E14" s="7">
        <f t="shared" si="4"/>
        <v>10712.25</v>
      </c>
      <c r="F14" s="7">
        <f t="shared" si="4"/>
        <v>11087.17875</v>
      </c>
      <c r="G14" s="7">
        <f t="shared" si="4"/>
        <v>11475.23001</v>
      </c>
      <c r="H14" s="7">
        <f t="shared" si="4"/>
        <v>11876.86306</v>
      </c>
      <c r="I14" s="7">
        <f t="shared" si="4"/>
        <v>12292.55326</v>
      </c>
      <c r="J14" s="7">
        <f t="shared" si="4"/>
        <v>12722.79263</v>
      </c>
      <c r="K14" s="7">
        <f t="shared" si="4"/>
        <v>13168.09037</v>
      </c>
      <c r="L14" s="7">
        <f t="shared" si="4"/>
        <v>13628.97353</v>
      </c>
      <c r="N14" s="129" t="s">
        <v>102</v>
      </c>
      <c r="O14" s="130" t="s">
        <v>87</v>
      </c>
      <c r="P14" s="137">
        <v>200.0</v>
      </c>
    </row>
    <row r="15" ht="19.5" customHeight="1">
      <c r="A15" s="145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N15" s="129" t="s">
        <v>103</v>
      </c>
      <c r="O15" s="130" t="s">
        <v>87</v>
      </c>
      <c r="P15" s="137">
        <v>500.0</v>
      </c>
    </row>
    <row r="16" ht="19.5" customHeight="1">
      <c r="A16" s="149" t="s">
        <v>104</v>
      </c>
      <c r="B16" s="109"/>
      <c r="C16" s="109"/>
      <c r="D16" s="109"/>
      <c r="E16" s="109"/>
      <c r="F16" s="109"/>
      <c r="G16" s="38"/>
      <c r="H16" s="150"/>
      <c r="I16" s="150"/>
      <c r="J16" s="150"/>
      <c r="K16" s="150"/>
      <c r="L16" s="150"/>
      <c r="N16" s="129" t="s">
        <v>105</v>
      </c>
      <c r="O16" s="130" t="s">
        <v>87</v>
      </c>
      <c r="P16" s="131">
        <v>30.0</v>
      </c>
    </row>
    <row r="17" ht="19.5" customHeight="1">
      <c r="A17" s="151" t="s">
        <v>95</v>
      </c>
      <c r="B17" s="152" t="s">
        <v>106</v>
      </c>
      <c r="C17" s="109"/>
      <c r="D17" s="109"/>
      <c r="E17" s="109"/>
      <c r="F17" s="109"/>
      <c r="G17" s="38"/>
      <c r="H17" s="153"/>
      <c r="I17" s="153"/>
      <c r="J17" s="153"/>
      <c r="K17" s="153"/>
      <c r="L17" s="153"/>
      <c r="N17" s="154" t="s">
        <v>107</v>
      </c>
      <c r="O17" s="155" t="s">
        <v>108</v>
      </c>
      <c r="P17" s="156">
        <v>0.2</v>
      </c>
    </row>
    <row r="18" ht="19.5" customHeight="1">
      <c r="A18" s="151"/>
      <c r="B18" s="151">
        <v>0.0</v>
      </c>
      <c r="C18" s="151">
        <v>1.0</v>
      </c>
      <c r="D18" s="151">
        <v>2.0</v>
      </c>
      <c r="E18" s="151">
        <v>3.0</v>
      </c>
      <c r="F18" s="151">
        <v>4.0</v>
      </c>
      <c r="G18" s="151">
        <v>5.0</v>
      </c>
      <c r="H18" s="151">
        <v>5.0</v>
      </c>
      <c r="I18" s="151">
        <v>5.0</v>
      </c>
      <c r="J18" s="151">
        <v>5.0</v>
      </c>
      <c r="K18" s="151">
        <v>5.0</v>
      </c>
      <c r="L18" s="151">
        <v>5.0</v>
      </c>
      <c r="N18" s="129" t="s">
        <v>109</v>
      </c>
      <c r="O18" s="157" t="s">
        <v>110</v>
      </c>
      <c r="P18" s="158">
        <v>2.0</v>
      </c>
    </row>
    <row r="19" ht="19.5" customHeight="1">
      <c r="A19" s="159" t="s">
        <v>111</v>
      </c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N19" s="129" t="s">
        <v>112</v>
      </c>
      <c r="O19" s="130" t="s">
        <v>108</v>
      </c>
      <c r="P19" s="136">
        <v>0.12</v>
      </c>
    </row>
    <row r="20" ht="19.5" customHeight="1">
      <c r="A20" s="161" t="s">
        <v>113</v>
      </c>
      <c r="B20" s="162">
        <f>(B13+B14)</f>
        <v>0</v>
      </c>
      <c r="C20" s="163">
        <f t="shared" ref="C20:L20" si="5">+C14*C13</f>
        <v>1446625250</v>
      </c>
      <c r="D20" s="163">
        <f t="shared" si="5"/>
        <v>1542174848</v>
      </c>
      <c r="E20" s="163">
        <f t="shared" si="5"/>
        <v>1644035496</v>
      </c>
      <c r="F20" s="163">
        <f t="shared" si="5"/>
        <v>1752624041</v>
      </c>
      <c r="G20" s="163">
        <f t="shared" si="5"/>
        <v>1868384859</v>
      </c>
      <c r="H20" s="163">
        <f t="shared" si="5"/>
        <v>1991791679</v>
      </c>
      <c r="I20" s="163">
        <f t="shared" si="5"/>
        <v>2123349519</v>
      </c>
      <c r="J20" s="163">
        <f t="shared" si="5"/>
        <v>2263596755</v>
      </c>
      <c r="K20" s="163">
        <f t="shared" si="5"/>
        <v>2413107321</v>
      </c>
      <c r="L20" s="163">
        <f t="shared" si="5"/>
        <v>2572493059</v>
      </c>
      <c r="N20" s="129" t="s">
        <v>114</v>
      </c>
      <c r="O20" s="130" t="s">
        <v>108</v>
      </c>
      <c r="P20" s="136">
        <v>0.2</v>
      </c>
    </row>
    <row r="21" ht="19.5" customHeight="1">
      <c r="A21" s="164" t="s">
        <v>115</v>
      </c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N21" s="129" t="s">
        <v>116</v>
      </c>
      <c r="O21" s="130" t="s">
        <v>108</v>
      </c>
      <c r="P21" s="166">
        <v>0.0222</v>
      </c>
      <c r="R21" s="24"/>
    </row>
    <row r="22" ht="19.5" customHeight="1">
      <c r="A22" s="167" t="s">
        <v>117</v>
      </c>
      <c r="B22" s="168"/>
      <c r="C22" s="169">
        <v>3288.67</v>
      </c>
      <c r="D22" s="170">
        <f t="shared" ref="D22:L22" si="6">+(C22*3.5%)+C22</f>
        <v>3403.77345</v>
      </c>
      <c r="E22" s="170">
        <f t="shared" si="6"/>
        <v>3522.905521</v>
      </c>
      <c r="F22" s="170">
        <f t="shared" si="6"/>
        <v>3646.207214</v>
      </c>
      <c r="G22" s="170">
        <f t="shared" si="6"/>
        <v>3773.824466</v>
      </c>
      <c r="H22" s="170">
        <f t="shared" si="6"/>
        <v>3905.908323</v>
      </c>
      <c r="I22" s="170">
        <f t="shared" si="6"/>
        <v>4042.615114</v>
      </c>
      <c r="J22" s="170">
        <f t="shared" si="6"/>
        <v>4184.106643</v>
      </c>
      <c r="K22" s="170">
        <f t="shared" si="6"/>
        <v>4330.550376</v>
      </c>
      <c r="L22" s="170">
        <f t="shared" si="6"/>
        <v>4482.119639</v>
      </c>
      <c r="N22" s="171" t="s">
        <v>118</v>
      </c>
      <c r="P22" s="24" t="s">
        <v>119</v>
      </c>
    </row>
    <row r="23" ht="19.5" customHeight="1">
      <c r="A23" s="167" t="s">
        <v>120</v>
      </c>
      <c r="B23" s="168"/>
      <c r="C23" s="169">
        <f t="shared" ref="C23:L23" si="7">+C22*C13</f>
        <v>475747306.1</v>
      </c>
      <c r="D23" s="169">
        <f t="shared" si="7"/>
        <v>507170415.7</v>
      </c>
      <c r="E23" s="169">
        <f t="shared" si="7"/>
        <v>540669021.6</v>
      </c>
      <c r="F23" s="169">
        <f t="shared" si="7"/>
        <v>576380210.5</v>
      </c>
      <c r="G23" s="169">
        <f t="shared" si="7"/>
        <v>614450123.4</v>
      </c>
      <c r="H23" s="169">
        <f t="shared" si="7"/>
        <v>655034554</v>
      </c>
      <c r="I23" s="169">
        <f t="shared" si="7"/>
        <v>698299586.3</v>
      </c>
      <c r="J23" s="169">
        <f t="shared" si="7"/>
        <v>744422274</v>
      </c>
      <c r="K23" s="169">
        <f t="shared" si="7"/>
        <v>793591365.2</v>
      </c>
      <c r="L23" s="169">
        <f t="shared" si="7"/>
        <v>846008074.9</v>
      </c>
      <c r="N23" s="172"/>
    </row>
    <row r="24" ht="19.5" customHeight="1">
      <c r="A24" s="173" t="s">
        <v>121</v>
      </c>
      <c r="B24" s="174">
        <f>(B20-(B22+B23))</f>
        <v>0</v>
      </c>
      <c r="C24" s="169">
        <f t="shared" ref="C24:L24" si="8">((C20)-(C23))</f>
        <v>970877943.9</v>
      </c>
      <c r="D24" s="169">
        <f t="shared" si="8"/>
        <v>1035004432</v>
      </c>
      <c r="E24" s="169">
        <f t="shared" si="8"/>
        <v>1103366475</v>
      </c>
      <c r="F24" s="169">
        <f t="shared" si="8"/>
        <v>1176243831</v>
      </c>
      <c r="G24" s="169">
        <f t="shared" si="8"/>
        <v>1253934736</v>
      </c>
      <c r="H24" s="169">
        <f t="shared" si="8"/>
        <v>1336757125</v>
      </c>
      <c r="I24" s="169">
        <f t="shared" si="8"/>
        <v>1425049933</v>
      </c>
      <c r="J24" s="169">
        <f t="shared" si="8"/>
        <v>1519174481</v>
      </c>
      <c r="K24" s="169">
        <f t="shared" si="8"/>
        <v>1619515955</v>
      </c>
      <c r="L24" s="169">
        <f t="shared" si="8"/>
        <v>1726484984</v>
      </c>
      <c r="N24" s="144" t="s">
        <v>122</v>
      </c>
      <c r="O24" s="175"/>
    </row>
    <row r="25" ht="19.5" customHeight="1">
      <c r="A25" s="176" t="s">
        <v>123</v>
      </c>
      <c r="B25" s="177"/>
      <c r="C25" s="178">
        <f t="shared" ref="C25:L25" si="9">+(C24/C20)</f>
        <v>0.671133</v>
      </c>
      <c r="D25" s="178">
        <f t="shared" si="9"/>
        <v>0.671133</v>
      </c>
      <c r="E25" s="178">
        <f t="shared" si="9"/>
        <v>0.671133</v>
      </c>
      <c r="F25" s="178">
        <f t="shared" si="9"/>
        <v>0.671133</v>
      </c>
      <c r="G25" s="178">
        <f t="shared" si="9"/>
        <v>0.671133</v>
      </c>
      <c r="H25" s="178">
        <f t="shared" si="9"/>
        <v>0.671133</v>
      </c>
      <c r="I25" s="178">
        <f t="shared" si="9"/>
        <v>0.671133</v>
      </c>
      <c r="J25" s="178">
        <f t="shared" si="9"/>
        <v>0.671133</v>
      </c>
      <c r="K25" s="178">
        <f t="shared" si="9"/>
        <v>0.671133</v>
      </c>
      <c r="L25" s="178">
        <f t="shared" si="9"/>
        <v>0.671133</v>
      </c>
      <c r="N25" s="144" t="s">
        <v>124</v>
      </c>
      <c r="O25" s="175"/>
    </row>
    <row r="26" ht="19.5" customHeight="1">
      <c r="A26" s="176" t="s">
        <v>125</v>
      </c>
      <c r="B26" s="179">
        <v>0.0</v>
      </c>
      <c r="C26" s="179">
        <f t="shared" ref="C26:L26" si="10">(C29)/($P$7-$P$8)</f>
        <v>244347709.3</v>
      </c>
      <c r="D26" s="179">
        <f t="shared" si="10"/>
        <v>260285856.1</v>
      </c>
      <c r="E26" s="179">
        <f t="shared" si="10"/>
        <v>277269681.8</v>
      </c>
      <c r="F26" s="179">
        <f t="shared" si="10"/>
        <v>295368007.2</v>
      </c>
      <c r="G26" s="179">
        <f t="shared" si="10"/>
        <v>314654190.2</v>
      </c>
      <c r="H26" s="179">
        <f t="shared" si="10"/>
        <v>335206425</v>
      </c>
      <c r="I26" s="179">
        <f t="shared" si="10"/>
        <v>357108061.4</v>
      </c>
      <c r="J26" s="179">
        <f t="shared" si="10"/>
        <v>380447944.6</v>
      </c>
      <c r="K26" s="179">
        <f t="shared" si="10"/>
        <v>405320778.4</v>
      </c>
      <c r="L26" s="179">
        <f t="shared" si="10"/>
        <v>431827511.6</v>
      </c>
      <c r="N26" s="144" t="s">
        <v>126</v>
      </c>
      <c r="O26" s="24"/>
    </row>
    <row r="27" ht="19.5" customHeight="1">
      <c r="A27" s="180" t="s">
        <v>127</v>
      </c>
      <c r="B27" s="181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O27" s="182"/>
    </row>
    <row r="28" ht="19.5" customHeight="1">
      <c r="A28" s="183" t="s">
        <v>128</v>
      </c>
      <c r="B28" s="181"/>
      <c r="C28" s="169">
        <v>1.2948112593E7</v>
      </c>
      <c r="D28" s="170">
        <f t="shared" ref="D28:L28" si="11">+(C28*3.5%)+C28</f>
        <v>13401296.53</v>
      </c>
      <c r="E28" s="170">
        <f t="shared" si="11"/>
        <v>13870341.91</v>
      </c>
      <c r="F28" s="170">
        <f t="shared" si="11"/>
        <v>14355803.88</v>
      </c>
      <c r="G28" s="170">
        <f t="shared" si="11"/>
        <v>14858257.02</v>
      </c>
      <c r="H28" s="170">
        <f t="shared" si="11"/>
        <v>15378296.01</v>
      </c>
      <c r="I28" s="170">
        <f t="shared" si="11"/>
        <v>15916536.37</v>
      </c>
      <c r="J28" s="170">
        <f t="shared" si="11"/>
        <v>16473615.14</v>
      </c>
      <c r="K28" s="170">
        <f t="shared" si="11"/>
        <v>17050191.67</v>
      </c>
      <c r="L28" s="170">
        <f t="shared" si="11"/>
        <v>17646948.38</v>
      </c>
      <c r="O28" s="184"/>
      <c r="P28" s="184"/>
    </row>
    <row r="29" ht="19.5" customHeight="1">
      <c r="A29" s="185" t="s">
        <v>129</v>
      </c>
      <c r="B29" s="186"/>
      <c r="C29" s="169">
        <f t="shared" ref="C29:L29" si="12">+C28+C23</f>
        <v>488695418.7</v>
      </c>
      <c r="D29" s="169">
        <f t="shared" si="12"/>
        <v>520571712.2</v>
      </c>
      <c r="E29" s="169">
        <f t="shared" si="12"/>
        <v>554539363.5</v>
      </c>
      <c r="F29" s="169">
        <f t="shared" si="12"/>
        <v>590736014.4</v>
      </c>
      <c r="G29" s="169">
        <f t="shared" si="12"/>
        <v>629308380.4</v>
      </c>
      <c r="H29" s="169">
        <f t="shared" si="12"/>
        <v>670412850.1</v>
      </c>
      <c r="I29" s="169">
        <f t="shared" si="12"/>
        <v>714216122.7</v>
      </c>
      <c r="J29" s="169">
        <f t="shared" si="12"/>
        <v>760895889.2</v>
      </c>
      <c r="K29" s="169">
        <f t="shared" si="12"/>
        <v>810641556.9</v>
      </c>
      <c r="L29" s="169">
        <f t="shared" si="12"/>
        <v>863655023.3</v>
      </c>
      <c r="O29" s="182"/>
      <c r="P29" s="187"/>
    </row>
    <row r="30" ht="19.5" customHeight="1">
      <c r="A30" s="188" t="s">
        <v>130</v>
      </c>
      <c r="B30" s="189"/>
      <c r="C30" s="189">
        <f t="shared" ref="C30:L30" si="13">(C24-C29)</f>
        <v>482182525.2</v>
      </c>
      <c r="D30" s="189">
        <f t="shared" si="13"/>
        <v>514432719.9</v>
      </c>
      <c r="E30" s="189">
        <f t="shared" si="13"/>
        <v>548827111.3</v>
      </c>
      <c r="F30" s="189">
        <f t="shared" si="13"/>
        <v>585507816.1</v>
      </c>
      <c r="G30" s="189">
        <f t="shared" si="13"/>
        <v>624626355.1</v>
      </c>
      <c r="H30" s="189">
        <f t="shared" si="13"/>
        <v>666344274.7</v>
      </c>
      <c r="I30" s="189">
        <f t="shared" si="13"/>
        <v>710833810.2</v>
      </c>
      <c r="J30" s="189">
        <f t="shared" si="13"/>
        <v>758278591.8</v>
      </c>
      <c r="K30" s="189">
        <f t="shared" si="13"/>
        <v>808874398.5</v>
      </c>
      <c r="L30" s="189">
        <f t="shared" si="13"/>
        <v>862829961</v>
      </c>
      <c r="O30" s="190"/>
    </row>
    <row r="31" ht="19.5" customHeight="1">
      <c r="A31" s="191" t="s">
        <v>131</v>
      </c>
      <c r="B31" s="192"/>
      <c r="C31" s="169">
        <f t="shared" ref="C31:L31" si="14">$B$32*2.2%</f>
        <v>3009600</v>
      </c>
      <c r="D31" s="169">
        <f t="shared" si="14"/>
        <v>3009600</v>
      </c>
      <c r="E31" s="169">
        <f t="shared" si="14"/>
        <v>3009600</v>
      </c>
      <c r="F31" s="169">
        <f t="shared" si="14"/>
        <v>3009600</v>
      </c>
      <c r="G31" s="169">
        <f t="shared" si="14"/>
        <v>3009600</v>
      </c>
      <c r="H31" s="169">
        <f t="shared" si="14"/>
        <v>3009600</v>
      </c>
      <c r="I31" s="169">
        <f t="shared" si="14"/>
        <v>3009600</v>
      </c>
      <c r="J31" s="169">
        <f t="shared" si="14"/>
        <v>3009600</v>
      </c>
      <c r="K31" s="169">
        <f t="shared" si="14"/>
        <v>3009600</v>
      </c>
      <c r="L31" s="169">
        <f t="shared" si="14"/>
        <v>3009600</v>
      </c>
      <c r="O31" s="190"/>
    </row>
    <row r="32" ht="19.5" customHeight="1">
      <c r="A32" s="193" t="s">
        <v>132</v>
      </c>
      <c r="B32" s="169">
        <v>1.368E8</v>
      </c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66"/>
      <c r="N32" s="66"/>
      <c r="O32" s="195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9.5" customHeight="1">
      <c r="A33" s="196" t="s">
        <v>133</v>
      </c>
      <c r="B33" s="192"/>
      <c r="C33" s="169">
        <f t="shared" ref="C33:L33" si="15">-54427200*20%</f>
        <v>-10885440</v>
      </c>
      <c r="D33" s="169">
        <f t="shared" si="15"/>
        <v>-10885440</v>
      </c>
      <c r="E33" s="169">
        <f t="shared" si="15"/>
        <v>-10885440</v>
      </c>
      <c r="F33" s="169">
        <f t="shared" si="15"/>
        <v>-10885440</v>
      </c>
      <c r="G33" s="169">
        <f t="shared" si="15"/>
        <v>-10885440</v>
      </c>
      <c r="H33" s="169">
        <f t="shared" si="15"/>
        <v>-10885440</v>
      </c>
      <c r="I33" s="169">
        <f t="shared" si="15"/>
        <v>-10885440</v>
      </c>
      <c r="J33" s="169">
        <f t="shared" si="15"/>
        <v>-10885440</v>
      </c>
      <c r="K33" s="169">
        <f t="shared" si="15"/>
        <v>-10885440</v>
      </c>
      <c r="L33" s="169">
        <f t="shared" si="15"/>
        <v>-10885440</v>
      </c>
      <c r="O33" s="190"/>
    </row>
    <row r="34" ht="19.5" customHeight="1">
      <c r="A34" s="196" t="s">
        <v>134</v>
      </c>
      <c r="B34" s="169">
        <f>54427200*2</f>
        <v>108854400</v>
      </c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O34" s="190"/>
    </row>
    <row r="35" ht="19.5" customHeight="1">
      <c r="A35" s="196" t="s">
        <v>135</v>
      </c>
      <c r="B35" s="134"/>
      <c r="C35" s="197">
        <f t="shared" ref="C35:L35" si="16">-$B$43*10%</f>
        <v>-43788264</v>
      </c>
      <c r="D35" s="197">
        <f t="shared" si="16"/>
        <v>-43788264</v>
      </c>
      <c r="E35" s="197">
        <f t="shared" si="16"/>
        <v>-43788264</v>
      </c>
      <c r="F35" s="197">
        <f t="shared" si="16"/>
        <v>-43788264</v>
      </c>
      <c r="G35" s="197">
        <f t="shared" si="16"/>
        <v>-43788264</v>
      </c>
      <c r="H35" s="197">
        <f t="shared" si="16"/>
        <v>-43788264</v>
      </c>
      <c r="I35" s="197">
        <f t="shared" si="16"/>
        <v>-43788264</v>
      </c>
      <c r="J35" s="197">
        <f t="shared" si="16"/>
        <v>-43788264</v>
      </c>
      <c r="K35" s="197">
        <f t="shared" si="16"/>
        <v>-43788264</v>
      </c>
      <c r="L35" s="197">
        <f t="shared" si="16"/>
        <v>-43788264</v>
      </c>
    </row>
    <row r="36" ht="19.5" customHeight="1">
      <c r="A36" s="196" t="s">
        <v>136</v>
      </c>
      <c r="B36" s="169">
        <v>1.9222824000059E8</v>
      </c>
      <c r="C36" s="134">
        <v>0.0</v>
      </c>
      <c r="D36" s="134">
        <v>0.0</v>
      </c>
      <c r="E36" s="134">
        <v>0.0</v>
      </c>
      <c r="F36" s="134">
        <v>0.0</v>
      </c>
      <c r="G36" s="134">
        <v>0.0</v>
      </c>
      <c r="H36" s="134">
        <v>0.0</v>
      </c>
      <c r="I36" s="134">
        <v>0.0</v>
      </c>
      <c r="J36" s="134">
        <v>0.0</v>
      </c>
      <c r="K36" s="134">
        <v>0.0</v>
      </c>
      <c r="L36" s="134">
        <v>0.0</v>
      </c>
      <c r="N36" s="65"/>
      <c r="O36" s="198"/>
    </row>
    <row r="37" ht="19.5" customHeight="1">
      <c r="A37" s="196" t="s">
        <v>137</v>
      </c>
      <c r="B37" s="169"/>
      <c r="C37" s="169">
        <f t="shared" ref="C37:L37" si="17">+C35+C33+C31</f>
        <v>-51664104</v>
      </c>
      <c r="D37" s="169">
        <f t="shared" si="17"/>
        <v>-51664104</v>
      </c>
      <c r="E37" s="169">
        <f t="shared" si="17"/>
        <v>-51664104</v>
      </c>
      <c r="F37" s="169">
        <f t="shared" si="17"/>
        <v>-51664104</v>
      </c>
      <c r="G37" s="169">
        <f t="shared" si="17"/>
        <v>-51664104</v>
      </c>
      <c r="H37" s="169">
        <f t="shared" si="17"/>
        <v>-51664104</v>
      </c>
      <c r="I37" s="169">
        <f t="shared" si="17"/>
        <v>-51664104</v>
      </c>
      <c r="J37" s="169">
        <f t="shared" si="17"/>
        <v>-51664104</v>
      </c>
      <c r="K37" s="169">
        <f t="shared" si="17"/>
        <v>-51664104</v>
      </c>
      <c r="L37" s="169">
        <f t="shared" si="17"/>
        <v>-51664104</v>
      </c>
      <c r="N37" s="65"/>
      <c r="O37" s="198"/>
    </row>
    <row r="38" ht="19.5" customHeight="1">
      <c r="A38" s="199" t="s">
        <v>138</v>
      </c>
      <c r="B38" s="200">
        <f t="shared" ref="B38:L38" si="18">+B30+B35</f>
        <v>0</v>
      </c>
      <c r="C38" s="200">
        <f t="shared" si="18"/>
        <v>438394261.2</v>
      </c>
      <c r="D38" s="200">
        <f t="shared" si="18"/>
        <v>470644455.9</v>
      </c>
      <c r="E38" s="200">
        <f t="shared" si="18"/>
        <v>505038847.3</v>
      </c>
      <c r="F38" s="200">
        <f t="shared" si="18"/>
        <v>541719552.1</v>
      </c>
      <c r="G38" s="200">
        <f t="shared" si="18"/>
        <v>580838091.1</v>
      </c>
      <c r="H38" s="200">
        <f t="shared" si="18"/>
        <v>622556010.7</v>
      </c>
      <c r="I38" s="200">
        <f t="shared" si="18"/>
        <v>667045546.2</v>
      </c>
      <c r="J38" s="200">
        <f t="shared" si="18"/>
        <v>714490327.8</v>
      </c>
      <c r="K38" s="200">
        <f t="shared" si="18"/>
        <v>765086134.5</v>
      </c>
      <c r="L38" s="200">
        <f t="shared" si="18"/>
        <v>819041697</v>
      </c>
    </row>
    <row r="39" ht="19.5" customHeight="1">
      <c r="A39" s="134" t="s">
        <v>139</v>
      </c>
      <c r="B39" s="134">
        <v>0.0</v>
      </c>
      <c r="C39" s="134">
        <v>0.0</v>
      </c>
      <c r="D39" s="134">
        <f t="shared" ref="D39:L39" si="19">+D38*$P$20</f>
        <v>94128891.18</v>
      </c>
      <c r="E39" s="134">
        <f t="shared" si="19"/>
        <v>101007769.5</v>
      </c>
      <c r="F39" s="134">
        <f t="shared" si="19"/>
        <v>108343910.4</v>
      </c>
      <c r="G39" s="134">
        <f t="shared" si="19"/>
        <v>116167618.2</v>
      </c>
      <c r="H39" s="134">
        <f t="shared" si="19"/>
        <v>124511202.1</v>
      </c>
      <c r="I39" s="134">
        <f t="shared" si="19"/>
        <v>133409109.2</v>
      </c>
      <c r="J39" s="134">
        <f t="shared" si="19"/>
        <v>142898065.6</v>
      </c>
      <c r="K39" s="134">
        <f t="shared" si="19"/>
        <v>153017226.9</v>
      </c>
      <c r="L39" s="134">
        <f t="shared" si="19"/>
        <v>163808339.4</v>
      </c>
    </row>
    <row r="40" ht="19.5" customHeight="1">
      <c r="A40" s="201" t="s">
        <v>140</v>
      </c>
      <c r="B40" s="200">
        <f>+B35+B38</f>
        <v>0</v>
      </c>
      <c r="C40" s="200">
        <f t="shared" ref="C40:L40" si="20">+C38-C39</f>
        <v>438394261.2</v>
      </c>
      <c r="D40" s="200">
        <f t="shared" si="20"/>
        <v>376515564.7</v>
      </c>
      <c r="E40" s="200">
        <f t="shared" si="20"/>
        <v>404031077.9</v>
      </c>
      <c r="F40" s="200">
        <f t="shared" si="20"/>
        <v>433375641.7</v>
      </c>
      <c r="G40" s="200">
        <f t="shared" si="20"/>
        <v>464670472.9</v>
      </c>
      <c r="H40" s="200">
        <f t="shared" si="20"/>
        <v>498044808.6</v>
      </c>
      <c r="I40" s="200">
        <f t="shared" si="20"/>
        <v>533636436.9</v>
      </c>
      <c r="J40" s="200">
        <f t="shared" si="20"/>
        <v>571592262.2</v>
      </c>
      <c r="K40" s="200">
        <f t="shared" si="20"/>
        <v>612068907.6</v>
      </c>
      <c r="L40" s="200">
        <f t="shared" si="20"/>
        <v>655233357.6</v>
      </c>
      <c r="O40" s="198"/>
    </row>
    <row r="41" ht="19.5" customHeight="1">
      <c r="A41" s="202" t="s">
        <v>141</v>
      </c>
      <c r="B41" s="134"/>
      <c r="C41" s="134">
        <f t="shared" ref="C41:L41" si="21">+C35*-1</f>
        <v>43788264</v>
      </c>
      <c r="D41" s="134">
        <f t="shared" si="21"/>
        <v>43788264</v>
      </c>
      <c r="E41" s="134">
        <f t="shared" si="21"/>
        <v>43788264</v>
      </c>
      <c r="F41" s="134">
        <f t="shared" si="21"/>
        <v>43788264</v>
      </c>
      <c r="G41" s="134">
        <f t="shared" si="21"/>
        <v>43788264</v>
      </c>
      <c r="H41" s="134">
        <f t="shared" si="21"/>
        <v>43788264</v>
      </c>
      <c r="I41" s="134">
        <f t="shared" si="21"/>
        <v>43788264</v>
      </c>
      <c r="J41" s="134">
        <f t="shared" si="21"/>
        <v>43788264</v>
      </c>
      <c r="K41" s="134">
        <f t="shared" si="21"/>
        <v>43788264</v>
      </c>
      <c r="L41" s="134">
        <f t="shared" si="21"/>
        <v>43788264</v>
      </c>
    </row>
    <row r="42" ht="19.5" customHeight="1">
      <c r="A42" s="202" t="s">
        <v>142</v>
      </c>
      <c r="B42" s="169">
        <f>+B36+B34+B32</f>
        <v>437882640</v>
      </c>
      <c r="C42" s="134">
        <v>0.0</v>
      </c>
      <c r="D42" s="134">
        <v>0.0</v>
      </c>
      <c r="E42" s="134">
        <v>0.0</v>
      </c>
      <c r="F42" s="134">
        <v>0.0</v>
      </c>
      <c r="G42" s="134">
        <v>0.0</v>
      </c>
      <c r="H42" s="134">
        <v>0.0</v>
      </c>
      <c r="I42" s="134">
        <v>0.0</v>
      </c>
      <c r="J42" s="134">
        <v>0.0</v>
      </c>
      <c r="K42" s="134">
        <v>0.0</v>
      </c>
      <c r="L42" s="134">
        <v>0.0</v>
      </c>
    </row>
    <row r="43" ht="19.5" customHeight="1">
      <c r="A43" s="203" t="s">
        <v>143</v>
      </c>
      <c r="B43" s="169">
        <f>+B42</f>
        <v>437882640</v>
      </c>
      <c r="C43" s="203">
        <v>0.0</v>
      </c>
      <c r="D43" s="203">
        <v>0.0</v>
      </c>
      <c r="E43" s="203">
        <v>0.0</v>
      </c>
      <c r="F43" s="203">
        <v>0.0</v>
      </c>
      <c r="G43" s="203">
        <v>0.0</v>
      </c>
      <c r="H43" s="203">
        <v>0.0</v>
      </c>
      <c r="I43" s="203">
        <v>0.0</v>
      </c>
      <c r="J43" s="203">
        <v>0.0</v>
      </c>
      <c r="K43" s="203">
        <v>0.0</v>
      </c>
      <c r="L43" s="203">
        <v>0.0</v>
      </c>
    </row>
    <row r="44" ht="19.5" customHeight="1">
      <c r="A44" s="204" t="s">
        <v>144</v>
      </c>
      <c r="B44" s="169">
        <v>3.09565199939896E7</v>
      </c>
      <c r="C44" s="169">
        <f>+C23/2</f>
        <v>237873653</v>
      </c>
      <c r="D44" s="169">
        <f t="shared" ref="D44:L44" si="22">(D$20*$P$17)</f>
        <v>308434969.6</v>
      </c>
      <c r="E44" s="169">
        <f t="shared" si="22"/>
        <v>328807099.3</v>
      </c>
      <c r="F44" s="169">
        <f t="shared" si="22"/>
        <v>350524808.2</v>
      </c>
      <c r="G44" s="169">
        <f t="shared" si="22"/>
        <v>373676971.8</v>
      </c>
      <c r="H44" s="169">
        <f t="shared" si="22"/>
        <v>398358335.8</v>
      </c>
      <c r="I44" s="169">
        <f t="shared" si="22"/>
        <v>424669903.8</v>
      </c>
      <c r="J44" s="169">
        <f t="shared" si="22"/>
        <v>452719351</v>
      </c>
      <c r="K44" s="169">
        <f t="shared" si="22"/>
        <v>482621464.1</v>
      </c>
      <c r="L44" s="169">
        <f t="shared" si="22"/>
        <v>514498611.8</v>
      </c>
    </row>
    <row r="45" ht="19.5" customHeight="1">
      <c r="A45" s="204" t="s">
        <v>145</v>
      </c>
      <c r="B45" s="205">
        <v>0.0</v>
      </c>
      <c r="C45" s="192">
        <v>0.0</v>
      </c>
      <c r="D45" s="192">
        <v>0.0</v>
      </c>
      <c r="E45" s="192">
        <v>0.0</v>
      </c>
      <c r="F45" s="192">
        <v>0.0</v>
      </c>
      <c r="G45" s="169">
        <f t="shared" ref="G45:L45" si="23">SUM(B44:G44)</f>
        <v>1630274022</v>
      </c>
      <c r="H45" s="169">
        <f t="shared" si="23"/>
        <v>1997675838</v>
      </c>
      <c r="I45" s="169">
        <f t="shared" si="23"/>
        <v>2184472088</v>
      </c>
      <c r="J45" s="169">
        <f t="shared" si="23"/>
        <v>2328756470</v>
      </c>
      <c r="K45" s="169">
        <f t="shared" si="23"/>
        <v>2482570835</v>
      </c>
      <c r="L45" s="169">
        <f t="shared" si="23"/>
        <v>2646544638</v>
      </c>
    </row>
    <row r="46" ht="19.5" customHeight="1">
      <c r="A46" s="202" t="s">
        <v>146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</row>
    <row r="47" ht="19.5" customHeight="1">
      <c r="A47" s="206" t="s">
        <v>147</v>
      </c>
      <c r="B47" s="207">
        <f>-B43-B44</f>
        <v>-468839160</v>
      </c>
      <c r="C47" s="207">
        <f t="shared" ref="C47:L47" si="24">((C30+C43)*(1-$P$20)+C41-C43-C44)</f>
        <v>191660631.1</v>
      </c>
      <c r="D47" s="207">
        <f t="shared" si="24"/>
        <v>146899470.4</v>
      </c>
      <c r="E47" s="207">
        <f t="shared" si="24"/>
        <v>154042853.8</v>
      </c>
      <c r="F47" s="207">
        <f t="shared" si="24"/>
        <v>161669708.7</v>
      </c>
      <c r="G47" s="207">
        <f t="shared" si="24"/>
        <v>169812376.3</v>
      </c>
      <c r="H47" s="207">
        <f t="shared" si="24"/>
        <v>178505348</v>
      </c>
      <c r="I47" s="207">
        <f t="shared" si="24"/>
        <v>187785408.3</v>
      </c>
      <c r="J47" s="207">
        <f t="shared" si="24"/>
        <v>197691786.4</v>
      </c>
      <c r="K47" s="207">
        <f t="shared" si="24"/>
        <v>208266318.7</v>
      </c>
      <c r="L47" s="207">
        <f t="shared" si="24"/>
        <v>219553621</v>
      </c>
    </row>
    <row r="48" ht="19.5" customHeight="1">
      <c r="A48" s="206" t="s">
        <v>148</v>
      </c>
      <c r="B48" s="207">
        <f>+B47</f>
        <v>-468839160</v>
      </c>
      <c r="C48" s="207">
        <f t="shared" ref="C48:L48" si="25">+C47+B48</f>
        <v>-277178528.9</v>
      </c>
      <c r="D48" s="207">
        <f t="shared" si="25"/>
        <v>-130279058.5</v>
      </c>
      <c r="E48" s="207">
        <f t="shared" si="25"/>
        <v>23763795.28</v>
      </c>
      <c r="F48" s="207">
        <f t="shared" si="25"/>
        <v>185433504</v>
      </c>
      <c r="G48" s="207">
        <f t="shared" si="25"/>
        <v>355245880.3</v>
      </c>
      <c r="H48" s="207">
        <f t="shared" si="25"/>
        <v>533751228.3</v>
      </c>
      <c r="I48" s="207">
        <f t="shared" si="25"/>
        <v>721536636.6</v>
      </c>
      <c r="J48" s="207">
        <f t="shared" si="25"/>
        <v>919228423</v>
      </c>
      <c r="K48" s="207">
        <f t="shared" si="25"/>
        <v>1127494742</v>
      </c>
      <c r="L48" s="207">
        <f t="shared" si="25"/>
        <v>1347048363</v>
      </c>
    </row>
    <row r="49" ht="19.5" customHeight="1">
      <c r="A49" s="199" t="s">
        <v>149</v>
      </c>
      <c r="B49" s="208">
        <f t="array" ref="B49">NPV(15%,C47,D47,E47,F47,G47)-530</f>
        <v>555885613</v>
      </c>
      <c r="C49" s="209"/>
    </row>
    <row r="50" ht="19.5" customHeight="1">
      <c r="A50" s="199" t="s">
        <v>56</v>
      </c>
      <c r="B50" s="210">
        <f>IRR(B47:G47)</f>
        <v>0.2277323369</v>
      </c>
      <c r="C50" s="211">
        <f>+P19</f>
        <v>0.12</v>
      </c>
      <c r="D50" s="187"/>
      <c r="E50" s="24"/>
      <c r="N50" s="212" t="s">
        <v>150</v>
      </c>
    </row>
    <row r="51" ht="19.5" customHeight="1">
      <c r="B51" s="187"/>
      <c r="F51" s="187"/>
    </row>
    <row r="52" ht="19.5" customHeight="1">
      <c r="C52" s="187"/>
    </row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>
      <c r="O60" s="213"/>
    </row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</row>
    <row r="68" ht="19.5" customHeight="1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</row>
    <row r="69" ht="19.5" customHeight="1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</row>
    <row r="70" ht="19.5" customHeight="1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</row>
    <row r="71" ht="19.5" customHeight="1">
      <c r="A71" s="215" t="s">
        <v>151</v>
      </c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</row>
    <row r="72" ht="19.5" customHeight="1">
      <c r="A72" s="215" t="s">
        <v>152</v>
      </c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5"/>
    </row>
    <row r="73" ht="19.5" customHeight="1">
      <c r="A73" s="215" t="s">
        <v>153</v>
      </c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</row>
    <row r="74" ht="19.5" customHeight="1">
      <c r="A74" s="215" t="s">
        <v>154</v>
      </c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</row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>
      <c r="A90" s="216"/>
      <c r="B90" s="21"/>
    </row>
    <row r="91" ht="19.5" customHeight="1"/>
    <row r="92" ht="19.5" customHeight="1"/>
    <row r="93" ht="19.5" customHeight="1"/>
    <row r="94" ht="19.5" customHeight="1"/>
    <row r="95" ht="19.5" customHeight="1"/>
    <row r="96" ht="19.5" customHeight="1">
      <c r="A96" s="217"/>
    </row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8">
    <mergeCell ref="A5:G5"/>
    <mergeCell ref="N5:O5"/>
    <mergeCell ref="N6:P6"/>
    <mergeCell ref="A10:G10"/>
    <mergeCell ref="B11:G11"/>
    <mergeCell ref="A16:G16"/>
    <mergeCell ref="B17:G17"/>
    <mergeCell ref="N23:O23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9.14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2016-08-13T04:25:40Z</dcterms:created>
  <dc:creator>Lenovo</dc:creator>
</cp:coreProperties>
</file>