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<sst xmlns="http://schemas.openxmlformats.org/spreadsheetml/2006/main" count="57" uniqueCount="38">
  <si>
    <t xml:space="preserve"> </t>
  </si>
  <si>
    <t>Pzz(%)  =</t>
  </si>
  <si>
    <t>counts</t>
  </si>
  <si>
    <t>1 Week</t>
  </si>
  <si>
    <t xml:space="preserve">1 Week weight </t>
  </si>
  <si>
    <t>Azz</t>
  </si>
  <si>
    <t>4 Weeks</t>
  </si>
  <si>
    <t>R(0,0)</t>
  </si>
  <si>
    <t>R(0,27)</t>
  </si>
  <si>
    <t>σR(0,0) _stat</t>
  </si>
  <si>
    <t>σR(0,27)</t>
  </si>
  <si>
    <t>σAzz _stat</t>
  </si>
  <si>
    <t>σ+</t>
  </si>
  <si>
    <t>σ-</t>
  </si>
  <si>
    <t>σ0</t>
  </si>
  <si>
    <t>σR(0,0)</t>
  </si>
  <si>
    <t>Pz</t>
  </si>
  <si>
    <t>Pzz</t>
  </si>
  <si>
    <t>weight</t>
  </si>
  <si>
    <t>Weighted</t>
  </si>
  <si>
    <t>R(-Pz,0)</t>
  </si>
  <si>
    <t>R(Pz,0)</t>
  </si>
  <si>
    <t>R(-Pz,Pzz)</t>
  </si>
  <si>
    <t>R(Pz,Pzz)</t>
  </si>
  <si>
    <t>σR(-Pz,0)</t>
  </si>
  <si>
    <t>σR(Pz,0)</t>
  </si>
  <si>
    <t>σR(-Pz,Pzz)</t>
  </si>
  <si>
    <t>σR(Pz,Pzz)</t>
  </si>
  <si>
    <t>Weeks</t>
  </si>
  <si>
    <t>σu</t>
  </si>
  <si>
    <t xml:space="preserve">Azz </t>
  </si>
  <si>
    <t>σzz</t>
  </si>
  <si>
    <t xml:space="preserve">Stat(u) </t>
  </si>
  <si>
    <t>Stat(u) 1 week</t>
  </si>
  <si>
    <t>Stat(zz) 1 week</t>
  </si>
  <si>
    <t>Stat(u) weeks</t>
  </si>
  <si>
    <t>Stat(zz)  week</t>
  </si>
  <si>
    <t>Ratio Stat Uncertanty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</si>
</sst>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rgb="FF1F1F1F"/>
      <name val="&quot;Google Sans&quot;"/>
    </font>
    <font>
      <sz val="12.0"/>
      <color theme="1"/>
      <name val="Arial"/>
    </font>
    <font>
      <color rgb="FF0000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3" numFmtId="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horizontal="center" readingOrder="0"/>
    </xf>
    <xf borderId="0" fillId="0" fontId="5" numFmtId="0" xfId="0" applyAlignment="1" applyFont="1">
      <alignment horizontal="right" vertical="bottom"/>
    </xf>
    <xf borderId="0" fillId="0" fontId="5" numFmtId="11" xfId="0" applyAlignment="1" applyFont="1" applyNumberFormat="1">
      <alignment horizontal="right" vertical="bottom"/>
    </xf>
    <xf borderId="0" fillId="0" fontId="3" numFmtId="10" xfId="0" applyFont="1" applyNumberFormat="1"/>
    <xf borderId="0" fillId="2" fontId="6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11" xfId="0" applyFont="1" applyNumberFormat="1"/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10" Type="http://schemas.openxmlformats.org/officeDocument/2006/relationships/image" Target="../media/image1.png"/><Relationship Id="rId9" Type="http://schemas.openxmlformats.org/officeDocument/2006/relationships/image" Target="../media/image9.png"/><Relationship Id="rId5" Type="http://schemas.openxmlformats.org/officeDocument/2006/relationships/image" Target="../media/image4.png"/><Relationship Id="rId6" Type="http://schemas.openxmlformats.org/officeDocument/2006/relationships/image" Target="../media/image10.png"/><Relationship Id="rId7" Type="http://schemas.openxmlformats.org/officeDocument/2006/relationships/image" Target="../media/image8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962025</xdr:colOff>
      <xdr:row>1</xdr:row>
      <xdr:rowOff>66675</xdr:rowOff>
    </xdr:from>
    <xdr:ext cx="2276475" cy="466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962025</xdr:colOff>
      <xdr:row>3</xdr:row>
      <xdr:rowOff>180975</xdr:rowOff>
    </xdr:from>
    <xdr:ext cx="2562225" cy="4000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219075</xdr:colOff>
      <xdr:row>3</xdr:row>
      <xdr:rowOff>180975</xdr:rowOff>
    </xdr:from>
    <xdr:ext cx="3343275" cy="400050"/>
    <xdr:pic>
      <xdr:nvPicPr>
        <xdr:cNvPr id="0" name="image6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523875</xdr:colOff>
      <xdr:row>0</xdr:row>
      <xdr:rowOff>0</xdr:rowOff>
    </xdr:from>
    <xdr:ext cx="2876550" cy="4000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257175</xdr:colOff>
      <xdr:row>2</xdr:row>
      <xdr:rowOff>38100</xdr:rowOff>
    </xdr:from>
    <xdr:ext cx="3381375" cy="4000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257175</xdr:colOff>
      <xdr:row>4</xdr:row>
      <xdr:rowOff>76200</xdr:rowOff>
    </xdr:from>
    <xdr:ext cx="5334000" cy="400050"/>
    <xdr:pic>
      <xdr:nvPicPr>
        <xdr:cNvPr id="0" name="image10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228600</xdr:colOff>
      <xdr:row>7</xdr:row>
      <xdr:rowOff>19050</xdr:rowOff>
    </xdr:from>
    <xdr:ext cx="5391150" cy="40005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342900</xdr:colOff>
      <xdr:row>2</xdr:row>
      <xdr:rowOff>38100</xdr:rowOff>
    </xdr:from>
    <xdr:ext cx="3724275" cy="466725"/>
    <xdr:pic>
      <xdr:nvPicPr>
        <xdr:cNvPr id="0" name="image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590550</xdr:colOff>
      <xdr:row>23</xdr:row>
      <xdr:rowOff>200025</xdr:rowOff>
    </xdr:from>
    <xdr:ext cx="4391025" cy="466725"/>
    <xdr:pic>
      <xdr:nvPicPr>
        <xdr:cNvPr id="0" name="image9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628650</xdr:colOff>
      <xdr:row>23</xdr:row>
      <xdr:rowOff>200025</xdr:rowOff>
    </xdr:from>
    <xdr:ext cx="6438900" cy="466725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9">
      <c r="D9" s="1">
        <v>2.0</v>
      </c>
    </row>
    <row r="11">
      <c r="C11" s="1"/>
      <c r="D11" s="1" t="s">
        <v>1</v>
      </c>
      <c r="E11" s="1">
        <v>27.0</v>
      </c>
    </row>
    <row r="12">
      <c r="C12" s="2" t="s">
        <v>2</v>
      </c>
      <c r="D12" s="2" t="s">
        <v>2</v>
      </c>
      <c r="F12" s="2" t="s">
        <v>2</v>
      </c>
      <c r="G12" s="2" t="s">
        <v>2</v>
      </c>
    </row>
    <row r="13">
      <c r="A13" s="3"/>
      <c r="B13" s="3"/>
      <c r="C13" s="2" t="s">
        <v>3</v>
      </c>
      <c r="D13" s="4" t="s">
        <v>4</v>
      </c>
      <c r="E13" s="2" t="s">
        <v>5</v>
      </c>
      <c r="F13" s="2" t="s">
        <v>6</v>
      </c>
      <c r="G13" s="2" t="s">
        <v>6</v>
      </c>
      <c r="H13" s="2" t="s">
        <v>3</v>
      </c>
      <c r="I13" s="2" t="s">
        <v>6</v>
      </c>
      <c r="J13" s="2" t="s">
        <v>6</v>
      </c>
    </row>
    <row r="14">
      <c r="A14" s="3"/>
      <c r="B14" s="3"/>
      <c r="C14" s="2" t="s">
        <v>7</v>
      </c>
      <c r="D14" s="2" t="s">
        <v>7</v>
      </c>
      <c r="E14" s="5"/>
      <c r="F14" s="2" t="s">
        <v>7</v>
      </c>
      <c r="G14" s="2" t="s">
        <v>8</v>
      </c>
      <c r="H14" s="6" t="s">
        <v>9</v>
      </c>
      <c r="I14" s="4" t="s">
        <v>10</v>
      </c>
      <c r="J14" s="4" t="s">
        <v>11</v>
      </c>
      <c r="K14" s="7" t="s">
        <v>12</v>
      </c>
      <c r="L14" s="7" t="s">
        <v>13</v>
      </c>
      <c r="M14" s="7" t="s">
        <v>14</v>
      </c>
      <c r="N14" s="7" t="s">
        <v>15</v>
      </c>
      <c r="O14" s="7" t="s">
        <v>10</v>
      </c>
    </row>
    <row r="15">
      <c r="A15" s="8">
        <v>5.0</v>
      </c>
      <c r="B15" s="8">
        <v>0.42</v>
      </c>
      <c r="C15" s="9">
        <v>0.323</v>
      </c>
      <c r="D15" s="9">
        <f t="shared" ref="D15:D22" si="1">10*C15*$D$9</f>
        <v>6.46</v>
      </c>
      <c r="E15" s="9">
        <v>-1.11431583580789</v>
      </c>
      <c r="F15" s="9">
        <f t="shared" ref="F15:F22" si="2">$D$9*C15*10</f>
        <v>6.46</v>
      </c>
      <c r="G15" s="9">
        <f t="shared" ref="G15:G22" si="3">F15*(1+($E$11*E15/200))</f>
        <v>5.48820516</v>
      </c>
      <c r="H15" s="10">
        <f t="shared" ref="H15:H22" si="4">1/SQRT(D15)</f>
        <v>0.3934447377</v>
      </c>
      <c r="I15" s="10">
        <f t="shared" ref="I15:I22" si="5">1/sqrt(G15)</f>
        <v>0.4268593818</v>
      </c>
      <c r="J15" s="10">
        <f t="shared" ref="J15:J22" si="6">SQRT(H15*H15 + I15*I15)</f>
        <v>0.5805236373</v>
      </c>
      <c r="K15" s="11">
        <v>0.1680354175</v>
      </c>
      <c r="L15" s="11">
        <v>0.168036126</v>
      </c>
      <c r="M15" s="11">
        <v>0.8025232555</v>
      </c>
      <c r="N15" s="12">
        <f>(K15+L15+M15)/3</f>
        <v>0.3795315997</v>
      </c>
      <c r="O15" s="13">
        <f t="shared" ref="O15:O22" si="7">N15*(1 + (($E$11/200)*E15))</f>
        <v>0.32243766</v>
      </c>
      <c r="P15" s="12">
        <f t="shared" ref="P15:P22" si="8">SQRT(POWER(I15*G15,2) + (POWER((G15/D15),2)*POWER(H15*D15,2)))</f>
        <v>3.186032822</v>
      </c>
      <c r="Q15" s="13">
        <f t="shared" ref="Q15:Q22" si="9">(P15*2)/(0.27*D15)</f>
        <v>3.653288409</v>
      </c>
      <c r="R15" s="10">
        <f t="shared" ref="R15:R22" si="10">Q15/(abs(E15))</f>
        <v>3.278503537</v>
      </c>
      <c r="S15" s="12">
        <f t="shared" ref="S15:S22" si="11">SQRT(J15*J15 + I15*I15)</f>
        <v>0.7205668778</v>
      </c>
    </row>
    <row r="16">
      <c r="A16" s="8">
        <v>15.0</v>
      </c>
      <c r="B16" s="8">
        <v>0.42</v>
      </c>
      <c r="C16" s="9">
        <v>1.03</v>
      </c>
      <c r="D16" s="9">
        <f t="shared" si="1"/>
        <v>20.6</v>
      </c>
      <c r="E16" s="9">
        <v>-1.39088904752272</v>
      </c>
      <c r="F16" s="9">
        <f t="shared" si="2"/>
        <v>20.6</v>
      </c>
      <c r="G16" s="9">
        <f t="shared" si="3"/>
        <v>16.73193756</v>
      </c>
      <c r="H16" s="10">
        <f t="shared" si="4"/>
        <v>0.2203263246</v>
      </c>
      <c r="I16" s="10">
        <f t="shared" si="5"/>
        <v>0.2444707374</v>
      </c>
      <c r="J16" s="10">
        <f t="shared" si="6"/>
        <v>0.3291042855</v>
      </c>
      <c r="K16" s="11">
        <v>0.121098623</v>
      </c>
      <c r="L16" s="11">
        <v>0.1210995465</v>
      </c>
      <c r="M16" s="11">
        <v>0.9507598875</v>
      </c>
      <c r="N16" s="12">
        <f t="shared" ref="N16:N22" si="12">(K16+L16+M16)/2</f>
        <v>0.5964790285</v>
      </c>
      <c r="O16" s="13">
        <f t="shared" si="7"/>
        <v>0.4844781485</v>
      </c>
      <c r="P16" s="12">
        <f t="shared" si="8"/>
        <v>5.506552356</v>
      </c>
      <c r="Q16" s="13">
        <f t="shared" si="9"/>
        <v>1.980061976</v>
      </c>
      <c r="R16" s="10">
        <f t="shared" si="10"/>
        <v>1.423594484</v>
      </c>
      <c r="S16" s="12">
        <f t="shared" si="11"/>
        <v>0.4099702089</v>
      </c>
    </row>
    <row r="17">
      <c r="A17" s="8">
        <v>25.0</v>
      </c>
      <c r="B17" s="8">
        <v>0.42</v>
      </c>
      <c r="C17" s="9">
        <v>1.8</v>
      </c>
      <c r="D17" s="9">
        <f t="shared" si="1"/>
        <v>36</v>
      </c>
      <c r="E17" s="9">
        <v>-1.46489258749639</v>
      </c>
      <c r="F17" s="9">
        <f t="shared" si="2"/>
        <v>36</v>
      </c>
      <c r="G17" s="9">
        <f t="shared" si="3"/>
        <v>28.88062202</v>
      </c>
      <c r="H17" s="10">
        <f t="shared" si="4"/>
        <v>0.1666666667</v>
      </c>
      <c r="I17" s="10">
        <f t="shared" si="5"/>
        <v>0.186078728</v>
      </c>
      <c r="J17" s="10">
        <f t="shared" si="6"/>
        <v>0.2498060664</v>
      </c>
      <c r="K17" s="11">
        <v>0.1070026345</v>
      </c>
      <c r="L17" s="11">
        <v>0.1070049555</v>
      </c>
      <c r="M17" s="11">
        <v>0.9858213665</v>
      </c>
      <c r="N17" s="12">
        <f t="shared" si="12"/>
        <v>0.5999144783</v>
      </c>
      <c r="O17" s="13">
        <f t="shared" si="7"/>
        <v>0.4812750915</v>
      </c>
      <c r="P17" s="12">
        <f t="shared" si="8"/>
        <v>7.214554582</v>
      </c>
      <c r="Q17" s="13">
        <f t="shared" si="9"/>
        <v>1.484476251</v>
      </c>
      <c r="R17" s="10">
        <f t="shared" si="10"/>
        <v>1.013368669</v>
      </c>
      <c r="S17" s="12">
        <f t="shared" si="11"/>
        <v>0.3114937621</v>
      </c>
    </row>
    <row r="18">
      <c r="A18" s="8">
        <v>35.0</v>
      </c>
      <c r="B18" s="8">
        <v>0.42</v>
      </c>
      <c r="C18" s="9">
        <v>2.63</v>
      </c>
      <c r="D18" s="9">
        <f t="shared" si="1"/>
        <v>52.6</v>
      </c>
      <c r="E18" s="9">
        <v>-1.28398631770238</v>
      </c>
      <c r="F18" s="9">
        <f t="shared" si="2"/>
        <v>52.6</v>
      </c>
      <c r="G18" s="9">
        <f t="shared" si="3"/>
        <v>43.48241316</v>
      </c>
      <c r="H18" s="10">
        <f t="shared" si="4"/>
        <v>0.1378818583</v>
      </c>
      <c r="I18" s="10">
        <f t="shared" si="5"/>
        <v>0.1516502676</v>
      </c>
      <c r="J18" s="10">
        <f t="shared" si="6"/>
        <v>0.2049614854</v>
      </c>
      <c r="K18" s="11">
        <v>0.1391596195</v>
      </c>
      <c r="L18" s="11">
        <v>0.1391591655</v>
      </c>
      <c r="M18" s="11">
        <v>0.888118118</v>
      </c>
      <c r="N18" s="12">
        <f t="shared" si="12"/>
        <v>0.5832184515</v>
      </c>
      <c r="O18" s="13">
        <f t="shared" si="7"/>
        <v>0.4821244424</v>
      </c>
      <c r="P18" s="12">
        <f t="shared" si="8"/>
        <v>8.912219989</v>
      </c>
      <c r="Q18" s="13">
        <f t="shared" si="9"/>
        <v>1.255065482</v>
      </c>
      <c r="R18" s="10">
        <f t="shared" si="10"/>
        <v>0.9774757448</v>
      </c>
      <c r="S18" s="12">
        <f t="shared" si="11"/>
        <v>0.2549647312</v>
      </c>
    </row>
    <row r="19">
      <c r="A19" s="8">
        <v>45.0</v>
      </c>
      <c r="B19" s="8">
        <v>0.42</v>
      </c>
      <c r="C19" s="9">
        <v>3.33</v>
      </c>
      <c r="D19" s="9">
        <f t="shared" si="1"/>
        <v>66.6</v>
      </c>
      <c r="E19" s="9">
        <v>-0.842210966334739</v>
      </c>
      <c r="F19" s="9">
        <f t="shared" si="2"/>
        <v>66.6</v>
      </c>
      <c r="G19" s="9">
        <f t="shared" si="3"/>
        <v>59.0276812</v>
      </c>
      <c r="H19" s="10">
        <f t="shared" si="4"/>
        <v>0.1225357703</v>
      </c>
      <c r="I19" s="10">
        <f t="shared" si="5"/>
        <v>0.1301583812</v>
      </c>
      <c r="J19" s="10">
        <f t="shared" si="6"/>
        <v>0.1787630253</v>
      </c>
      <c r="K19" s="11">
        <v>0.2152167185</v>
      </c>
      <c r="L19" s="11">
        <v>0.215215459499999</v>
      </c>
      <c r="M19" s="11">
        <v>0.684870689999999</v>
      </c>
      <c r="N19" s="12">
        <f t="shared" si="12"/>
        <v>0.557651434</v>
      </c>
      <c r="O19" s="13">
        <f t="shared" si="7"/>
        <v>0.4942473133</v>
      </c>
      <c r="P19" s="12">
        <f t="shared" si="8"/>
        <v>10.55196687</v>
      </c>
      <c r="Q19" s="13">
        <f t="shared" si="9"/>
        <v>1.173614377</v>
      </c>
      <c r="R19" s="10">
        <f t="shared" si="10"/>
        <v>1.393492158</v>
      </c>
      <c r="S19" s="12">
        <f t="shared" si="11"/>
        <v>0.2211276179</v>
      </c>
    </row>
    <row r="20">
      <c r="A20" s="8">
        <v>55.0</v>
      </c>
      <c r="B20" s="8">
        <v>0.42</v>
      </c>
      <c r="C20" s="9">
        <v>3.79</v>
      </c>
      <c r="D20" s="9">
        <f t="shared" si="1"/>
        <v>75.8</v>
      </c>
      <c r="E20" s="9">
        <v>-0.181116977916858</v>
      </c>
      <c r="F20" s="9">
        <f t="shared" si="2"/>
        <v>75.8</v>
      </c>
      <c r="G20" s="9">
        <f t="shared" si="3"/>
        <v>73.94662996</v>
      </c>
      <c r="H20" s="10">
        <f t="shared" si="4"/>
        <v>0.1148590969</v>
      </c>
      <c r="I20" s="10">
        <f t="shared" si="5"/>
        <v>0.1162895813</v>
      </c>
      <c r="J20" s="10">
        <f t="shared" si="6"/>
        <v>0.1634499277</v>
      </c>
      <c r="K20" s="11">
        <v>0.33860302</v>
      </c>
      <c r="L20" s="11">
        <v>0.338600278</v>
      </c>
      <c r="M20" s="11">
        <v>0.4394462405</v>
      </c>
      <c r="N20" s="12">
        <f t="shared" si="12"/>
        <v>0.5583247693</v>
      </c>
      <c r="O20" s="13">
        <f t="shared" si="7"/>
        <v>0.5446732864</v>
      </c>
      <c r="P20" s="12">
        <f t="shared" si="8"/>
        <v>12.08657132</v>
      </c>
      <c r="Q20" s="13">
        <f t="shared" si="9"/>
        <v>1.181136648</v>
      </c>
      <c r="R20" s="10">
        <f t="shared" si="10"/>
        <v>6.521402144</v>
      </c>
      <c r="S20" s="12">
        <f t="shared" si="11"/>
        <v>0.200596973</v>
      </c>
    </row>
    <row r="21">
      <c r="A21" s="8">
        <v>65.0</v>
      </c>
      <c r="B21" s="8">
        <v>0.42</v>
      </c>
      <c r="C21" s="9">
        <v>3.97</v>
      </c>
      <c r="D21" s="9">
        <f t="shared" si="1"/>
        <v>79.4</v>
      </c>
      <c r="E21" s="9">
        <v>0.308183298212724</v>
      </c>
      <c r="F21" s="9">
        <f t="shared" si="2"/>
        <v>79.4</v>
      </c>
      <c r="G21" s="9">
        <f t="shared" si="3"/>
        <v>82.70341677</v>
      </c>
      <c r="H21" s="10">
        <f t="shared" si="4"/>
        <v>0.1122250348</v>
      </c>
      <c r="I21" s="10">
        <f t="shared" si="5"/>
        <v>0.109960897</v>
      </c>
      <c r="J21" s="10">
        <f t="shared" si="6"/>
        <v>0.1571173361</v>
      </c>
      <c r="K21" s="11">
        <v>0.564499855</v>
      </c>
      <c r="L21" s="11">
        <v>0.5644992295</v>
      </c>
      <c r="M21" s="11">
        <v>0.3380123375</v>
      </c>
      <c r="N21" s="12">
        <f t="shared" si="12"/>
        <v>0.733505711</v>
      </c>
      <c r="O21" s="13">
        <f t="shared" si="7"/>
        <v>0.7640230293</v>
      </c>
      <c r="P21" s="12">
        <f t="shared" si="8"/>
        <v>12.99414053</v>
      </c>
      <c r="Q21" s="13">
        <f t="shared" si="9"/>
        <v>1.212253058</v>
      </c>
      <c r="R21" s="10">
        <f t="shared" si="10"/>
        <v>3.933545605</v>
      </c>
      <c r="S21" s="12">
        <f t="shared" si="11"/>
        <v>0.1917739716</v>
      </c>
    </row>
    <row r="22">
      <c r="A22" s="8">
        <v>75.0</v>
      </c>
      <c r="B22" s="8">
        <v>0.42</v>
      </c>
      <c r="C22" s="9">
        <v>1.02</v>
      </c>
      <c r="D22" s="9">
        <f t="shared" si="1"/>
        <v>20.4</v>
      </c>
      <c r="E22" s="9">
        <v>0.266738870752854</v>
      </c>
      <c r="F22" s="9">
        <f t="shared" si="2"/>
        <v>20.4</v>
      </c>
      <c r="G22" s="9">
        <f t="shared" si="3"/>
        <v>21.13459885</v>
      </c>
      <c r="H22" s="10">
        <f t="shared" si="4"/>
        <v>0.2214037214</v>
      </c>
      <c r="I22" s="10">
        <f t="shared" si="5"/>
        <v>0.2175219037</v>
      </c>
      <c r="J22" s="10">
        <f t="shared" si="6"/>
        <v>0.3103794234</v>
      </c>
      <c r="K22" s="11">
        <v>0.7932962175</v>
      </c>
      <c r="L22" s="11">
        <v>0.793293059</v>
      </c>
      <c r="M22" s="11">
        <v>0.512989163499999</v>
      </c>
      <c r="N22" s="12">
        <f t="shared" si="12"/>
        <v>1.04978922</v>
      </c>
      <c r="O22" s="13">
        <f t="shared" si="7"/>
        <v>1.087591865</v>
      </c>
      <c r="P22" s="12">
        <f t="shared" si="8"/>
        <v>6.559744604</v>
      </c>
      <c r="Q22" s="13">
        <f t="shared" si="9"/>
        <v>2.381897097</v>
      </c>
      <c r="R22" s="10">
        <f t="shared" si="10"/>
        <v>8.92969626</v>
      </c>
      <c r="S22" s="12">
        <f t="shared" si="11"/>
        <v>0.3790134101</v>
      </c>
    </row>
    <row r="23">
      <c r="P23" s="10"/>
    </row>
    <row r="29">
      <c r="A29" s="14" t="s">
        <v>16</v>
      </c>
      <c r="B29" s="1">
        <v>0.5</v>
      </c>
    </row>
    <row r="30">
      <c r="A30" s="1" t="s">
        <v>17</v>
      </c>
      <c r="B30" s="1">
        <v>0.27</v>
      </c>
    </row>
    <row r="31">
      <c r="A31" s="14" t="s">
        <v>18</v>
      </c>
      <c r="B31" s="14">
        <v>1.0</v>
      </c>
      <c r="C31" s="2" t="s">
        <v>3</v>
      </c>
      <c r="D31" s="4" t="s">
        <v>19</v>
      </c>
    </row>
    <row r="32">
      <c r="B32" s="3"/>
      <c r="C32" s="2" t="s">
        <v>7</v>
      </c>
      <c r="E32" s="7" t="s">
        <v>12</v>
      </c>
      <c r="F32" s="7" t="s">
        <v>13</v>
      </c>
      <c r="G32" s="7" t="s">
        <v>14</v>
      </c>
      <c r="H32" s="15" t="s">
        <v>20</v>
      </c>
      <c r="I32" s="15" t="s">
        <v>21</v>
      </c>
      <c r="J32" s="15" t="s">
        <v>22</v>
      </c>
      <c r="K32" s="15" t="s">
        <v>23</v>
      </c>
      <c r="L32" s="15" t="s">
        <v>24</v>
      </c>
      <c r="M32" s="15" t="s">
        <v>25</v>
      </c>
      <c r="N32" s="15" t="s">
        <v>26</v>
      </c>
      <c r="O32" s="15" t="s">
        <v>27</v>
      </c>
    </row>
    <row r="33">
      <c r="A33" s="8">
        <v>5.0</v>
      </c>
      <c r="B33" s="8">
        <v>0.42</v>
      </c>
      <c r="C33" s="9">
        <v>3.23</v>
      </c>
      <c r="D33" s="13">
        <f t="shared" ref="D33:D40" si="14">C33*$B$31</f>
        <v>3.23</v>
      </c>
      <c r="E33" s="11">
        <v>0.1680354175</v>
      </c>
      <c r="F33" s="11">
        <v>0.168036126</v>
      </c>
      <c r="G33" s="11">
        <v>0.8025232555</v>
      </c>
      <c r="H33" s="13">
        <f t="shared" ref="H33:H40" si="15">D33*((1/3)-((3/200)*$B$29*(E33+F33)/(E33+F33-2*G33)))</f>
        <v>1.083082343</v>
      </c>
      <c r="I33" s="13">
        <f t="shared" ref="I33:I40" si="16">D33*((1/3)+((3/200)*$B$29*(E33+F33)/(E33+F33-2*G33)))</f>
        <v>1.07025099</v>
      </c>
      <c r="J33" s="13">
        <f t="shared" ref="J33:J40" si="17">D33*((1/3)-((3/200)*$B$29*(E33+F33)/(E33+F33-2*G33))+((1/200)*$B$30*(E33+F33-2*G33)/(E33+F33-2*G33)))</f>
        <v>1.087442843</v>
      </c>
      <c r="K33" s="13">
        <f t="shared" ref="K33:K40" si="18"> C33*((1/3)+((3/200)*$B$29*(E33+F33)/(E33+F33-2*G33))+((1/200)*$B$30*(E33+F33-2*G33)/(E33+F33-2*G33)))</f>
        <v>1.07461149</v>
      </c>
      <c r="L33" s="12">
        <f t="shared" ref="L33:O33" si="13">1/SQRT(H33)</f>
        <v>0.9608802391</v>
      </c>
      <c r="M33" s="12">
        <f t="shared" si="13"/>
        <v>0.9666231253</v>
      </c>
      <c r="N33" s="12">
        <f t="shared" si="13"/>
        <v>0.9589518035</v>
      </c>
      <c r="O33" s="12">
        <f t="shared" si="13"/>
        <v>0.9646599764</v>
      </c>
    </row>
    <row r="34">
      <c r="A34" s="8">
        <v>15.0</v>
      </c>
      <c r="B34" s="8">
        <v>0.42</v>
      </c>
      <c r="C34" s="9">
        <v>10.3</v>
      </c>
      <c r="D34" s="13">
        <f t="shared" si="14"/>
        <v>10.3</v>
      </c>
      <c r="E34" s="11">
        <v>0.121098623</v>
      </c>
      <c r="F34" s="11">
        <v>0.1210995465</v>
      </c>
      <c r="G34" s="11">
        <v>0.9507598875</v>
      </c>
      <c r="H34" s="13">
        <f t="shared" si="15"/>
        <v>3.44460891</v>
      </c>
      <c r="I34" s="13">
        <f t="shared" si="16"/>
        <v>3.422057756</v>
      </c>
      <c r="J34" s="13">
        <f t="shared" si="17"/>
        <v>3.45851391</v>
      </c>
      <c r="K34" s="13">
        <f t="shared" si="18"/>
        <v>3.435962756</v>
      </c>
      <c r="L34" s="12">
        <f t="shared" ref="L34:O34" si="19">1/SQRT(H34)</f>
        <v>0.5388030428</v>
      </c>
      <c r="M34" s="12">
        <f t="shared" si="19"/>
        <v>0.5405754673</v>
      </c>
      <c r="N34" s="12">
        <f t="shared" si="19"/>
        <v>0.5377188196</v>
      </c>
      <c r="O34" s="12">
        <f t="shared" si="19"/>
        <v>0.5394805308</v>
      </c>
    </row>
    <row r="35">
      <c r="A35" s="8">
        <v>25.0</v>
      </c>
      <c r="B35" s="8">
        <v>0.42</v>
      </c>
      <c r="C35" s="9">
        <v>18.0</v>
      </c>
      <c r="D35" s="13">
        <f t="shared" si="14"/>
        <v>18</v>
      </c>
      <c r="E35" s="11">
        <v>0.1070026345</v>
      </c>
      <c r="F35" s="11">
        <v>0.1070049555</v>
      </c>
      <c r="G35" s="11">
        <v>0.9858213665</v>
      </c>
      <c r="H35" s="13">
        <f t="shared" si="15"/>
        <v>6.016437441</v>
      </c>
      <c r="I35" s="13">
        <f t="shared" si="16"/>
        <v>5.983562559</v>
      </c>
      <c r="J35" s="13">
        <f t="shared" si="17"/>
        <v>6.040737441</v>
      </c>
      <c r="K35" s="13">
        <f t="shared" si="18"/>
        <v>6.007862559</v>
      </c>
      <c r="L35" s="12">
        <f t="shared" ref="L35:O35" si="20">1/SQRT(H35)</f>
        <v>0.4076902237</v>
      </c>
      <c r="M35" s="12">
        <f t="shared" si="20"/>
        <v>0.4088086552</v>
      </c>
      <c r="N35" s="12">
        <f t="shared" si="20"/>
        <v>0.4068693922</v>
      </c>
      <c r="O35" s="12">
        <f t="shared" si="20"/>
        <v>0.4079810634</v>
      </c>
    </row>
    <row r="36">
      <c r="A36" s="8">
        <v>35.0</v>
      </c>
      <c r="B36" s="8">
        <v>0.42</v>
      </c>
      <c r="C36" s="9">
        <v>26.299999999999997</v>
      </c>
      <c r="D36" s="13">
        <f t="shared" si="14"/>
        <v>26.3</v>
      </c>
      <c r="E36" s="11">
        <v>0.1391596195</v>
      </c>
      <c r="F36" s="11">
        <v>0.1391591655</v>
      </c>
      <c r="G36" s="11">
        <v>0.888118118</v>
      </c>
      <c r="H36" s="13">
        <f t="shared" si="15"/>
        <v>8.80331647</v>
      </c>
      <c r="I36" s="13">
        <f t="shared" si="16"/>
        <v>8.730016863</v>
      </c>
      <c r="J36" s="13">
        <f t="shared" si="17"/>
        <v>8.83882147</v>
      </c>
      <c r="K36" s="13">
        <f t="shared" si="18"/>
        <v>8.765521863</v>
      </c>
      <c r="L36" s="12">
        <f t="shared" ref="L36:O36" si="21">1/SQRT(H36)</f>
        <v>0.3370364275</v>
      </c>
      <c r="M36" s="12">
        <f t="shared" si="21"/>
        <v>0.3384483948</v>
      </c>
      <c r="N36" s="12">
        <f t="shared" si="21"/>
        <v>0.3363588191</v>
      </c>
      <c r="O36" s="12">
        <f t="shared" si="21"/>
        <v>0.3377622518</v>
      </c>
    </row>
    <row r="37">
      <c r="A37" s="8">
        <v>45.0</v>
      </c>
      <c r="B37" s="8">
        <v>0.42</v>
      </c>
      <c r="C37" s="9">
        <v>33.3</v>
      </c>
      <c r="D37" s="13">
        <f t="shared" si="14"/>
        <v>33.3</v>
      </c>
      <c r="E37" s="11">
        <v>0.2152167185</v>
      </c>
      <c r="F37" s="11">
        <v>0.215215459499999</v>
      </c>
      <c r="G37" s="11">
        <v>0.684870689999999</v>
      </c>
      <c r="H37" s="13">
        <f t="shared" si="15"/>
        <v>11.21444627</v>
      </c>
      <c r="I37" s="13">
        <f t="shared" si="16"/>
        <v>10.98555373</v>
      </c>
      <c r="J37" s="13">
        <f t="shared" si="17"/>
        <v>11.25940127</v>
      </c>
      <c r="K37" s="13">
        <f t="shared" si="18"/>
        <v>11.03050873</v>
      </c>
      <c r="L37" s="12">
        <f t="shared" ref="L37:O37" si="22">1/SQRT(H37)</f>
        <v>0.298614631</v>
      </c>
      <c r="M37" s="12">
        <f t="shared" si="22"/>
        <v>0.3017095268</v>
      </c>
      <c r="N37" s="12">
        <f t="shared" si="22"/>
        <v>0.2980179009</v>
      </c>
      <c r="O37" s="12">
        <f t="shared" si="22"/>
        <v>0.3010940883</v>
      </c>
    </row>
    <row r="38">
      <c r="A38" s="8">
        <v>55.0</v>
      </c>
      <c r="B38" s="8">
        <v>0.42</v>
      </c>
      <c r="C38" s="9">
        <v>37.9</v>
      </c>
      <c r="D38" s="13">
        <f t="shared" si="14"/>
        <v>37.9</v>
      </c>
      <c r="E38" s="11">
        <v>0.33860302</v>
      </c>
      <c r="F38" s="11">
        <v>0.338600278</v>
      </c>
      <c r="G38" s="11">
        <v>0.4394462405</v>
      </c>
      <c r="H38" s="13">
        <f t="shared" si="15"/>
        <v>13.58774762</v>
      </c>
      <c r="I38" s="13">
        <f t="shared" si="16"/>
        <v>11.67891905</v>
      </c>
      <c r="J38" s="13">
        <f t="shared" si="17"/>
        <v>13.63891262</v>
      </c>
      <c r="K38" s="13">
        <f t="shared" si="18"/>
        <v>11.73008405</v>
      </c>
      <c r="L38" s="12">
        <f t="shared" ref="L38:O38" si="23">1/SQRT(H38)</f>
        <v>0.2712853017</v>
      </c>
      <c r="M38" s="12">
        <f t="shared" si="23"/>
        <v>0.2926164087</v>
      </c>
      <c r="N38" s="12">
        <f t="shared" si="23"/>
        <v>0.2707759739</v>
      </c>
      <c r="O38" s="12">
        <f t="shared" si="23"/>
        <v>0.2919775352</v>
      </c>
    </row>
    <row r="39">
      <c r="A39" s="8">
        <v>65.0</v>
      </c>
      <c r="B39" s="8">
        <v>0.42</v>
      </c>
      <c r="C39" s="9">
        <v>39.7</v>
      </c>
      <c r="D39" s="13">
        <f t="shared" si="14"/>
        <v>39.7</v>
      </c>
      <c r="E39" s="11">
        <v>0.564499855</v>
      </c>
      <c r="F39" s="11">
        <v>0.5644992295</v>
      </c>
      <c r="G39" s="11">
        <v>0.3380123375</v>
      </c>
      <c r="H39" s="13">
        <f t="shared" si="15"/>
        <v>12.49121751</v>
      </c>
      <c r="I39" s="13">
        <f t="shared" si="16"/>
        <v>13.97544916</v>
      </c>
      <c r="J39" s="13">
        <f t="shared" si="17"/>
        <v>12.54481251</v>
      </c>
      <c r="K39" s="13">
        <f t="shared" si="18"/>
        <v>14.02904416</v>
      </c>
      <c r="L39" s="12">
        <f t="shared" ref="L39:O39" si="24">1/SQRT(H39)</f>
        <v>0.2829421274</v>
      </c>
      <c r="M39" s="12">
        <f t="shared" si="24"/>
        <v>0.2674958894</v>
      </c>
      <c r="N39" s="12">
        <f t="shared" si="24"/>
        <v>0.2823370759</v>
      </c>
      <c r="O39" s="12">
        <f t="shared" si="24"/>
        <v>0.2669844447</v>
      </c>
    </row>
    <row r="40">
      <c r="A40" s="8">
        <v>75.0</v>
      </c>
      <c r="B40" s="8">
        <v>0.42</v>
      </c>
      <c r="C40" s="9">
        <v>10.2</v>
      </c>
      <c r="D40" s="13">
        <f t="shared" si="14"/>
        <v>10.2</v>
      </c>
      <c r="E40" s="11">
        <v>0.7932962175</v>
      </c>
      <c r="F40" s="11">
        <v>0.793293059</v>
      </c>
      <c r="G40" s="11">
        <v>0.512989163499999</v>
      </c>
      <c r="H40" s="13">
        <f t="shared" si="15"/>
        <v>3.183496773</v>
      </c>
      <c r="I40" s="13">
        <f t="shared" si="16"/>
        <v>3.616503227</v>
      </c>
      <c r="J40" s="13">
        <f t="shared" si="17"/>
        <v>3.197266773</v>
      </c>
      <c r="K40" s="13">
        <f t="shared" si="18"/>
        <v>3.630273227</v>
      </c>
      <c r="L40" s="12">
        <f t="shared" ref="L40:O40" si="25">1/SQRT(H40)</f>
        <v>0.5604640916</v>
      </c>
      <c r="M40" s="12">
        <f t="shared" si="25"/>
        <v>0.5258423638</v>
      </c>
      <c r="N40" s="12">
        <f t="shared" si="25"/>
        <v>0.559255885</v>
      </c>
      <c r="O40" s="12">
        <f t="shared" si="25"/>
        <v>0.5248441292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63"/>
    <col customWidth="1" min="12" max="12" width="14.75"/>
    <col customWidth="1" min="14" max="14" width="15.63"/>
    <col customWidth="1" min="15" max="15" width="18.88"/>
  </cols>
  <sheetData>
    <row r="2">
      <c r="E2" s="1" t="s">
        <v>17</v>
      </c>
      <c r="F2" s="1">
        <v>0.27</v>
      </c>
      <c r="M2" s="1" t="s">
        <v>28</v>
      </c>
    </row>
    <row r="3">
      <c r="M3" s="1">
        <v>2.5</v>
      </c>
    </row>
    <row r="5">
      <c r="D5" s="7" t="s">
        <v>12</v>
      </c>
      <c r="E5" s="7" t="s">
        <v>13</v>
      </c>
      <c r="F5" s="7" t="s">
        <v>14</v>
      </c>
      <c r="G5" s="7" t="s">
        <v>29</v>
      </c>
      <c r="H5" s="16" t="s">
        <v>30</v>
      </c>
      <c r="I5" s="7" t="s">
        <v>31</v>
      </c>
      <c r="J5" s="7" t="s">
        <v>32</v>
      </c>
      <c r="K5" s="7" t="s">
        <v>33</v>
      </c>
      <c r="L5" s="7" t="s">
        <v>34</v>
      </c>
      <c r="M5" s="7" t="s">
        <v>35</v>
      </c>
      <c r="N5" s="7" t="s">
        <v>36</v>
      </c>
      <c r="O5" s="15" t="s">
        <v>37</v>
      </c>
    </row>
    <row r="6">
      <c r="B6" s="1">
        <v>2.1</v>
      </c>
      <c r="D6" s="1">
        <v>1.12073331999999</v>
      </c>
      <c r="E6" s="1">
        <v>1.12073284</v>
      </c>
      <c r="F6" s="1">
        <v>7.996126175</v>
      </c>
      <c r="G6" s="12">
        <f t="shared" ref="G6:G7" si="2">(D6+E6+F6)/3</f>
        <v>3.412530778</v>
      </c>
      <c r="H6" s="12">
        <f t="shared" ref="H6:H7" si="3">(D6+E6-2*F6)/(D6+E6+F6)</f>
        <v>-1.343166024</v>
      </c>
      <c r="I6" s="12">
        <f t="shared" ref="I6:I7" si="4">((($F$2/2)*H6) +1) *G6</f>
        <v>2.7937454</v>
      </c>
      <c r="J6" s="12">
        <v>26.3</v>
      </c>
      <c r="K6" s="12">
        <f t="shared" ref="K6:K7" si="5">J6*(G6/$G$7)</f>
        <v>230.8300412</v>
      </c>
      <c r="L6" s="12">
        <f>((($F$2/2)*H6) +1) *K6</f>
        <v>188.974227</v>
      </c>
      <c r="M6" s="12">
        <f t="shared" ref="M6:N6" si="1">K6*$M$3</f>
        <v>577.0751031</v>
      </c>
      <c r="N6" s="12">
        <f t="shared" si="1"/>
        <v>472.4355674</v>
      </c>
      <c r="O6" s="12">
        <f t="shared" ref="O6:O7" si="7">SQRT(POWER(1/SQRT(M6),2) + POWER(1/SQRT(N6),2)) </f>
        <v>0.06204488262</v>
      </c>
    </row>
    <row r="7">
      <c r="B7" s="1">
        <v>3.5</v>
      </c>
      <c r="D7" s="17">
        <v>0.1391596195</v>
      </c>
      <c r="E7" s="17">
        <v>0.1391591655</v>
      </c>
      <c r="F7" s="17">
        <v>0.888118118</v>
      </c>
      <c r="G7" s="12">
        <f t="shared" si="2"/>
        <v>0.388812301</v>
      </c>
      <c r="H7" s="12">
        <f t="shared" si="3"/>
        <v>-1.284182151</v>
      </c>
      <c r="I7" s="12">
        <f t="shared" si="4"/>
        <v>0.3214060157</v>
      </c>
      <c r="J7" s="12">
        <v>26.3</v>
      </c>
      <c r="K7" s="12">
        <f t="shared" si="5"/>
        <v>26.3</v>
      </c>
      <c r="L7" s="12">
        <f>((($F$2/2)*H7)+1) *K7</f>
        <v>21.74051127</v>
      </c>
      <c r="M7" s="12">
        <f t="shared" ref="M7:N7" si="6">K7*$M$3</f>
        <v>65.75</v>
      </c>
      <c r="N7" s="12">
        <f t="shared" si="6"/>
        <v>54.35127818</v>
      </c>
      <c r="O7" s="12">
        <f t="shared" si="7"/>
        <v>0.1833247305</v>
      </c>
    </row>
    <row r="8">
      <c r="D8" s="17"/>
      <c r="E8" s="17"/>
      <c r="F8" s="17"/>
    </row>
  </sheetData>
  <mergeCells count="2">
    <mergeCell ref="M2:N2"/>
    <mergeCell ref="M3:N3"/>
  </mergeCells>
  <drawing r:id="rId1"/>
</worksheet>
</file>