
<file path=[Content_Types].xml><?xml version="1.0" encoding="utf-8"?>
<Types xmlns="http://schemas.openxmlformats.org/package/2006/content-types">
  <Default Extension="wmf" ContentType="image/x-wmf"/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9435" tabRatio="500" activeTab="1"/>
  </bookViews>
  <sheets>
    <sheet name="data11" sheetId="1" r:id="rId1"/>
    <sheet name="data12" sheetId="2" r:id="rId2"/>
    <sheet name="Sheet1" sheetId="3" r:id="rId3"/>
    <sheet name="Sheet2" sheetId="4" r:id="rId4"/>
    <sheet name="phonopy" sheetId="5" r:id="rId5"/>
    <sheet name="Sheet4" sheetId="6" r:id="rId6"/>
    <sheet name="Sheet5" sheetId="7" r:id="rId7"/>
    <sheet name="Sheet3" sheetId="8" r:id="rId8"/>
  </sheets>
  <definedNames>
    <definedName name="ExternalData_1" localSheetId="2">Sheet1!$A$1:$I$24</definedName>
    <definedName name="ExternalData_1" localSheetId="3">Sheet2!$A$1:$I$24</definedName>
    <definedName name="ExternalData_1" localSheetId="4">phonopy!$A$1:$F$24</definedName>
    <definedName name="ExternalData_1" localSheetId="6">Sheet5!$B$1:$J$24</definedName>
    <definedName name="ExternalData_1" localSheetId="5">Sheet4!$A$1:$I$24</definedName>
    <definedName name="ExternalData_2" localSheetId="5">Sheet4!$K$1:$S$24</definedName>
    <definedName name="ExternalData_1" localSheetId="7">Sheet3!$A$1:$F$30</definedName>
    <definedName name="ExternalData_2" localSheetId="7">Sheet3!$K$1:$O$30</definedName>
    <definedName name="ExternalData_3" localSheetId="7">Sheet3!$J$1:$O$30</definedName>
  </definedNames>
  <calcPr calcId="144525" concurrentCalc="0"/>
</workbook>
</file>

<file path=xl/comments1.xml><?xml version="1.0" encoding="utf-8"?>
<comments xmlns="http://schemas.openxmlformats.org/spreadsheetml/2006/main">
  <authors>
    <author>Microsoft Office User</author>
  </authors>
  <commentList>
    <comment ref="B2" authorId="0">
      <text>
        <r>
          <rPr>
            <sz val="9"/>
            <color indexed="81"/>
            <rFont val="宋体"/>
            <charset val="134"/>
          </rPr>
          <t xml:space="preserve">Microsoft Office User:
</t>
        </r>
      </text>
    </comment>
  </commentList>
</comments>
</file>

<file path=xl/comments2.xml><?xml version="1.0" encoding="utf-8"?>
<comments xmlns="http://schemas.openxmlformats.org/spreadsheetml/2006/main">
  <authors>
    <author>Microsoft Office User</author>
  </authors>
  <commentList>
    <comment ref="A1" authorId="0">
      <text>
        <r>
          <rPr>
            <sz val="9"/>
            <color indexed="81"/>
            <rFont val="宋体"/>
            <charset val="134"/>
          </rPr>
          <t xml:space="preserve">Microsoft Office User:
</t>
        </r>
      </text>
    </comment>
  </commentList>
</comments>
</file>

<file path=xl/connections.xml><?xml version="1.0" encoding="utf-8"?>
<connections xmlns="http://schemas.openxmlformats.org/spreadsheetml/2006/main">
  <connection id="1" name="tmp" type="6" background="1" refreshedVersion="2" saveData="1">
    <textPr sourceFile="F:\William\PV0c\tmp.txt" space="1" consecutive="1">
      <textFields>
        <textField/>
      </textFields>
    </textPr>
  </connection>
  <connection id="2" name="tmp1" type="6" background="1" refreshedVersion="2" saveData="1">
    <textPr sourceFile="F:\William\PBE3\tmp.txt" space="1" consecutive="1">
      <textFields>
        <textField/>
      </textFields>
    </textPr>
  </connection>
  <connection id="3" name="tmp2" type="6" background="1" refreshedVersion="2" saveData="1">
    <textPr sourceFile="F:\William\PV0c\tmp.txt" space="1" consecutive="1">
      <textFields>
        <textField/>
      </textFields>
    </textPr>
  </connection>
  <connection id="4" name="tmp300" type="6" background="1" refreshedVersion="2" saveData="1">
    <textPr sourceFile="F:\William\PBE3\tmp300.txt" space="1" consecutive="1">
      <textFields>
        <textField/>
      </textFields>
    </textPr>
  </connection>
  <connection id="5" name="tmpp" type="6" background="1" refreshedVersion="2" saveData="1">
    <textPr sourceFile="F:\William\PV0c\tmpp.txt" space="1" consecutive="1">
      <textFields>
        <textField/>
      </textFields>
    </textPr>
  </connection>
  <connection id="6" name="tmpp1" type="6" background="1" refreshedVersion="2" saveData="1">
    <textPr sourceFile="F:\William\PV0c\tmpp.txt" space="1" consecutive="1">
      <textFields>
        <textField/>
      </textFields>
    </textPr>
  </connection>
  <connection id="7" name="tmpt" type="6" background="1" refreshedVersion="2" saveData="1">
    <textPr sourceFile="F:\William\PV0c\tmpt.txt" space="1" consecutive="1">
      <textFields>
        <textField/>
      </textFields>
    </textPr>
  </connection>
  <connection id="8" name="tmpt1" type="6" background="1" refreshedVersion="2" saveData="1">
    <textPr sourceFile="F:\William\PBE3\tmpt.txt" space="1" consecutive="1">
      <textFields>
        <textField/>
      </textFields>
    </textPr>
  </connection>
</connections>
</file>

<file path=xl/sharedStrings.xml><?xml version="1.0" encoding="utf-8"?>
<sst xmlns="http://schemas.openxmlformats.org/spreadsheetml/2006/main" count="119">
  <si>
    <t>C(A)</t>
  </si>
  <si>
    <t>E0(eV/atm)</t>
  </si>
  <si>
    <t>F(eV/atm)</t>
  </si>
  <si>
    <t>F from php(eV/atm)</t>
  </si>
  <si>
    <t>a</t>
  </si>
  <si>
    <t>b</t>
  </si>
  <si>
    <t>c</t>
  </si>
  <si>
    <t>d</t>
  </si>
  <si>
    <t>e</t>
  </si>
  <si>
    <t>f</t>
  </si>
  <si>
    <t>g</t>
  </si>
  <si>
    <t>z01</t>
  </si>
  <si>
    <t>z02</t>
  </si>
  <si>
    <t>z03</t>
  </si>
  <si>
    <t>z04</t>
  </si>
  <si>
    <t>z05</t>
  </si>
  <si>
    <t>z06</t>
  </si>
  <si>
    <t>z07</t>
  </si>
  <si>
    <t>z08</t>
  </si>
  <si>
    <t>z09</t>
  </si>
  <si>
    <t>z10</t>
  </si>
  <si>
    <t>z11</t>
  </si>
  <si>
    <t>z12</t>
  </si>
  <si>
    <t>z13</t>
  </si>
  <si>
    <t>z14</t>
  </si>
  <si>
    <t>z15</t>
  </si>
  <si>
    <t>z16</t>
  </si>
  <si>
    <t>z17</t>
  </si>
  <si>
    <t>z18</t>
  </si>
  <si>
    <t>z19</t>
  </si>
  <si>
    <t>F0(eV/atm)</t>
  </si>
  <si>
    <t>zz(stress GPa)</t>
  </si>
  <si>
    <t>F0 from php(eV/atm)</t>
  </si>
  <si>
    <t>F300 from php(eV/atm)</t>
  </si>
  <si>
    <t>E0(kcal/mol)</t>
  </si>
  <si>
    <t>ref</t>
  </si>
  <si>
    <t>./a/OSZICAR:</t>
  </si>
  <si>
    <t>F=</t>
  </si>
  <si>
    <t>E0=</t>
  </si>
  <si>
    <t>E</t>
  </si>
  <si>
    <t>./b/OSZICAR:</t>
  </si>
  <si>
    <t>./c/OSZICAR:</t>
  </si>
  <si>
    <t>./d/OSZICAR:</t>
  </si>
  <si>
    <t>./e/OSZICAR:</t>
  </si>
  <si>
    <t>./f/OSZICAR:</t>
  </si>
  <si>
    <t>./g/OSZICAR:</t>
  </si>
  <si>
    <t>./z01/OSZICAR:</t>
  </si>
  <si>
    <t>./z02/OSZICAR:</t>
  </si>
  <si>
    <t>./z03/OSZICAR:</t>
  </si>
  <si>
    <t>./z04/OSZICAR:</t>
  </si>
  <si>
    <t>./z05/OSZICAR:</t>
  </si>
  <si>
    <t>./z06/OSZICAR:</t>
  </si>
  <si>
    <t>./z07/OSZICAR:</t>
  </si>
  <si>
    <t>./z08/OSZICAR:</t>
  </si>
  <si>
    <t>./z09/OSZICAR:</t>
  </si>
  <si>
    <t>./z10/OSZICAR:</t>
  </si>
  <si>
    <t>./z11/OSZICAR:</t>
  </si>
  <si>
    <t>./z12/OSZICAR:</t>
  </si>
  <si>
    <t>./z13/OSZICAR:</t>
  </si>
  <si>
    <t>./z14/OSZICAR:</t>
  </si>
  <si>
    <t>./z15/OSZICAR:</t>
  </si>
  <si>
    <t>./z16/OSZICAR:</t>
  </si>
  <si>
    <t>./z17/OSZICAR:</t>
  </si>
  <si>
    <t>./a/thermal.txt:</t>
  </si>
  <si>
    <t>./b/thermal.txt:</t>
  </si>
  <si>
    <t>./c/thermal.txt:</t>
  </si>
  <si>
    <t>./d/thermal.txt:</t>
  </si>
  <si>
    <t>./e/thermal.txt:</t>
  </si>
  <si>
    <t>./f/thermal.txt:</t>
  </si>
  <si>
    <t>./g/thermal.txt:</t>
  </si>
  <si>
    <t>./z01/thermal.txt:</t>
  </si>
  <si>
    <t>./z02/thermal.txt:</t>
  </si>
  <si>
    <t>./z03/thermal.txt:</t>
  </si>
  <si>
    <t>./z04/thermal.txt:</t>
  </si>
  <si>
    <t>./z05/thermal.txt:</t>
  </si>
  <si>
    <t>./z06/thermal.txt:</t>
  </si>
  <si>
    <t>./z07/thermal.txt:</t>
  </si>
  <si>
    <t>./z08/thermal.txt:</t>
  </si>
  <si>
    <t>./z09/thermal.txt:</t>
  </si>
  <si>
    <t>./z10/thermal.txt:</t>
  </si>
  <si>
    <t>./z11/thermal.txt:</t>
  </si>
  <si>
    <t>./z12/thermal.txt:</t>
  </si>
  <si>
    <t>./z13/thermal.txt:</t>
  </si>
  <si>
    <t>./z14/thermal.txt:</t>
  </si>
  <si>
    <t>./z15/thermal.txt:</t>
  </si>
  <si>
    <t>./z16/thermal.txt:</t>
  </si>
  <si>
    <t>./z17/thermal.txt:</t>
  </si>
  <si>
    <t>./a/OUTCAR:</t>
  </si>
  <si>
    <t>in</t>
  </si>
  <si>
    <t>kB</t>
  </si>
  <si>
    <t>./b/OUTCAR:</t>
  </si>
  <si>
    <t>./c/OUTCAR:</t>
  </si>
  <si>
    <t>./d/OUTCAR:</t>
  </si>
  <si>
    <t>./e/OUTCAR:</t>
  </si>
  <si>
    <t>./f/OUTCAR:</t>
  </si>
  <si>
    <t>./g/OUTCAR:</t>
  </si>
  <si>
    <t>./z01/OUTCAR:</t>
  </si>
  <si>
    <t>./z02/OUTCAR:</t>
  </si>
  <si>
    <t>./z03/OUTCAR:</t>
  </si>
  <si>
    <t>./z04/OUTCAR:</t>
  </si>
  <si>
    <t>./z05/OUTCAR:</t>
  </si>
  <si>
    <t>./z06/OUTCAR:</t>
  </si>
  <si>
    <t>./z07/OUTCAR:</t>
  </si>
  <si>
    <t>./z08/OUTCAR:</t>
  </si>
  <si>
    <t>./z09/OUTCAR:</t>
  </si>
  <si>
    <t>./z10/OUTCAR:</t>
  </si>
  <si>
    <t>./z11/OUTCAR:</t>
  </si>
  <si>
    <t>./z12/OUTCAR:</t>
  </si>
  <si>
    <t>./z13/OUTCAR:</t>
  </si>
  <si>
    <t>./z14/OUTCAR:</t>
  </si>
  <si>
    <t>./z15/OUTCAR:</t>
  </si>
  <si>
    <t>./z16/OUTCAR:</t>
  </si>
  <si>
    <t>./z17/OUTCAR:</t>
  </si>
  <si>
    <t>./z18/thermal.txt:</t>
  </si>
  <si>
    <t>./z19/thermal.txt:</t>
  </si>
  <si>
    <t>./zzz-a/thermal.txt:</t>
  </si>
  <si>
    <t>./zzz-b/thermal.txt:</t>
  </si>
  <si>
    <t>./zzz-z07/thermal.txt:</t>
  </si>
  <si>
    <t>./zzz-z08/thermal.txt: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</si>
</sst>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2">
    <font>
      <sz val="12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7" fillId="7" borderId="0" applyNumberFormat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176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8" fillId="5" borderId="4" applyNumberFormat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2" fillId="9" borderId="6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9" fillId="25" borderId="7" applyNumberForma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4" fillId="3" borderId="1" applyNumberFormat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21" fillId="3" borderId="7" applyNumberFormat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</cellStyleXfs>
  <cellXfs count="6">
    <xf numFmtId="0" fontId="0" fillId="0" borderId="0" xfId="0"/>
    <xf numFmtId="0" fontId="0" fillId="0" borderId="0" xfId="0" applyNumberFormat="1"/>
    <xf numFmtId="11" fontId="0" fillId="0" borderId="0" xfId="0" applyNumberFormat="1"/>
    <xf numFmtId="0" fontId="0" fillId="0" borderId="0" xfId="0" applyFont="1" applyFill="1" applyAlignment="1"/>
    <xf numFmtId="0" fontId="0" fillId="0" borderId="0" xfId="0" applyNumberFormat="1" applyFont="1" applyFill="1" applyAlignment="1"/>
    <xf numFmtId="0" fontId="1" fillId="0" borderId="0" xfId="0"/>
  </cellXfs>
  <cellStyles count="49">
    <cellStyle name="Normal" xfId="0" builtinId="0"/>
    <cellStyle name="40% - Accent1" xfId="1" builtinId="31"/>
    <cellStyle name="Comma" xfId="2" builtinId="3"/>
    <cellStyle name="Currency" xfId="3" builtinId="4"/>
    <cellStyle name="Comma[0]" xfId="4" builtinId="6"/>
    <cellStyle name="Percent" xfId="5" builtinId="5"/>
    <cellStyle name="Currency[0]" xfId="6" builtinId="7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connections" Target="connections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400" b="0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59916994320664"/>
          <c:y val="0.106947098615919"/>
          <c:w val="0.917147225862822"/>
          <c:h val="0.826698772282026"/>
        </c:manualLayout>
      </c:layout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Sheet5!$A$1:$E$24</c:f>
            </c:numRef>
          </c:xVal>
          <c:yVal>
            <c:numRef>
              <c:f>Sheet5!$F$1:$F$24</c:f>
            </c:numRef>
          </c:yVal>
          <c:smooth val="0"/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Sheet5!$A$1:$E$24</c:f>
              <c:numCache>
                <c:formatCode>General</c:formatCode>
                <c:ptCount val="24"/>
                <c:pt idx="0">
                  <c:v>7.734603659</c:v>
                </c:pt>
                <c:pt idx="1">
                  <c:v>7.398316544</c:v>
                </c:pt>
                <c:pt idx="2">
                  <c:v>7.06202942799999</c:v>
                </c:pt>
                <c:pt idx="3">
                  <c:v>6.99477200493787</c:v>
                </c:pt>
                <c:pt idx="4">
                  <c:v>6.92751458181347</c:v>
                </c:pt>
                <c:pt idx="5">
                  <c:v>6.86025715868907</c:v>
                </c:pt>
                <c:pt idx="6">
                  <c:v>6.79299973556466</c:v>
                </c:pt>
                <c:pt idx="7">
                  <c:v>6.72574231244026</c:v>
                </c:pt>
                <c:pt idx="8">
                  <c:v>6.65848488931586</c:v>
                </c:pt>
                <c:pt idx="9">
                  <c:v>6.59122746619145</c:v>
                </c:pt>
                <c:pt idx="10">
                  <c:v>6.52397004306705</c:v>
                </c:pt>
                <c:pt idx="11">
                  <c:v>6.45671261994265</c:v>
                </c:pt>
                <c:pt idx="12">
                  <c:v>6.389455197</c:v>
                </c:pt>
                <c:pt idx="13">
                  <c:v>6.05316808099999</c:v>
                </c:pt>
                <c:pt idx="14">
                  <c:v>5.71688096599999</c:v>
                </c:pt>
                <c:pt idx="15">
                  <c:v>5.38059385</c:v>
                </c:pt>
                <c:pt idx="16">
                  <c:v>5.044306734</c:v>
                </c:pt>
                <c:pt idx="17">
                  <c:v>4.70801961899999</c:v>
                </c:pt>
                <c:pt idx="18">
                  <c:v>4.37173250299999</c:v>
                </c:pt>
                <c:pt idx="19">
                  <c:v>4.035445387</c:v>
                </c:pt>
                <c:pt idx="20">
                  <c:v>3.69915827100001</c:v>
                </c:pt>
                <c:pt idx="21">
                  <c:v>3.36287115500002</c:v>
                </c:pt>
                <c:pt idx="22">
                  <c:v>3.02658403900003</c:v>
                </c:pt>
                <c:pt idx="23">
                  <c:v>2.69029692300004</c:v>
                </c:pt>
              </c:numCache>
            </c:numRef>
          </c:xVal>
          <c:yVal>
            <c:numRef>
              <c:f>Sheet5!$G$1:$G$24</c:f>
              <c:numCache>
                <c:formatCode>General</c:formatCode>
                <c:ptCount val="24"/>
                <c:pt idx="0">
                  <c:v>-17.4798</c:v>
                </c:pt>
                <c:pt idx="1">
                  <c:v>-13.7949</c:v>
                </c:pt>
                <c:pt idx="2">
                  <c:v>-6.49711</c:v>
                </c:pt>
                <c:pt idx="3">
                  <c:v>-4.36941</c:v>
                </c:pt>
                <c:pt idx="4">
                  <c:v>-1.94466</c:v>
                </c:pt>
                <c:pt idx="5">
                  <c:v>0.83872</c:v>
                </c:pt>
                <c:pt idx="6">
                  <c:v>4.0474</c:v>
                </c:pt>
                <c:pt idx="7">
                  <c:v>7.66066</c:v>
                </c:pt>
                <c:pt idx="8">
                  <c:v>12.09655</c:v>
                </c:pt>
                <c:pt idx="9">
                  <c:v>16.50845</c:v>
                </c:pt>
                <c:pt idx="10">
                  <c:v>21.84954</c:v>
                </c:pt>
                <c:pt idx="11">
                  <c:v>28.1936</c:v>
                </c:pt>
                <c:pt idx="12">
                  <c:v>34.70399</c:v>
                </c:pt>
                <c:pt idx="13">
                  <c:v>83.13759</c:v>
                </c:pt>
                <c:pt idx="14">
                  <c:v>163.64584</c:v>
                </c:pt>
                <c:pt idx="15">
                  <c:v>291.62834</c:v>
                </c:pt>
                <c:pt idx="16">
                  <c:v>495.90418</c:v>
                </c:pt>
                <c:pt idx="17">
                  <c:v>817.95232</c:v>
                </c:pt>
                <c:pt idx="18">
                  <c:v>1262.64436</c:v>
                </c:pt>
                <c:pt idx="19">
                  <c:v>1845.37527</c:v>
                </c:pt>
                <c:pt idx="20">
                  <c:v>2781.77108</c:v>
                </c:pt>
                <c:pt idx="21">
                  <c:v>4109.4174</c:v>
                </c:pt>
                <c:pt idx="22">
                  <c:v>5152.91824</c:v>
                </c:pt>
                <c:pt idx="23">
                  <c:v>7654.28943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802451987"/>
        <c:axId val="457970784"/>
      </c:scatterChart>
      <c:valAx>
        <c:axId val="802451987"/>
        <c:scaling>
          <c:orientation val="minMax"/>
          <c:max val="9"/>
          <c:min val="6"/>
        </c:scaling>
        <c:delete val="0"/>
        <c:axPos val="b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7970784"/>
        <c:crosses val="autoZero"/>
        <c:crossBetween val="midCat"/>
      </c:valAx>
      <c:valAx>
        <c:axId val="457970784"/>
        <c:scaling>
          <c:orientation val="minMax"/>
          <c:max val="100"/>
          <c:min val="-40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024519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90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r="0.7" b="0.75" l="0.7" footer="0.3" header="0.3" t="0.7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400" b="0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Sheet5!$A$1:$E$13</c:f>
            </c:numRef>
          </c:xVal>
          <c:yVal>
            <c:numRef>
              <c:f>Sheet5!$F$1:$F$13</c:f>
            </c:numRef>
          </c:yVal>
          <c:smooth val="0"/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0726179919203862"/>
                  <c:y val="0.0883472962680883"/>
                </c:manualLayout>
              </c:layout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900" kern="120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Sheet5!$A$1:$E$13</c:f>
              <c:numCache>
                <c:formatCode>General</c:formatCode>
                <c:ptCount val="13"/>
                <c:pt idx="0">
                  <c:v>7.734603659</c:v>
                </c:pt>
                <c:pt idx="1">
                  <c:v>7.398316544</c:v>
                </c:pt>
                <c:pt idx="2">
                  <c:v>7.06202942799999</c:v>
                </c:pt>
                <c:pt idx="3">
                  <c:v>6.99477200493787</c:v>
                </c:pt>
                <c:pt idx="4">
                  <c:v>6.92751458181347</c:v>
                </c:pt>
                <c:pt idx="5">
                  <c:v>6.86025715868907</c:v>
                </c:pt>
                <c:pt idx="6">
                  <c:v>6.79299973556466</c:v>
                </c:pt>
                <c:pt idx="7">
                  <c:v>6.72574231244026</c:v>
                </c:pt>
                <c:pt idx="8">
                  <c:v>6.65848488931586</c:v>
                </c:pt>
                <c:pt idx="9">
                  <c:v>6.59122746619145</c:v>
                </c:pt>
                <c:pt idx="10">
                  <c:v>6.52397004306705</c:v>
                </c:pt>
                <c:pt idx="11">
                  <c:v>6.45671261994265</c:v>
                </c:pt>
                <c:pt idx="12">
                  <c:v>6.389455197</c:v>
                </c:pt>
              </c:numCache>
            </c:numRef>
          </c:xVal>
          <c:yVal>
            <c:numRef>
              <c:f>Sheet5!$G$1:$G$13</c:f>
              <c:numCache>
                <c:formatCode>General</c:formatCode>
                <c:ptCount val="13"/>
                <c:pt idx="0">
                  <c:v>-17.4798</c:v>
                </c:pt>
                <c:pt idx="1">
                  <c:v>-13.7949</c:v>
                </c:pt>
                <c:pt idx="2">
                  <c:v>-6.49711</c:v>
                </c:pt>
                <c:pt idx="3">
                  <c:v>-4.36941</c:v>
                </c:pt>
                <c:pt idx="4">
                  <c:v>-1.94466</c:v>
                </c:pt>
                <c:pt idx="5">
                  <c:v>0.83872</c:v>
                </c:pt>
                <c:pt idx="6">
                  <c:v>4.0474</c:v>
                </c:pt>
                <c:pt idx="7">
                  <c:v>7.66066</c:v>
                </c:pt>
                <c:pt idx="8">
                  <c:v>12.09655</c:v>
                </c:pt>
                <c:pt idx="9">
                  <c:v>16.50845</c:v>
                </c:pt>
                <c:pt idx="10">
                  <c:v>21.84954</c:v>
                </c:pt>
                <c:pt idx="11">
                  <c:v>28.1936</c:v>
                </c:pt>
                <c:pt idx="12">
                  <c:v>34.70399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256782555"/>
        <c:axId val="704716845"/>
      </c:scatterChart>
      <c:valAx>
        <c:axId val="256782555"/>
        <c:scaling>
          <c:orientation val="minMax"/>
          <c:max val="7"/>
          <c:min val="6.5"/>
        </c:scaling>
        <c:delete val="0"/>
        <c:axPos val="b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04716845"/>
        <c:crosses val="autoZero"/>
        <c:crossBetween val="midCat"/>
        <c:majorUnit val="0.05"/>
      </c:valAx>
      <c:valAx>
        <c:axId val="704716845"/>
        <c:scaling>
          <c:orientation val="minMax"/>
          <c:max val="5"/>
          <c:min val="-5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567825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90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r="0.7" b="0.75" l="0.7" footer="0.3" header="0.3" t="0.7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443865</xdr:colOff>
      <xdr:row>1</xdr:row>
      <xdr:rowOff>146685</xdr:rowOff>
    </xdr:from>
    <xdr:to>
      <xdr:col>21</xdr:col>
      <xdr:colOff>100965</xdr:colOff>
      <xdr:row>28</xdr:row>
      <xdr:rowOff>107950</xdr:rowOff>
    </xdr:to>
    <xdr:graphicFrame>
      <xdr:nvGraphicFramePr>
        <xdr:cNvPr id="2" name="Chart 1"/>
        <xdr:cNvGraphicFramePr/>
      </xdr:nvGraphicFramePr>
      <xdr:xfrm>
        <a:off x="4730115" y="346710"/>
        <a:ext cx="5829300" cy="53619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866140</xdr:colOff>
      <xdr:row>3</xdr:row>
      <xdr:rowOff>116205</xdr:rowOff>
    </xdr:from>
    <xdr:to>
      <xdr:col>17</xdr:col>
      <xdr:colOff>565785</xdr:colOff>
      <xdr:row>20</xdr:row>
      <xdr:rowOff>65405</xdr:rowOff>
    </xdr:to>
    <xdr:graphicFrame>
      <xdr:nvGraphicFramePr>
        <xdr:cNvPr id="3" name="Chart 2"/>
        <xdr:cNvGraphicFramePr/>
      </xdr:nvGraphicFramePr>
      <xdr:xfrm>
        <a:off x="1828165" y="716280"/>
        <a:ext cx="6452870" cy="33496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ExternalData_1" connectionId="1" autoFormatId="16" applyNumberFormats="0" applyBorderFormats="0" applyFontFormats="1" applyPatternFormats="1" applyAlignmentFormats="0" applyWidthHeightFormats="0">
  <queryTableRefresh preserveSortFilterLayout="0" nextId="10">
    <queryTableFields count="9">
      <queryTableField id="1" dataBound="0"/>
      <queryTableField id="2" dataBound="0"/>
      <queryTableField id="3" dataBound="0"/>
      <queryTableField id="4" dataBound="0"/>
      <queryTableField id="5" dataBound="0"/>
      <queryTableField id="6" dataBound="0"/>
      <queryTableField id="7" dataBound="0"/>
      <queryTableField id="8" dataBound="0"/>
      <queryTableField id="9" dataBound="0"/>
    </queryTableFields>
  </queryTableRefresh>
</queryTable>
</file>

<file path=xl/queryTables/queryTable2.xml><?xml version="1.0" encoding="utf-8"?>
<queryTable xmlns="http://schemas.openxmlformats.org/spreadsheetml/2006/main" name="ExternalData_1" connectionId="2" autoFormatId="16" applyNumberFormats="0" applyBorderFormats="0" applyFontFormats="1" applyPatternFormats="1" applyAlignmentFormats="0" applyWidthHeightFormats="0">
  <queryTableRefresh preserveSortFilterLayout="0" nextId="10">
    <queryTableFields count="9">
      <queryTableField id="1" dataBound="0"/>
      <queryTableField id="2" dataBound="0"/>
      <queryTableField id="3" dataBound="0"/>
      <queryTableField id="4" dataBound="0"/>
      <queryTableField id="5" dataBound="0"/>
      <queryTableField id="6" dataBound="0"/>
      <queryTableField id="7" dataBound="0"/>
      <queryTableField id="8" dataBound="0"/>
      <queryTableField id="9" dataBound="0"/>
    </queryTableFields>
  </queryTableRefresh>
</queryTable>
</file>

<file path=xl/queryTables/queryTable3.xml><?xml version="1.0" encoding="utf-8"?>
<queryTable xmlns="http://schemas.openxmlformats.org/spreadsheetml/2006/main" name="ExternalData_1" connectionId="7" autoFormatId="16" applyNumberFormats="0" applyBorderFormats="0" applyFontFormats="1" applyPatternFormats="1" applyAlignmentFormats="0" applyWidthHeightFormats="0">
  <queryTableRefresh preserveSortFilterLayout="0" nextId="7">
    <queryTableFields count="6">
      <queryTableField id="1" dataBound="0"/>
      <queryTableField id="2" dataBound="0"/>
      <queryTableField id="3" dataBound="0"/>
      <queryTableField id="4" dataBound="0"/>
      <queryTableField id="5" dataBound="0"/>
      <queryTableField id="6" dataBound="0"/>
    </queryTableFields>
  </queryTableRefresh>
</queryTable>
</file>

<file path=xl/queryTables/queryTable4.xml><?xml version="1.0" encoding="utf-8"?>
<queryTable xmlns="http://schemas.openxmlformats.org/spreadsheetml/2006/main" name="ExternalData_1" connectionId="3" autoFormatId="16" applyNumberFormats="0" applyBorderFormats="0" applyFontFormats="1" applyPatternFormats="1" applyAlignmentFormats="0" applyWidthHeightFormats="0">
  <queryTableRefresh preserveSortFilterLayout="0" nextId="10">
    <queryTableFields count="9">
      <queryTableField id="1" dataBound="0"/>
      <queryTableField id="2" dataBound="0"/>
      <queryTableField id="3" dataBound="0"/>
      <queryTableField id="4" dataBound="0"/>
      <queryTableField id="5" dataBound="0"/>
      <queryTableField id="6" dataBound="0"/>
      <queryTableField id="7" dataBound="0"/>
      <queryTableField id="8" dataBound="0"/>
      <queryTableField id="9" dataBound="0"/>
    </queryTableFields>
  </queryTableRefresh>
</queryTable>
</file>

<file path=xl/queryTables/queryTable5.xml><?xml version="1.0" encoding="utf-8"?>
<queryTable xmlns="http://schemas.openxmlformats.org/spreadsheetml/2006/main" name="ExternalData_2" connectionId="6" autoFormatId="16" applyNumberFormats="0" applyBorderFormats="0" applyFontFormats="1" applyPatternFormats="1" applyAlignmentFormats="0" applyWidthHeightFormats="0">
  <queryTableRefresh preserveSortFilterLayout="0" nextId="10">
    <queryTableFields count="9">
      <queryTableField id="1" dataBound="0"/>
      <queryTableField id="2" dataBound="0"/>
      <queryTableField id="3" dataBound="0"/>
      <queryTableField id="4" dataBound="0"/>
      <queryTableField id="5" dataBound="0"/>
      <queryTableField id="6" dataBound="0"/>
      <queryTableField id="7" dataBound="0"/>
      <queryTableField id="8" dataBound="0"/>
      <queryTableField id="9" dataBound="0"/>
    </queryTableFields>
  </queryTableRefresh>
</queryTable>
</file>

<file path=xl/queryTables/queryTable6.xml><?xml version="1.0" encoding="utf-8"?>
<queryTable xmlns="http://schemas.openxmlformats.org/spreadsheetml/2006/main" name="ExternalData_1" connectionId="5" autoFormatId="16" applyNumberFormats="0" applyBorderFormats="0" applyFontFormats="1" applyPatternFormats="1" applyAlignmentFormats="0" applyWidthHeightFormats="0">
  <queryTableRefresh preserveSortFilterLayout="0" nextId="10">
    <queryTableFields count="9">
      <queryTableField id="1" dataBound="0"/>
      <queryTableField id="2" dataBound="0"/>
      <queryTableField id="3" dataBound="0"/>
      <queryTableField id="4" dataBound="0"/>
      <queryTableField id="5" dataBound="0"/>
      <queryTableField id="6" dataBound="0"/>
      <queryTableField id="7" dataBound="0"/>
      <queryTableField id="8" dataBound="0"/>
      <queryTableField id="9" dataBound="0"/>
    </queryTableFields>
  </queryTableRefresh>
</queryTable>
</file>

<file path=xl/queryTables/queryTable7.xml><?xml version="1.0" encoding="utf-8"?>
<queryTable xmlns="http://schemas.openxmlformats.org/spreadsheetml/2006/main" name="ExternalData_3" connectionId="4" autoFormatId="16" applyNumberFormats="0" applyBorderFormats="0" applyFontFormats="1" applyPatternFormats="1" applyAlignmentFormats="0" applyWidthHeightFormats="0">
  <queryTableRefresh preserveSortFilterLayout="0" nextId="7">
    <queryTableFields count="6">
      <queryTableField id="1" dataBound="0"/>
      <queryTableField id="2" dataBound="0"/>
      <queryTableField id="3" dataBound="0"/>
      <queryTableField id="4" dataBound="0"/>
      <queryTableField id="5" dataBound="0"/>
      <queryTableField id="6" dataBound="0"/>
    </queryTableFields>
  </queryTableRefresh>
</queryTable>
</file>

<file path=xl/queryTables/queryTable8.xml><?xml version="1.0" encoding="utf-8"?>
<queryTable xmlns="http://schemas.openxmlformats.org/spreadsheetml/2006/main" name="ExternalData_1" connectionId="8" autoFormatId="16" applyNumberFormats="0" applyBorderFormats="0" applyFontFormats="1" applyPatternFormats="1" applyAlignmentFormats="0" applyWidthHeightFormats="0">
  <queryTableRefresh preserveSortFilterLayout="0" nextId="7">
    <queryTableFields count="6">
      <queryTableField id="1" dataBound="0"/>
      <queryTableField id="2" dataBound="0"/>
      <queryTableField id="3" dataBound="0"/>
      <queryTableField id="4" dataBound="0"/>
      <queryTableField id="5" dataBound="0"/>
      <queryTableField id="6" dataBound="0"/>
    </queryTableFields>
  </queryTableRefresh>
</query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queryTable" Target="../queryTables/queryTable4.xml"/></Relationships>
</file>

<file path=xl/worksheets/_rels/sheet7.xml.rels><?xml version="1.0" encoding="UTF-8" standalone="yes"?>
<Relationships xmlns="http://schemas.openxmlformats.org/package/2006/relationships"><Relationship Id="rId4" Type="http://schemas.openxmlformats.org/officeDocument/2006/relationships/queryTable" Target="../queryTables/queryTable6.xml"/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comments" Target="../comments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.xml"/><Relationship Id="rId1" Type="http://schemas.openxmlformats.org/officeDocument/2006/relationships/queryTable" Target="../queryTables/queryTable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41"/>
  <sheetViews>
    <sheetView zoomScale="115" zoomScaleNormal="115" topLeftCell="A13" workbookViewId="0">
      <selection activeCell="J16" sqref="J16"/>
    </sheetView>
  </sheetViews>
  <sheetFormatPr defaultColWidth="9" defaultRowHeight="15.75"/>
  <cols>
    <col min="2" max="2" width="19.25" customWidth="1"/>
    <col min="3" max="3" width="12.625"/>
    <col min="4" max="4" width="13.75"/>
    <col min="5" max="5" width="12.625"/>
    <col min="7" max="10" width="12.625"/>
  </cols>
  <sheetData>
    <row r="1" spans="2:5">
      <c r="B1" t="s">
        <v>0</v>
      </c>
      <c r="C1" t="s">
        <v>1</v>
      </c>
      <c r="D1" t="s">
        <v>2</v>
      </c>
      <c r="E1" t="s">
        <v>3</v>
      </c>
    </row>
    <row r="2" spans="2:10">
      <c r="B2">
        <v>7.7346036593063</v>
      </c>
      <c r="C2">
        <v>-9.29974075</v>
      </c>
      <c r="D2" s="1">
        <f t="shared" ref="D2:D6" si="0">C2+E2</f>
        <v>-9.27877112419782</v>
      </c>
      <c r="E2" s="1">
        <v>0.0209696258021805</v>
      </c>
      <c r="I2">
        <v>1.07</v>
      </c>
      <c r="J2">
        <f>6.72574231244026*I2</f>
        <v>7.19654427431108</v>
      </c>
    </row>
    <row r="3" spans="2:10">
      <c r="B3">
        <v>7.39831654368429</v>
      </c>
      <c r="C3">
        <v>-9.303271</v>
      </c>
      <c r="D3" s="1">
        <f t="shared" si="0"/>
        <v>-9.28217704928256</v>
      </c>
      <c r="E3" s="1">
        <v>0.0210939507174438</v>
      </c>
      <c r="I3">
        <v>1.06</v>
      </c>
      <c r="J3">
        <f>6.72574231244026*I3</f>
        <v>7.12928685118668</v>
      </c>
    </row>
    <row r="4" spans="1:10">
      <c r="A4" t="s">
        <v>4</v>
      </c>
      <c r="B4">
        <v>7.19654427431108</v>
      </c>
      <c r="I4">
        <v>1.05</v>
      </c>
      <c r="J4">
        <f>6.72574231244026*I4</f>
        <v>7.06202942806227</v>
      </c>
    </row>
    <row r="5" spans="1:10">
      <c r="A5" t="s">
        <v>5</v>
      </c>
      <c r="B5">
        <v>7.12928685118668</v>
      </c>
      <c r="I5">
        <v>1.04</v>
      </c>
      <c r="J5">
        <f t="shared" ref="J5:J16" si="1">6.72574231244026*I5</f>
        <v>6.99477200493787</v>
      </c>
    </row>
    <row r="6" spans="1:10">
      <c r="A6" t="s">
        <v>6</v>
      </c>
      <c r="B6">
        <v>7.06202942806227</v>
      </c>
      <c r="C6">
        <v>-9.305298</v>
      </c>
      <c r="D6" s="1">
        <f t="shared" si="0"/>
        <v>-9.28401399136472</v>
      </c>
      <c r="E6" s="1">
        <v>0.0212840086352783</v>
      </c>
      <c r="G6">
        <f>6.72574231244026*2</f>
        <v>13.4514846248805</v>
      </c>
      <c r="I6">
        <v>1.03</v>
      </c>
      <c r="J6">
        <f t="shared" si="1"/>
        <v>6.92751458181347</v>
      </c>
    </row>
    <row r="7" spans="1:10">
      <c r="A7" t="s">
        <v>7</v>
      </c>
      <c r="B7">
        <v>6.99477200493787</v>
      </c>
      <c r="C7">
        <v>-9.30541825</v>
      </c>
      <c r="D7" s="1">
        <f t="shared" ref="D7:D16" si="2">C7+E7</f>
        <v>-9.28414069068237</v>
      </c>
      <c r="E7" s="1">
        <v>0.0212775593176295</v>
      </c>
      <c r="I7">
        <v>1.02</v>
      </c>
      <c r="J7">
        <f t="shared" si="1"/>
        <v>6.86025715868907</v>
      </c>
    </row>
    <row r="8" spans="1:10">
      <c r="A8" t="s">
        <v>8</v>
      </c>
      <c r="B8">
        <v>6.92751458181347</v>
      </c>
      <c r="C8">
        <v>-9.305416</v>
      </c>
      <c r="D8" s="1">
        <f t="shared" si="2"/>
        <v>-9.2841141355305</v>
      </c>
      <c r="E8">
        <v>0.0213018644695016</v>
      </c>
      <c r="I8">
        <v>1.01</v>
      </c>
      <c r="J8">
        <f t="shared" si="1"/>
        <v>6.79299973556466</v>
      </c>
    </row>
    <row r="9" spans="1:10">
      <c r="A9" t="s">
        <v>9</v>
      </c>
      <c r="B9">
        <v>6.86025715868907</v>
      </c>
      <c r="C9">
        <v>-9.305258</v>
      </c>
      <c r="D9" s="1">
        <f t="shared" si="2"/>
        <v>-9.28394005617462</v>
      </c>
      <c r="E9" s="1">
        <v>0.0213179438253818</v>
      </c>
      <c r="I9">
        <v>1</v>
      </c>
      <c r="J9">
        <f t="shared" si="1"/>
        <v>6.72574231244026</v>
      </c>
    </row>
    <row r="10" spans="1:10">
      <c r="A10" t="s">
        <v>10</v>
      </c>
      <c r="B10">
        <v>6.79299973556466</v>
      </c>
      <c r="C10">
        <v>-9.30494375</v>
      </c>
      <c r="D10" s="1">
        <f t="shared" si="2"/>
        <v>-9.28360454025992</v>
      </c>
      <c r="E10">
        <v>0.0213392097400774</v>
      </c>
      <c r="I10">
        <v>0.99</v>
      </c>
      <c r="J10">
        <f t="shared" si="1"/>
        <v>6.65848488931586</v>
      </c>
    </row>
    <row r="11" spans="1:10">
      <c r="A11" t="s">
        <v>11</v>
      </c>
      <c r="B11">
        <v>6.72574231244026</v>
      </c>
      <c r="C11">
        <v>-9.30443575</v>
      </c>
      <c r="D11" s="1">
        <f t="shared" si="2"/>
        <v>-9.28085089283634</v>
      </c>
      <c r="E11" s="1">
        <v>0.0235848571636644</v>
      </c>
      <c r="G11">
        <v>1</v>
      </c>
      <c r="H11">
        <f>6.72574231244026*G11</f>
        <v>6.72574231244026</v>
      </c>
      <c r="I11">
        <v>0.98</v>
      </c>
      <c r="J11">
        <f t="shared" si="1"/>
        <v>6.59122746619145</v>
      </c>
    </row>
    <row r="12" spans="1:10">
      <c r="A12" t="s">
        <v>12</v>
      </c>
      <c r="B12">
        <v>6.65848488931586</v>
      </c>
      <c r="C12">
        <v>-9.303711</v>
      </c>
      <c r="D12" s="1">
        <f t="shared" si="2"/>
        <v>-9.303711</v>
      </c>
      <c r="E12" s="1">
        <v>0</v>
      </c>
      <c r="I12">
        <v>0.97</v>
      </c>
      <c r="J12">
        <f t="shared" si="1"/>
        <v>6.52397004306705</v>
      </c>
    </row>
    <row r="13" spans="1:10">
      <c r="A13" t="s">
        <v>13</v>
      </c>
      <c r="B13">
        <v>6.59122746619145</v>
      </c>
      <c r="C13">
        <v>-9.3027445</v>
      </c>
      <c r="D13" s="1">
        <f t="shared" si="2"/>
        <v>-9.3027445</v>
      </c>
      <c r="E13" s="1">
        <v>0</v>
      </c>
      <c r="I13">
        <v>0.96</v>
      </c>
      <c r="J13">
        <f t="shared" si="1"/>
        <v>6.45671261994265</v>
      </c>
    </row>
    <row r="14" spans="1:10">
      <c r="A14" t="s">
        <v>14</v>
      </c>
      <c r="B14">
        <v>6.52397004306705</v>
      </c>
      <c r="C14">
        <v>-9.30149675</v>
      </c>
      <c r="D14" s="1">
        <f t="shared" si="2"/>
        <v>-9.30149675</v>
      </c>
      <c r="E14" s="1">
        <v>0</v>
      </c>
      <c r="I14">
        <v>0.95</v>
      </c>
      <c r="J14">
        <f t="shared" si="1"/>
        <v>6.38945519681825</v>
      </c>
    </row>
    <row r="15" spans="1:10">
      <c r="A15" t="s">
        <v>15</v>
      </c>
      <c r="B15">
        <v>6.45671261994265</v>
      </c>
      <c r="C15">
        <v>-9.29993175</v>
      </c>
      <c r="D15" s="1">
        <f t="shared" si="2"/>
        <v>-9.29993175</v>
      </c>
      <c r="E15" s="1">
        <v>0</v>
      </c>
      <c r="I15">
        <v>0.94</v>
      </c>
      <c r="J15">
        <f t="shared" si="1"/>
        <v>6.32219777369384</v>
      </c>
    </row>
    <row r="16" spans="1:10">
      <c r="A16" t="s">
        <v>16</v>
      </c>
      <c r="B16">
        <v>6.38945519681825</v>
      </c>
      <c r="C16">
        <v>-9.2980065</v>
      </c>
      <c r="D16" s="1">
        <f t="shared" si="2"/>
        <v>-9.2765447062902</v>
      </c>
      <c r="E16" s="1">
        <v>0.0214617937098034</v>
      </c>
      <c r="G16">
        <v>0.95</v>
      </c>
      <c r="H16">
        <f t="shared" ref="H16:H27" si="3">6.72574231244026*G16</f>
        <v>6.38945519681825</v>
      </c>
      <c r="I16">
        <v>0.93</v>
      </c>
      <c r="J16">
        <f t="shared" si="1"/>
        <v>6.25494035056944</v>
      </c>
    </row>
    <row r="17" spans="1:8">
      <c r="A17" t="s">
        <v>17</v>
      </c>
      <c r="B17">
        <v>6.32219777369384</v>
      </c>
      <c r="G17">
        <v>0.9</v>
      </c>
      <c r="H17">
        <f t="shared" si="3"/>
        <v>6.05316808119623</v>
      </c>
    </row>
    <row r="18" spans="1:8">
      <c r="A18" t="s">
        <v>18</v>
      </c>
      <c r="B18">
        <v>6.25494035056944</v>
      </c>
      <c r="G18">
        <v>0.85</v>
      </c>
      <c r="H18">
        <f t="shared" si="3"/>
        <v>5.71688096557422</v>
      </c>
    </row>
    <row r="19" spans="1:8">
      <c r="A19" t="s">
        <v>19</v>
      </c>
      <c r="B19" s="1">
        <v>6.05316808099999</v>
      </c>
      <c r="C19">
        <v>-9.281312</v>
      </c>
      <c r="D19" s="1">
        <f t="shared" ref="D19:D29" si="4">C19+E19</f>
        <v>-9.25981534941733</v>
      </c>
      <c r="E19" s="1">
        <v>0.0214966505826721</v>
      </c>
      <c r="G19">
        <v>0.8</v>
      </c>
      <c r="H19">
        <f t="shared" si="3"/>
        <v>5.38059384995221</v>
      </c>
    </row>
    <row r="20" spans="1:8">
      <c r="A20" t="s">
        <v>20</v>
      </c>
      <c r="B20" s="1">
        <v>5.71688096599999</v>
      </c>
      <c r="C20">
        <v>-9.24699775</v>
      </c>
      <c r="D20" s="1">
        <f t="shared" si="4"/>
        <v>-9.22545581578752</v>
      </c>
      <c r="E20" s="1">
        <v>0.0215419342124851</v>
      </c>
      <c r="G20">
        <v>0.75</v>
      </c>
      <c r="H20">
        <f t="shared" si="3"/>
        <v>5.04430673433019</v>
      </c>
    </row>
    <row r="21" spans="1:8">
      <c r="A21" t="s">
        <v>21</v>
      </c>
      <c r="B21" s="1">
        <v>5.38059385</v>
      </c>
      <c r="C21">
        <v>-9.18425575</v>
      </c>
      <c r="D21" s="1">
        <f t="shared" si="4"/>
        <v>-9.16266257845306</v>
      </c>
      <c r="E21" s="1">
        <v>0.0215931715469442</v>
      </c>
      <c r="G21">
        <v>0.7</v>
      </c>
      <c r="H21">
        <f t="shared" si="3"/>
        <v>4.70801961870818</v>
      </c>
    </row>
    <row r="22" spans="1:8">
      <c r="A22" t="s">
        <v>22</v>
      </c>
      <c r="B22" s="1">
        <v>5.044306734</v>
      </c>
      <c r="C22">
        <v>-9.07655725</v>
      </c>
      <c r="D22" s="1">
        <f t="shared" si="4"/>
        <v>-9.05490492455843</v>
      </c>
      <c r="E22" s="1">
        <v>0.0216523254415718</v>
      </c>
      <c r="G22">
        <v>0.65</v>
      </c>
      <c r="H22">
        <f t="shared" si="3"/>
        <v>4.37173250308617</v>
      </c>
    </row>
    <row r="23" spans="1:8">
      <c r="A23" t="s">
        <v>23</v>
      </c>
      <c r="B23" s="1">
        <v>4.70801961899999</v>
      </c>
      <c r="C23">
        <v>-8.89676175</v>
      </c>
      <c r="D23" s="1">
        <f t="shared" si="4"/>
        <v>-8.87509644543177</v>
      </c>
      <c r="E23" s="1">
        <v>0.0216653045682302</v>
      </c>
      <c r="G23">
        <v>0.6</v>
      </c>
      <c r="H23">
        <f t="shared" si="3"/>
        <v>4.03544538746416</v>
      </c>
    </row>
    <row r="24" spans="1:8">
      <c r="A24" t="s">
        <v>24</v>
      </c>
      <c r="B24" s="1">
        <v>4.37173250299999</v>
      </c>
      <c r="C24">
        <v>-8.610972</v>
      </c>
      <c r="D24" s="1">
        <f t="shared" si="4"/>
        <v>-8.58969112874629</v>
      </c>
      <c r="E24" s="1">
        <v>0.021280871253706</v>
      </c>
      <c r="G24">
        <v>0.55</v>
      </c>
      <c r="H24">
        <f t="shared" si="3"/>
        <v>3.69915827184214</v>
      </c>
    </row>
    <row r="25" spans="1:8">
      <c r="A25" t="s">
        <v>25</v>
      </c>
      <c r="B25" s="1">
        <v>4.035445387</v>
      </c>
      <c r="C25">
        <v>-8.184804</v>
      </c>
      <c r="D25" s="1">
        <f t="shared" si="4"/>
        <v>-8.1644223392305</v>
      </c>
      <c r="E25" s="1">
        <v>0.0203816607694967</v>
      </c>
      <c r="G25">
        <v>0.5</v>
      </c>
      <c r="H25">
        <f t="shared" si="3"/>
        <v>3.36287115622013</v>
      </c>
    </row>
    <row r="26" spans="1:8">
      <c r="A26" t="s">
        <v>26</v>
      </c>
      <c r="B26" s="1">
        <v>3.69915827100001</v>
      </c>
      <c r="C26">
        <v>-7.561232</v>
      </c>
      <c r="D26" s="1">
        <f t="shared" si="4"/>
        <v>-7.54245840350752</v>
      </c>
      <c r="E26" s="1">
        <v>0.0187735964924786</v>
      </c>
      <c r="G26">
        <v>0.45</v>
      </c>
      <c r="H26">
        <f t="shared" si="3"/>
        <v>3.02658404059812</v>
      </c>
    </row>
    <row r="27" spans="1:8">
      <c r="A27" t="s">
        <v>27</v>
      </c>
      <c r="B27" s="1">
        <v>3.36287115500002</v>
      </c>
      <c r="C27">
        <v>-6.6218255</v>
      </c>
      <c r="D27" s="1">
        <f t="shared" si="4"/>
        <v>-6.60562327498075</v>
      </c>
      <c r="E27" s="1">
        <v>0.0162022250192528</v>
      </c>
      <c r="G27">
        <v>0.399999999999999</v>
      </c>
      <c r="H27">
        <f t="shared" si="3"/>
        <v>2.6902969249761</v>
      </c>
    </row>
    <row r="28" spans="1:5">
      <c r="A28" t="s">
        <v>28</v>
      </c>
      <c r="B28" s="1">
        <v>3.02658403900003</v>
      </c>
      <c r="C28">
        <v>-5.380071</v>
      </c>
      <c r="D28" s="1">
        <f t="shared" si="4"/>
        <v>-5.36397948973004</v>
      </c>
      <c r="E28" s="1">
        <v>0.0160915102699602</v>
      </c>
    </row>
    <row r="29" spans="1:5">
      <c r="A29" t="s">
        <v>29</v>
      </c>
      <c r="B29" s="1">
        <v>2.69029692300004</v>
      </c>
      <c r="C29">
        <v>-3.654861</v>
      </c>
      <c r="D29" s="1">
        <f t="shared" si="4"/>
        <v>-3.63930487592718</v>
      </c>
      <c r="E29" s="1">
        <v>0.0155561240728216</v>
      </c>
    </row>
    <row r="31" spans="2:5">
      <c r="B31" s="1">
        <v>6.05316808099999</v>
      </c>
      <c r="C31">
        <v>-9.281312</v>
      </c>
      <c r="D31" s="1">
        <f t="shared" ref="D31:D41" si="5">C31+E31</f>
        <v>-9.25981534941733</v>
      </c>
      <c r="E31" s="1">
        <v>0.0214966505826721</v>
      </c>
    </row>
    <row r="32" spans="2:5">
      <c r="B32" s="1">
        <v>5.71688096599999</v>
      </c>
      <c r="C32">
        <v>-9.24699775</v>
      </c>
      <c r="D32" s="1">
        <f t="shared" si="5"/>
        <v>-9.22545581578752</v>
      </c>
      <c r="E32" s="1">
        <v>0.0215419342124851</v>
      </c>
    </row>
    <row r="33" spans="2:5">
      <c r="B33" s="1">
        <v>5.38059385</v>
      </c>
      <c r="C33">
        <v>-9.18425575</v>
      </c>
      <c r="D33" s="1">
        <f t="shared" si="5"/>
        <v>-9.16266257845306</v>
      </c>
      <c r="E33" s="1">
        <v>0.0215931715469442</v>
      </c>
    </row>
    <row r="34" spans="2:5">
      <c r="B34" s="1">
        <v>5.044306734</v>
      </c>
      <c r="C34">
        <v>-9.07655725</v>
      </c>
      <c r="D34" s="1">
        <f t="shared" si="5"/>
        <v>-9.05490492455843</v>
      </c>
      <c r="E34" s="1">
        <v>0.0216523254415718</v>
      </c>
    </row>
    <row r="35" spans="2:5">
      <c r="B35" s="1">
        <v>4.70801961899999</v>
      </c>
      <c r="C35">
        <v>-8.89676175</v>
      </c>
      <c r="D35" s="1">
        <f t="shared" si="5"/>
        <v>-8.87509644543177</v>
      </c>
      <c r="E35" s="1">
        <v>0.0216653045682302</v>
      </c>
    </row>
    <row r="36" spans="2:5">
      <c r="B36" s="1">
        <v>4.37173250299999</v>
      </c>
      <c r="C36">
        <v>-8.610972</v>
      </c>
      <c r="D36" s="1">
        <f t="shared" si="5"/>
        <v>-8.58969112874629</v>
      </c>
      <c r="E36" s="1">
        <v>0.021280871253706</v>
      </c>
    </row>
    <row r="37" spans="2:5">
      <c r="B37" s="1">
        <v>4.035445387</v>
      </c>
      <c r="C37">
        <v>-8.184804</v>
      </c>
      <c r="D37" s="1">
        <f t="shared" si="5"/>
        <v>-8.1644223392305</v>
      </c>
      <c r="E37" s="1">
        <v>0.0203816607694967</v>
      </c>
    </row>
    <row r="38" spans="2:5">
      <c r="B38" s="1">
        <v>3.69915827100001</v>
      </c>
      <c r="C38">
        <v>-7.561232</v>
      </c>
      <c r="D38" s="1">
        <f t="shared" si="5"/>
        <v>-7.54245840350752</v>
      </c>
      <c r="E38" s="1">
        <v>0.0187735964924786</v>
      </c>
    </row>
    <row r="39" spans="2:5">
      <c r="B39" s="1">
        <v>3.36287115500002</v>
      </c>
      <c r="C39">
        <v>-6.6218255</v>
      </c>
      <c r="D39" s="1">
        <f t="shared" si="5"/>
        <v>-6.60562327498075</v>
      </c>
      <c r="E39" s="1">
        <v>0.0162022250192528</v>
      </c>
    </row>
    <row r="40" spans="2:5">
      <c r="B40" s="1">
        <v>3.02658403900003</v>
      </c>
      <c r="C40">
        <v>-5.380071</v>
      </c>
      <c r="D40" s="1">
        <f t="shared" si="5"/>
        <v>-5.36397948973004</v>
      </c>
      <c r="E40" s="1">
        <v>0.0160915102699602</v>
      </c>
    </row>
    <row r="41" spans="2:5">
      <c r="B41" s="1">
        <v>2.69029692300004</v>
      </c>
      <c r="C41">
        <v>-3.654861</v>
      </c>
      <c r="D41" s="1">
        <f t="shared" si="5"/>
        <v>-3.63930487592718</v>
      </c>
      <c r="E41" s="1">
        <v>0.0155561240728216</v>
      </c>
    </row>
  </sheetData>
  <pageMargins left="0.699305555555556" right="0.699305555555556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36"/>
  <sheetViews>
    <sheetView tabSelected="1" zoomScale="115" zoomScaleNormal="115" topLeftCell="A3" workbookViewId="0">
      <selection activeCell="I4" sqref="I4:I18"/>
    </sheetView>
  </sheetViews>
  <sheetFormatPr defaultColWidth="9" defaultRowHeight="15.75"/>
  <cols>
    <col min="2" max="2" width="19.25" customWidth="1"/>
    <col min="3" max="3" width="12.625"/>
    <col min="4" max="5" width="13.75"/>
    <col min="6" max="6" width="12.625"/>
    <col min="7" max="7" width="21.875" customWidth="1"/>
    <col min="8" max="9" width="14.2416666666667" customWidth="1"/>
    <col min="10" max="13" width="12.625"/>
  </cols>
  <sheetData>
    <row r="1" customFormat="1" spans="1:9">
      <c r="A1" s="3"/>
      <c r="B1" s="3" t="s">
        <v>0</v>
      </c>
      <c r="C1" s="3" t="s">
        <v>1</v>
      </c>
      <c r="D1" s="3" t="s">
        <v>30</v>
      </c>
      <c r="E1" s="3" t="s">
        <v>31</v>
      </c>
      <c r="F1" s="3" t="s">
        <v>32</v>
      </c>
      <c r="G1" s="3" t="s">
        <v>33</v>
      </c>
      <c r="H1" s="3" t="s">
        <v>34</v>
      </c>
      <c r="I1" s="3"/>
    </row>
    <row r="2" customFormat="1" spans="2:13">
      <c r="B2" s="1">
        <v>7.62651333736756</v>
      </c>
      <c r="C2">
        <v>-9.35571075</v>
      </c>
      <c r="D2" s="4">
        <f>C2+F2</f>
        <v>-9.35571075</v>
      </c>
      <c r="E2" s="4">
        <v>0</v>
      </c>
      <c r="F2" s="1">
        <v>0</v>
      </c>
      <c r="G2">
        <v>0</v>
      </c>
      <c r="L2">
        <v>1.07</v>
      </c>
      <c r="M2">
        <f t="shared" ref="M2:M14" si="0">6.6317507281457*L2</f>
        <v>7.0959732791159</v>
      </c>
    </row>
    <row r="3" customFormat="1" spans="2:13">
      <c r="B3" s="1">
        <v>7.29492580096027</v>
      </c>
      <c r="C3">
        <v>-9.36041425</v>
      </c>
      <c r="D3" s="4">
        <f t="shared" ref="D3:D27" si="1">C3+F3</f>
        <v>-9.36041425</v>
      </c>
      <c r="E3" s="4">
        <v>0</v>
      </c>
      <c r="F3" s="1">
        <v>0</v>
      </c>
      <c r="G3">
        <v>0</v>
      </c>
      <c r="I3" s="5">
        <v>-214.676473994638</v>
      </c>
      <c r="L3">
        <v>1.06</v>
      </c>
      <c r="M3">
        <f t="shared" si="0"/>
        <v>7.02965577183444</v>
      </c>
    </row>
    <row r="4" customFormat="1" spans="1:13">
      <c r="A4" t="s">
        <v>4</v>
      </c>
      <c r="B4">
        <v>7.0959732791159</v>
      </c>
      <c r="C4">
        <v>-9.36272175</v>
      </c>
      <c r="D4" s="4">
        <f t="shared" si="1"/>
        <v>-9.34142444866186</v>
      </c>
      <c r="E4" s="4">
        <v>-1.74798</v>
      </c>
      <c r="F4">
        <v>0.0212973013381394</v>
      </c>
      <c r="G4">
        <v>0.0206405764390277</v>
      </c>
      <c r="H4">
        <f>C4/2.611E+22*6.02*1E+23</f>
        <v>-215.869723994638</v>
      </c>
      <c r="I4">
        <f>H4+214.676473994638</f>
        <v>-1.19325000000001</v>
      </c>
      <c r="J4">
        <v>0.95</v>
      </c>
      <c r="L4">
        <v>1.05</v>
      </c>
      <c r="M4">
        <f t="shared" si="0"/>
        <v>6.96333826455299</v>
      </c>
    </row>
    <row r="5" customFormat="1" spans="1:13">
      <c r="A5" t="s">
        <v>5</v>
      </c>
      <c r="B5">
        <v>7.02965577183444</v>
      </c>
      <c r="C5">
        <v>-9.36334625</v>
      </c>
      <c r="D5" s="4">
        <f t="shared" si="1"/>
        <v>-9.34203116612822</v>
      </c>
      <c r="E5" s="4">
        <v>-1.37949</v>
      </c>
      <c r="F5">
        <v>0.0213150838717795</v>
      </c>
      <c r="G5">
        <v>0.02066163725461</v>
      </c>
      <c r="H5">
        <f t="shared" ref="H5:H30" si="2">C5/2.611E+22*6.02*1E+23</f>
        <v>-215.884122654155</v>
      </c>
      <c r="I5">
        <f>H5+214.676473994638</f>
        <v>-1.20764865951699</v>
      </c>
      <c r="L5">
        <v>1.04</v>
      </c>
      <c r="M5">
        <f t="shared" si="0"/>
        <v>6.89702075727153</v>
      </c>
    </row>
    <row r="6" customFormat="1" spans="1:13">
      <c r="A6" t="s">
        <v>6</v>
      </c>
      <c r="B6" s="1">
        <v>6.96333826455299</v>
      </c>
      <c r="C6">
        <v>-9.36387875</v>
      </c>
      <c r="D6" s="4">
        <f t="shared" si="1"/>
        <v>-9.34252731341168</v>
      </c>
      <c r="E6" s="4">
        <v>-0.649711</v>
      </c>
      <c r="F6">
        <v>0.0213514365883235</v>
      </c>
      <c r="G6">
        <v>0.0206943201157467</v>
      </c>
      <c r="H6">
        <f t="shared" si="2"/>
        <v>-215.896400134048</v>
      </c>
      <c r="I6">
        <f t="shared" ref="I6:I18" si="3">H6+214.676473994638</f>
        <v>-1.21992613941001</v>
      </c>
      <c r="L6">
        <v>1.03</v>
      </c>
      <c r="M6">
        <f t="shared" si="0"/>
        <v>6.83070324999007</v>
      </c>
    </row>
    <row r="7" customFormat="1" spans="1:13">
      <c r="A7" t="s">
        <v>7</v>
      </c>
      <c r="B7" s="1">
        <v>6.89702075727153</v>
      </c>
      <c r="C7">
        <v>-9.364291</v>
      </c>
      <c r="D7" s="4">
        <f t="shared" si="1"/>
        <v>-9.34292050564871</v>
      </c>
      <c r="E7" s="4">
        <v>-0.436941</v>
      </c>
      <c r="F7">
        <v>0.0213704943512894</v>
      </c>
      <c r="G7">
        <v>0.0207214062522322</v>
      </c>
      <c r="H7">
        <f t="shared" si="2"/>
        <v>-215.905905093834</v>
      </c>
      <c r="I7">
        <f t="shared" si="3"/>
        <v>-1.22943109919601</v>
      </c>
      <c r="L7">
        <v>1.02</v>
      </c>
      <c r="M7">
        <f t="shared" si="0"/>
        <v>6.76438574270861</v>
      </c>
    </row>
    <row r="8" customFormat="1" spans="1:13">
      <c r="A8" t="s">
        <v>8</v>
      </c>
      <c r="B8" s="1">
        <v>6.83070324999007</v>
      </c>
      <c r="C8">
        <v>-9.36458075</v>
      </c>
      <c r="D8" s="4">
        <f t="shared" si="1"/>
        <v>-9.34319526886993</v>
      </c>
      <c r="E8" s="4">
        <v>-0.194466</v>
      </c>
      <c r="F8">
        <v>0.0213854811300705</v>
      </c>
      <c r="G8">
        <v>0.0207224978899954</v>
      </c>
      <c r="H8">
        <f t="shared" si="2"/>
        <v>-215.912585656836</v>
      </c>
      <c r="I8">
        <f t="shared" si="3"/>
        <v>-1.236111662198</v>
      </c>
      <c r="J8">
        <f>B10*2</f>
        <v>13.3961364708543</v>
      </c>
      <c r="L8">
        <v>1.01</v>
      </c>
      <c r="M8">
        <f t="shared" si="0"/>
        <v>6.69806823542716</v>
      </c>
    </row>
    <row r="9" customFormat="1" spans="1:13">
      <c r="A9" t="s">
        <v>9</v>
      </c>
      <c r="B9" s="1">
        <v>6.76438574270861</v>
      </c>
      <c r="C9">
        <v>-9.36471925</v>
      </c>
      <c r="D9" s="4">
        <f t="shared" si="1"/>
        <v>-9.34329465155856</v>
      </c>
      <c r="E9" s="4">
        <v>0.083872</v>
      </c>
      <c r="F9">
        <v>0.0214245984414376</v>
      </c>
      <c r="G9">
        <v>0.0207691221463404</v>
      </c>
      <c r="H9">
        <f t="shared" si="2"/>
        <v>-215.915778954424</v>
      </c>
      <c r="I9">
        <f t="shared" si="3"/>
        <v>-1.23930495978601</v>
      </c>
      <c r="J9">
        <v>1</v>
      </c>
      <c r="K9">
        <f>6.72574231244026*J9</f>
        <v>6.72574231244026</v>
      </c>
      <c r="L9">
        <v>1</v>
      </c>
      <c r="M9">
        <f t="shared" si="0"/>
        <v>6.6317507281457</v>
      </c>
    </row>
    <row r="10" customFormat="1" spans="1:13">
      <c r="A10" t="s">
        <v>10</v>
      </c>
      <c r="B10">
        <v>6.69806823542716</v>
      </c>
      <c r="C10">
        <v>-9.364684</v>
      </c>
      <c r="D10" s="4">
        <f t="shared" si="1"/>
        <v>-9.34324236527863</v>
      </c>
      <c r="E10" s="4">
        <v>0.40474</v>
      </c>
      <c r="F10">
        <v>0.0214416347213709</v>
      </c>
      <c r="G10">
        <v>0.0207971474890624</v>
      </c>
      <c r="H10">
        <f t="shared" si="2"/>
        <v>-215.914966219839</v>
      </c>
      <c r="I10">
        <f t="shared" si="3"/>
        <v>-1.23849222520099</v>
      </c>
      <c r="L10">
        <v>0.99</v>
      </c>
      <c r="M10">
        <f t="shared" si="0"/>
        <v>6.56543322086424</v>
      </c>
    </row>
    <row r="11" customFormat="1" spans="1:13">
      <c r="A11" t="s">
        <v>11</v>
      </c>
      <c r="B11" s="1">
        <v>6.6317507281457</v>
      </c>
      <c r="C11">
        <v>-9.36446125</v>
      </c>
      <c r="D11" s="4">
        <f t="shared" si="1"/>
        <v>-9.34298510923149</v>
      </c>
      <c r="E11" s="4">
        <v>0.766066</v>
      </c>
      <c r="F11">
        <v>0.0214761407685137</v>
      </c>
      <c r="G11">
        <v>0.0208237304654679</v>
      </c>
      <c r="H11">
        <f t="shared" si="2"/>
        <v>-215.909830428954</v>
      </c>
      <c r="I11">
        <f t="shared" si="3"/>
        <v>-1.23335643431599</v>
      </c>
      <c r="L11">
        <v>0.98</v>
      </c>
      <c r="M11">
        <f t="shared" si="0"/>
        <v>6.49911571358279</v>
      </c>
    </row>
    <row r="12" customFormat="1" spans="1:13">
      <c r="A12" t="s">
        <v>12</v>
      </c>
      <c r="B12" s="1">
        <v>6.56543322086424</v>
      </c>
      <c r="C12">
        <v>-9.36401425</v>
      </c>
      <c r="D12" s="4">
        <f t="shared" si="1"/>
        <v>-9.3425189263749</v>
      </c>
      <c r="E12" s="4">
        <v>1.209655</v>
      </c>
      <c r="F12">
        <v>0.0214953236250955</v>
      </c>
      <c r="G12">
        <v>0.0208437353704383</v>
      </c>
      <c r="H12">
        <f t="shared" si="2"/>
        <v>-215.899524262735</v>
      </c>
      <c r="I12">
        <f t="shared" si="3"/>
        <v>-1.22305026809701</v>
      </c>
      <c r="L12">
        <v>0.97</v>
      </c>
      <c r="M12">
        <f t="shared" si="0"/>
        <v>6.43279820630133</v>
      </c>
    </row>
    <row r="13" customFormat="1" spans="1:13">
      <c r="A13" t="s">
        <v>13</v>
      </c>
      <c r="B13" s="1">
        <v>6.49911571358279</v>
      </c>
      <c r="C13">
        <v>-9.363318</v>
      </c>
      <c r="D13" s="4">
        <f t="shared" si="1"/>
        <v>-9.34181344827522</v>
      </c>
      <c r="E13" s="4">
        <v>1.650845</v>
      </c>
      <c r="F13">
        <v>0.0215045517247771</v>
      </c>
      <c r="G13">
        <v>0.0208632790939217</v>
      </c>
      <c r="H13">
        <f t="shared" si="2"/>
        <v>-215.883471313673</v>
      </c>
      <c r="I13">
        <f t="shared" si="3"/>
        <v>-1.206997319035</v>
      </c>
      <c r="L13">
        <v>0.96</v>
      </c>
      <c r="M13">
        <f t="shared" si="0"/>
        <v>6.36648069901987</v>
      </c>
    </row>
    <row r="14" customFormat="1" spans="1:13">
      <c r="A14" t="s">
        <v>14</v>
      </c>
      <c r="B14" s="1">
        <v>6.43279820630133</v>
      </c>
      <c r="C14">
        <v>-9.36232725</v>
      </c>
      <c r="D14" s="4">
        <f t="shared" si="1"/>
        <v>-9.34080128378352</v>
      </c>
      <c r="E14" s="4">
        <v>2.184954</v>
      </c>
      <c r="F14">
        <v>0.0215259662164836</v>
      </c>
      <c r="G14">
        <v>0.0208786517777622</v>
      </c>
      <c r="H14">
        <f t="shared" si="2"/>
        <v>-215.860628284182</v>
      </c>
      <c r="I14">
        <f t="shared" si="3"/>
        <v>-1.18415428954401</v>
      </c>
      <c r="J14">
        <v>0.95</v>
      </c>
      <c r="K14">
        <f t="shared" ref="K14:K25" si="4">6.72574231244026*J14</f>
        <v>6.38945519681825</v>
      </c>
      <c r="L14">
        <v>0.95</v>
      </c>
      <c r="M14">
        <f t="shared" si="0"/>
        <v>6.30016319173841</v>
      </c>
    </row>
    <row r="15" customFormat="1" spans="1:13">
      <c r="A15" t="s">
        <v>15</v>
      </c>
      <c r="B15" s="1">
        <v>6.36648069901987</v>
      </c>
      <c r="C15">
        <v>-9.3610255</v>
      </c>
      <c r="D15" s="4">
        <f t="shared" si="1"/>
        <v>-9.33948007495655</v>
      </c>
      <c r="E15" s="4">
        <v>2.81936</v>
      </c>
      <c r="F15">
        <v>0.0215454250434452</v>
      </c>
      <c r="G15">
        <v>0.0209155631075892</v>
      </c>
      <c r="H15">
        <f t="shared" si="2"/>
        <v>-215.830614745308</v>
      </c>
      <c r="I15">
        <f t="shared" si="3"/>
        <v>-1.15414075067</v>
      </c>
      <c r="J15">
        <v>0.9</v>
      </c>
      <c r="K15">
        <f t="shared" si="4"/>
        <v>6.05316808119623</v>
      </c>
      <c r="L15">
        <v>0.94</v>
      </c>
      <c r="M15">
        <f t="shared" ref="M15:M25" si="5">6.6317507281457*L15</f>
        <v>6.23384568445696</v>
      </c>
    </row>
    <row r="16" customFormat="1" spans="1:13">
      <c r="A16" t="s">
        <v>16</v>
      </c>
      <c r="B16" s="1">
        <v>6.30016319173841</v>
      </c>
      <c r="C16">
        <v>-9.359363</v>
      </c>
      <c r="D16" s="4">
        <f t="shared" si="1"/>
        <v>-9.33780344436616</v>
      </c>
      <c r="E16" s="4">
        <v>3.470399</v>
      </c>
      <c r="F16">
        <v>0.02155955563384</v>
      </c>
      <c r="G16">
        <v>0.02093910836919</v>
      </c>
      <c r="H16">
        <f t="shared" si="2"/>
        <v>-215.792283646113</v>
      </c>
      <c r="I16">
        <f t="shared" si="3"/>
        <v>-1.11580965147499</v>
      </c>
      <c r="J16">
        <v>0.85</v>
      </c>
      <c r="K16">
        <f t="shared" si="4"/>
        <v>5.71688096557422</v>
      </c>
      <c r="L16">
        <v>0.93</v>
      </c>
      <c r="M16">
        <f t="shared" si="5"/>
        <v>6.1675281771755</v>
      </c>
    </row>
    <row r="17" customFormat="1" spans="1:13">
      <c r="A17" t="s">
        <v>17</v>
      </c>
      <c r="B17">
        <v>6.23384568445696</v>
      </c>
      <c r="C17">
        <v>-9.3572985</v>
      </c>
      <c r="D17" s="4">
        <f t="shared" si="1"/>
        <v>-9.33572266567675</v>
      </c>
      <c r="E17" s="4">
        <v>8.313759</v>
      </c>
      <c r="F17">
        <v>0.0215758343232551</v>
      </c>
      <c r="G17">
        <v>0.0209624503779583</v>
      </c>
      <c r="H17">
        <f t="shared" si="2"/>
        <v>-215.744683914209</v>
      </c>
      <c r="I17">
        <f t="shared" si="3"/>
        <v>-1.06820991957099</v>
      </c>
      <c r="J17">
        <v>0.8</v>
      </c>
      <c r="K17">
        <f t="shared" si="4"/>
        <v>5.38059384995221</v>
      </c>
      <c r="M17">
        <f t="shared" si="5"/>
        <v>0</v>
      </c>
    </row>
    <row r="18" customFormat="1" spans="1:13">
      <c r="A18" t="s">
        <v>18</v>
      </c>
      <c r="B18">
        <v>6.1675281771755</v>
      </c>
      <c r="C18">
        <v>-9.35477725</v>
      </c>
      <c r="D18" s="4">
        <f t="shared" si="1"/>
        <v>-9.33318746929334</v>
      </c>
      <c r="E18" s="4">
        <v>16.364584</v>
      </c>
      <c r="F18">
        <v>0.0215897807066604</v>
      </c>
      <c r="G18">
        <v>0.0209664669130575</v>
      </c>
      <c r="H18">
        <f t="shared" si="2"/>
        <v>-215.686553217158</v>
      </c>
      <c r="I18">
        <f t="shared" si="3"/>
        <v>-1.01007922252001</v>
      </c>
      <c r="J18">
        <v>0.75</v>
      </c>
      <c r="K18">
        <f t="shared" si="4"/>
        <v>5.04430673433019</v>
      </c>
      <c r="L18">
        <v>0.75</v>
      </c>
      <c r="M18">
        <f t="shared" si="5"/>
        <v>4.97381304610928</v>
      </c>
    </row>
    <row r="19" customFormat="1" spans="1:13">
      <c r="A19" t="s">
        <v>19</v>
      </c>
      <c r="B19" s="1">
        <v>5.96857565533113</v>
      </c>
      <c r="C19">
        <v>-9.3439195</v>
      </c>
      <c r="D19" s="4">
        <f t="shared" ref="D19:D30" si="6">C19+F19</f>
        <v>-9.3439195</v>
      </c>
      <c r="E19" s="4">
        <v>29.162834</v>
      </c>
      <c r="F19">
        <v>0</v>
      </c>
      <c r="H19">
        <f t="shared" si="2"/>
        <v>-215.436213672922</v>
      </c>
      <c r="J19">
        <v>0.7</v>
      </c>
      <c r="K19">
        <f t="shared" si="4"/>
        <v>4.70801961870818</v>
      </c>
      <c r="L19">
        <v>0.7</v>
      </c>
      <c r="M19">
        <f t="shared" si="5"/>
        <v>4.64222550970199</v>
      </c>
    </row>
    <row r="20" customFormat="1" spans="1:13">
      <c r="A20" t="s">
        <v>20</v>
      </c>
      <c r="B20" s="1">
        <v>5.63698811892385</v>
      </c>
      <c r="C20">
        <v>-9.31057675</v>
      </c>
      <c r="D20" s="4">
        <f t="shared" si="6"/>
        <v>-9.31057675</v>
      </c>
      <c r="E20" s="4">
        <v>49.590418</v>
      </c>
      <c r="F20">
        <v>0</v>
      </c>
      <c r="H20">
        <f t="shared" si="2"/>
        <v>-214.667453217158</v>
      </c>
      <c r="J20">
        <v>0.65</v>
      </c>
      <c r="K20">
        <f t="shared" si="4"/>
        <v>4.37173250308617</v>
      </c>
      <c r="L20">
        <v>0.65</v>
      </c>
      <c r="M20">
        <f t="shared" si="5"/>
        <v>4.31063797329471</v>
      </c>
    </row>
    <row r="21" customFormat="1" spans="1:13">
      <c r="A21" t="s">
        <v>21</v>
      </c>
      <c r="B21" s="1">
        <v>5.30540058251656</v>
      </c>
      <c r="C21">
        <v>-9.2470915</v>
      </c>
      <c r="D21" s="4">
        <f t="shared" si="6"/>
        <v>-9.2470915</v>
      </c>
      <c r="E21" s="4">
        <v>81.795232</v>
      </c>
      <c r="F21">
        <v>0</v>
      </c>
      <c r="H21">
        <f t="shared" si="2"/>
        <v>-213.203718230563</v>
      </c>
      <c r="J21">
        <v>0.6</v>
      </c>
      <c r="K21">
        <f t="shared" si="4"/>
        <v>4.03544538746416</v>
      </c>
      <c r="L21">
        <v>0.6</v>
      </c>
      <c r="M21">
        <f t="shared" si="5"/>
        <v>3.97905043688742</v>
      </c>
    </row>
    <row r="22" customFormat="1" spans="1:13">
      <c r="A22" t="s">
        <v>22</v>
      </c>
      <c r="B22" s="1">
        <v>4.97381304610928</v>
      </c>
      <c r="C22">
        <v>-9.13348925</v>
      </c>
      <c r="D22" s="4">
        <f t="shared" si="6"/>
        <v>-9.13348925</v>
      </c>
      <c r="E22" s="4">
        <v>126.264436</v>
      </c>
      <c r="F22">
        <v>0</v>
      </c>
      <c r="H22">
        <f t="shared" si="2"/>
        <v>-210.584470643432</v>
      </c>
      <c r="J22">
        <v>0.55</v>
      </c>
      <c r="K22">
        <f t="shared" si="4"/>
        <v>3.69915827184214</v>
      </c>
      <c r="L22">
        <v>0.55</v>
      </c>
      <c r="M22">
        <f t="shared" si="5"/>
        <v>3.64746290048014</v>
      </c>
    </row>
    <row r="23" customFormat="1" spans="1:13">
      <c r="A23" t="s">
        <v>23</v>
      </c>
      <c r="B23" s="1">
        <v>4.64222550970199</v>
      </c>
      <c r="C23">
        <v>-8.9380785</v>
      </c>
      <c r="D23" s="4">
        <f t="shared" si="6"/>
        <v>-8.9380785</v>
      </c>
      <c r="E23" s="4">
        <v>184.537527</v>
      </c>
      <c r="F23">
        <v>0</v>
      </c>
      <c r="H23">
        <f t="shared" si="2"/>
        <v>-206.079021715818</v>
      </c>
      <c r="J23">
        <v>0.5</v>
      </c>
      <c r="K23">
        <f t="shared" si="4"/>
        <v>3.36287115622013</v>
      </c>
      <c r="L23">
        <v>0.500000000000001</v>
      </c>
      <c r="M23">
        <f t="shared" si="5"/>
        <v>3.31587536407286</v>
      </c>
    </row>
    <row r="24" customFormat="1" spans="1:13">
      <c r="A24" t="s">
        <v>24</v>
      </c>
      <c r="B24" s="1">
        <v>4.31063797329471</v>
      </c>
      <c r="C24">
        <v>-8.63161825</v>
      </c>
      <c r="D24" s="4">
        <f t="shared" si="6"/>
        <v>-8.63161825</v>
      </c>
      <c r="E24" s="4">
        <v>278.177108</v>
      </c>
      <c r="F24">
        <v>0</v>
      </c>
      <c r="H24">
        <f t="shared" si="2"/>
        <v>-199.013182171582</v>
      </c>
      <c r="J24">
        <v>0.45</v>
      </c>
      <c r="K24">
        <f t="shared" si="4"/>
        <v>3.02658404059812</v>
      </c>
      <c r="L24">
        <v>0.450000000000001</v>
      </c>
      <c r="M24">
        <f t="shared" si="5"/>
        <v>2.98428782766557</v>
      </c>
    </row>
    <row r="25" customFormat="1" spans="1:13">
      <c r="A25" t="s">
        <v>25</v>
      </c>
      <c r="B25" s="1">
        <v>3.97905043688742</v>
      </c>
      <c r="C25">
        <v>-8.18573275</v>
      </c>
      <c r="D25" s="4">
        <f t="shared" si="6"/>
        <v>-8.18573275</v>
      </c>
      <c r="E25" s="4">
        <v>410.94174</v>
      </c>
      <c r="F25">
        <v>0</v>
      </c>
      <c r="H25">
        <f t="shared" si="2"/>
        <v>-188.732712198391</v>
      </c>
      <c r="J25">
        <v>0.399999999999999</v>
      </c>
      <c r="K25">
        <f t="shared" si="4"/>
        <v>2.6902969249761</v>
      </c>
      <c r="L25">
        <v>0.400000000000001</v>
      </c>
      <c r="M25">
        <f t="shared" si="5"/>
        <v>2.65270029125829</v>
      </c>
    </row>
    <row r="26" customFormat="1" spans="1:8">
      <c r="A26" t="s">
        <v>26</v>
      </c>
      <c r="B26" s="1">
        <v>3.64746290048014</v>
      </c>
      <c r="C26">
        <v>-7.534209</v>
      </c>
      <c r="D26" s="4">
        <f t="shared" si="6"/>
        <v>-7.534209</v>
      </c>
      <c r="E26">
        <v>515.291824</v>
      </c>
      <c r="F26">
        <v>0</v>
      </c>
      <c r="H26">
        <f t="shared" si="2"/>
        <v>-173.710984986595</v>
      </c>
    </row>
    <row r="27" customFormat="1" spans="1:8">
      <c r="A27" t="s">
        <v>27</v>
      </c>
      <c r="B27" s="1">
        <v>3.31587536407285</v>
      </c>
      <c r="C27">
        <v>-6.56529875</v>
      </c>
      <c r="D27" s="4">
        <f t="shared" si="6"/>
        <v>-6.56529875</v>
      </c>
      <c r="E27">
        <v>765.428943</v>
      </c>
      <c r="F27">
        <v>0</v>
      </c>
      <c r="H27">
        <f t="shared" si="2"/>
        <v>-151.371499329759</v>
      </c>
    </row>
    <row r="28" spans="1:8">
      <c r="A28" t="s">
        <v>28</v>
      </c>
      <c r="B28" s="1">
        <v>2.98428782766557</v>
      </c>
      <c r="C28">
        <v>-5.3080285</v>
      </c>
      <c r="D28" s="4">
        <f t="shared" si="6"/>
        <v>-5.3080285</v>
      </c>
      <c r="E28">
        <v>0</v>
      </c>
      <c r="F28" s="1">
        <v>0</v>
      </c>
      <c r="H28">
        <f t="shared" si="2"/>
        <v>-122.383498927614</v>
      </c>
    </row>
    <row r="29" spans="1:8">
      <c r="A29" t="s">
        <v>29</v>
      </c>
      <c r="B29" s="1">
        <v>2.65270029125828</v>
      </c>
      <c r="C29">
        <v>-3.53590775</v>
      </c>
      <c r="D29" s="4">
        <f t="shared" si="6"/>
        <v>-3.53590775</v>
      </c>
      <c r="E29">
        <v>0</v>
      </c>
      <c r="F29" s="1">
        <v>0</v>
      </c>
      <c r="H29">
        <f t="shared" si="2"/>
        <v>-81.5249508042895</v>
      </c>
    </row>
    <row r="30" spans="1:8">
      <c r="A30" t="s">
        <v>35</v>
      </c>
      <c r="C30">
        <v>-9.310968</v>
      </c>
      <c r="D30" s="4">
        <f t="shared" si="6"/>
        <v>-9.2921861209303</v>
      </c>
      <c r="F30">
        <v>0.0187818790697002</v>
      </c>
      <c r="H30">
        <f t="shared" si="2"/>
        <v>-214.676473994638</v>
      </c>
    </row>
    <row r="35" spans="2:3">
      <c r="B35" s="2">
        <v>-37.453385</v>
      </c>
      <c r="C35">
        <f>B35/4</f>
        <v>-9.36334625</v>
      </c>
    </row>
    <row r="36" spans="2:3">
      <c r="B36" s="2">
        <v>-37.450887</v>
      </c>
      <c r="C36">
        <f>B36/4</f>
        <v>-9.36272175</v>
      </c>
    </row>
  </sheetData>
  <pageMargins left="0.75" right="0.75" top="1" bottom="1" header="0.511805555555556" footer="0.511805555555556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24"/>
  <sheetViews>
    <sheetView topLeftCell="A5" workbookViewId="0">
      <selection activeCell="I24" sqref="I24"/>
    </sheetView>
  </sheetViews>
  <sheetFormatPr defaultColWidth="9" defaultRowHeight="15.75"/>
  <cols>
    <col min="1" max="1" width="14" customWidth="1"/>
    <col min="2" max="2" width="2.375" customWidth="1"/>
    <col min="3" max="3" width="3.25" customWidth="1"/>
    <col min="4" max="4" width="9.5" customWidth="1"/>
    <col min="5" max="5" width="4.375" customWidth="1"/>
    <col min="6" max="6" width="29.5" customWidth="1"/>
    <col min="7" max="8" width="2.375" customWidth="1"/>
    <col min="9" max="9" width="13.875" customWidth="1"/>
  </cols>
  <sheetData>
    <row r="1" spans="1:9">
      <c r="A1" t="s">
        <v>36</v>
      </c>
      <c r="B1">
        <v>1</v>
      </c>
      <c r="C1" t="s">
        <v>37</v>
      </c>
      <c r="D1" s="2">
        <v>-37.198963</v>
      </c>
      <c r="E1" t="s">
        <v>38</v>
      </c>
      <c r="F1" s="2">
        <v>-37.198963</v>
      </c>
      <c r="G1" t="s">
        <v>7</v>
      </c>
      <c r="H1" t="s">
        <v>39</v>
      </c>
      <c r="I1">
        <f t="shared" ref="I1:I9" si="0">F1/4</f>
        <v>-9.29974075</v>
      </c>
    </row>
    <row r="2" spans="1:9">
      <c r="A2" t="s">
        <v>40</v>
      </c>
      <c r="B2">
        <v>1</v>
      </c>
      <c r="C2" t="s">
        <v>37</v>
      </c>
      <c r="D2" s="2">
        <v>-37.213084</v>
      </c>
      <c r="E2" t="s">
        <v>38</v>
      </c>
      <c r="F2" s="2">
        <v>-37.213084</v>
      </c>
      <c r="G2" t="s">
        <v>7</v>
      </c>
      <c r="H2" t="s">
        <v>39</v>
      </c>
      <c r="I2">
        <f t="shared" si="0"/>
        <v>-9.303271</v>
      </c>
    </row>
    <row r="3" spans="1:9">
      <c r="A3" t="s">
        <v>41</v>
      </c>
      <c r="B3">
        <v>1</v>
      </c>
      <c r="C3" t="s">
        <v>37</v>
      </c>
      <c r="D3" s="2">
        <v>-37.221192</v>
      </c>
      <c r="E3" t="s">
        <v>38</v>
      </c>
      <c r="F3" s="2">
        <v>-37.221192</v>
      </c>
      <c r="G3" t="s">
        <v>7</v>
      </c>
      <c r="H3" t="s">
        <v>39</v>
      </c>
      <c r="I3">
        <f t="shared" si="0"/>
        <v>-9.305298</v>
      </c>
    </row>
    <row r="4" spans="1:9">
      <c r="A4" t="s">
        <v>42</v>
      </c>
      <c r="B4">
        <v>1</v>
      </c>
      <c r="C4" t="s">
        <v>37</v>
      </c>
      <c r="D4" s="2">
        <v>-37.221673</v>
      </c>
      <c r="E4" t="s">
        <v>38</v>
      </c>
      <c r="F4" s="2">
        <v>-37.221673</v>
      </c>
      <c r="G4" t="s">
        <v>7</v>
      </c>
      <c r="H4" t="s">
        <v>39</v>
      </c>
      <c r="I4">
        <f t="shared" si="0"/>
        <v>-9.30541825</v>
      </c>
    </row>
    <row r="5" spans="1:9">
      <c r="A5" t="s">
        <v>43</v>
      </c>
      <c r="B5">
        <v>1</v>
      </c>
      <c r="C5" t="s">
        <v>37</v>
      </c>
      <c r="D5" s="2">
        <v>-37.221664</v>
      </c>
      <c r="E5" t="s">
        <v>38</v>
      </c>
      <c r="F5" s="2">
        <v>-37.221664</v>
      </c>
      <c r="G5" t="s">
        <v>7</v>
      </c>
      <c r="H5" t="s">
        <v>39</v>
      </c>
      <c r="I5">
        <f t="shared" si="0"/>
        <v>-9.305416</v>
      </c>
    </row>
    <row r="6" spans="1:9">
      <c r="A6" t="s">
        <v>44</v>
      </c>
      <c r="B6">
        <v>1</v>
      </c>
      <c r="C6" t="s">
        <v>37</v>
      </c>
      <c r="D6" s="2">
        <v>-37.221032</v>
      </c>
      <c r="E6" t="s">
        <v>38</v>
      </c>
      <c r="F6" s="2">
        <v>-37.221032</v>
      </c>
      <c r="G6" t="s">
        <v>7</v>
      </c>
      <c r="H6" t="s">
        <v>39</v>
      </c>
      <c r="I6">
        <f t="shared" si="0"/>
        <v>-9.305258</v>
      </c>
    </row>
    <row r="7" spans="1:9">
      <c r="A7" t="s">
        <v>45</v>
      </c>
      <c r="B7">
        <v>1</v>
      </c>
      <c r="C7" t="s">
        <v>37</v>
      </c>
      <c r="D7" s="2">
        <v>-37.219775</v>
      </c>
      <c r="E7" t="s">
        <v>38</v>
      </c>
      <c r="F7" s="2">
        <v>-37.219775</v>
      </c>
      <c r="G7" t="s">
        <v>7</v>
      </c>
      <c r="H7" t="s">
        <v>39</v>
      </c>
      <c r="I7">
        <f t="shared" si="0"/>
        <v>-9.30494375</v>
      </c>
    </row>
    <row r="8" spans="1:9">
      <c r="A8" t="s">
        <v>46</v>
      </c>
      <c r="B8">
        <v>1</v>
      </c>
      <c r="C8" t="s">
        <v>37</v>
      </c>
      <c r="D8" s="2">
        <v>-37.217743</v>
      </c>
      <c r="E8" t="s">
        <v>38</v>
      </c>
      <c r="F8" s="2">
        <v>-37.217743</v>
      </c>
      <c r="G8" t="s">
        <v>7</v>
      </c>
      <c r="H8" t="s">
        <v>39</v>
      </c>
      <c r="I8">
        <f t="shared" si="0"/>
        <v>-9.30443575</v>
      </c>
    </row>
    <row r="9" spans="1:9">
      <c r="A9" t="s">
        <v>47</v>
      </c>
      <c r="B9">
        <v>1</v>
      </c>
      <c r="C9" t="s">
        <v>37</v>
      </c>
      <c r="D9" s="2">
        <v>-37.214844</v>
      </c>
      <c r="E9" t="s">
        <v>38</v>
      </c>
      <c r="F9" s="2">
        <v>-37.214844</v>
      </c>
      <c r="G9" t="s">
        <v>7</v>
      </c>
      <c r="H9" t="s">
        <v>39</v>
      </c>
      <c r="I9">
        <f t="shared" si="0"/>
        <v>-9.303711</v>
      </c>
    </row>
    <row r="10" spans="1:9">
      <c r="A10" t="s">
        <v>48</v>
      </c>
      <c r="B10">
        <v>1</v>
      </c>
      <c r="C10" t="s">
        <v>37</v>
      </c>
      <c r="D10" s="2">
        <v>-37.210978</v>
      </c>
      <c r="E10" t="s">
        <v>38</v>
      </c>
      <c r="F10" s="2">
        <v>-37.210978</v>
      </c>
      <c r="G10" t="s">
        <v>7</v>
      </c>
      <c r="H10" t="s">
        <v>39</v>
      </c>
      <c r="I10">
        <f t="shared" ref="I10:I24" si="1">F10/4</f>
        <v>-9.3027445</v>
      </c>
    </row>
    <row r="11" spans="1:9">
      <c r="A11" t="s">
        <v>49</v>
      </c>
      <c r="B11">
        <v>1</v>
      </c>
      <c r="C11" t="s">
        <v>37</v>
      </c>
      <c r="D11" s="2">
        <v>-37.205987</v>
      </c>
      <c r="E11" t="s">
        <v>38</v>
      </c>
      <c r="F11" s="2">
        <v>-37.205987</v>
      </c>
      <c r="G11" t="s">
        <v>7</v>
      </c>
      <c r="H11" t="s">
        <v>39</v>
      </c>
      <c r="I11">
        <f t="shared" si="1"/>
        <v>-9.30149675</v>
      </c>
    </row>
    <row r="12" spans="1:9">
      <c r="A12" t="s">
        <v>50</v>
      </c>
      <c r="B12">
        <v>1</v>
      </c>
      <c r="C12" t="s">
        <v>37</v>
      </c>
      <c r="D12" s="2">
        <v>-37.199727</v>
      </c>
      <c r="E12" t="s">
        <v>38</v>
      </c>
      <c r="F12" s="2">
        <v>-37.199727</v>
      </c>
      <c r="G12" t="s">
        <v>7</v>
      </c>
      <c r="H12" t="s">
        <v>39</v>
      </c>
      <c r="I12">
        <f t="shared" si="1"/>
        <v>-9.29993175</v>
      </c>
    </row>
    <row r="13" spans="1:9">
      <c r="A13" t="s">
        <v>51</v>
      </c>
      <c r="B13">
        <v>1</v>
      </c>
      <c r="C13" t="s">
        <v>37</v>
      </c>
      <c r="D13" s="2">
        <v>-37.192026</v>
      </c>
      <c r="E13" t="s">
        <v>38</v>
      </c>
      <c r="F13" s="2">
        <v>-37.192026</v>
      </c>
      <c r="G13" t="s">
        <v>7</v>
      </c>
      <c r="H13" t="s">
        <v>39</v>
      </c>
      <c r="I13">
        <f t="shared" si="1"/>
        <v>-9.2980065</v>
      </c>
    </row>
    <row r="14" spans="1:9">
      <c r="A14" t="s">
        <v>52</v>
      </c>
      <c r="B14">
        <v>1</v>
      </c>
      <c r="C14" t="s">
        <v>37</v>
      </c>
      <c r="D14" s="2">
        <v>-37.125248</v>
      </c>
      <c r="E14" t="s">
        <v>38</v>
      </c>
      <c r="F14" s="2">
        <v>-37.125248</v>
      </c>
      <c r="G14" t="s">
        <v>7</v>
      </c>
      <c r="H14" t="s">
        <v>39</v>
      </c>
      <c r="I14">
        <f t="shared" si="1"/>
        <v>-9.281312</v>
      </c>
    </row>
    <row r="15" spans="1:9">
      <c r="A15" t="s">
        <v>53</v>
      </c>
      <c r="B15">
        <v>1</v>
      </c>
      <c r="C15" t="s">
        <v>37</v>
      </c>
      <c r="D15" s="2">
        <v>-36.987991</v>
      </c>
      <c r="E15" t="s">
        <v>38</v>
      </c>
      <c r="F15" s="2">
        <v>-36.987991</v>
      </c>
      <c r="G15" t="s">
        <v>7</v>
      </c>
      <c r="H15" t="s">
        <v>39</v>
      </c>
      <c r="I15">
        <f t="shared" si="1"/>
        <v>-9.24699775</v>
      </c>
    </row>
    <row r="16" spans="1:9">
      <c r="A16" t="s">
        <v>54</v>
      </c>
      <c r="B16">
        <v>1</v>
      </c>
      <c r="C16" t="s">
        <v>37</v>
      </c>
      <c r="D16" s="2">
        <v>-36.737023</v>
      </c>
      <c r="E16" t="s">
        <v>38</v>
      </c>
      <c r="F16" s="2">
        <v>-36.737023</v>
      </c>
      <c r="G16" t="s">
        <v>7</v>
      </c>
      <c r="H16" t="s">
        <v>39</v>
      </c>
      <c r="I16">
        <f t="shared" si="1"/>
        <v>-9.18425575</v>
      </c>
    </row>
    <row r="17" spans="1:9">
      <c r="A17" t="s">
        <v>55</v>
      </c>
      <c r="B17">
        <v>1</v>
      </c>
      <c r="C17" t="s">
        <v>37</v>
      </c>
      <c r="D17" s="2">
        <v>-36.306229</v>
      </c>
      <c r="E17" t="s">
        <v>38</v>
      </c>
      <c r="F17" s="2">
        <v>-36.306229</v>
      </c>
      <c r="G17" t="s">
        <v>7</v>
      </c>
      <c r="H17" t="s">
        <v>39</v>
      </c>
      <c r="I17">
        <f t="shared" si="1"/>
        <v>-9.07655725</v>
      </c>
    </row>
    <row r="18" spans="1:9">
      <c r="A18" t="s">
        <v>56</v>
      </c>
      <c r="B18">
        <v>1</v>
      </c>
      <c r="C18" t="s">
        <v>37</v>
      </c>
      <c r="D18" s="2">
        <v>-35.587047</v>
      </c>
      <c r="E18" t="s">
        <v>38</v>
      </c>
      <c r="F18" s="2">
        <v>-35.587047</v>
      </c>
      <c r="G18" t="s">
        <v>7</v>
      </c>
      <c r="H18" t="s">
        <v>39</v>
      </c>
      <c r="I18">
        <f t="shared" si="1"/>
        <v>-8.89676175</v>
      </c>
    </row>
    <row r="19" spans="1:9">
      <c r="A19" t="s">
        <v>57</v>
      </c>
      <c r="B19">
        <v>1</v>
      </c>
      <c r="C19" t="s">
        <v>37</v>
      </c>
      <c r="D19" s="2">
        <v>-34.443888</v>
      </c>
      <c r="E19" t="s">
        <v>38</v>
      </c>
      <c r="F19" s="2">
        <v>-34.443888</v>
      </c>
      <c r="G19" t="s">
        <v>7</v>
      </c>
      <c r="H19" t="s">
        <v>39</v>
      </c>
      <c r="I19">
        <f t="shared" si="1"/>
        <v>-8.610972</v>
      </c>
    </row>
    <row r="20" spans="1:9">
      <c r="A20" t="s">
        <v>58</v>
      </c>
      <c r="B20">
        <v>1</v>
      </c>
      <c r="C20" t="s">
        <v>37</v>
      </c>
      <c r="D20" s="2">
        <v>-32.739216</v>
      </c>
      <c r="E20" t="s">
        <v>38</v>
      </c>
      <c r="F20" s="2">
        <v>-32.739216</v>
      </c>
      <c r="G20" t="s">
        <v>7</v>
      </c>
      <c r="H20" t="s">
        <v>39</v>
      </c>
      <c r="I20">
        <f t="shared" si="1"/>
        <v>-8.184804</v>
      </c>
    </row>
    <row r="21" spans="1:9">
      <c r="A21" t="s">
        <v>59</v>
      </c>
      <c r="B21">
        <v>1</v>
      </c>
      <c r="C21" t="s">
        <v>37</v>
      </c>
      <c r="D21" s="2">
        <v>-30.244928</v>
      </c>
      <c r="E21" t="s">
        <v>38</v>
      </c>
      <c r="F21" s="2">
        <v>-30.244928</v>
      </c>
      <c r="G21" t="s">
        <v>7</v>
      </c>
      <c r="H21" t="s">
        <v>39</v>
      </c>
      <c r="I21">
        <f t="shared" si="1"/>
        <v>-7.561232</v>
      </c>
    </row>
    <row r="22" spans="1:9">
      <c r="A22" t="s">
        <v>60</v>
      </c>
      <c r="B22">
        <v>1</v>
      </c>
      <c r="C22" t="s">
        <v>37</v>
      </c>
      <c r="D22" s="2">
        <v>-26.487302</v>
      </c>
      <c r="E22" t="s">
        <v>38</v>
      </c>
      <c r="F22" s="2">
        <v>-26.487302</v>
      </c>
      <c r="G22" t="s">
        <v>7</v>
      </c>
      <c r="H22" t="s">
        <v>39</v>
      </c>
      <c r="I22">
        <f t="shared" si="1"/>
        <v>-6.6218255</v>
      </c>
    </row>
    <row r="23" spans="1:9">
      <c r="A23" t="s">
        <v>61</v>
      </c>
      <c r="B23">
        <v>1</v>
      </c>
      <c r="C23" t="s">
        <v>37</v>
      </c>
      <c r="D23" s="2">
        <v>-21.520284</v>
      </c>
      <c r="E23" t="s">
        <v>38</v>
      </c>
      <c r="F23" s="2">
        <v>-21.520284</v>
      </c>
      <c r="G23" t="s">
        <v>7</v>
      </c>
      <c r="H23" t="s">
        <v>39</v>
      </c>
      <c r="I23">
        <f t="shared" si="1"/>
        <v>-5.380071</v>
      </c>
    </row>
    <row r="24" spans="1:9">
      <c r="A24" t="s">
        <v>62</v>
      </c>
      <c r="B24">
        <v>1</v>
      </c>
      <c r="C24" t="s">
        <v>37</v>
      </c>
      <c r="D24" s="2">
        <v>-14.619444</v>
      </c>
      <c r="E24" t="s">
        <v>38</v>
      </c>
      <c r="F24" s="2">
        <v>-14.619444</v>
      </c>
      <c r="G24" t="s">
        <v>7</v>
      </c>
      <c r="H24" t="s">
        <v>39</v>
      </c>
      <c r="I24">
        <f t="shared" si="1"/>
        <v>-3.654861</v>
      </c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24"/>
  <sheetViews>
    <sheetView workbookViewId="0">
      <selection activeCell="J1" sqref="J1:J24"/>
    </sheetView>
  </sheetViews>
  <sheetFormatPr defaultColWidth="9" defaultRowHeight="15.75"/>
  <cols>
    <col min="1" max="1" width="14" customWidth="1"/>
    <col min="2" max="2" width="2.375" customWidth="1"/>
    <col min="3" max="3" width="3.25" customWidth="1"/>
    <col min="4" max="4" width="9.5" customWidth="1"/>
    <col min="5" max="5" width="4.375" customWidth="1"/>
    <col min="6" max="6" width="9.5" customWidth="1"/>
    <col min="7" max="8" width="2.375" customWidth="1"/>
    <col min="9" max="9" width="20.875" customWidth="1"/>
    <col min="10" max="10" width="12.625"/>
  </cols>
  <sheetData>
    <row r="1" spans="1:10">
      <c r="A1" t="s">
        <v>36</v>
      </c>
      <c r="B1">
        <v>1</v>
      </c>
      <c r="C1" t="s">
        <v>37</v>
      </c>
      <c r="D1" s="2">
        <v>-37.422843</v>
      </c>
      <c r="E1" t="s">
        <v>38</v>
      </c>
      <c r="F1" s="2">
        <v>-37.422843</v>
      </c>
      <c r="G1" t="s">
        <v>7</v>
      </c>
      <c r="H1" t="s">
        <v>39</v>
      </c>
      <c r="I1">
        <f>D1/4</f>
        <v>-9.35571075</v>
      </c>
      <c r="J1">
        <f>F1/4</f>
        <v>-9.35571075</v>
      </c>
    </row>
    <row r="2" spans="1:10">
      <c r="A2" t="s">
        <v>40</v>
      </c>
      <c r="B2">
        <v>1</v>
      </c>
      <c r="C2" t="s">
        <v>37</v>
      </c>
      <c r="D2" s="2">
        <v>-37.441657</v>
      </c>
      <c r="E2" t="s">
        <v>38</v>
      </c>
      <c r="F2" s="2">
        <v>-37.441657</v>
      </c>
      <c r="G2" t="s">
        <v>7</v>
      </c>
      <c r="H2" t="s">
        <v>39</v>
      </c>
      <c r="I2">
        <f>-37.4417</f>
        <v>-37.4417</v>
      </c>
      <c r="J2">
        <f t="shared" ref="J2:J32" si="0">F2/4</f>
        <v>-9.36041425</v>
      </c>
    </row>
    <row r="3" spans="1:10">
      <c r="A3" t="s">
        <v>41</v>
      </c>
      <c r="B3">
        <v>1</v>
      </c>
      <c r="C3" t="s">
        <v>37</v>
      </c>
      <c r="D3" s="2">
        <v>-37.455515</v>
      </c>
      <c r="E3" t="s">
        <v>38</v>
      </c>
      <c r="F3" s="2">
        <v>-37.455515</v>
      </c>
      <c r="G3" t="s">
        <v>7</v>
      </c>
      <c r="H3" t="s">
        <v>39</v>
      </c>
      <c r="I3">
        <f>-37.4555</f>
        <v>-37.4555</v>
      </c>
      <c r="J3">
        <f t="shared" si="0"/>
        <v>-9.36387875</v>
      </c>
    </row>
    <row r="4" spans="1:10">
      <c r="A4" t="s">
        <v>42</v>
      </c>
      <c r="B4">
        <v>1</v>
      </c>
      <c r="C4" t="s">
        <v>37</v>
      </c>
      <c r="D4" s="2">
        <v>-37.457164</v>
      </c>
      <c r="E4" t="s">
        <v>38</v>
      </c>
      <c r="F4" s="2">
        <v>-37.457164</v>
      </c>
      <c r="G4" t="s">
        <v>7</v>
      </c>
      <c r="H4" t="s">
        <v>39</v>
      </c>
      <c r="I4">
        <f>-37.4572</f>
        <v>-37.4572</v>
      </c>
      <c r="J4">
        <f t="shared" si="0"/>
        <v>-9.364291</v>
      </c>
    </row>
    <row r="5" spans="1:10">
      <c r="A5" t="s">
        <v>43</v>
      </c>
      <c r="B5">
        <v>1</v>
      </c>
      <c r="C5" t="s">
        <v>37</v>
      </c>
      <c r="D5" s="2">
        <v>-37.458323</v>
      </c>
      <c r="E5" t="s">
        <v>38</v>
      </c>
      <c r="F5" s="2">
        <v>-37.458323</v>
      </c>
      <c r="G5" t="s">
        <v>7</v>
      </c>
      <c r="H5" t="s">
        <v>39</v>
      </c>
      <c r="I5">
        <f>-37.4583</f>
        <v>-37.4583</v>
      </c>
      <c r="J5">
        <f t="shared" si="0"/>
        <v>-9.36458075</v>
      </c>
    </row>
    <row r="6" spans="1:10">
      <c r="A6" t="s">
        <v>44</v>
      </c>
      <c r="B6">
        <v>1</v>
      </c>
      <c r="C6" t="s">
        <v>37</v>
      </c>
      <c r="D6" s="2">
        <v>-37.458877</v>
      </c>
      <c r="E6" t="s">
        <v>38</v>
      </c>
      <c r="F6" s="2">
        <v>-37.458877</v>
      </c>
      <c r="G6" t="s">
        <v>7</v>
      </c>
      <c r="H6" t="s">
        <v>39</v>
      </c>
      <c r="I6">
        <f>-37.4589</f>
        <v>-37.4589</v>
      </c>
      <c r="J6">
        <f t="shared" si="0"/>
        <v>-9.36471925</v>
      </c>
    </row>
    <row r="7" spans="1:10">
      <c r="A7" t="s">
        <v>45</v>
      </c>
      <c r="B7">
        <v>1</v>
      </c>
      <c r="C7" t="s">
        <v>37</v>
      </c>
      <c r="D7" s="2">
        <v>-37.458736</v>
      </c>
      <c r="E7" t="s">
        <v>38</v>
      </c>
      <c r="F7" s="2">
        <v>-37.458736</v>
      </c>
      <c r="G7" t="s">
        <v>7</v>
      </c>
      <c r="H7" t="s">
        <v>39</v>
      </c>
      <c r="I7">
        <f>-37.4587</f>
        <v>-37.4587</v>
      </c>
      <c r="J7">
        <f t="shared" si="0"/>
        <v>-9.364684</v>
      </c>
    </row>
    <row r="8" spans="1:10">
      <c r="A8" t="s">
        <v>46</v>
      </c>
      <c r="B8">
        <v>1</v>
      </c>
      <c r="C8" t="s">
        <v>37</v>
      </c>
      <c r="D8" s="2">
        <v>-37.457845</v>
      </c>
      <c r="E8" t="s">
        <v>38</v>
      </c>
      <c r="F8" s="2">
        <v>-37.457845</v>
      </c>
      <c r="G8" t="s">
        <v>7</v>
      </c>
      <c r="H8" t="s">
        <v>39</v>
      </c>
      <c r="I8">
        <f>-37.4578</f>
        <v>-37.4578</v>
      </c>
      <c r="J8">
        <f t="shared" si="0"/>
        <v>-9.36446125</v>
      </c>
    </row>
    <row r="9" spans="1:10">
      <c r="A9" t="s">
        <v>47</v>
      </c>
      <c r="B9">
        <v>1</v>
      </c>
      <c r="C9" t="s">
        <v>37</v>
      </c>
      <c r="D9" s="2">
        <v>-37.456057</v>
      </c>
      <c r="E9" t="s">
        <v>38</v>
      </c>
      <c r="F9" s="2">
        <v>-37.456057</v>
      </c>
      <c r="G9" t="s">
        <v>7</v>
      </c>
      <c r="H9" t="s">
        <v>39</v>
      </c>
      <c r="I9">
        <f>-37.4561</f>
        <v>-37.4561</v>
      </c>
      <c r="J9">
        <f t="shared" si="0"/>
        <v>-9.36401425</v>
      </c>
    </row>
    <row r="10" spans="1:10">
      <c r="A10" t="s">
        <v>48</v>
      </c>
      <c r="B10">
        <v>1</v>
      </c>
      <c r="C10" t="s">
        <v>37</v>
      </c>
      <c r="D10" s="2">
        <v>-37.453272</v>
      </c>
      <c r="E10" t="s">
        <v>38</v>
      </c>
      <c r="F10" s="2">
        <v>-37.453272</v>
      </c>
      <c r="G10" t="s">
        <v>7</v>
      </c>
      <c r="H10" t="s">
        <v>39</v>
      </c>
      <c r="I10">
        <f>-37.4533</f>
        <v>-37.4533</v>
      </c>
      <c r="J10">
        <f t="shared" si="0"/>
        <v>-9.363318</v>
      </c>
    </row>
    <row r="11" spans="1:10">
      <c r="A11" t="s">
        <v>49</v>
      </c>
      <c r="B11">
        <v>1</v>
      </c>
      <c r="C11" t="s">
        <v>37</v>
      </c>
      <c r="D11" s="2">
        <v>-37.449309</v>
      </c>
      <c r="E11" t="s">
        <v>38</v>
      </c>
      <c r="F11" s="2">
        <v>-37.449309</v>
      </c>
      <c r="G11" t="s">
        <v>7</v>
      </c>
      <c r="H11" t="s">
        <v>39</v>
      </c>
      <c r="I11">
        <f>-37.4493</f>
        <v>-37.4493</v>
      </c>
      <c r="J11">
        <f t="shared" si="0"/>
        <v>-9.36232725</v>
      </c>
    </row>
    <row r="12" spans="1:10">
      <c r="A12" t="s">
        <v>50</v>
      </c>
      <c r="B12">
        <v>1</v>
      </c>
      <c r="C12" t="s">
        <v>37</v>
      </c>
      <c r="D12" s="2">
        <v>-37.444102</v>
      </c>
      <c r="E12" t="s">
        <v>38</v>
      </c>
      <c r="F12" s="2">
        <v>-37.444102</v>
      </c>
      <c r="G12" t="s">
        <v>7</v>
      </c>
      <c r="H12" t="s">
        <v>39</v>
      </c>
      <c r="I12">
        <f>-37.4441</f>
        <v>-37.4441</v>
      </c>
      <c r="J12">
        <f t="shared" si="0"/>
        <v>-9.3610255</v>
      </c>
    </row>
    <row r="13" spans="1:10">
      <c r="A13" t="s">
        <v>51</v>
      </c>
      <c r="B13">
        <v>1</v>
      </c>
      <c r="C13" t="s">
        <v>37</v>
      </c>
      <c r="D13" s="2">
        <v>-37.437452</v>
      </c>
      <c r="E13" t="s">
        <v>38</v>
      </c>
      <c r="F13" s="2">
        <v>-37.437452</v>
      </c>
      <c r="G13" t="s">
        <v>7</v>
      </c>
      <c r="H13" t="s">
        <v>39</v>
      </c>
      <c r="I13">
        <f>-37.4375</f>
        <v>-37.4375</v>
      </c>
      <c r="J13">
        <f t="shared" si="0"/>
        <v>-9.359363</v>
      </c>
    </row>
    <row r="14" spans="1:10">
      <c r="A14" t="s">
        <v>52</v>
      </c>
      <c r="B14">
        <v>1</v>
      </c>
      <c r="C14" t="s">
        <v>37</v>
      </c>
      <c r="D14" s="2">
        <v>-37.375678</v>
      </c>
      <c r="E14" t="s">
        <v>38</v>
      </c>
      <c r="F14" s="2">
        <v>-37.375678</v>
      </c>
      <c r="G14" t="s">
        <v>7</v>
      </c>
      <c r="H14" t="s">
        <v>39</v>
      </c>
      <c r="I14">
        <f>-37.3757</f>
        <v>-37.3757</v>
      </c>
      <c r="J14">
        <f t="shared" si="0"/>
        <v>-9.3439195</v>
      </c>
    </row>
    <row r="15" spans="1:10">
      <c r="A15" t="s">
        <v>53</v>
      </c>
      <c r="B15">
        <v>1</v>
      </c>
      <c r="C15" t="s">
        <v>37</v>
      </c>
      <c r="D15" s="2">
        <v>-37.242307</v>
      </c>
      <c r="E15" t="s">
        <v>38</v>
      </c>
      <c r="F15" s="2">
        <v>-37.242307</v>
      </c>
      <c r="G15" t="s">
        <v>7</v>
      </c>
      <c r="H15" t="s">
        <v>39</v>
      </c>
      <c r="I15">
        <f>-37.2423</f>
        <v>-37.2423</v>
      </c>
      <c r="J15">
        <f t="shared" si="0"/>
        <v>-9.31057675</v>
      </c>
    </row>
    <row r="16" spans="1:10">
      <c r="A16" t="s">
        <v>54</v>
      </c>
      <c r="B16">
        <v>1</v>
      </c>
      <c r="C16" t="s">
        <v>37</v>
      </c>
      <c r="D16" s="2">
        <v>-36.988366</v>
      </c>
      <c r="E16" t="s">
        <v>38</v>
      </c>
      <c r="F16" s="2">
        <v>-36.988366</v>
      </c>
      <c r="G16" t="s">
        <v>7</v>
      </c>
      <c r="H16" t="s">
        <v>39</v>
      </c>
      <c r="I16">
        <f>-36.9884</f>
        <v>-36.9884</v>
      </c>
      <c r="J16">
        <f t="shared" si="0"/>
        <v>-9.2470915</v>
      </c>
    </row>
    <row r="17" spans="1:10">
      <c r="A17" t="s">
        <v>55</v>
      </c>
      <c r="B17">
        <v>1</v>
      </c>
      <c r="C17" t="s">
        <v>37</v>
      </c>
      <c r="D17" s="2">
        <v>-36.533957</v>
      </c>
      <c r="E17" t="s">
        <v>38</v>
      </c>
      <c r="F17" s="2">
        <v>-36.533957</v>
      </c>
      <c r="G17" t="s">
        <v>7</v>
      </c>
      <c r="H17" t="s">
        <v>39</v>
      </c>
      <c r="I17">
        <f>-36.534</f>
        <v>-36.534</v>
      </c>
      <c r="J17">
        <f t="shared" si="0"/>
        <v>-9.13348925</v>
      </c>
    </row>
    <row r="18" spans="1:10">
      <c r="A18" t="s">
        <v>56</v>
      </c>
      <c r="B18">
        <v>1</v>
      </c>
      <c r="C18" t="s">
        <v>37</v>
      </c>
      <c r="D18" s="2">
        <v>-35.752314</v>
      </c>
      <c r="E18" t="s">
        <v>38</v>
      </c>
      <c r="F18" s="2">
        <v>-35.752314</v>
      </c>
      <c r="G18" t="s">
        <v>7</v>
      </c>
      <c r="H18" t="s">
        <v>39</v>
      </c>
      <c r="I18">
        <f>-35.7523</f>
        <v>-35.7523</v>
      </c>
      <c r="J18">
        <f t="shared" si="0"/>
        <v>-8.9380785</v>
      </c>
    </row>
    <row r="19" spans="1:10">
      <c r="A19" t="s">
        <v>57</v>
      </c>
      <c r="B19">
        <v>1</v>
      </c>
      <c r="C19" t="s">
        <v>37</v>
      </c>
      <c r="D19" s="2">
        <v>-34.526473</v>
      </c>
      <c r="E19" t="s">
        <v>38</v>
      </c>
      <c r="F19" s="2">
        <v>-34.526473</v>
      </c>
      <c r="G19" t="s">
        <v>7</v>
      </c>
      <c r="H19" t="s">
        <v>39</v>
      </c>
      <c r="I19">
        <f>-34.5265</f>
        <v>-34.5265</v>
      </c>
      <c r="J19">
        <f t="shared" si="0"/>
        <v>-8.63161825</v>
      </c>
    </row>
    <row r="20" spans="1:10">
      <c r="A20" t="s">
        <v>58</v>
      </c>
      <c r="B20">
        <v>3</v>
      </c>
      <c r="C20" t="s">
        <v>37</v>
      </c>
      <c r="D20" s="2">
        <v>-32.742931</v>
      </c>
      <c r="E20" t="s">
        <v>38</v>
      </c>
      <c r="F20" s="2">
        <v>-32.742931</v>
      </c>
      <c r="G20" t="s">
        <v>7</v>
      </c>
      <c r="H20" t="s">
        <v>39</v>
      </c>
      <c r="I20">
        <f>-0.0000126502</f>
        <v>-1.26502e-5</v>
      </c>
      <c r="J20">
        <f t="shared" si="0"/>
        <v>-8.18573275</v>
      </c>
    </row>
    <row r="21" spans="1:10">
      <c r="A21" t="s">
        <v>59</v>
      </c>
      <c r="B21">
        <v>3</v>
      </c>
      <c r="C21" t="s">
        <v>37</v>
      </c>
      <c r="D21" s="2">
        <v>-30.136836</v>
      </c>
      <c r="E21" t="s">
        <v>38</v>
      </c>
      <c r="F21" s="2">
        <v>-30.136836</v>
      </c>
      <c r="G21" t="s">
        <v>7</v>
      </c>
      <c r="H21" t="s">
        <v>39</v>
      </c>
      <c r="I21">
        <f>-0.0000235889</f>
        <v>-2.35889e-5</v>
      </c>
      <c r="J21">
        <f t="shared" si="0"/>
        <v>-7.534209</v>
      </c>
    </row>
    <row r="22" spans="1:10">
      <c r="A22" t="s">
        <v>60</v>
      </c>
      <c r="B22">
        <v>1</v>
      </c>
      <c r="C22" t="s">
        <v>37</v>
      </c>
      <c r="D22" s="2">
        <v>-26.261195</v>
      </c>
      <c r="E22" t="s">
        <v>38</v>
      </c>
      <c r="F22" s="2">
        <v>-26.261195</v>
      </c>
      <c r="G22" t="s">
        <v>7</v>
      </c>
      <c r="H22" t="s">
        <v>39</v>
      </c>
      <c r="I22">
        <f>-26.2612</f>
        <v>-26.2612</v>
      </c>
      <c r="J22">
        <f t="shared" si="0"/>
        <v>-6.56529875</v>
      </c>
    </row>
    <row r="23" spans="1:10">
      <c r="A23" t="s">
        <v>61</v>
      </c>
      <c r="B23">
        <v>3</v>
      </c>
      <c r="C23" t="s">
        <v>37</v>
      </c>
      <c r="D23" s="2">
        <v>-21.232114</v>
      </c>
      <c r="E23" t="s">
        <v>38</v>
      </c>
      <c r="F23" s="2">
        <v>-21.232114</v>
      </c>
      <c r="G23" t="s">
        <v>7</v>
      </c>
      <c r="H23" t="s">
        <v>39</v>
      </c>
      <c r="I23">
        <f>-0.000143453</f>
        <v>-0.000143453</v>
      </c>
      <c r="J23">
        <f t="shared" si="0"/>
        <v>-5.3080285</v>
      </c>
    </row>
    <row r="24" spans="1:10">
      <c r="A24" t="s">
        <v>62</v>
      </c>
      <c r="B24">
        <v>3</v>
      </c>
      <c r="C24" t="s">
        <v>37</v>
      </c>
      <c r="D24" s="2">
        <v>-14.143631</v>
      </c>
      <c r="E24" t="s">
        <v>38</v>
      </c>
      <c r="F24" s="2">
        <v>-14.143631</v>
      </c>
      <c r="G24" t="s">
        <v>7</v>
      </c>
      <c r="H24" t="s">
        <v>39</v>
      </c>
      <c r="I24">
        <f>-0.0000603664</f>
        <v>-6.03664e-5</v>
      </c>
      <c r="J24">
        <f t="shared" si="0"/>
        <v>-3.53590775</v>
      </c>
    </row>
  </sheetData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25"/>
  <sheetViews>
    <sheetView workbookViewId="0">
      <selection activeCell="G25" sqref="G25"/>
    </sheetView>
  </sheetViews>
  <sheetFormatPr defaultColWidth="9" defaultRowHeight="15.75" outlineLevelCol="6"/>
  <cols>
    <col min="1" max="1" width="16.375" customWidth="1"/>
    <col min="2" max="2" width="2.375" customWidth="1"/>
    <col min="3" max="3" width="11.5" customWidth="1"/>
    <col min="4" max="5" width="2.375" customWidth="1"/>
    <col min="6" max="6" width="11.5" customWidth="1"/>
    <col min="7" max="7" width="12.625"/>
  </cols>
  <sheetData>
    <row r="1" spans="1:7">
      <c r="A1" t="s">
        <v>63</v>
      </c>
      <c r="B1">
        <v>0</v>
      </c>
      <c r="C1">
        <v>64.7392709</v>
      </c>
      <c r="D1">
        <v>0</v>
      </c>
      <c r="E1">
        <v>0</v>
      </c>
      <c r="F1">
        <v>64.7392709</v>
      </c>
      <c r="G1">
        <f>C1*1000/6.022140857E+23*6242000000000000000/32</f>
        <v>0.0209696258021805</v>
      </c>
    </row>
    <row r="2" spans="1:7">
      <c r="A2" t="s">
        <v>64</v>
      </c>
      <c r="B2">
        <v>0</v>
      </c>
      <c r="C2">
        <v>65.1230977</v>
      </c>
      <c r="D2">
        <v>0</v>
      </c>
      <c r="E2">
        <v>0</v>
      </c>
      <c r="F2">
        <v>65.1230977</v>
      </c>
      <c r="G2">
        <f t="shared" ref="G2:G24" si="0">C2*1000/6.022140857E+23*6242000000000000000/32</f>
        <v>0.0210939507174438</v>
      </c>
    </row>
    <row r="3" spans="1:7">
      <c r="A3" t="s">
        <v>65</v>
      </c>
      <c r="B3">
        <v>0</v>
      </c>
      <c r="C3">
        <v>65.7098612</v>
      </c>
      <c r="D3">
        <v>0</v>
      </c>
      <c r="E3">
        <v>0</v>
      </c>
      <c r="F3">
        <v>65.7098612</v>
      </c>
      <c r="G3">
        <f t="shared" si="0"/>
        <v>0.0212840086352783</v>
      </c>
    </row>
    <row r="4" spans="1:7">
      <c r="A4" t="s">
        <v>66</v>
      </c>
      <c r="B4">
        <v>0</v>
      </c>
      <c r="C4">
        <v>65.6899503</v>
      </c>
      <c r="D4">
        <v>0</v>
      </c>
      <c r="E4">
        <v>0</v>
      </c>
      <c r="F4">
        <v>65.6899503</v>
      </c>
      <c r="G4">
        <f t="shared" si="0"/>
        <v>0.0212775593176295</v>
      </c>
    </row>
    <row r="5" spans="1:7">
      <c r="A5" t="s">
        <v>67</v>
      </c>
      <c r="B5">
        <v>0</v>
      </c>
      <c r="C5">
        <v>65.7649873</v>
      </c>
      <c r="D5">
        <v>0</v>
      </c>
      <c r="E5">
        <v>0</v>
      </c>
      <c r="F5">
        <v>72.8132429</v>
      </c>
      <c r="G5">
        <f t="shared" si="0"/>
        <v>0.0213018644695016</v>
      </c>
    </row>
    <row r="6" spans="1:7">
      <c r="A6" t="s">
        <v>68</v>
      </c>
      <c r="B6">
        <v>0</v>
      </c>
      <c r="C6">
        <v>65.8146289</v>
      </c>
      <c r="D6">
        <v>0</v>
      </c>
      <c r="E6">
        <v>0</v>
      </c>
      <c r="F6">
        <v>65.8146289</v>
      </c>
      <c r="G6">
        <f t="shared" si="0"/>
        <v>0.0213179438253818</v>
      </c>
    </row>
    <row r="7" spans="1:7">
      <c r="A7" t="s">
        <v>69</v>
      </c>
      <c r="B7">
        <v>0</v>
      </c>
      <c r="C7">
        <v>65.8802829</v>
      </c>
      <c r="D7">
        <v>0</v>
      </c>
      <c r="E7">
        <v>0</v>
      </c>
      <c r="F7">
        <v>65.8802829</v>
      </c>
      <c r="G7">
        <f t="shared" si="0"/>
        <v>0.0213392097400774</v>
      </c>
    </row>
    <row r="8" spans="1:7">
      <c r="A8" t="s">
        <v>70</v>
      </c>
      <c r="B8">
        <v>0</v>
      </c>
      <c r="C8">
        <v>72.8132429</v>
      </c>
      <c r="D8">
        <v>0</v>
      </c>
      <c r="E8">
        <v>0</v>
      </c>
      <c r="F8">
        <v>72.8132429</v>
      </c>
      <c r="G8">
        <f t="shared" si="0"/>
        <v>0.0235848571636644</v>
      </c>
    </row>
    <row r="9" spans="1:7">
      <c r="A9" t="s">
        <v>71</v>
      </c>
      <c r="B9">
        <v>0</v>
      </c>
      <c r="C9">
        <v>66.2587349</v>
      </c>
      <c r="D9">
        <v>0</v>
      </c>
      <c r="E9">
        <v>0</v>
      </c>
      <c r="F9">
        <v>66.2587349</v>
      </c>
      <c r="G9">
        <f t="shared" si="0"/>
        <v>0.0214617937098034</v>
      </c>
    </row>
    <row r="10" spans="1:7">
      <c r="A10" t="s">
        <v>72</v>
      </c>
      <c r="B10">
        <v>0</v>
      </c>
      <c r="C10">
        <v>66.3663481</v>
      </c>
      <c r="D10">
        <v>0</v>
      </c>
      <c r="E10">
        <v>0</v>
      </c>
      <c r="F10">
        <v>66.3663481</v>
      </c>
      <c r="G10">
        <f t="shared" si="0"/>
        <v>0.0214966505826721</v>
      </c>
    </row>
    <row r="11" spans="1:7">
      <c r="A11" t="s">
        <v>73</v>
      </c>
      <c r="B11">
        <v>0</v>
      </c>
      <c r="C11">
        <v>72.8132429</v>
      </c>
      <c r="D11">
        <v>0</v>
      </c>
      <c r="E11">
        <v>0</v>
      </c>
      <c r="F11">
        <v>72.8132429</v>
      </c>
      <c r="G11">
        <f t="shared" si="0"/>
        <v>0.0235848571636644</v>
      </c>
    </row>
    <row r="12" spans="1:7">
      <c r="A12" t="s">
        <v>74</v>
      </c>
      <c r="B12">
        <v>0</v>
      </c>
      <c r="C12">
        <v>72.8132429</v>
      </c>
      <c r="D12">
        <v>0</v>
      </c>
      <c r="E12">
        <v>0</v>
      </c>
      <c r="F12">
        <v>72.8132429</v>
      </c>
      <c r="G12">
        <f t="shared" si="0"/>
        <v>0.0235848571636644</v>
      </c>
    </row>
    <row r="13" spans="1:7">
      <c r="A13" t="s">
        <v>75</v>
      </c>
      <c r="B13">
        <v>0</v>
      </c>
      <c r="C13">
        <v>66.2587349</v>
      </c>
      <c r="D13">
        <v>0</v>
      </c>
      <c r="E13">
        <v>0</v>
      </c>
      <c r="F13">
        <v>66.2587349</v>
      </c>
      <c r="G13">
        <f t="shared" si="0"/>
        <v>0.0214617937098034</v>
      </c>
    </row>
    <row r="14" spans="1:7">
      <c r="A14" t="s">
        <v>76</v>
      </c>
      <c r="B14">
        <v>0</v>
      </c>
      <c r="C14">
        <v>66.3663481</v>
      </c>
      <c r="D14">
        <v>0</v>
      </c>
      <c r="E14">
        <v>0</v>
      </c>
      <c r="F14">
        <v>66.3663481</v>
      </c>
      <c r="G14">
        <f t="shared" si="0"/>
        <v>0.0214966505826721</v>
      </c>
    </row>
    <row r="15" spans="1:7">
      <c r="A15" t="s">
        <v>77</v>
      </c>
      <c r="B15">
        <v>0</v>
      </c>
      <c r="C15">
        <v>66.5061517</v>
      </c>
      <c r="D15">
        <v>0</v>
      </c>
      <c r="E15">
        <v>0</v>
      </c>
      <c r="F15">
        <v>66.5061517</v>
      </c>
      <c r="G15">
        <f t="shared" si="0"/>
        <v>0.0215419342124851</v>
      </c>
    </row>
    <row r="16" spans="1:7">
      <c r="A16" t="s">
        <v>78</v>
      </c>
      <c r="B16">
        <v>0</v>
      </c>
      <c r="C16">
        <v>66.6643361</v>
      </c>
      <c r="D16">
        <v>0</v>
      </c>
      <c r="E16">
        <v>0</v>
      </c>
      <c r="F16">
        <v>66.6643361</v>
      </c>
      <c r="G16">
        <f t="shared" si="0"/>
        <v>0.0215931715469442</v>
      </c>
    </row>
    <row r="17" spans="1:7">
      <c r="A17" t="s">
        <v>79</v>
      </c>
      <c r="B17">
        <v>0</v>
      </c>
      <c r="C17">
        <v>66.8469612</v>
      </c>
      <c r="D17">
        <v>0</v>
      </c>
      <c r="E17">
        <v>0</v>
      </c>
      <c r="F17">
        <v>66.8469612</v>
      </c>
      <c r="G17">
        <f t="shared" si="0"/>
        <v>0.0216523254415718</v>
      </c>
    </row>
    <row r="18" spans="1:7">
      <c r="A18" t="s">
        <v>80</v>
      </c>
      <c r="B18">
        <v>0</v>
      </c>
      <c r="C18">
        <v>66.8870315</v>
      </c>
      <c r="D18">
        <v>0</v>
      </c>
      <c r="E18">
        <v>0</v>
      </c>
      <c r="F18">
        <v>66.8870315</v>
      </c>
      <c r="G18">
        <f t="shared" si="0"/>
        <v>0.0216653045682302</v>
      </c>
    </row>
    <row r="19" spans="1:7">
      <c r="A19" t="s">
        <v>81</v>
      </c>
      <c r="B19">
        <v>0</v>
      </c>
      <c r="C19">
        <v>65.7001752</v>
      </c>
      <c r="D19">
        <v>0</v>
      </c>
      <c r="E19">
        <v>0</v>
      </c>
      <c r="F19">
        <v>65.7001752</v>
      </c>
      <c r="G19">
        <f t="shared" si="0"/>
        <v>0.021280871253706</v>
      </c>
    </row>
    <row r="20" spans="1:7">
      <c r="A20" t="s">
        <v>82</v>
      </c>
      <c r="B20">
        <v>0</v>
      </c>
      <c r="C20">
        <v>62.9240536</v>
      </c>
      <c r="D20">
        <v>0</v>
      </c>
      <c r="E20">
        <v>0</v>
      </c>
      <c r="F20">
        <v>62.9240536</v>
      </c>
      <c r="G20">
        <f t="shared" si="0"/>
        <v>0.0203816607694967</v>
      </c>
    </row>
    <row r="21" spans="1:7">
      <c r="A21" t="s">
        <v>83</v>
      </c>
      <c r="B21">
        <v>0</v>
      </c>
      <c r="C21">
        <v>57.9594963</v>
      </c>
      <c r="D21">
        <v>0</v>
      </c>
      <c r="E21">
        <v>0</v>
      </c>
      <c r="F21">
        <v>57.9594963</v>
      </c>
      <c r="G21">
        <f t="shared" si="0"/>
        <v>0.0187735964924786</v>
      </c>
    </row>
    <row r="22" spans="1:7">
      <c r="A22" t="s">
        <v>84</v>
      </c>
      <c r="B22">
        <v>0</v>
      </c>
      <c r="C22">
        <v>50.0209324</v>
      </c>
      <c r="D22">
        <v>0</v>
      </c>
      <c r="E22">
        <v>0</v>
      </c>
      <c r="F22">
        <v>50.0209324</v>
      </c>
      <c r="G22">
        <f t="shared" si="0"/>
        <v>0.0162022250192528</v>
      </c>
    </row>
    <row r="23" spans="1:7">
      <c r="A23" t="s">
        <v>85</v>
      </c>
      <c r="B23">
        <v>0</v>
      </c>
      <c r="C23">
        <v>49.6791241</v>
      </c>
      <c r="D23">
        <v>0</v>
      </c>
      <c r="E23">
        <v>0</v>
      </c>
      <c r="F23">
        <v>49.6791241</v>
      </c>
      <c r="G23">
        <f t="shared" si="0"/>
        <v>0.0160915102699602</v>
      </c>
    </row>
    <row r="24" spans="1:7">
      <c r="A24" t="s">
        <v>86</v>
      </c>
      <c r="B24">
        <v>0</v>
      </c>
      <c r="C24">
        <v>48.0262328</v>
      </c>
      <c r="D24">
        <v>0</v>
      </c>
      <c r="E24">
        <v>0</v>
      </c>
      <c r="F24">
        <v>48.0262328</v>
      </c>
      <c r="G24">
        <f t="shared" si="0"/>
        <v>0.0155561240728216</v>
      </c>
    </row>
    <row r="25" spans="3:7">
      <c r="C25">
        <v>28.9925335</v>
      </c>
      <c r="G25">
        <f>C25*1000/6.022140857E+23*6242000000000000000/16</f>
        <v>0.0187818790697002</v>
      </c>
    </row>
  </sheetData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T25"/>
  <sheetViews>
    <sheetView topLeftCell="A7" workbookViewId="0">
      <selection activeCell="J25" sqref="J25"/>
    </sheetView>
  </sheetViews>
  <sheetFormatPr defaultColWidth="9" defaultRowHeight="15.75"/>
  <cols>
    <col min="1" max="1" width="14" customWidth="1"/>
    <col min="2" max="2" width="2.375" customWidth="1"/>
    <col min="3" max="3" width="3.25" customWidth="1"/>
    <col min="4" max="4" width="9.5" customWidth="1"/>
    <col min="5" max="5" width="4.375" customWidth="1"/>
    <col min="6" max="6" width="9.5" customWidth="1"/>
    <col min="7" max="9" width="2.375" customWidth="1"/>
    <col min="10" max="10" width="12.625"/>
    <col min="11" max="11" width="14" customWidth="1"/>
    <col min="12" max="12" width="2.875" customWidth="1"/>
    <col min="13" max="13" width="3.375" customWidth="1"/>
    <col min="14" max="16" width="11.5" customWidth="1"/>
    <col min="17" max="17" width="9.375" customWidth="1"/>
    <col min="18" max="19" width="2.375" customWidth="1"/>
    <col min="20" max="20" width="9.375"/>
  </cols>
  <sheetData>
    <row r="1" spans="1:20">
      <c r="A1" t="s">
        <v>36</v>
      </c>
      <c r="B1">
        <v>1</v>
      </c>
      <c r="C1" t="s">
        <v>37</v>
      </c>
      <c r="D1" s="2">
        <v>-37.198963</v>
      </c>
      <c r="E1" t="s">
        <v>38</v>
      </c>
      <c r="F1" s="2">
        <v>-37.198963</v>
      </c>
      <c r="G1" t="s">
        <v>7</v>
      </c>
      <c r="H1" t="s">
        <v>39</v>
      </c>
      <c r="I1">
        <f>-37.199</f>
        <v>-37.199</v>
      </c>
      <c r="J1">
        <f>F1/4</f>
        <v>-9.29974075</v>
      </c>
      <c r="K1" t="s">
        <v>87</v>
      </c>
      <c r="L1" t="s">
        <v>88</v>
      </c>
      <c r="M1" t="s">
        <v>89</v>
      </c>
      <c r="N1">
        <v>-2.70814</v>
      </c>
      <c r="O1">
        <v>-2.38469</v>
      </c>
      <c r="P1">
        <v>-17.4798</v>
      </c>
      <c r="Q1">
        <v>0.28012</v>
      </c>
      <c r="R1">
        <v>0</v>
      </c>
      <c r="S1">
        <v>0</v>
      </c>
      <c r="T1">
        <f>P1/10</f>
        <v>-1.74798</v>
      </c>
    </row>
    <row r="2" spans="1:20">
      <c r="A2" t="s">
        <v>40</v>
      </c>
      <c r="B2">
        <v>1</v>
      </c>
      <c r="C2" t="s">
        <v>37</v>
      </c>
      <c r="D2" s="2">
        <v>-37.213084</v>
      </c>
      <c r="E2" t="s">
        <v>38</v>
      </c>
      <c r="F2" s="2">
        <v>-37.213084</v>
      </c>
      <c r="G2" t="s">
        <v>7</v>
      </c>
      <c r="H2" t="s">
        <v>39</v>
      </c>
      <c r="I2">
        <f>-37.2131</f>
        <v>-37.2131</v>
      </c>
      <c r="J2">
        <f>F2/4</f>
        <v>-9.303271</v>
      </c>
      <c r="K2" t="s">
        <v>90</v>
      </c>
      <c r="L2" t="s">
        <v>88</v>
      </c>
      <c r="M2" t="s">
        <v>89</v>
      </c>
      <c r="N2">
        <v>-3.40202</v>
      </c>
      <c r="O2">
        <v>-3.18118</v>
      </c>
      <c r="P2">
        <v>-13.7949</v>
      </c>
      <c r="Q2">
        <v>0.19125</v>
      </c>
      <c r="R2">
        <v>0</v>
      </c>
      <c r="S2">
        <v>0</v>
      </c>
      <c r="T2">
        <f t="shared" ref="T2:T24" si="0">P2/10</f>
        <v>-1.37949</v>
      </c>
    </row>
    <row r="3" spans="1:20">
      <c r="A3" t="s">
        <v>41</v>
      </c>
      <c r="B3">
        <v>1</v>
      </c>
      <c r="C3" t="s">
        <v>37</v>
      </c>
      <c r="D3" s="2">
        <v>-37.221192</v>
      </c>
      <c r="E3" t="s">
        <v>38</v>
      </c>
      <c r="F3" s="2">
        <v>-37.221192</v>
      </c>
      <c r="G3" t="s">
        <v>7</v>
      </c>
      <c r="H3" t="s">
        <v>39</v>
      </c>
      <c r="I3">
        <f>-37.2212</f>
        <v>-37.2212</v>
      </c>
      <c r="J3">
        <f t="shared" ref="J3:J25" si="1">F3/4</f>
        <v>-9.305298</v>
      </c>
      <c r="K3" t="s">
        <v>91</v>
      </c>
      <c r="L3" t="s">
        <v>88</v>
      </c>
      <c r="M3" t="s">
        <v>89</v>
      </c>
      <c r="N3">
        <v>-4.50753</v>
      </c>
      <c r="O3">
        <v>-4.36693</v>
      </c>
      <c r="P3">
        <v>-6.49711</v>
      </c>
      <c r="Q3">
        <v>0.12176</v>
      </c>
      <c r="R3">
        <v>0</v>
      </c>
      <c r="S3">
        <v>0</v>
      </c>
      <c r="T3">
        <f t="shared" si="0"/>
        <v>-0.649711</v>
      </c>
    </row>
    <row r="4" spans="1:20">
      <c r="A4" t="s">
        <v>42</v>
      </c>
      <c r="B4">
        <v>1</v>
      </c>
      <c r="C4" t="s">
        <v>37</v>
      </c>
      <c r="D4" s="2">
        <v>-37.221673</v>
      </c>
      <c r="E4" t="s">
        <v>38</v>
      </c>
      <c r="F4" s="2">
        <v>-37.221673</v>
      </c>
      <c r="G4" t="s">
        <v>7</v>
      </c>
      <c r="H4" t="s">
        <v>39</v>
      </c>
      <c r="I4">
        <f>-37.2217</f>
        <v>-37.2217</v>
      </c>
      <c r="J4">
        <f t="shared" si="1"/>
        <v>-9.30541825</v>
      </c>
      <c r="K4" t="s">
        <v>92</v>
      </c>
      <c r="L4" t="s">
        <v>88</v>
      </c>
      <c r="M4" t="s">
        <v>89</v>
      </c>
      <c r="N4">
        <v>-4.78273</v>
      </c>
      <c r="O4">
        <v>-4.65799</v>
      </c>
      <c r="P4">
        <v>-4.36941</v>
      </c>
      <c r="Q4">
        <v>0.10803</v>
      </c>
      <c r="R4">
        <v>0</v>
      </c>
      <c r="S4">
        <v>0</v>
      </c>
      <c r="T4">
        <f t="shared" si="0"/>
        <v>-0.436941</v>
      </c>
    </row>
    <row r="5" spans="1:20">
      <c r="A5" t="s">
        <v>43</v>
      </c>
      <c r="B5">
        <v>1</v>
      </c>
      <c r="C5" t="s">
        <v>37</v>
      </c>
      <c r="D5" s="2">
        <v>-37.221664</v>
      </c>
      <c r="E5" t="s">
        <v>38</v>
      </c>
      <c r="F5" s="2">
        <v>-37.221664</v>
      </c>
      <c r="G5" t="s">
        <v>7</v>
      </c>
      <c r="H5" t="s">
        <v>39</v>
      </c>
      <c r="I5">
        <f>-37.2217</f>
        <v>-37.2217</v>
      </c>
      <c r="J5">
        <f t="shared" si="1"/>
        <v>-9.305416</v>
      </c>
      <c r="K5" t="s">
        <v>93</v>
      </c>
      <c r="L5" t="s">
        <v>88</v>
      </c>
      <c r="M5" t="s">
        <v>89</v>
      </c>
      <c r="N5">
        <v>-5.08591</v>
      </c>
      <c r="O5">
        <v>-4.97691</v>
      </c>
      <c r="P5">
        <v>-1.94466</v>
      </c>
      <c r="Q5">
        <v>0.09439</v>
      </c>
      <c r="R5">
        <v>0</v>
      </c>
      <c r="S5">
        <v>0</v>
      </c>
      <c r="T5">
        <f t="shared" si="0"/>
        <v>-0.194466</v>
      </c>
    </row>
    <row r="6" spans="1:20">
      <c r="A6" t="s">
        <v>44</v>
      </c>
      <c r="B6">
        <v>1</v>
      </c>
      <c r="C6" t="s">
        <v>37</v>
      </c>
      <c r="D6" s="2">
        <v>-37.221032</v>
      </c>
      <c r="E6" t="s">
        <v>38</v>
      </c>
      <c r="F6" s="2">
        <v>-37.221032</v>
      </c>
      <c r="G6" t="s">
        <v>7</v>
      </c>
      <c r="H6" t="s">
        <v>39</v>
      </c>
      <c r="I6">
        <f>-37.221</f>
        <v>-37.221</v>
      </c>
      <c r="J6">
        <f t="shared" si="1"/>
        <v>-9.305258</v>
      </c>
      <c r="K6" t="s">
        <v>94</v>
      </c>
      <c r="L6" t="s">
        <v>88</v>
      </c>
      <c r="M6" t="s">
        <v>89</v>
      </c>
      <c r="N6">
        <v>-5.40348</v>
      </c>
      <c r="O6">
        <v>-5.31029</v>
      </c>
      <c r="P6">
        <v>0.83872</v>
      </c>
      <c r="Q6">
        <v>0.08071</v>
      </c>
      <c r="R6">
        <v>0</v>
      </c>
      <c r="S6">
        <v>0</v>
      </c>
      <c r="T6">
        <f t="shared" si="0"/>
        <v>0.083872</v>
      </c>
    </row>
    <row r="7" spans="1:20">
      <c r="A7" t="s">
        <v>45</v>
      </c>
      <c r="B7">
        <v>1</v>
      </c>
      <c r="C7" t="s">
        <v>37</v>
      </c>
      <c r="D7" s="2">
        <v>-37.219775</v>
      </c>
      <c r="E7" t="s">
        <v>38</v>
      </c>
      <c r="F7" s="2">
        <v>-37.219775</v>
      </c>
      <c r="G7" t="s">
        <v>7</v>
      </c>
      <c r="H7" t="s">
        <v>39</v>
      </c>
      <c r="I7">
        <f>-37.2198</f>
        <v>-37.2198</v>
      </c>
      <c r="J7">
        <f t="shared" si="1"/>
        <v>-9.30494375</v>
      </c>
      <c r="K7" t="s">
        <v>95</v>
      </c>
      <c r="L7" t="s">
        <v>88</v>
      </c>
      <c r="M7" t="s">
        <v>89</v>
      </c>
      <c r="N7">
        <v>-5.75432</v>
      </c>
      <c r="O7">
        <v>-5.67703</v>
      </c>
      <c r="P7">
        <v>4.0474</v>
      </c>
      <c r="Q7">
        <v>0.06694</v>
      </c>
      <c r="R7">
        <v>0</v>
      </c>
      <c r="S7">
        <v>0</v>
      </c>
      <c r="T7">
        <f t="shared" si="0"/>
        <v>0.40474</v>
      </c>
    </row>
    <row r="8" spans="1:20">
      <c r="A8" t="s">
        <v>46</v>
      </c>
      <c r="B8">
        <v>1</v>
      </c>
      <c r="C8" t="s">
        <v>37</v>
      </c>
      <c r="D8" s="2">
        <v>-37.217743</v>
      </c>
      <c r="E8" t="s">
        <v>38</v>
      </c>
      <c r="F8" s="2">
        <v>-37.217743</v>
      </c>
      <c r="G8" t="s">
        <v>7</v>
      </c>
      <c r="H8" t="s">
        <v>39</v>
      </c>
      <c r="I8">
        <f>-37.2177</f>
        <v>-37.2177</v>
      </c>
      <c r="J8">
        <f t="shared" si="1"/>
        <v>-9.30443575</v>
      </c>
      <c r="K8" t="s">
        <v>96</v>
      </c>
      <c r="L8" t="s">
        <v>88</v>
      </c>
      <c r="M8" t="s">
        <v>89</v>
      </c>
      <c r="N8">
        <v>-6.11871</v>
      </c>
      <c r="O8">
        <v>-6.05836</v>
      </c>
      <c r="P8">
        <v>7.66066</v>
      </c>
      <c r="Q8">
        <v>0.05226</v>
      </c>
      <c r="R8">
        <v>0</v>
      </c>
      <c r="S8">
        <v>0</v>
      </c>
      <c r="T8">
        <f t="shared" si="0"/>
        <v>0.766066</v>
      </c>
    </row>
    <row r="9" spans="1:20">
      <c r="A9" t="s">
        <v>47</v>
      </c>
      <c r="B9">
        <v>1</v>
      </c>
      <c r="C9" t="s">
        <v>37</v>
      </c>
      <c r="D9" s="2">
        <v>-37.214844</v>
      </c>
      <c r="E9" t="s">
        <v>38</v>
      </c>
      <c r="F9" s="2">
        <v>-37.214844</v>
      </c>
      <c r="G9" t="s">
        <v>7</v>
      </c>
      <c r="H9" t="s">
        <v>39</v>
      </c>
      <c r="I9">
        <f>-37.2148</f>
        <v>-37.2148</v>
      </c>
      <c r="J9">
        <f t="shared" si="1"/>
        <v>-9.303711</v>
      </c>
      <c r="K9" t="s">
        <v>97</v>
      </c>
      <c r="L9" t="s">
        <v>88</v>
      </c>
      <c r="M9" t="s">
        <v>89</v>
      </c>
      <c r="N9">
        <v>-6.54105</v>
      </c>
      <c r="O9">
        <v>-6.49676</v>
      </c>
      <c r="P9">
        <v>12.09655</v>
      </c>
      <c r="Q9">
        <v>0.03836</v>
      </c>
      <c r="R9">
        <v>0</v>
      </c>
      <c r="S9">
        <v>0</v>
      </c>
      <c r="T9">
        <f t="shared" si="0"/>
        <v>1.209655</v>
      </c>
    </row>
    <row r="10" spans="1:20">
      <c r="A10" t="s">
        <v>48</v>
      </c>
      <c r="B10">
        <v>1</v>
      </c>
      <c r="C10" t="s">
        <v>37</v>
      </c>
      <c r="D10" s="2">
        <v>-37.210978</v>
      </c>
      <c r="E10" t="s">
        <v>38</v>
      </c>
      <c r="F10" s="2">
        <v>-37.210978</v>
      </c>
      <c r="G10" t="s">
        <v>7</v>
      </c>
      <c r="H10" t="s">
        <v>39</v>
      </c>
      <c r="I10">
        <f>-37.211</f>
        <v>-37.211</v>
      </c>
      <c r="J10">
        <f t="shared" si="1"/>
        <v>-9.3027445</v>
      </c>
      <c r="K10" t="s">
        <v>98</v>
      </c>
      <c r="L10" t="s">
        <v>88</v>
      </c>
      <c r="M10" t="s">
        <v>89</v>
      </c>
      <c r="N10">
        <v>-6.92346</v>
      </c>
      <c r="O10">
        <v>-6.89808</v>
      </c>
      <c r="P10">
        <v>16.50845</v>
      </c>
      <c r="Q10">
        <v>0.02197</v>
      </c>
      <c r="R10">
        <v>0</v>
      </c>
      <c r="S10">
        <v>0</v>
      </c>
      <c r="T10">
        <f t="shared" si="0"/>
        <v>1.650845</v>
      </c>
    </row>
    <row r="11" spans="1:20">
      <c r="A11" t="s">
        <v>49</v>
      </c>
      <c r="B11">
        <v>1</v>
      </c>
      <c r="C11" t="s">
        <v>37</v>
      </c>
      <c r="D11" s="2">
        <v>-37.205987</v>
      </c>
      <c r="E11" t="s">
        <v>38</v>
      </c>
      <c r="F11" s="2">
        <v>-37.205987</v>
      </c>
      <c r="G11" t="s">
        <v>7</v>
      </c>
      <c r="H11" t="s">
        <v>39</v>
      </c>
      <c r="I11">
        <f>-37.206</f>
        <v>-37.206</v>
      </c>
      <c r="J11">
        <f t="shared" si="1"/>
        <v>-9.30149675</v>
      </c>
      <c r="K11" t="s">
        <v>99</v>
      </c>
      <c r="L11" t="s">
        <v>88</v>
      </c>
      <c r="M11" t="s">
        <v>89</v>
      </c>
      <c r="N11">
        <v>-7.3603</v>
      </c>
      <c r="O11">
        <v>-7.35282</v>
      </c>
      <c r="P11">
        <v>21.84954</v>
      </c>
      <c r="Q11">
        <v>0.00648</v>
      </c>
      <c r="R11">
        <v>0</v>
      </c>
      <c r="S11">
        <v>0</v>
      </c>
      <c r="T11">
        <f t="shared" si="0"/>
        <v>2.184954</v>
      </c>
    </row>
    <row r="12" spans="1:20">
      <c r="A12" t="s">
        <v>50</v>
      </c>
      <c r="B12">
        <v>1</v>
      </c>
      <c r="C12" t="s">
        <v>37</v>
      </c>
      <c r="D12" s="2">
        <v>-37.199727</v>
      </c>
      <c r="E12" t="s">
        <v>38</v>
      </c>
      <c r="F12" s="2">
        <v>-37.199727</v>
      </c>
      <c r="G12" t="s">
        <v>7</v>
      </c>
      <c r="H12" t="s">
        <v>39</v>
      </c>
      <c r="I12">
        <f>-37.1997</f>
        <v>-37.1997</v>
      </c>
      <c r="J12">
        <f t="shared" si="1"/>
        <v>-9.29993175</v>
      </c>
      <c r="K12" t="s">
        <v>100</v>
      </c>
      <c r="L12" t="s">
        <v>88</v>
      </c>
      <c r="M12" t="s">
        <v>89</v>
      </c>
      <c r="N12">
        <v>-7.85094</v>
      </c>
      <c r="O12">
        <v>-7.86154</v>
      </c>
      <c r="P12">
        <v>28.1936</v>
      </c>
      <c r="Q12">
        <v>-0.00918</v>
      </c>
      <c r="R12">
        <v>0</v>
      </c>
      <c r="S12">
        <v>0</v>
      </c>
      <c r="T12">
        <f t="shared" si="0"/>
        <v>2.81936</v>
      </c>
    </row>
    <row r="13" spans="1:20">
      <c r="A13" t="s">
        <v>51</v>
      </c>
      <c r="B13">
        <v>1</v>
      </c>
      <c r="C13" t="s">
        <v>37</v>
      </c>
      <c r="D13" s="2">
        <v>-37.192026</v>
      </c>
      <c r="E13" t="s">
        <v>38</v>
      </c>
      <c r="F13" s="2">
        <v>-37.192026</v>
      </c>
      <c r="G13" t="s">
        <v>7</v>
      </c>
      <c r="H13" t="s">
        <v>39</v>
      </c>
      <c r="I13">
        <f>-37.192</f>
        <v>-37.192</v>
      </c>
      <c r="J13">
        <f t="shared" si="1"/>
        <v>-9.2980065</v>
      </c>
      <c r="K13" t="s">
        <v>101</v>
      </c>
      <c r="L13" t="s">
        <v>88</v>
      </c>
      <c r="M13" t="s">
        <v>89</v>
      </c>
      <c r="N13">
        <v>-8.29527</v>
      </c>
      <c r="O13">
        <v>-8.3259</v>
      </c>
      <c r="P13">
        <v>34.70399</v>
      </c>
      <c r="Q13">
        <v>-0.02652</v>
      </c>
      <c r="R13">
        <v>0</v>
      </c>
      <c r="S13">
        <v>0</v>
      </c>
      <c r="T13">
        <f t="shared" si="0"/>
        <v>3.470399</v>
      </c>
    </row>
    <row r="14" spans="1:20">
      <c r="A14" t="s">
        <v>52</v>
      </c>
      <c r="B14">
        <v>1</v>
      </c>
      <c r="C14" t="s">
        <v>37</v>
      </c>
      <c r="D14" s="2">
        <v>-37.125248</v>
      </c>
      <c r="E14" t="s">
        <v>38</v>
      </c>
      <c r="F14" s="2">
        <v>-37.125248</v>
      </c>
      <c r="G14" t="s">
        <v>7</v>
      </c>
      <c r="H14" t="s">
        <v>39</v>
      </c>
      <c r="I14">
        <f>-37.1252</f>
        <v>-37.1252</v>
      </c>
      <c r="J14">
        <f t="shared" si="1"/>
        <v>-9.281312</v>
      </c>
      <c r="K14" t="s">
        <v>102</v>
      </c>
      <c r="L14" t="s">
        <v>88</v>
      </c>
      <c r="M14" t="s">
        <v>89</v>
      </c>
      <c r="N14">
        <v>-11.01718</v>
      </c>
      <c r="O14">
        <v>-11.15287</v>
      </c>
      <c r="P14">
        <v>83.13759</v>
      </c>
      <c r="Q14">
        <v>-0.11751</v>
      </c>
      <c r="R14">
        <v>0</v>
      </c>
      <c r="S14">
        <v>0</v>
      </c>
      <c r="T14">
        <f t="shared" si="0"/>
        <v>8.313759</v>
      </c>
    </row>
    <row r="15" spans="1:20">
      <c r="A15" t="s">
        <v>53</v>
      </c>
      <c r="B15">
        <v>1</v>
      </c>
      <c r="C15" t="s">
        <v>37</v>
      </c>
      <c r="D15" s="2">
        <v>-36.987991</v>
      </c>
      <c r="E15" t="s">
        <v>38</v>
      </c>
      <c r="F15" s="2">
        <v>-36.987991</v>
      </c>
      <c r="G15" t="s">
        <v>7</v>
      </c>
      <c r="H15" t="s">
        <v>39</v>
      </c>
      <c r="I15">
        <f>-36.988</f>
        <v>-36.988</v>
      </c>
      <c r="J15">
        <f t="shared" si="1"/>
        <v>-9.24699775</v>
      </c>
      <c r="K15" t="s">
        <v>103</v>
      </c>
      <c r="L15" t="s">
        <v>88</v>
      </c>
      <c r="M15" t="s">
        <v>89</v>
      </c>
      <c r="N15">
        <v>-14.16293</v>
      </c>
      <c r="O15">
        <v>-14.41278</v>
      </c>
      <c r="P15">
        <v>163.64584</v>
      </c>
      <c r="Q15">
        <v>-0.21637</v>
      </c>
      <c r="R15">
        <v>0</v>
      </c>
      <c r="S15">
        <v>0</v>
      </c>
      <c r="T15">
        <f t="shared" si="0"/>
        <v>16.364584</v>
      </c>
    </row>
    <row r="16" spans="1:20">
      <c r="A16" t="s">
        <v>54</v>
      </c>
      <c r="B16">
        <v>1</v>
      </c>
      <c r="C16" t="s">
        <v>37</v>
      </c>
      <c r="D16" s="2">
        <v>-36.737023</v>
      </c>
      <c r="E16" t="s">
        <v>38</v>
      </c>
      <c r="F16" s="2">
        <v>-36.737023</v>
      </c>
      <c r="G16" t="s">
        <v>7</v>
      </c>
      <c r="H16" t="s">
        <v>39</v>
      </c>
      <c r="I16">
        <f>-36.737</f>
        <v>-36.737</v>
      </c>
      <c r="J16">
        <f t="shared" si="1"/>
        <v>-9.18425575</v>
      </c>
      <c r="K16" t="s">
        <v>104</v>
      </c>
      <c r="L16" t="s">
        <v>88</v>
      </c>
      <c r="M16" t="s">
        <v>89</v>
      </c>
      <c r="N16">
        <v>-17.17197</v>
      </c>
      <c r="O16">
        <v>-17.51691</v>
      </c>
      <c r="P16">
        <v>291.62834</v>
      </c>
      <c r="Q16">
        <v>-0.29873</v>
      </c>
      <c r="R16">
        <v>0</v>
      </c>
      <c r="S16">
        <v>0</v>
      </c>
      <c r="T16">
        <f t="shared" si="0"/>
        <v>29.162834</v>
      </c>
    </row>
    <row r="17" spans="1:20">
      <c r="A17" t="s">
        <v>55</v>
      </c>
      <c r="B17">
        <v>1</v>
      </c>
      <c r="C17" t="s">
        <v>37</v>
      </c>
      <c r="D17" s="2">
        <v>-36.306229</v>
      </c>
      <c r="E17" t="s">
        <v>38</v>
      </c>
      <c r="F17" s="2">
        <v>-36.306229</v>
      </c>
      <c r="G17" t="s">
        <v>7</v>
      </c>
      <c r="H17" t="s">
        <v>39</v>
      </c>
      <c r="I17">
        <f>-36.3062</f>
        <v>-36.3062</v>
      </c>
      <c r="J17">
        <f t="shared" si="1"/>
        <v>-9.07655725</v>
      </c>
      <c r="K17" t="s">
        <v>105</v>
      </c>
      <c r="L17" t="s">
        <v>88</v>
      </c>
      <c r="M17" t="s">
        <v>89</v>
      </c>
      <c r="N17">
        <v>-17.75908</v>
      </c>
      <c r="O17">
        <v>-18.06139</v>
      </c>
      <c r="P17">
        <v>495.90418</v>
      </c>
      <c r="Q17">
        <v>-0.26181</v>
      </c>
      <c r="R17">
        <v>0</v>
      </c>
      <c r="S17">
        <v>0</v>
      </c>
      <c r="T17">
        <f t="shared" si="0"/>
        <v>49.590418</v>
      </c>
    </row>
    <row r="18" spans="1:20">
      <c r="A18" t="s">
        <v>56</v>
      </c>
      <c r="B18">
        <v>1</v>
      </c>
      <c r="C18" t="s">
        <v>37</v>
      </c>
      <c r="D18" s="2">
        <v>-35.587047</v>
      </c>
      <c r="E18" t="s">
        <v>38</v>
      </c>
      <c r="F18" s="2">
        <v>-35.587047</v>
      </c>
      <c r="G18" t="s">
        <v>7</v>
      </c>
      <c r="H18" t="s">
        <v>39</v>
      </c>
      <c r="I18">
        <f>-35.587</f>
        <v>-35.587</v>
      </c>
      <c r="J18">
        <f t="shared" si="1"/>
        <v>-8.89676175</v>
      </c>
      <c r="K18" t="s">
        <v>106</v>
      </c>
      <c r="L18" t="s">
        <v>88</v>
      </c>
      <c r="M18" t="s">
        <v>89</v>
      </c>
      <c r="N18">
        <v>-14.08485</v>
      </c>
      <c r="O18">
        <v>-13.98048</v>
      </c>
      <c r="P18">
        <v>817.95232</v>
      </c>
      <c r="Q18">
        <v>0.09039</v>
      </c>
      <c r="R18">
        <v>0</v>
      </c>
      <c r="S18">
        <v>0</v>
      </c>
      <c r="T18">
        <f t="shared" si="0"/>
        <v>81.795232</v>
      </c>
    </row>
    <row r="19" spans="1:20">
      <c r="A19" t="s">
        <v>57</v>
      </c>
      <c r="B19">
        <v>1</v>
      </c>
      <c r="C19" t="s">
        <v>37</v>
      </c>
      <c r="D19" s="2">
        <v>-34.443888</v>
      </c>
      <c r="E19" t="s">
        <v>38</v>
      </c>
      <c r="F19" s="2">
        <v>-34.443888</v>
      </c>
      <c r="G19" t="s">
        <v>7</v>
      </c>
      <c r="H19" t="s">
        <v>39</v>
      </c>
      <c r="I19">
        <f>-34.4439</f>
        <v>-34.4439</v>
      </c>
      <c r="J19">
        <f t="shared" si="1"/>
        <v>-8.610972</v>
      </c>
      <c r="K19" t="s">
        <v>107</v>
      </c>
      <c r="L19" t="s">
        <v>88</v>
      </c>
      <c r="M19" t="s">
        <v>89</v>
      </c>
      <c r="N19">
        <v>-9.69094</v>
      </c>
      <c r="O19">
        <v>-9.39747</v>
      </c>
      <c r="P19">
        <v>1262.64436</v>
      </c>
      <c r="Q19">
        <v>0.25415</v>
      </c>
      <c r="R19">
        <v>0</v>
      </c>
      <c r="S19">
        <v>0</v>
      </c>
      <c r="T19">
        <f t="shared" si="0"/>
        <v>126.264436</v>
      </c>
    </row>
    <row r="20" spans="1:20">
      <c r="A20" t="s">
        <v>58</v>
      </c>
      <c r="B20">
        <v>1</v>
      </c>
      <c r="C20" t="s">
        <v>37</v>
      </c>
      <c r="D20" s="2">
        <v>-32.739216</v>
      </c>
      <c r="E20" t="s">
        <v>38</v>
      </c>
      <c r="F20" s="2">
        <v>-32.739216</v>
      </c>
      <c r="G20" t="s">
        <v>7</v>
      </c>
      <c r="H20" t="s">
        <v>39</v>
      </c>
      <c r="I20">
        <f>-32.7392</f>
        <v>-32.7392</v>
      </c>
      <c r="J20">
        <f t="shared" si="1"/>
        <v>-8.184804</v>
      </c>
      <c r="K20" t="s">
        <v>108</v>
      </c>
      <c r="L20" t="s">
        <v>88</v>
      </c>
      <c r="M20" t="s">
        <v>89</v>
      </c>
      <c r="N20">
        <v>62.64671</v>
      </c>
      <c r="O20">
        <v>63.09021</v>
      </c>
      <c r="P20">
        <v>1845.37527</v>
      </c>
      <c r="Q20">
        <v>0.38408</v>
      </c>
      <c r="R20">
        <v>0</v>
      </c>
      <c r="S20">
        <v>0</v>
      </c>
      <c r="T20">
        <f t="shared" si="0"/>
        <v>184.537527</v>
      </c>
    </row>
    <row r="21" spans="1:20">
      <c r="A21" t="s">
        <v>59</v>
      </c>
      <c r="B21">
        <v>1</v>
      </c>
      <c r="C21" t="s">
        <v>37</v>
      </c>
      <c r="D21" s="2">
        <v>-30.244928</v>
      </c>
      <c r="E21" t="s">
        <v>38</v>
      </c>
      <c r="F21" s="2">
        <v>-30.244928</v>
      </c>
      <c r="G21" t="s">
        <v>7</v>
      </c>
      <c r="H21" t="s">
        <v>39</v>
      </c>
      <c r="I21">
        <f>-30.2449</f>
        <v>-30.2449</v>
      </c>
      <c r="J21">
        <f t="shared" si="1"/>
        <v>-7.561232</v>
      </c>
      <c r="K21" t="s">
        <v>109</v>
      </c>
      <c r="L21" t="s">
        <v>88</v>
      </c>
      <c r="M21" t="s">
        <v>89</v>
      </c>
      <c r="N21">
        <v>238.657</v>
      </c>
      <c r="O21">
        <v>238.98526</v>
      </c>
      <c r="P21">
        <v>2781.77108</v>
      </c>
      <c r="Q21">
        <v>0.28428</v>
      </c>
      <c r="R21">
        <v>0</v>
      </c>
      <c r="S21">
        <v>0</v>
      </c>
      <c r="T21">
        <f t="shared" si="0"/>
        <v>278.177108</v>
      </c>
    </row>
    <row r="22" spans="1:20">
      <c r="A22" t="s">
        <v>60</v>
      </c>
      <c r="B22">
        <v>1</v>
      </c>
      <c r="C22" t="s">
        <v>37</v>
      </c>
      <c r="D22" s="2">
        <v>-26.487302</v>
      </c>
      <c r="E22" t="s">
        <v>38</v>
      </c>
      <c r="F22" s="2">
        <v>-26.487302</v>
      </c>
      <c r="G22" t="s">
        <v>7</v>
      </c>
      <c r="H22" t="s">
        <v>39</v>
      </c>
      <c r="I22">
        <f>-26.4873</f>
        <v>-26.4873</v>
      </c>
      <c r="J22">
        <f t="shared" si="1"/>
        <v>-6.6218255</v>
      </c>
      <c r="K22" t="s">
        <v>110</v>
      </c>
      <c r="L22" t="s">
        <v>88</v>
      </c>
      <c r="M22" t="s">
        <v>89</v>
      </c>
      <c r="N22">
        <v>709.01882</v>
      </c>
      <c r="O22">
        <v>708.28629</v>
      </c>
      <c r="P22">
        <v>4109.4174</v>
      </c>
      <c r="Q22">
        <v>-0.6344</v>
      </c>
      <c r="R22">
        <v>0</v>
      </c>
      <c r="S22">
        <v>0</v>
      </c>
      <c r="T22">
        <f t="shared" si="0"/>
        <v>410.94174</v>
      </c>
    </row>
    <row r="23" spans="1:20">
      <c r="A23" t="s">
        <v>61</v>
      </c>
      <c r="B23">
        <v>1</v>
      </c>
      <c r="C23" t="s">
        <v>37</v>
      </c>
      <c r="D23" s="2">
        <v>-21.520284</v>
      </c>
      <c r="E23" t="s">
        <v>38</v>
      </c>
      <c r="F23" s="2">
        <v>-21.520284</v>
      </c>
      <c r="G23" t="s">
        <v>7</v>
      </c>
      <c r="H23" t="s">
        <v>39</v>
      </c>
      <c r="I23">
        <f>-21.5203</f>
        <v>-21.5203</v>
      </c>
      <c r="J23">
        <f t="shared" si="1"/>
        <v>-5.380071</v>
      </c>
      <c r="K23" t="s">
        <v>111</v>
      </c>
      <c r="L23" t="s">
        <v>88</v>
      </c>
      <c r="M23" t="s">
        <v>89</v>
      </c>
      <c r="N23">
        <v>1922.70321</v>
      </c>
      <c r="O23">
        <v>1921.58153</v>
      </c>
      <c r="P23">
        <v>5152.91824</v>
      </c>
      <c r="Q23">
        <v>-0.9714</v>
      </c>
      <c r="R23">
        <v>0</v>
      </c>
      <c r="S23">
        <v>0</v>
      </c>
      <c r="T23">
        <f t="shared" si="0"/>
        <v>515.291824</v>
      </c>
    </row>
    <row r="24" spans="1:20">
      <c r="A24" t="s">
        <v>62</v>
      </c>
      <c r="B24">
        <v>1</v>
      </c>
      <c r="C24" t="s">
        <v>37</v>
      </c>
      <c r="D24" s="2">
        <v>-14.619444</v>
      </c>
      <c r="E24" t="s">
        <v>38</v>
      </c>
      <c r="F24" s="2">
        <v>-14.619444</v>
      </c>
      <c r="G24" t="s">
        <v>7</v>
      </c>
      <c r="H24" t="s">
        <v>39</v>
      </c>
      <c r="I24">
        <f>-14.6194</f>
        <v>-14.6194</v>
      </c>
      <c r="J24">
        <f t="shared" si="1"/>
        <v>-3.654861</v>
      </c>
      <c r="K24" t="s">
        <v>112</v>
      </c>
      <c r="L24" t="s">
        <v>88</v>
      </c>
      <c r="M24" t="s">
        <v>89</v>
      </c>
      <c r="N24">
        <v>3453.20136</v>
      </c>
      <c r="O24">
        <v>3452.14486</v>
      </c>
      <c r="P24">
        <v>7654.28943</v>
      </c>
      <c r="Q24">
        <v>-0.91496</v>
      </c>
      <c r="R24">
        <v>0</v>
      </c>
      <c r="S24">
        <v>0</v>
      </c>
      <c r="T24">
        <f t="shared" si="0"/>
        <v>765.428943</v>
      </c>
    </row>
    <row r="25" spans="6:10">
      <c r="F25" s="2">
        <v>-18.621936</v>
      </c>
      <c r="J25">
        <f>F25/2</f>
        <v>-9.310968</v>
      </c>
    </row>
  </sheetData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26"/>
  <sheetViews>
    <sheetView zoomScale="110" zoomScaleNormal="110" workbookViewId="0">
      <selection activeCell="A13" sqref="A1:G13"/>
    </sheetView>
  </sheetViews>
  <sheetFormatPr defaultColWidth="9" defaultRowHeight="15.75"/>
  <cols>
    <col min="1" max="1" width="12.625"/>
    <col min="2" max="2" width="14" hidden="1" customWidth="1"/>
    <col min="3" max="3" width="2.875" hidden="1" customWidth="1"/>
    <col min="4" max="4" width="3.375" hidden="1" customWidth="1"/>
    <col min="5" max="6" width="11.5" hidden="1" customWidth="1"/>
    <col min="7" max="7" width="11.5" customWidth="1"/>
    <col min="8" max="8" width="9.375" customWidth="1"/>
    <col min="9" max="10" width="2.375" customWidth="1"/>
  </cols>
  <sheetData>
    <row r="1" spans="1:10">
      <c r="A1" s="1">
        <v>7.734603659</v>
      </c>
      <c r="B1" t="s">
        <v>87</v>
      </c>
      <c r="C1" t="s">
        <v>88</v>
      </c>
      <c r="D1" t="s">
        <v>89</v>
      </c>
      <c r="E1">
        <v>-2.70814</v>
      </c>
      <c r="F1">
        <v>-2.38469</v>
      </c>
      <c r="G1">
        <v>-17.4798</v>
      </c>
      <c r="H1">
        <v>0.28012</v>
      </c>
      <c r="I1">
        <v>0</v>
      </c>
      <c r="J1">
        <v>0</v>
      </c>
    </row>
    <row r="2" spans="1:10">
      <c r="A2" s="1">
        <v>7.398316544</v>
      </c>
      <c r="B2" t="s">
        <v>90</v>
      </c>
      <c r="C2" t="s">
        <v>88</v>
      </c>
      <c r="D2" t="s">
        <v>89</v>
      </c>
      <c r="E2">
        <v>-3.40202</v>
      </c>
      <c r="F2">
        <v>-3.18118</v>
      </c>
      <c r="G2">
        <v>-13.7949</v>
      </c>
      <c r="H2">
        <v>0.19125</v>
      </c>
      <c r="I2">
        <v>0</v>
      </c>
      <c r="J2">
        <v>0</v>
      </c>
    </row>
    <row r="3" spans="1:10">
      <c r="A3" s="1">
        <v>7.06202942799999</v>
      </c>
      <c r="B3" t="s">
        <v>91</v>
      </c>
      <c r="C3" t="s">
        <v>88</v>
      </c>
      <c r="D3" t="s">
        <v>89</v>
      </c>
      <c r="E3">
        <v>-4.50753</v>
      </c>
      <c r="F3">
        <v>-4.36693</v>
      </c>
      <c r="G3">
        <v>-6.49711</v>
      </c>
      <c r="H3">
        <v>0.12176</v>
      </c>
      <c r="I3">
        <v>0</v>
      </c>
      <c r="J3">
        <v>0</v>
      </c>
    </row>
    <row r="4" spans="1:10">
      <c r="A4" s="1">
        <v>6.99477200493787</v>
      </c>
      <c r="B4" t="s">
        <v>92</v>
      </c>
      <c r="C4" t="s">
        <v>88</v>
      </c>
      <c r="D4" t="s">
        <v>89</v>
      </c>
      <c r="E4">
        <v>-4.78273</v>
      </c>
      <c r="F4">
        <v>-4.65799</v>
      </c>
      <c r="G4">
        <v>-4.36941</v>
      </c>
      <c r="H4">
        <v>0.10803</v>
      </c>
      <c r="I4">
        <v>0</v>
      </c>
      <c r="J4">
        <v>0</v>
      </c>
    </row>
    <row r="5" spans="1:10">
      <c r="A5" s="1">
        <v>6.92751458181347</v>
      </c>
      <c r="B5" t="s">
        <v>93</v>
      </c>
      <c r="C5" t="s">
        <v>88</v>
      </c>
      <c r="D5" t="s">
        <v>89</v>
      </c>
      <c r="E5">
        <v>-5.08591</v>
      </c>
      <c r="F5">
        <v>-4.97691</v>
      </c>
      <c r="G5">
        <v>-1.94466</v>
      </c>
      <c r="H5">
        <v>0.09439</v>
      </c>
      <c r="I5">
        <v>0</v>
      </c>
      <c r="J5">
        <v>0</v>
      </c>
    </row>
    <row r="6" spans="1:10">
      <c r="A6" s="1">
        <v>6.86025715868907</v>
      </c>
      <c r="B6" t="s">
        <v>94</v>
      </c>
      <c r="C6" t="s">
        <v>88</v>
      </c>
      <c r="D6" t="s">
        <v>89</v>
      </c>
      <c r="E6">
        <v>-5.40348</v>
      </c>
      <c r="F6">
        <v>-5.31029</v>
      </c>
      <c r="G6">
        <v>0.83872</v>
      </c>
      <c r="H6">
        <v>0.08071</v>
      </c>
      <c r="I6">
        <v>0</v>
      </c>
      <c r="J6">
        <v>0</v>
      </c>
    </row>
    <row r="7" spans="1:10">
      <c r="A7">
        <v>6.79299973556466</v>
      </c>
      <c r="B7" t="s">
        <v>95</v>
      </c>
      <c r="C7" t="s">
        <v>88</v>
      </c>
      <c r="D7" t="s">
        <v>89</v>
      </c>
      <c r="E7">
        <v>-5.75432</v>
      </c>
      <c r="F7">
        <v>-5.67703</v>
      </c>
      <c r="G7">
        <v>4.0474</v>
      </c>
      <c r="H7">
        <v>0.06694</v>
      </c>
      <c r="I7">
        <v>0</v>
      </c>
      <c r="J7">
        <v>0</v>
      </c>
    </row>
    <row r="8" spans="1:10">
      <c r="A8" s="1">
        <v>6.72574231244026</v>
      </c>
      <c r="B8" t="s">
        <v>96</v>
      </c>
      <c r="C8" t="s">
        <v>88</v>
      </c>
      <c r="D8" t="s">
        <v>89</v>
      </c>
      <c r="E8">
        <v>-6.11871</v>
      </c>
      <c r="F8">
        <v>-6.05836</v>
      </c>
      <c r="G8">
        <v>7.66066</v>
      </c>
      <c r="H8">
        <v>0.05226</v>
      </c>
      <c r="I8">
        <v>0</v>
      </c>
      <c r="J8">
        <v>0</v>
      </c>
    </row>
    <row r="9" spans="1:10">
      <c r="A9" s="1">
        <v>6.65848488931586</v>
      </c>
      <c r="B9" t="s">
        <v>97</v>
      </c>
      <c r="C9" t="s">
        <v>88</v>
      </c>
      <c r="D9" t="s">
        <v>89</v>
      </c>
      <c r="E9">
        <v>-6.54105</v>
      </c>
      <c r="F9">
        <v>-6.49676</v>
      </c>
      <c r="G9">
        <v>12.09655</v>
      </c>
      <c r="H9">
        <v>0.03836</v>
      </c>
      <c r="I9">
        <v>0</v>
      </c>
      <c r="J9">
        <v>0</v>
      </c>
    </row>
    <row r="10" spans="1:10">
      <c r="A10" s="1">
        <v>6.59122746619145</v>
      </c>
      <c r="B10" t="s">
        <v>98</v>
      </c>
      <c r="C10" t="s">
        <v>88</v>
      </c>
      <c r="D10" t="s">
        <v>89</v>
      </c>
      <c r="E10">
        <v>-6.92346</v>
      </c>
      <c r="F10">
        <v>-6.89808</v>
      </c>
      <c r="G10">
        <v>16.50845</v>
      </c>
      <c r="H10">
        <v>0.02197</v>
      </c>
      <c r="I10">
        <v>0</v>
      </c>
      <c r="J10">
        <v>0</v>
      </c>
    </row>
    <row r="11" spans="1:10">
      <c r="A11" s="1">
        <v>6.52397004306705</v>
      </c>
      <c r="B11" t="s">
        <v>99</v>
      </c>
      <c r="C11" t="s">
        <v>88</v>
      </c>
      <c r="D11" t="s">
        <v>89</v>
      </c>
      <c r="E11">
        <v>-7.3603</v>
      </c>
      <c r="F11">
        <v>-7.35282</v>
      </c>
      <c r="G11">
        <v>21.84954</v>
      </c>
      <c r="H11">
        <v>0.00648</v>
      </c>
      <c r="I11">
        <v>0</v>
      </c>
      <c r="J11">
        <v>0</v>
      </c>
    </row>
    <row r="12" spans="1:10">
      <c r="A12" s="1">
        <v>6.45671261994265</v>
      </c>
      <c r="B12" t="s">
        <v>100</v>
      </c>
      <c r="C12" t="s">
        <v>88</v>
      </c>
      <c r="D12" t="s">
        <v>89</v>
      </c>
      <c r="E12">
        <v>-7.85094</v>
      </c>
      <c r="F12">
        <v>-7.86154</v>
      </c>
      <c r="G12">
        <v>28.1936</v>
      </c>
      <c r="H12">
        <v>-0.00918</v>
      </c>
      <c r="I12">
        <v>0</v>
      </c>
      <c r="J12">
        <v>0</v>
      </c>
    </row>
    <row r="13" spans="1:10">
      <c r="A13" s="1">
        <v>6.389455197</v>
      </c>
      <c r="B13" t="s">
        <v>101</v>
      </c>
      <c r="C13" t="s">
        <v>88</v>
      </c>
      <c r="D13" t="s">
        <v>89</v>
      </c>
      <c r="E13">
        <v>-8.29527</v>
      </c>
      <c r="F13">
        <v>-8.3259</v>
      </c>
      <c r="G13">
        <v>34.70399</v>
      </c>
      <c r="H13">
        <v>-0.02652</v>
      </c>
      <c r="I13">
        <v>0</v>
      </c>
      <c r="J13">
        <v>0</v>
      </c>
    </row>
    <row r="14" spans="1:10">
      <c r="A14" s="1">
        <v>6.05316808099999</v>
      </c>
      <c r="B14" t="s">
        <v>102</v>
      </c>
      <c r="C14" t="s">
        <v>88</v>
      </c>
      <c r="D14" t="s">
        <v>89</v>
      </c>
      <c r="E14">
        <v>-11.01718</v>
      </c>
      <c r="F14">
        <v>-11.15287</v>
      </c>
      <c r="G14">
        <v>83.13759</v>
      </c>
      <c r="H14">
        <v>-0.11751</v>
      </c>
      <c r="I14">
        <v>0</v>
      </c>
      <c r="J14">
        <v>0</v>
      </c>
    </row>
    <row r="15" spans="1:10">
      <c r="A15" s="1">
        <v>5.71688096599999</v>
      </c>
      <c r="B15" t="s">
        <v>103</v>
      </c>
      <c r="C15" t="s">
        <v>88</v>
      </c>
      <c r="D15" t="s">
        <v>89</v>
      </c>
      <c r="E15">
        <v>-14.16293</v>
      </c>
      <c r="F15">
        <v>-14.41278</v>
      </c>
      <c r="G15">
        <v>163.64584</v>
      </c>
      <c r="H15">
        <v>-0.21637</v>
      </c>
      <c r="I15">
        <v>0</v>
      </c>
      <c r="J15">
        <v>0</v>
      </c>
    </row>
    <row r="16" spans="1:10">
      <c r="A16" s="1">
        <v>5.38059385</v>
      </c>
      <c r="B16" t="s">
        <v>104</v>
      </c>
      <c r="C16" t="s">
        <v>88</v>
      </c>
      <c r="D16" t="s">
        <v>89</v>
      </c>
      <c r="E16">
        <v>-17.17197</v>
      </c>
      <c r="F16">
        <v>-17.51691</v>
      </c>
      <c r="G16">
        <v>291.62834</v>
      </c>
      <c r="H16">
        <v>-0.29873</v>
      </c>
      <c r="I16">
        <v>0</v>
      </c>
      <c r="J16">
        <v>0</v>
      </c>
    </row>
    <row r="17" spans="1:10">
      <c r="A17" s="1">
        <v>5.044306734</v>
      </c>
      <c r="B17" t="s">
        <v>105</v>
      </c>
      <c r="C17" t="s">
        <v>88</v>
      </c>
      <c r="D17" t="s">
        <v>89</v>
      </c>
      <c r="E17">
        <v>-17.75908</v>
      </c>
      <c r="F17">
        <v>-18.06139</v>
      </c>
      <c r="G17">
        <v>495.90418</v>
      </c>
      <c r="H17">
        <v>-0.26181</v>
      </c>
      <c r="I17">
        <v>0</v>
      </c>
      <c r="J17">
        <v>0</v>
      </c>
    </row>
    <row r="18" spans="1:10">
      <c r="A18" s="1">
        <v>4.70801961899999</v>
      </c>
      <c r="B18" t="s">
        <v>106</v>
      </c>
      <c r="C18" t="s">
        <v>88</v>
      </c>
      <c r="D18" t="s">
        <v>89</v>
      </c>
      <c r="E18">
        <v>-14.08485</v>
      </c>
      <c r="F18">
        <v>-13.98048</v>
      </c>
      <c r="G18">
        <v>817.95232</v>
      </c>
      <c r="H18">
        <v>0.09039</v>
      </c>
      <c r="I18">
        <v>0</v>
      </c>
      <c r="J18">
        <v>0</v>
      </c>
    </row>
    <row r="19" spans="1:10">
      <c r="A19" s="1">
        <v>4.37173250299999</v>
      </c>
      <c r="B19" t="s">
        <v>107</v>
      </c>
      <c r="C19" t="s">
        <v>88</v>
      </c>
      <c r="D19" t="s">
        <v>89</v>
      </c>
      <c r="E19">
        <v>-9.69094</v>
      </c>
      <c r="F19">
        <v>-9.39747</v>
      </c>
      <c r="G19">
        <v>1262.64436</v>
      </c>
      <c r="H19">
        <v>0.25415</v>
      </c>
      <c r="I19">
        <v>0</v>
      </c>
      <c r="J19">
        <v>0</v>
      </c>
    </row>
    <row r="20" spans="1:10">
      <c r="A20" s="1">
        <v>4.035445387</v>
      </c>
      <c r="B20" t="s">
        <v>108</v>
      </c>
      <c r="C20" t="s">
        <v>88</v>
      </c>
      <c r="D20" t="s">
        <v>89</v>
      </c>
      <c r="E20">
        <v>62.64671</v>
      </c>
      <c r="F20">
        <v>63.09021</v>
      </c>
      <c r="G20">
        <v>1845.37527</v>
      </c>
      <c r="H20">
        <v>0.38408</v>
      </c>
      <c r="I20">
        <v>0</v>
      </c>
      <c r="J20">
        <v>0</v>
      </c>
    </row>
    <row r="21" spans="1:10">
      <c r="A21" s="1">
        <v>3.69915827100001</v>
      </c>
      <c r="B21" t="s">
        <v>109</v>
      </c>
      <c r="C21" t="s">
        <v>88</v>
      </c>
      <c r="D21" t="s">
        <v>89</v>
      </c>
      <c r="E21">
        <v>238.657</v>
      </c>
      <c r="F21">
        <v>238.98526</v>
      </c>
      <c r="G21">
        <v>2781.77108</v>
      </c>
      <c r="H21">
        <v>0.28428</v>
      </c>
      <c r="I21">
        <v>0</v>
      </c>
      <c r="J21">
        <v>0</v>
      </c>
    </row>
    <row r="22" spans="1:10">
      <c r="A22" s="1">
        <v>3.36287115500002</v>
      </c>
      <c r="B22" t="s">
        <v>110</v>
      </c>
      <c r="C22" t="s">
        <v>88</v>
      </c>
      <c r="D22" t="s">
        <v>89</v>
      </c>
      <c r="E22">
        <v>709.01882</v>
      </c>
      <c r="F22">
        <v>708.28629</v>
      </c>
      <c r="G22">
        <v>4109.4174</v>
      </c>
      <c r="H22">
        <v>-0.6344</v>
      </c>
      <c r="I22">
        <v>0</v>
      </c>
      <c r="J22">
        <v>0</v>
      </c>
    </row>
    <row r="23" spans="1:10">
      <c r="A23" s="1">
        <v>3.02658403900003</v>
      </c>
      <c r="B23" t="s">
        <v>111</v>
      </c>
      <c r="C23" t="s">
        <v>88</v>
      </c>
      <c r="D23" t="s">
        <v>89</v>
      </c>
      <c r="E23">
        <v>1922.70321</v>
      </c>
      <c r="F23">
        <v>1921.58153</v>
      </c>
      <c r="G23">
        <v>5152.91824</v>
      </c>
      <c r="H23">
        <v>-0.9714</v>
      </c>
      <c r="I23">
        <v>0</v>
      </c>
      <c r="J23">
        <v>0</v>
      </c>
    </row>
    <row r="24" spans="1:10">
      <c r="A24" s="1">
        <v>2.69029692300004</v>
      </c>
      <c r="B24" t="s">
        <v>112</v>
      </c>
      <c r="C24" t="s">
        <v>88</v>
      </c>
      <c r="D24" t="s">
        <v>89</v>
      </c>
      <c r="E24">
        <v>3453.20136</v>
      </c>
      <c r="F24">
        <v>3452.14486</v>
      </c>
      <c r="G24">
        <v>7654.28943</v>
      </c>
      <c r="H24">
        <v>-0.91496</v>
      </c>
      <c r="I24">
        <v>0</v>
      </c>
      <c r="J24">
        <v>0</v>
      </c>
    </row>
    <row r="25" spans="1:1">
      <c r="A25">
        <v>2.35400980700005</v>
      </c>
    </row>
    <row r="26" spans="1:1">
      <c r="A26">
        <v>2.01772269100006</v>
      </c>
    </row>
  </sheetData>
  <pageMargins left="0.75" right="0.75" top="1" bottom="1" header="0.511805555555556" footer="0.511805555555556"/>
  <headerFooter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P30"/>
  <sheetViews>
    <sheetView zoomScale="115" zoomScaleNormal="115" topLeftCell="D15" workbookViewId="0">
      <selection activeCell="G1" sqref="G1"/>
    </sheetView>
  </sheetViews>
  <sheetFormatPr defaultColWidth="9" defaultRowHeight="15.75"/>
  <cols>
    <col min="1" max="1" width="19.625" customWidth="1"/>
    <col min="2" max="2" width="2.375" customWidth="1"/>
    <col min="3" max="3" width="11.5" customWidth="1"/>
    <col min="4" max="5" width="2.375" customWidth="1"/>
    <col min="6" max="6" width="11.5" customWidth="1"/>
    <col min="7" max="7" width="12.625"/>
    <col min="10" max="10" width="19.625" customWidth="1"/>
    <col min="11" max="11" width="4.375" customWidth="1"/>
    <col min="12" max="15" width="11.5" customWidth="1"/>
    <col min="16" max="16" width="12.625"/>
  </cols>
  <sheetData>
    <row r="1" spans="1:16">
      <c r="A1" t="s">
        <v>63</v>
      </c>
      <c r="B1">
        <v>0</v>
      </c>
      <c r="C1">
        <v>65.7508996</v>
      </c>
      <c r="D1">
        <v>0</v>
      </c>
      <c r="E1">
        <v>0</v>
      </c>
      <c r="F1">
        <v>65.7508996</v>
      </c>
      <c r="G1">
        <f>C1*1000/6.022140857E+23*6242000000000000000/32</f>
        <v>0.0212973013381394</v>
      </c>
      <c r="J1" t="s">
        <v>63</v>
      </c>
      <c r="K1">
        <v>300</v>
      </c>
      <c r="L1">
        <v>63.7234008</v>
      </c>
      <c r="M1">
        <v>19.9334864</v>
      </c>
      <c r="N1">
        <v>34.047158</v>
      </c>
      <c r="O1">
        <v>69.7034468</v>
      </c>
      <c r="P1">
        <f>L1*1000/6.022140857E+23*6242000000000000000/32</f>
        <v>0.0206405764390277</v>
      </c>
    </row>
    <row r="2" spans="1:16">
      <c r="A2" t="s">
        <v>64</v>
      </c>
      <c r="B2">
        <v>0</v>
      </c>
      <c r="C2">
        <v>65.8057994</v>
      </c>
      <c r="D2">
        <v>0</v>
      </c>
      <c r="E2">
        <v>0</v>
      </c>
      <c r="F2">
        <v>65.8057994</v>
      </c>
      <c r="G2">
        <f t="shared" ref="G2:G24" si="0">C2*1000/6.022140857E+23*6242000000000000000/32</f>
        <v>0.0213150838717795</v>
      </c>
      <c r="J2" t="s">
        <v>64</v>
      </c>
      <c r="K2">
        <v>300</v>
      </c>
      <c r="L2">
        <v>63.7884216</v>
      </c>
      <c r="M2">
        <v>19.8685204</v>
      </c>
      <c r="N2">
        <v>33.9884486</v>
      </c>
      <c r="O2">
        <v>69.7489777</v>
      </c>
      <c r="P2">
        <f t="shared" ref="P2:P17" si="1">L2*1000/6.022140857E+23*6242000000000000000/32</f>
        <v>0.02066163725461</v>
      </c>
    </row>
    <row r="3" spans="1:16">
      <c r="A3" t="s">
        <v>65</v>
      </c>
      <c r="B3">
        <v>0</v>
      </c>
      <c r="C3">
        <v>65.9180307</v>
      </c>
      <c r="D3">
        <v>0</v>
      </c>
      <c r="E3">
        <v>0</v>
      </c>
      <c r="F3">
        <v>65.9180307</v>
      </c>
      <c r="G3">
        <f t="shared" si="0"/>
        <v>0.0213514365883235</v>
      </c>
      <c r="J3" t="s">
        <v>65</v>
      </c>
      <c r="K3">
        <v>300</v>
      </c>
      <c r="L3">
        <v>63.889323</v>
      </c>
      <c r="M3">
        <v>19.9339896</v>
      </c>
      <c r="N3">
        <v>34.0566491</v>
      </c>
      <c r="O3">
        <v>69.8695199</v>
      </c>
      <c r="P3">
        <f t="shared" si="1"/>
        <v>0.0206943201157467</v>
      </c>
    </row>
    <row r="4" spans="1:16">
      <c r="A4" t="s">
        <v>66</v>
      </c>
      <c r="B4">
        <v>0</v>
      </c>
      <c r="C4">
        <v>65.9768675</v>
      </c>
      <c r="D4">
        <v>0</v>
      </c>
      <c r="E4">
        <v>0</v>
      </c>
      <c r="F4">
        <v>65.9768675</v>
      </c>
      <c r="G4">
        <f t="shared" si="0"/>
        <v>0.0213704943512894</v>
      </c>
      <c r="J4" t="s">
        <v>66</v>
      </c>
      <c r="K4">
        <v>300</v>
      </c>
      <c r="L4">
        <v>63.9729457</v>
      </c>
      <c r="M4">
        <v>19.8109338</v>
      </c>
      <c r="N4">
        <v>33.9994019</v>
      </c>
      <c r="O4">
        <v>69.9162258</v>
      </c>
      <c r="P4">
        <f t="shared" si="1"/>
        <v>0.0207214062522322</v>
      </c>
    </row>
    <row r="5" spans="1:16">
      <c r="A5" t="s">
        <v>67</v>
      </c>
      <c r="B5">
        <v>0</v>
      </c>
      <c r="C5">
        <v>66.023136</v>
      </c>
      <c r="D5">
        <v>0</v>
      </c>
      <c r="E5">
        <v>0</v>
      </c>
      <c r="F5">
        <v>66.023136</v>
      </c>
      <c r="G5">
        <f t="shared" si="0"/>
        <v>0.0213854811300705</v>
      </c>
      <c r="J5" t="s">
        <v>67</v>
      </c>
      <c r="K5">
        <v>300</v>
      </c>
      <c r="L5">
        <v>63.9763159</v>
      </c>
      <c r="M5">
        <v>20.0111502</v>
      </c>
      <c r="N5">
        <v>34.0477993</v>
      </c>
      <c r="O5">
        <v>69.979661</v>
      </c>
      <c r="P5">
        <f t="shared" si="1"/>
        <v>0.0207224978899954</v>
      </c>
    </row>
    <row r="6" spans="1:16">
      <c r="A6" t="s">
        <v>68</v>
      </c>
      <c r="B6">
        <v>0</v>
      </c>
      <c r="C6">
        <v>66.1439024</v>
      </c>
      <c r="D6">
        <v>0</v>
      </c>
      <c r="E6">
        <v>0</v>
      </c>
      <c r="F6">
        <v>66.1439024</v>
      </c>
      <c r="G6">
        <f t="shared" si="0"/>
        <v>0.0214245984414376</v>
      </c>
      <c r="J6" t="s">
        <v>68</v>
      </c>
      <c r="K6">
        <v>300</v>
      </c>
      <c r="L6">
        <v>64.1202584</v>
      </c>
      <c r="M6">
        <v>19.8936167</v>
      </c>
      <c r="N6">
        <v>34.0201439</v>
      </c>
      <c r="O6">
        <v>70.0883434</v>
      </c>
      <c r="P6">
        <f t="shared" si="1"/>
        <v>0.0207691221463404</v>
      </c>
    </row>
    <row r="7" spans="1:16">
      <c r="A7" t="s">
        <v>69</v>
      </c>
      <c r="B7">
        <v>0</v>
      </c>
      <c r="C7">
        <v>66.1964983</v>
      </c>
      <c r="D7">
        <v>0</v>
      </c>
      <c r="E7">
        <v>0</v>
      </c>
      <c r="F7">
        <v>66.1964983</v>
      </c>
      <c r="G7">
        <f t="shared" si="0"/>
        <v>0.0214416347213709</v>
      </c>
      <c r="J7" t="s">
        <v>69</v>
      </c>
      <c r="K7">
        <v>300</v>
      </c>
      <c r="L7">
        <v>64.2067807</v>
      </c>
      <c r="M7">
        <v>19.736629</v>
      </c>
      <c r="N7">
        <v>33.993308</v>
      </c>
      <c r="O7">
        <v>70.1277694</v>
      </c>
      <c r="P7">
        <f t="shared" si="1"/>
        <v>0.0207971474890624</v>
      </c>
    </row>
    <row r="8" spans="1:16">
      <c r="A8" t="s">
        <v>70</v>
      </c>
      <c r="B8">
        <v>0</v>
      </c>
      <c r="C8">
        <v>66.3030284</v>
      </c>
      <c r="D8">
        <v>0</v>
      </c>
      <c r="E8">
        <v>0</v>
      </c>
      <c r="F8">
        <v>66.3030284</v>
      </c>
      <c r="G8">
        <f t="shared" si="0"/>
        <v>0.0214761407685137</v>
      </c>
      <c r="J8" t="s">
        <v>70</v>
      </c>
      <c r="K8">
        <v>300</v>
      </c>
      <c r="L8">
        <v>64.28885</v>
      </c>
      <c r="M8">
        <v>19.8390554</v>
      </c>
      <c r="N8">
        <v>34.0238996</v>
      </c>
      <c r="O8">
        <v>70.2405666</v>
      </c>
      <c r="P8">
        <f t="shared" si="1"/>
        <v>0.0208237304654679</v>
      </c>
    </row>
    <row r="9" spans="1:16">
      <c r="A9" t="s">
        <v>71</v>
      </c>
      <c r="B9">
        <v>0</v>
      </c>
      <c r="C9">
        <v>66.3622514</v>
      </c>
      <c r="D9">
        <v>0</v>
      </c>
      <c r="E9">
        <v>0</v>
      </c>
      <c r="F9">
        <v>66.3622514</v>
      </c>
      <c r="G9">
        <f t="shared" si="0"/>
        <v>0.0214953236250955</v>
      </c>
      <c r="J9" t="s">
        <v>71</v>
      </c>
      <c r="K9">
        <v>300</v>
      </c>
      <c r="L9">
        <v>64.3506109</v>
      </c>
      <c r="M9">
        <v>19.7995072</v>
      </c>
      <c r="N9">
        <v>34.0021078</v>
      </c>
      <c r="O9">
        <v>70.2904631</v>
      </c>
      <c r="P9">
        <f t="shared" si="1"/>
        <v>0.0208437353704383</v>
      </c>
    </row>
    <row r="10" spans="1:16">
      <c r="A10" t="s">
        <v>72</v>
      </c>
      <c r="B10">
        <v>0</v>
      </c>
      <c r="C10">
        <v>66.3907412</v>
      </c>
      <c r="D10">
        <v>0</v>
      </c>
      <c r="E10">
        <v>0</v>
      </c>
      <c r="F10">
        <v>66.3907412</v>
      </c>
      <c r="G10">
        <f t="shared" si="0"/>
        <v>0.0215045517247771</v>
      </c>
      <c r="J10" t="s">
        <v>72</v>
      </c>
      <c r="K10">
        <v>300</v>
      </c>
      <c r="L10">
        <v>64.410948</v>
      </c>
      <c r="M10">
        <v>19.6543974</v>
      </c>
      <c r="N10">
        <v>33.9730094</v>
      </c>
      <c r="O10">
        <v>70.3072673</v>
      </c>
      <c r="P10">
        <f t="shared" si="1"/>
        <v>0.0208632790939217</v>
      </c>
    </row>
    <row r="11" spans="1:16">
      <c r="A11" t="s">
        <v>73</v>
      </c>
      <c r="B11">
        <v>0</v>
      </c>
      <c r="C11">
        <v>66.4568539</v>
      </c>
      <c r="D11">
        <v>0</v>
      </c>
      <c r="E11">
        <v>0</v>
      </c>
      <c r="F11">
        <v>66.4568539</v>
      </c>
      <c r="G11">
        <f t="shared" si="0"/>
        <v>0.0215259662164836</v>
      </c>
      <c r="J11" t="s">
        <v>73</v>
      </c>
      <c r="K11">
        <v>300</v>
      </c>
      <c r="L11">
        <v>64.4584079</v>
      </c>
      <c r="M11">
        <v>19.7159907</v>
      </c>
      <c r="N11">
        <v>33.961207</v>
      </c>
      <c r="O11">
        <v>70.3732051</v>
      </c>
      <c r="P11">
        <f t="shared" si="1"/>
        <v>0.0208786517777622</v>
      </c>
    </row>
    <row r="12" spans="1:16">
      <c r="A12" t="s">
        <v>74</v>
      </c>
      <c r="B12">
        <v>0</v>
      </c>
      <c r="C12">
        <v>66.5169289</v>
      </c>
      <c r="D12">
        <v>0</v>
      </c>
      <c r="E12">
        <v>0</v>
      </c>
      <c r="F12">
        <v>66.5169289</v>
      </c>
      <c r="G12">
        <f t="shared" si="0"/>
        <v>0.0215454250434452</v>
      </c>
      <c r="J12" t="s">
        <v>74</v>
      </c>
      <c r="K12">
        <v>300</v>
      </c>
      <c r="L12">
        <v>64.5723638</v>
      </c>
      <c r="M12">
        <v>19.4696597</v>
      </c>
      <c r="N12">
        <v>33.9155843</v>
      </c>
      <c r="O12">
        <v>70.4132617</v>
      </c>
      <c r="P12">
        <f t="shared" si="1"/>
        <v>0.0209155631075892</v>
      </c>
    </row>
    <row r="13" spans="1:16">
      <c r="A13" t="s">
        <v>75</v>
      </c>
      <c r="B13">
        <v>0</v>
      </c>
      <c r="C13">
        <v>66.5605541</v>
      </c>
      <c r="D13">
        <v>0</v>
      </c>
      <c r="E13">
        <v>0</v>
      </c>
      <c r="F13">
        <v>66.5605541</v>
      </c>
      <c r="G13">
        <f t="shared" si="0"/>
        <v>0.02155955563384</v>
      </c>
      <c r="J13" t="s">
        <v>75</v>
      </c>
      <c r="K13">
        <v>300</v>
      </c>
      <c r="L13">
        <v>64.6450548</v>
      </c>
      <c r="M13">
        <v>19.3094941</v>
      </c>
      <c r="N13">
        <v>33.8717367</v>
      </c>
      <c r="O13">
        <v>70.437903</v>
      </c>
      <c r="P13">
        <f t="shared" si="1"/>
        <v>0.02093910836919</v>
      </c>
    </row>
    <row r="14" spans="1:16">
      <c r="A14" t="s">
        <v>76</v>
      </c>
      <c r="B14">
        <v>0</v>
      </c>
      <c r="C14">
        <v>66.6108111</v>
      </c>
      <c r="D14">
        <v>0</v>
      </c>
      <c r="E14">
        <v>0</v>
      </c>
      <c r="F14">
        <v>66.6108111</v>
      </c>
      <c r="G14">
        <f t="shared" si="0"/>
        <v>0.0215758343232551</v>
      </c>
      <c r="J14" t="s">
        <v>76</v>
      </c>
      <c r="K14">
        <v>300</v>
      </c>
      <c r="L14">
        <v>64.7171183</v>
      </c>
      <c r="M14">
        <v>19.1794315</v>
      </c>
      <c r="N14">
        <v>33.8226015</v>
      </c>
      <c r="O14">
        <v>70.4709478</v>
      </c>
      <c r="P14">
        <f t="shared" si="1"/>
        <v>0.0209624503779583</v>
      </c>
    </row>
    <row r="15" spans="1:16">
      <c r="A15" t="s">
        <v>77</v>
      </c>
      <c r="B15">
        <v>0</v>
      </c>
      <c r="C15">
        <v>66.6538676</v>
      </c>
      <c r="D15">
        <v>0</v>
      </c>
      <c r="E15">
        <v>0</v>
      </c>
      <c r="F15">
        <v>66.6538676</v>
      </c>
      <c r="G15">
        <f t="shared" si="0"/>
        <v>0.0215897807066604</v>
      </c>
      <c r="J15" t="s">
        <v>77</v>
      </c>
      <c r="K15">
        <v>300</v>
      </c>
      <c r="L15">
        <v>64.7295185</v>
      </c>
      <c r="M15">
        <v>19.2746551</v>
      </c>
      <c r="N15">
        <v>33.826004</v>
      </c>
      <c r="O15">
        <v>70.511915</v>
      </c>
      <c r="P15">
        <f t="shared" si="1"/>
        <v>0.0209664669130575</v>
      </c>
    </row>
    <row r="16" spans="1:16">
      <c r="A16" t="s">
        <v>78</v>
      </c>
      <c r="B16">
        <v>0</v>
      </c>
      <c r="C16">
        <v>19.021884</v>
      </c>
      <c r="D16">
        <v>0</v>
      </c>
      <c r="E16">
        <v>0</v>
      </c>
      <c r="F16">
        <v>19.021884</v>
      </c>
      <c r="G16">
        <f t="shared" si="0"/>
        <v>0.00616135745718576</v>
      </c>
      <c r="J16" t="s">
        <v>78</v>
      </c>
      <c r="K16">
        <v>300</v>
      </c>
      <c r="L16">
        <v>14.2547946</v>
      </c>
      <c r="M16">
        <v>38.1453746</v>
      </c>
      <c r="N16">
        <v>45.0102034</v>
      </c>
      <c r="O16">
        <v>25.6984069</v>
      </c>
      <c r="P16">
        <f t="shared" si="1"/>
        <v>0.00461725478976537</v>
      </c>
    </row>
    <row r="17" spans="1:16">
      <c r="A17" t="s">
        <v>79</v>
      </c>
      <c r="B17">
        <v>0</v>
      </c>
      <c r="C17">
        <v>19.8244049</v>
      </c>
      <c r="D17">
        <v>0</v>
      </c>
      <c r="E17">
        <v>0</v>
      </c>
      <c r="F17">
        <v>19.8244049</v>
      </c>
      <c r="G17">
        <f t="shared" si="0"/>
        <v>0.00642130111638179</v>
      </c>
      <c r="J17" t="s">
        <v>79</v>
      </c>
      <c r="K17">
        <v>300</v>
      </c>
      <c r="L17">
        <v>15.5598885</v>
      </c>
      <c r="M17">
        <v>35.6441786</v>
      </c>
      <c r="N17">
        <v>44.8267245</v>
      </c>
      <c r="O17">
        <v>26.2531421</v>
      </c>
      <c r="P17">
        <f t="shared" si="1"/>
        <v>0.00503998631483895</v>
      </c>
    </row>
    <row r="18" spans="1:16">
      <c r="A18" t="s">
        <v>80</v>
      </c>
      <c r="B18">
        <v>0</v>
      </c>
      <c r="C18">
        <v>20.6528422</v>
      </c>
      <c r="D18">
        <v>0</v>
      </c>
      <c r="E18">
        <v>0</v>
      </c>
      <c r="F18">
        <v>20.6528422</v>
      </c>
      <c r="G18">
        <f t="shared" si="0"/>
        <v>0.00668963932810497</v>
      </c>
      <c r="J18" t="s">
        <v>80</v>
      </c>
      <c r="K18">
        <v>300</v>
      </c>
      <c r="L18">
        <v>16.9532152</v>
      </c>
      <c r="M18">
        <v>32.8230843</v>
      </c>
      <c r="N18">
        <v>44.4775925</v>
      </c>
      <c r="O18">
        <v>26.8001405</v>
      </c>
      <c r="P18">
        <f t="shared" ref="P18:P24" si="2">M18*1000/6.022140857E+23*6242000000000000000/32</f>
        <v>0.0106316890177462</v>
      </c>
    </row>
    <row r="19" spans="1:16">
      <c r="A19" t="s">
        <v>81</v>
      </c>
      <c r="B19">
        <v>0</v>
      </c>
      <c r="C19">
        <v>22.308639</v>
      </c>
      <c r="D19">
        <v>0</v>
      </c>
      <c r="E19">
        <v>0</v>
      </c>
      <c r="F19">
        <v>22.308639</v>
      </c>
      <c r="G19">
        <f t="shared" si="0"/>
        <v>0.00722596664254261</v>
      </c>
      <c r="J19" t="s">
        <v>81</v>
      </c>
      <c r="K19">
        <v>300</v>
      </c>
      <c r="L19">
        <v>19.1544571</v>
      </c>
      <c r="M19">
        <v>30.1500898</v>
      </c>
      <c r="N19">
        <v>45.2251133</v>
      </c>
      <c r="O19">
        <v>28.199484</v>
      </c>
      <c r="P19">
        <f t="shared" si="2"/>
        <v>0.00976588231870462</v>
      </c>
    </row>
    <row r="20" spans="1:16">
      <c r="A20" t="s">
        <v>82</v>
      </c>
      <c r="B20">
        <v>0</v>
      </c>
      <c r="C20">
        <v>22.395319</v>
      </c>
      <c r="D20">
        <v>0</v>
      </c>
      <c r="E20">
        <v>0</v>
      </c>
      <c r="F20">
        <v>22.395319</v>
      </c>
      <c r="G20">
        <f t="shared" si="0"/>
        <v>0.00725404306569759</v>
      </c>
      <c r="J20" t="s">
        <v>82</v>
      </c>
      <c r="K20">
        <v>300</v>
      </c>
      <c r="L20">
        <v>18.8871578</v>
      </c>
      <c r="M20">
        <v>32.3733756</v>
      </c>
      <c r="N20">
        <v>46.3952855</v>
      </c>
      <c r="O20">
        <v>28.5991705</v>
      </c>
      <c r="P20">
        <f t="shared" si="2"/>
        <v>0.0104860243689498</v>
      </c>
    </row>
    <row r="21" spans="1:16">
      <c r="A21" t="s">
        <v>83</v>
      </c>
      <c r="B21">
        <v>0</v>
      </c>
      <c r="C21">
        <v>22.395319</v>
      </c>
      <c r="D21">
        <v>0</v>
      </c>
      <c r="E21">
        <v>0</v>
      </c>
      <c r="F21">
        <v>22.395319</v>
      </c>
      <c r="G21">
        <f t="shared" si="0"/>
        <v>0.00725404306569759</v>
      </c>
      <c r="J21" t="s">
        <v>83</v>
      </c>
      <c r="K21">
        <v>300</v>
      </c>
      <c r="L21">
        <v>18.8871578</v>
      </c>
      <c r="M21">
        <v>32.3733756</v>
      </c>
      <c r="N21">
        <v>46.3952855</v>
      </c>
      <c r="O21">
        <v>28.5991705</v>
      </c>
      <c r="P21">
        <f t="shared" si="2"/>
        <v>0.0104860243689498</v>
      </c>
    </row>
    <row r="22" spans="1:16">
      <c r="A22" t="s">
        <v>84</v>
      </c>
      <c r="B22">
        <v>0</v>
      </c>
      <c r="C22">
        <v>22.395319</v>
      </c>
      <c r="D22">
        <v>0</v>
      </c>
      <c r="E22">
        <v>0</v>
      </c>
      <c r="F22">
        <v>22.395319</v>
      </c>
      <c r="G22">
        <f t="shared" si="0"/>
        <v>0.00725404306569759</v>
      </c>
      <c r="J22" t="s">
        <v>84</v>
      </c>
      <c r="K22">
        <v>300</v>
      </c>
      <c r="L22">
        <v>18.8871578</v>
      </c>
      <c r="M22">
        <v>32.3733756</v>
      </c>
      <c r="N22">
        <v>46.3952855</v>
      </c>
      <c r="O22">
        <v>28.5991705</v>
      </c>
      <c r="P22">
        <f t="shared" si="2"/>
        <v>0.0104860243689498</v>
      </c>
    </row>
    <row r="23" spans="1:16">
      <c r="A23" t="s">
        <v>85</v>
      </c>
      <c r="B23">
        <v>0</v>
      </c>
      <c r="C23">
        <v>22.395319</v>
      </c>
      <c r="D23">
        <v>0</v>
      </c>
      <c r="E23">
        <v>0</v>
      </c>
      <c r="F23">
        <v>22.395319</v>
      </c>
      <c r="G23">
        <f t="shared" si="0"/>
        <v>0.00725404306569759</v>
      </c>
      <c r="J23" t="s">
        <v>85</v>
      </c>
      <c r="K23">
        <v>300</v>
      </c>
      <c r="L23">
        <v>18.8871578</v>
      </c>
      <c r="M23">
        <v>32.3733756</v>
      </c>
      <c r="N23">
        <v>46.3952855</v>
      </c>
      <c r="O23">
        <v>28.5991705</v>
      </c>
      <c r="P23">
        <f t="shared" si="2"/>
        <v>0.0104860243689498</v>
      </c>
    </row>
    <row r="24" spans="1:16">
      <c r="A24" t="s">
        <v>86</v>
      </c>
      <c r="B24">
        <v>0</v>
      </c>
      <c r="C24">
        <v>22.395319</v>
      </c>
      <c r="D24">
        <v>0</v>
      </c>
      <c r="E24">
        <v>0</v>
      </c>
      <c r="F24">
        <v>22.395319</v>
      </c>
      <c r="G24">
        <f t="shared" si="0"/>
        <v>0.00725404306569759</v>
      </c>
      <c r="J24" t="s">
        <v>86</v>
      </c>
      <c r="K24">
        <v>300</v>
      </c>
      <c r="L24">
        <v>18.8871578</v>
      </c>
      <c r="M24">
        <v>32.3733756</v>
      </c>
      <c r="N24">
        <v>46.3952855</v>
      </c>
      <c r="O24">
        <v>28.5991705</v>
      </c>
      <c r="P24">
        <f t="shared" si="2"/>
        <v>0.0104860243689498</v>
      </c>
    </row>
    <row r="25" spans="1:15">
      <c r="A25" t="s">
        <v>113</v>
      </c>
      <c r="B25">
        <v>0</v>
      </c>
      <c r="C25">
        <v>22.395319</v>
      </c>
      <c r="D25">
        <v>0</v>
      </c>
      <c r="E25">
        <v>0</v>
      </c>
      <c r="F25">
        <v>22.395319</v>
      </c>
      <c r="J25" t="s">
        <v>113</v>
      </c>
      <c r="K25">
        <v>300</v>
      </c>
      <c r="L25">
        <v>18.8871578</v>
      </c>
      <c r="M25">
        <v>32.3733756</v>
      </c>
      <c r="N25">
        <v>46.3952855</v>
      </c>
      <c r="O25">
        <v>28.5991705</v>
      </c>
    </row>
    <row r="26" spans="1:15">
      <c r="A26" t="s">
        <v>114</v>
      </c>
      <c r="B26">
        <v>0</v>
      </c>
      <c r="C26">
        <v>22.395319</v>
      </c>
      <c r="D26">
        <v>0</v>
      </c>
      <c r="E26">
        <v>0</v>
      </c>
      <c r="F26">
        <v>22.395319</v>
      </c>
      <c r="J26" t="s">
        <v>114</v>
      </c>
      <c r="K26">
        <v>300</v>
      </c>
      <c r="L26">
        <v>18.8871578</v>
      </c>
      <c r="M26">
        <v>32.3733756</v>
      </c>
      <c r="N26">
        <v>46.3952855</v>
      </c>
      <c r="O26">
        <v>28.5991705</v>
      </c>
    </row>
    <row r="27" spans="1:15">
      <c r="A27" t="s">
        <v>115</v>
      </c>
      <c r="B27">
        <v>0</v>
      </c>
      <c r="C27">
        <v>72.8132429</v>
      </c>
      <c r="D27">
        <v>0</v>
      </c>
      <c r="E27">
        <v>0</v>
      </c>
      <c r="F27">
        <v>72.8132429</v>
      </c>
      <c r="J27" t="s">
        <v>115</v>
      </c>
      <c r="K27">
        <v>300</v>
      </c>
      <c r="L27">
        <v>71.0180254</v>
      </c>
      <c r="M27">
        <v>16.2603954</v>
      </c>
      <c r="N27">
        <v>25.8250935</v>
      </c>
      <c r="O27">
        <v>75.896144</v>
      </c>
    </row>
    <row r="28" spans="1:15">
      <c r="A28" t="s">
        <v>116</v>
      </c>
      <c r="B28">
        <v>0</v>
      </c>
      <c r="C28">
        <v>16.0294562</v>
      </c>
      <c r="D28">
        <v>0</v>
      </c>
      <c r="E28">
        <v>0</v>
      </c>
      <c r="F28">
        <v>16.0294562</v>
      </c>
      <c r="J28" t="s">
        <v>116</v>
      </c>
      <c r="K28">
        <v>300</v>
      </c>
      <c r="L28">
        <v>13.2563391</v>
      </c>
      <c r="M28">
        <v>24.6106522</v>
      </c>
      <c r="N28">
        <v>34.4262135</v>
      </c>
      <c r="O28">
        <v>20.6395348</v>
      </c>
    </row>
    <row r="29" spans="1:15">
      <c r="A29" t="s">
        <v>117</v>
      </c>
      <c r="B29">
        <v>0</v>
      </c>
      <c r="C29">
        <v>17.5375936</v>
      </c>
      <c r="D29">
        <v>0</v>
      </c>
      <c r="E29">
        <v>0</v>
      </c>
      <c r="F29">
        <v>17.5375936</v>
      </c>
      <c r="J29" t="s">
        <v>117</v>
      </c>
      <c r="K29">
        <v>300</v>
      </c>
      <c r="L29">
        <v>13.380823</v>
      </c>
      <c r="M29">
        <v>33.6195577</v>
      </c>
      <c r="N29">
        <v>40.629946</v>
      </c>
      <c r="O29">
        <v>23.4666903</v>
      </c>
    </row>
    <row r="30" spans="1:15">
      <c r="A30" t="s">
        <v>118</v>
      </c>
      <c r="B30">
        <v>0</v>
      </c>
      <c r="C30">
        <v>18.1291886</v>
      </c>
      <c r="D30">
        <v>0</v>
      </c>
      <c r="E30">
        <v>0</v>
      </c>
      <c r="F30">
        <v>18.1291886</v>
      </c>
      <c r="J30" t="s">
        <v>118</v>
      </c>
      <c r="K30">
        <v>300</v>
      </c>
      <c r="L30">
        <v>13.7939275</v>
      </c>
      <c r="M30">
        <v>34.8179454</v>
      </c>
      <c r="N30">
        <v>41.8937252</v>
      </c>
      <c r="O30">
        <v>24.2393111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data11</vt:lpstr>
      <vt:lpstr>data12</vt:lpstr>
      <vt:lpstr>Sheet1</vt:lpstr>
      <vt:lpstr>Sheet2</vt:lpstr>
      <vt:lpstr>phonopy</vt:lpstr>
      <vt:lpstr>Sheet4</vt:lpstr>
      <vt:lpstr>Sheet5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2016-08-22T02:54:00Z</dcterms:created>
  <dcterms:modified xsi:type="dcterms:W3CDTF">2016-09-14T02:50:58Z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1033-10.1.0.5674</vt:lpwstr>
  </property>
</Properties>
</file>