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95" tabRatio="500" activeTab="1"/>
  </bookViews>
  <sheets>
    <sheet name="data11" sheetId="1" r:id="rId1"/>
    <sheet name="data12" sheetId="2" r:id="rId2"/>
    <sheet name="Sheet1" sheetId="3" r:id="rId3"/>
    <sheet name="Sheet2" sheetId="4" r:id="rId4"/>
    <sheet name="phonopy" sheetId="5" r:id="rId5"/>
    <sheet name="Sheet4" sheetId="6" r:id="rId6"/>
    <sheet name="Sheet5" sheetId="7" r:id="rId7"/>
    <sheet name="Sheet3" sheetId="8" r:id="rId8"/>
  </sheets>
  <definedNames>
    <definedName name="ExternalData_1" localSheetId="2">Sheet1!$A$1:$I$24</definedName>
    <definedName name="ExternalData_1" localSheetId="3">Sheet2!$A$1:$I$24</definedName>
    <definedName name="ExternalData_1" localSheetId="4">phonopy!$A$1:$F$24</definedName>
    <definedName name="ExternalData_1" localSheetId="6">Sheet5!$B$1:$J$24</definedName>
    <definedName name="ExternalData_1" localSheetId="5">Sheet4!$A$1:$I$24</definedName>
    <definedName name="ExternalData_2" localSheetId="5">Sheet4!$K$1:$S$24</definedName>
    <definedName name="ExternalData_1" localSheetId="7">Sheet3!$A$1:$F$24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F:\William\PV0c\tmp.txt" space="1" consecutive="1">
      <textFields>
        <textField/>
      </textFields>
    </textPr>
  </connection>
  <connection id="2" name="tmp1" type="6" background="1" refreshedVersion="2" saveData="1">
    <textPr sourceFile="F:\William\PBE3\tmp.txt" space="1" consecutive="1">
      <textFields>
        <textField/>
      </textFields>
    </textPr>
  </connection>
  <connection id="3" name="tmp2" type="6" background="1" refreshedVersion="2" saveData="1">
    <textPr sourceFile="F:\William\PV0c\tmp.txt" space="1" consecutive="1">
      <textFields>
        <textField/>
      </textFields>
    </textPr>
  </connection>
  <connection id="4" name="tmpp" type="6" background="1" refreshedVersion="2" saveData="1">
    <textPr sourceFile="F:\William\PV0c\tmp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" type="6" background="1" refreshedVersion="2" saveData="1">
    <textPr sourceFile="F:\William\PV0c\tmpt.txt" space="1" consecutive="1">
      <textFields>
        <textField/>
      </textFields>
    </textPr>
  </connection>
  <connection id="7" name="tmpt1" type="6" background="1" refreshedVersion="2" saveData="1">
    <textPr sourceFile="F:\William\PV0c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<sst xmlns="http://schemas.openxmlformats.org/spreadsheetml/2006/main" count="108">
  <si>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</si>
  <si>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</si>
  <si>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</si>
  <si>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</si>
  <si>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</si>
  <si>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</si>
  <si>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</si>
  <si>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</si>
  <si>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</si>
  <si>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</si>
  <si>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</si>
  <si>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</si>
  <si>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</si>
  <si>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</si>
  <si>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</si>
  <si>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</si>
  <si>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</si>
  <si>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</si>
  <si>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</si>
  <si>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</si>
  <si>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</si>
  <si>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</si>
  <si>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</si>
  <si>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</si>
  <si>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</si>
  <si>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</si>
  <si>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</si>
  <si>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</si>
  <si>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</si>
  <si>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</si>
  <si>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zz(stress GPa)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</si>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</sst>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NumberFormat="1" applyFont="1" applyFill="1" applyAlignment="1"/>
    <xf numFmtId="0" fontId="1" fillId="0" borderId="0" xfId="0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02451987"/>
        <c:axId val="457970784"/>
      </c:scatterChart>
      <c:valAx>
        <c:axId val="802451987"/>
        <c:scaling>
          <c:orientation val="minMax"/>
          <c:max val="9"/>
          <c:min val="6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970784"/>
        <c:crosses val="autoZero"/>
        <c:crossBetween val="midCat"/>
      </c:valAx>
      <c:valAx>
        <c:axId val="457970784"/>
        <c:scaling>
          <c:orientation val="minMax"/>
          <c:max val="100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519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56782555"/>
        <c:axId val="704716845"/>
      </c:scatterChart>
      <c:valAx>
        <c:axId val="256782555"/>
        <c:scaling>
          <c:orientation val="minMax"/>
          <c:max val="7"/>
          <c:min val="6.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716845"/>
        <c:crosses val="autoZero"/>
        <c:crossBetween val="midCat"/>
        <c:majorUnit val="0.05"/>
      </c:valAx>
      <c:valAx>
        <c:axId val="704716845"/>
        <c:scaling>
          <c:orientation val="minMax"/>
          <c:max val="5"/>
          <c:min val="-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7825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73011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828165" y="716280"/>
        <a:ext cx="6452870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6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workbookViewId="0">
      <selection activeCell="B9" sqref="B9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7" max="10" width="12.625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10">
      <c r="A2" t="s">
        <v>4</v>
      </c>
      <c r="B2">
        <v>7.19654427431108</v>
      </c>
      <c r="I2">
        <v>1.07</v>
      </c>
      <c r="J2">
        <f>6.72574231244026*I2</f>
        <v>7.19654427431108</v>
      </c>
    </row>
    <row r="3" spans="1:10">
      <c r="A3" t="s">
        <v>5</v>
      </c>
      <c r="B3">
        <v>7.12928685118668</v>
      </c>
      <c r="I3">
        <v>1.06</v>
      </c>
      <c r="J3">
        <f>6.72574231244026*I3</f>
        <v>7.12928685118668</v>
      </c>
    </row>
    <row r="4" spans="1:10">
      <c r="A4" t="s">
        <v>6</v>
      </c>
      <c r="B4">
        <v>7.06202942806227</v>
      </c>
      <c r="C4">
        <v>-9.305298</v>
      </c>
      <c r="D4" s="1">
        <f>C4+E4</f>
        <v>-9.28401399136472</v>
      </c>
      <c r="E4" s="1">
        <v>0.0212840086352783</v>
      </c>
      <c r="G4">
        <f>6.72574231244026*2</f>
        <v>13.4514846248805</v>
      </c>
      <c r="I4">
        <v>1.05</v>
      </c>
      <c r="J4">
        <f>6.72574231244026*I4</f>
        <v>7.06202942806227</v>
      </c>
    </row>
    <row r="5" spans="1:10">
      <c r="A5" t="s">
        <v>7</v>
      </c>
      <c r="B5">
        <v>6.99477200493787</v>
      </c>
      <c r="C5">
        <v>-9.30541825</v>
      </c>
      <c r="D5" s="1">
        <f t="shared" ref="D5:D14" si="0">C5+E5</f>
        <v>-9.28414069068237</v>
      </c>
      <c r="E5" s="1">
        <v>0.0212775593176295</v>
      </c>
      <c r="I5">
        <v>1.04</v>
      </c>
      <c r="J5">
        <f t="shared" ref="J5:J16" si="1">6.72574231244026*I5</f>
        <v>6.99477200493787</v>
      </c>
    </row>
    <row r="6" spans="1:10">
      <c r="A6" t="s">
        <v>8</v>
      </c>
      <c r="B6">
        <v>6.92751458181347</v>
      </c>
      <c r="C6">
        <v>-9.305416</v>
      </c>
      <c r="D6" s="1">
        <f t="shared" si="0"/>
        <v>-9.2841141355305</v>
      </c>
      <c r="E6">
        <v>0.0213018644695016</v>
      </c>
      <c r="I6">
        <v>1.03</v>
      </c>
      <c r="J6">
        <f t="shared" si="1"/>
        <v>6.92751458181347</v>
      </c>
    </row>
    <row r="7" spans="1:10">
      <c r="A7" t="s">
        <v>9</v>
      </c>
      <c r="B7">
        <v>6.86025715868907</v>
      </c>
      <c r="C7">
        <v>-9.305258</v>
      </c>
      <c r="D7" s="1">
        <f t="shared" si="0"/>
        <v>-9.28394005617462</v>
      </c>
      <c r="E7" s="1">
        <v>0.0213179438253818</v>
      </c>
      <c r="I7">
        <v>1.02</v>
      </c>
      <c r="J7">
        <f t="shared" si="1"/>
        <v>6.86025715868907</v>
      </c>
    </row>
    <row r="8" spans="1:10">
      <c r="A8" t="s">
        <v>10</v>
      </c>
      <c r="B8">
        <v>6.79299973556466</v>
      </c>
      <c r="C8">
        <v>-9.30494375</v>
      </c>
      <c r="D8" s="1">
        <f t="shared" si="0"/>
        <v>-9.28360454025992</v>
      </c>
      <c r="E8">
        <v>0.0213392097400774</v>
      </c>
      <c r="I8">
        <v>1.01</v>
      </c>
      <c r="J8">
        <f t="shared" si="1"/>
        <v>6.79299973556466</v>
      </c>
    </row>
    <row r="9" spans="1:10">
      <c r="A9" t="s">
        <v>11</v>
      </c>
      <c r="B9">
        <v>6.72574231244026</v>
      </c>
      <c r="C9">
        <v>-9.30443575</v>
      </c>
      <c r="D9" s="1">
        <f t="shared" si="0"/>
        <v>-9.28085089283634</v>
      </c>
      <c r="E9" s="1">
        <v>0.0235848571636644</v>
      </c>
      <c r="G9">
        <v>1</v>
      </c>
      <c r="H9">
        <f>6.72574231244026*G9</f>
        <v>6.72574231244026</v>
      </c>
      <c r="I9">
        <v>1</v>
      </c>
      <c r="J9">
        <f t="shared" si="1"/>
        <v>6.72574231244026</v>
      </c>
    </row>
    <row r="10" spans="1:10">
      <c r="A10" t="s">
        <v>12</v>
      </c>
      <c r="B10">
        <v>6.65848488931586</v>
      </c>
      <c r="C10">
        <v>-9.303711</v>
      </c>
      <c r="D10" s="1">
        <f t="shared" si="0"/>
        <v>-9.303711</v>
      </c>
      <c r="E10" s="1">
        <v>0</v>
      </c>
      <c r="I10">
        <v>0.99</v>
      </c>
      <c r="J10">
        <f t="shared" si="1"/>
        <v>6.65848488931586</v>
      </c>
    </row>
    <row r="11" spans="1:10">
      <c r="A11" t="s">
        <v>13</v>
      </c>
      <c r="B11">
        <v>6.59122746619145</v>
      </c>
      <c r="C11">
        <v>-9.3027445</v>
      </c>
      <c r="D11" s="1">
        <f t="shared" si="0"/>
        <v>-9.3027445</v>
      </c>
      <c r="E11" s="1">
        <v>0</v>
      </c>
      <c r="I11">
        <v>0.98</v>
      </c>
      <c r="J11">
        <f t="shared" si="1"/>
        <v>6.59122746619145</v>
      </c>
    </row>
    <row r="12" spans="1:10">
      <c r="A12" t="s">
        <v>14</v>
      </c>
      <c r="B12">
        <v>6.52397004306705</v>
      </c>
      <c r="C12">
        <v>-9.30149675</v>
      </c>
      <c r="D12" s="1">
        <f t="shared" si="0"/>
        <v>-9.30149675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15</v>
      </c>
      <c r="B13">
        <v>6.45671261994265</v>
      </c>
      <c r="C13">
        <v>-9.29993175</v>
      </c>
      <c r="D13" s="1">
        <f t="shared" si="0"/>
        <v>-9.29993175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16</v>
      </c>
      <c r="B14">
        <v>6.38945519681825</v>
      </c>
      <c r="C14">
        <v>-9.2980065</v>
      </c>
      <c r="D14" s="1">
        <f t="shared" si="0"/>
        <v>-9.2765447062902</v>
      </c>
      <c r="E14" s="1">
        <v>0.0214617937098034</v>
      </c>
      <c r="G14">
        <v>0.95</v>
      </c>
      <c r="H14">
        <f t="shared" ref="H14:H25" si="2">6.72574231244026*G14</f>
        <v>6.38945519681825</v>
      </c>
      <c r="I14">
        <v>0.95</v>
      </c>
      <c r="J14">
        <f t="shared" si="1"/>
        <v>6.38945519681825</v>
      </c>
    </row>
    <row r="15" spans="1:10">
      <c r="A15" t="s">
        <v>17</v>
      </c>
      <c r="B15">
        <v>6.32219777369384</v>
      </c>
      <c r="G15">
        <v>0.9</v>
      </c>
      <c r="H15">
        <f t="shared" si="2"/>
        <v>6.05316808119623</v>
      </c>
      <c r="I15">
        <v>0.94</v>
      </c>
      <c r="J15">
        <f t="shared" si="1"/>
        <v>6.32219777369384</v>
      </c>
    </row>
    <row r="16" spans="1:10">
      <c r="A16" t="s">
        <v>18</v>
      </c>
      <c r="B16">
        <v>6.25494035056944</v>
      </c>
      <c r="G16">
        <v>0.85</v>
      </c>
      <c r="H16">
        <f t="shared" si="2"/>
        <v>5.71688096557422</v>
      </c>
      <c r="I16">
        <v>0.93</v>
      </c>
      <c r="J16">
        <f t="shared" si="1"/>
        <v>6.25494035056944</v>
      </c>
    </row>
    <row r="17" spans="1:8">
      <c r="A17" t="s">
        <v>19</v>
      </c>
      <c r="G17">
        <v>0.8</v>
      </c>
      <c r="H17">
        <f t="shared" si="2"/>
        <v>5.38059384995221</v>
      </c>
    </row>
    <row r="18" spans="1:8">
      <c r="A18" t="s">
        <v>20</v>
      </c>
      <c r="G18">
        <v>0.75</v>
      </c>
      <c r="H18">
        <f t="shared" si="2"/>
        <v>5.04430673433019</v>
      </c>
    </row>
    <row r="19" spans="1:8">
      <c r="A19" t="s">
        <v>21</v>
      </c>
      <c r="G19">
        <v>0.7</v>
      </c>
      <c r="H19">
        <f t="shared" si="2"/>
        <v>4.70801961870818</v>
      </c>
    </row>
    <row r="20" spans="1:8">
      <c r="A20" t="s">
        <v>22</v>
      </c>
      <c r="G20">
        <v>0.65</v>
      </c>
      <c r="H20">
        <f t="shared" si="2"/>
        <v>4.37173250308617</v>
      </c>
    </row>
    <row r="21" spans="1:8">
      <c r="A21" t="s">
        <v>23</v>
      </c>
      <c r="G21">
        <v>0.6</v>
      </c>
      <c r="H21">
        <f t="shared" si="2"/>
        <v>4.03544538746416</v>
      </c>
    </row>
    <row r="22" spans="1:8">
      <c r="A22" t="s">
        <v>24</v>
      </c>
      <c r="G22">
        <v>0.55</v>
      </c>
      <c r="H22">
        <f t="shared" si="2"/>
        <v>3.69915827184214</v>
      </c>
    </row>
    <row r="23" spans="1:8">
      <c r="A23" t="s">
        <v>25</v>
      </c>
      <c r="G23">
        <v>0.5</v>
      </c>
      <c r="H23">
        <f t="shared" si="2"/>
        <v>3.36287115622013</v>
      </c>
    </row>
    <row r="24" spans="1:8">
      <c r="A24" t="s">
        <v>26</v>
      </c>
      <c r="G24">
        <v>0.45</v>
      </c>
      <c r="H24">
        <f t="shared" si="2"/>
        <v>3.02658404059812</v>
      </c>
    </row>
    <row r="25" spans="1:8">
      <c r="A25" t="s">
        <v>27</v>
      </c>
      <c r="G25">
        <v>0.399999999999999</v>
      </c>
      <c r="H25">
        <f t="shared" si="2"/>
        <v>2.6902969249761</v>
      </c>
    </row>
    <row r="26" spans="1:1">
      <c r="A26" t="s">
        <v>28</v>
      </c>
    </row>
    <row r="27" spans="1:1">
      <c r="A27" t="s">
        <v>29</v>
      </c>
    </row>
    <row r="29" spans="2:5">
      <c r="B29">
        <v>7.7346036593063</v>
      </c>
      <c r="C29">
        <v>-9.29974075</v>
      </c>
      <c r="D29" s="1">
        <f>C29+E29</f>
        <v>-9.27877112419782</v>
      </c>
      <c r="E29" s="1">
        <v>0.0209696258021805</v>
      </c>
    </row>
    <row r="30" spans="2:5">
      <c r="B30">
        <v>7.39831654368429</v>
      </c>
      <c r="C30">
        <v>-9.303271</v>
      </c>
      <c r="D30" s="1">
        <f>C30+E30</f>
        <v>-9.28217704928256</v>
      </c>
      <c r="E30" s="1">
        <v>0.0210939507174438</v>
      </c>
    </row>
    <row r="31" spans="2:5">
      <c r="B31" s="1">
        <v>6.05316808099999</v>
      </c>
      <c r="C31">
        <v>-9.281312</v>
      </c>
      <c r="D31" s="1">
        <f t="shared" ref="D31:D41" si="3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3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3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3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3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3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3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3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3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3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3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tabSelected="1" topLeftCell="A11" workbookViewId="0">
      <selection activeCell="A2" sqref="A2:E27"/>
    </sheetView>
  </sheetViews>
  <sheetFormatPr defaultColWidth="9" defaultRowHeight="15.75"/>
  <cols>
    <col min="2" max="2" width="19.25" customWidth="1"/>
    <col min="3" max="3" width="12.625"/>
    <col min="4" max="5" width="13.75"/>
    <col min="6" max="6" width="12.625"/>
    <col min="8" max="11" width="12.625"/>
  </cols>
  <sheetData>
    <row r="1" customFormat="1" spans="2:6">
      <c r="B1" t="s">
        <v>0</v>
      </c>
      <c r="C1" t="s">
        <v>1</v>
      </c>
      <c r="D1"/>
      <c r="E1" t="s">
        <v>30</v>
      </c>
      <c r="F1" t="s">
        <v>3</v>
      </c>
    </row>
    <row r="2" customFormat="1" spans="2:11">
      <c r="B2" s="1">
        <v>7.62651333736756</v>
      </c>
      <c r="C2">
        <v>-9.35571075</v>
      </c>
      <c r="D2" s="3">
        <f>C2+F2</f>
        <v>-9.35571075</v>
      </c>
      <c r="E2" s="3">
        <v>0</v>
      </c>
      <c r="F2" s="1">
        <v>0</v>
      </c>
      <c r="J2">
        <v>1.07</v>
      </c>
      <c r="K2">
        <f t="shared" ref="K2:K14" si="0">6.6317507281457*J2</f>
        <v>7.0959732791159</v>
      </c>
    </row>
    <row r="3" customFormat="1" spans="2:11">
      <c r="B3" s="1">
        <v>7.29492580096027</v>
      </c>
      <c r="C3">
        <v>-9.36041425</v>
      </c>
      <c r="D3" s="3">
        <f t="shared" ref="D3:D27" si="1">C3+F3</f>
        <v>-9.36041425</v>
      </c>
      <c r="E3" s="3">
        <v>0</v>
      </c>
      <c r="F3" s="1">
        <v>0</v>
      </c>
      <c r="J3">
        <v>1.06</v>
      </c>
      <c r="K3">
        <f t="shared" si="0"/>
        <v>7.02965577183444</v>
      </c>
    </row>
    <row r="4" customFormat="1" spans="1:11">
      <c r="A4" t="s">
        <v>4</v>
      </c>
      <c r="B4">
        <v>7.0959732791159</v>
      </c>
      <c r="C4">
        <v>-9.36272175</v>
      </c>
      <c r="D4" s="3">
        <f t="shared" si="1"/>
        <v>-9.36042330112505</v>
      </c>
      <c r="E4" s="3">
        <v>-1.74798</v>
      </c>
      <c r="F4" s="4">
        <f>B4*1000/6.022140857E+23*6242000000000000000/32</f>
        <v>0.00229844887495222</v>
      </c>
      <c r="H4">
        <v>0.95</v>
      </c>
      <c r="J4">
        <v>1.05</v>
      </c>
      <c r="K4">
        <f t="shared" si="0"/>
        <v>6.96333826455299</v>
      </c>
    </row>
    <row r="5" customFormat="1" spans="1:11">
      <c r="A5" t="s">
        <v>5</v>
      </c>
      <c r="B5">
        <v>7.02965577183444</v>
      </c>
      <c r="C5" s="4">
        <v>-9.36334625</v>
      </c>
      <c r="D5" s="3">
        <f t="shared" si="1"/>
        <v>-9.36106928195565</v>
      </c>
      <c r="E5" s="3">
        <v>-1.37949</v>
      </c>
      <c r="F5" s="4">
        <f>B5*1000/6.022140857E+23*6242000000000000000/32</f>
        <v>0.00227696804434519</v>
      </c>
      <c r="J5">
        <v>1.04</v>
      </c>
      <c r="K5">
        <f t="shared" si="0"/>
        <v>6.89702075727153</v>
      </c>
    </row>
    <row r="6" customFormat="1" spans="1:11">
      <c r="A6" t="s">
        <v>6</v>
      </c>
      <c r="B6" s="1">
        <v>6.96333826455299</v>
      </c>
      <c r="C6">
        <v>-9.36387875</v>
      </c>
      <c r="D6" s="3">
        <f t="shared" si="1"/>
        <v>-9.36162326278626</v>
      </c>
      <c r="E6" s="3">
        <v>-0.649711</v>
      </c>
      <c r="F6" s="4">
        <f>B6*1000/6.022140857E+23*6242000000000000000/32</f>
        <v>0.00225548721373816</v>
      </c>
      <c r="J6">
        <v>1.03</v>
      </c>
      <c r="K6">
        <f t="shared" si="0"/>
        <v>6.83070324999007</v>
      </c>
    </row>
    <row r="7" customFormat="1" spans="1:11">
      <c r="A7" t="s">
        <v>7</v>
      </c>
      <c r="B7" s="1">
        <v>6.89702075727153</v>
      </c>
      <c r="C7">
        <v>-9.364291</v>
      </c>
      <c r="D7" s="3">
        <f t="shared" si="1"/>
        <v>-9.36205699361687</v>
      </c>
      <c r="E7" s="3">
        <v>-0.436941</v>
      </c>
      <c r="F7" s="4">
        <f>B7*1000/6.022140857E+23*6242000000000000000/32</f>
        <v>0.00223400638313113</v>
      </c>
      <c r="J7">
        <v>1.02</v>
      </c>
      <c r="K7">
        <f t="shared" si="0"/>
        <v>6.76438574270861</v>
      </c>
    </row>
    <row r="8" customFormat="1" spans="1:11">
      <c r="A8" t="s">
        <v>8</v>
      </c>
      <c r="B8" s="1">
        <v>6.83070324999007</v>
      </c>
      <c r="C8">
        <v>-9.36458075</v>
      </c>
      <c r="D8" s="3">
        <f t="shared" si="1"/>
        <v>-9.36236822444748</v>
      </c>
      <c r="E8" s="3">
        <v>-0.194466</v>
      </c>
      <c r="F8" s="4">
        <f>B8*1000/6.022140857E+23*6242000000000000000/32</f>
        <v>0.0022125255525241</v>
      </c>
      <c r="H8">
        <f>B10*2</f>
        <v>13.3961364708543</v>
      </c>
      <c r="J8">
        <v>1.01</v>
      </c>
      <c r="K8">
        <f t="shared" si="0"/>
        <v>6.69806823542716</v>
      </c>
    </row>
    <row r="9" customFormat="1" spans="1:11">
      <c r="A9" t="s">
        <v>9</v>
      </c>
      <c r="B9" s="1">
        <v>6.76438574270861</v>
      </c>
      <c r="C9">
        <v>-9.36471925</v>
      </c>
      <c r="D9" s="3">
        <f t="shared" si="1"/>
        <v>-9.36252820527808</v>
      </c>
      <c r="E9" s="3">
        <v>0.083872</v>
      </c>
      <c r="F9" s="4">
        <f>B9*1000/6.022140857E+23*6242000000000000000/32</f>
        <v>0.00219104472191707</v>
      </c>
      <c r="H9">
        <v>1</v>
      </c>
      <c r="I9">
        <f>6.72574231244026*H9</f>
        <v>6.72574231244026</v>
      </c>
      <c r="J9">
        <v>1</v>
      </c>
      <c r="K9">
        <f t="shared" si="0"/>
        <v>6.6317507281457</v>
      </c>
    </row>
    <row r="10" customFormat="1" spans="1:11">
      <c r="A10" t="s">
        <v>10</v>
      </c>
      <c r="B10">
        <v>6.69806823542716</v>
      </c>
      <c r="C10">
        <v>-9.364684</v>
      </c>
      <c r="D10" s="3">
        <f t="shared" si="1"/>
        <v>-9.36251443610869</v>
      </c>
      <c r="E10" s="3">
        <v>0.40474</v>
      </c>
      <c r="F10" s="4">
        <f>B10*1000/6.022140857E+23*6242000000000000000/32</f>
        <v>0.00216956389131004</v>
      </c>
      <c r="J10">
        <v>0.99</v>
      </c>
      <c r="K10">
        <f t="shared" si="0"/>
        <v>6.56543322086424</v>
      </c>
    </row>
    <row r="11" customFormat="1" spans="1:11">
      <c r="A11" t="s">
        <v>11</v>
      </c>
      <c r="B11" s="1">
        <v>6.6317507281457</v>
      </c>
      <c r="C11">
        <v>-9.36446125</v>
      </c>
      <c r="D11" s="3">
        <f t="shared" si="1"/>
        <v>-9.36446125</v>
      </c>
      <c r="E11" s="3">
        <v>0.766066</v>
      </c>
      <c r="F11" s="4">
        <v>0</v>
      </c>
      <c r="J11">
        <v>0.98</v>
      </c>
      <c r="K11">
        <f t="shared" si="0"/>
        <v>6.49911571358279</v>
      </c>
    </row>
    <row r="12" customFormat="1" spans="1:11">
      <c r="A12" t="s">
        <v>12</v>
      </c>
      <c r="B12" s="1">
        <v>6.56543322086424</v>
      </c>
      <c r="C12">
        <v>-9.36401425</v>
      </c>
      <c r="D12" s="3">
        <f t="shared" si="1"/>
        <v>-9.36401425</v>
      </c>
      <c r="E12" s="3">
        <v>1.209655</v>
      </c>
      <c r="F12" s="4">
        <v>0</v>
      </c>
      <c r="J12">
        <v>0.97</v>
      </c>
      <c r="K12">
        <f t="shared" si="0"/>
        <v>6.43279820630133</v>
      </c>
    </row>
    <row r="13" customFormat="1" spans="1:11">
      <c r="A13" t="s">
        <v>13</v>
      </c>
      <c r="B13" s="1">
        <v>6.49911571358279</v>
      </c>
      <c r="C13">
        <v>-9.363318</v>
      </c>
      <c r="D13" s="3">
        <f t="shared" si="1"/>
        <v>-9.363318</v>
      </c>
      <c r="E13" s="3">
        <v>1.650845</v>
      </c>
      <c r="F13" s="4">
        <v>0</v>
      </c>
      <c r="J13">
        <v>0.96</v>
      </c>
      <c r="K13">
        <f t="shared" si="0"/>
        <v>6.36648069901987</v>
      </c>
    </row>
    <row r="14" customFormat="1" spans="1:11">
      <c r="A14" t="s">
        <v>14</v>
      </c>
      <c r="B14" s="1">
        <v>6.43279820630133</v>
      </c>
      <c r="C14">
        <v>-9.36232725</v>
      </c>
      <c r="D14" s="3">
        <f t="shared" si="1"/>
        <v>-9.36232725</v>
      </c>
      <c r="E14" s="3">
        <v>2.184954</v>
      </c>
      <c r="F14" s="4">
        <v>0</v>
      </c>
      <c r="H14">
        <v>0.95</v>
      </c>
      <c r="I14">
        <f t="shared" ref="I14:I25" si="2">6.72574231244026*H14</f>
        <v>6.38945519681825</v>
      </c>
      <c r="J14">
        <v>0.95</v>
      </c>
      <c r="K14">
        <f t="shared" si="0"/>
        <v>6.30016319173841</v>
      </c>
    </row>
    <row r="15" customFormat="1" spans="1:11">
      <c r="A15" t="s">
        <v>15</v>
      </c>
      <c r="B15" s="1">
        <v>6.36648069901987</v>
      </c>
      <c r="C15">
        <v>-9.3610255</v>
      </c>
      <c r="D15" s="3">
        <f t="shared" si="1"/>
        <v>-9.3610255</v>
      </c>
      <c r="E15" s="3">
        <v>2.81936</v>
      </c>
      <c r="F15" s="4">
        <v>0</v>
      </c>
      <c r="H15">
        <v>0.9</v>
      </c>
      <c r="I15">
        <f t="shared" si="2"/>
        <v>6.05316808119623</v>
      </c>
      <c r="J15">
        <v>0.94</v>
      </c>
      <c r="K15">
        <f t="shared" ref="K15:K25" si="3">6.6317507281457*J15</f>
        <v>6.23384568445696</v>
      </c>
    </row>
    <row r="16" customFormat="1" spans="1:11">
      <c r="A16" t="s">
        <v>16</v>
      </c>
      <c r="B16" s="1">
        <v>6.30016319173841</v>
      </c>
      <c r="C16">
        <v>-9.359363</v>
      </c>
      <c r="D16" s="3">
        <f t="shared" si="1"/>
        <v>-9.359363</v>
      </c>
      <c r="E16" s="3">
        <v>3.470399</v>
      </c>
      <c r="F16" s="4">
        <v>0</v>
      </c>
      <c r="H16">
        <v>0.85</v>
      </c>
      <c r="I16">
        <f t="shared" si="2"/>
        <v>5.71688096557422</v>
      </c>
      <c r="J16">
        <v>0.93</v>
      </c>
      <c r="K16">
        <f t="shared" si="3"/>
        <v>6.1675281771755</v>
      </c>
    </row>
    <row r="17" customFormat="1" spans="1:11">
      <c r="A17" t="s">
        <v>17</v>
      </c>
      <c r="B17">
        <v>6.23384568445696</v>
      </c>
      <c r="C17">
        <v>-9.3572985</v>
      </c>
      <c r="D17" s="3">
        <f t="shared" si="1"/>
        <v>-9.35527930192294</v>
      </c>
      <c r="E17" s="3">
        <v>8.313759</v>
      </c>
      <c r="F17" s="4">
        <f>B17*1000/6.022140857E+23*6242000000000000000/32</f>
        <v>0.00201919807706083</v>
      </c>
      <c r="H17">
        <v>0.8</v>
      </c>
      <c r="I17">
        <f t="shared" si="2"/>
        <v>5.38059384995221</v>
      </c>
      <c r="K17">
        <f t="shared" si="3"/>
        <v>0</v>
      </c>
    </row>
    <row r="18" customFormat="1" spans="1:11">
      <c r="A18" t="s">
        <v>18</v>
      </c>
      <c r="B18">
        <v>6.1675281771755</v>
      </c>
      <c r="C18">
        <v>-9.35477725</v>
      </c>
      <c r="D18" s="3">
        <f t="shared" si="1"/>
        <v>-9.35277953275355</v>
      </c>
      <c r="E18" s="3">
        <v>16.364584</v>
      </c>
      <c r="F18" s="4">
        <f>B18*1000/6.022140857E+23*6242000000000000000/32</f>
        <v>0.0019977172464538</v>
      </c>
      <c r="H18">
        <v>0.75</v>
      </c>
      <c r="I18">
        <f t="shared" si="2"/>
        <v>5.04430673433019</v>
      </c>
      <c r="J18">
        <v>0.75</v>
      </c>
      <c r="K18">
        <f t="shared" si="3"/>
        <v>4.97381304610928</v>
      </c>
    </row>
    <row r="19" customFormat="1" spans="1:11">
      <c r="A19" t="s">
        <v>19</v>
      </c>
      <c r="B19" s="1">
        <v>5.96857565533113</v>
      </c>
      <c r="C19">
        <v>-9.3439195</v>
      </c>
      <c r="D19" s="3">
        <f t="shared" si="1"/>
        <v>-9.3439195</v>
      </c>
      <c r="E19" s="3">
        <v>29.162834</v>
      </c>
      <c r="F19" s="4">
        <v>0</v>
      </c>
      <c r="H19">
        <v>0.7</v>
      </c>
      <c r="I19">
        <f t="shared" si="2"/>
        <v>4.70801961870818</v>
      </c>
      <c r="J19">
        <v>0.7</v>
      </c>
      <c r="K19">
        <f t="shared" si="3"/>
        <v>4.64222550970199</v>
      </c>
    </row>
    <row r="20" customFormat="1" spans="1:11">
      <c r="A20" t="s">
        <v>20</v>
      </c>
      <c r="B20" s="1">
        <v>5.63698811892385</v>
      </c>
      <c r="C20">
        <v>-9.31057675</v>
      </c>
      <c r="D20" s="3">
        <f t="shared" si="1"/>
        <v>-9.31057675</v>
      </c>
      <c r="E20" s="3">
        <v>49.590418</v>
      </c>
      <c r="F20" s="4">
        <v>0</v>
      </c>
      <c r="H20">
        <v>0.65</v>
      </c>
      <c r="I20">
        <f t="shared" si="2"/>
        <v>4.37173250308617</v>
      </c>
      <c r="J20">
        <v>0.65</v>
      </c>
      <c r="K20">
        <f t="shared" si="3"/>
        <v>4.31063797329471</v>
      </c>
    </row>
    <row r="21" customFormat="1" spans="1:11">
      <c r="A21" t="s">
        <v>21</v>
      </c>
      <c r="B21" s="1">
        <v>5.30540058251656</v>
      </c>
      <c r="C21">
        <v>-9.2470915</v>
      </c>
      <c r="D21" s="3">
        <f t="shared" si="1"/>
        <v>-9.2470915</v>
      </c>
      <c r="E21" s="3">
        <v>81.795232</v>
      </c>
      <c r="F21" s="4">
        <v>0</v>
      </c>
      <c r="H21">
        <v>0.6</v>
      </c>
      <c r="I21">
        <f t="shared" si="2"/>
        <v>4.03544538746416</v>
      </c>
      <c r="J21">
        <v>0.6</v>
      </c>
      <c r="K21">
        <f t="shared" si="3"/>
        <v>3.97905043688742</v>
      </c>
    </row>
    <row r="22" customFormat="1" spans="1:11">
      <c r="A22" t="s">
        <v>22</v>
      </c>
      <c r="B22" s="1">
        <v>4.97381304610928</v>
      </c>
      <c r="C22">
        <v>-9.13348925</v>
      </c>
      <c r="D22" s="3">
        <f t="shared" si="1"/>
        <v>-9.13348925</v>
      </c>
      <c r="E22" s="3">
        <v>126.264436</v>
      </c>
      <c r="F22" s="4">
        <v>0</v>
      </c>
      <c r="H22">
        <v>0.55</v>
      </c>
      <c r="I22">
        <f t="shared" si="2"/>
        <v>3.69915827184214</v>
      </c>
      <c r="J22">
        <v>0.55</v>
      </c>
      <c r="K22">
        <f t="shared" si="3"/>
        <v>3.64746290048014</v>
      </c>
    </row>
    <row r="23" customFormat="1" spans="1:11">
      <c r="A23" t="s">
        <v>23</v>
      </c>
      <c r="B23" s="1">
        <v>4.64222550970199</v>
      </c>
      <c r="C23">
        <v>-8.9380785</v>
      </c>
      <c r="D23" s="3">
        <f t="shared" si="1"/>
        <v>-8.9380785</v>
      </c>
      <c r="E23" s="3">
        <v>184.537527</v>
      </c>
      <c r="F23" s="4">
        <v>0</v>
      </c>
      <c r="H23">
        <v>0.5</v>
      </c>
      <c r="I23">
        <f t="shared" si="2"/>
        <v>3.36287115622013</v>
      </c>
      <c r="J23">
        <v>0.500000000000001</v>
      </c>
      <c r="K23">
        <f t="shared" si="3"/>
        <v>3.31587536407286</v>
      </c>
    </row>
    <row r="24" customFormat="1" spans="1:11">
      <c r="A24" t="s">
        <v>24</v>
      </c>
      <c r="B24" s="1">
        <v>4.31063797329471</v>
      </c>
      <c r="C24">
        <v>-8.63161825</v>
      </c>
      <c r="D24" s="3">
        <f t="shared" si="1"/>
        <v>-8.63161825</v>
      </c>
      <c r="E24" s="3">
        <v>278.177108</v>
      </c>
      <c r="F24" s="4">
        <v>0</v>
      </c>
      <c r="H24">
        <v>0.45</v>
      </c>
      <c r="I24">
        <f t="shared" si="2"/>
        <v>3.02658404059812</v>
      </c>
      <c r="J24">
        <v>0.450000000000001</v>
      </c>
      <c r="K24">
        <f t="shared" si="3"/>
        <v>2.98428782766557</v>
      </c>
    </row>
    <row r="25" customFormat="1" spans="1:11">
      <c r="A25" t="s">
        <v>25</v>
      </c>
      <c r="B25" s="1">
        <v>3.97905043688742</v>
      </c>
      <c r="C25">
        <v>-8.18573275</v>
      </c>
      <c r="D25" s="3">
        <f t="shared" si="1"/>
        <v>-8.18573275</v>
      </c>
      <c r="E25" s="3">
        <v>410.94174</v>
      </c>
      <c r="F25" s="4">
        <v>0</v>
      </c>
      <c r="H25">
        <v>0.399999999999999</v>
      </c>
      <c r="I25">
        <f t="shared" si="2"/>
        <v>2.6902969249761</v>
      </c>
      <c r="J25">
        <v>0.400000000000001</v>
      </c>
      <c r="K25">
        <f t="shared" si="3"/>
        <v>2.65270029125829</v>
      </c>
    </row>
    <row r="26" customFormat="1" spans="1:6">
      <c r="A26" t="s">
        <v>26</v>
      </c>
      <c r="B26" s="1">
        <v>3.64746290048014</v>
      </c>
      <c r="C26">
        <v>-7.534209</v>
      </c>
      <c r="D26" s="3">
        <f t="shared" si="1"/>
        <v>-7.534209</v>
      </c>
      <c r="E26">
        <v>515.291824</v>
      </c>
      <c r="F26" s="4">
        <v>0</v>
      </c>
    </row>
    <row r="27" customFormat="1" spans="1:6">
      <c r="A27" t="s">
        <v>27</v>
      </c>
      <c r="B27" s="1">
        <v>3.31587536407285</v>
      </c>
      <c r="C27">
        <v>-6.56529875</v>
      </c>
      <c r="D27" s="3">
        <f t="shared" si="1"/>
        <v>-6.56529875</v>
      </c>
      <c r="E27">
        <v>765.428943</v>
      </c>
      <c r="F27" s="4">
        <v>0</v>
      </c>
    </row>
    <row r="28" spans="1:6">
      <c r="A28" t="s">
        <v>28</v>
      </c>
      <c r="B28" s="1">
        <v>2.98428782766557</v>
      </c>
      <c r="C28">
        <v>-5.3080285</v>
      </c>
      <c r="D28">
        <v>0</v>
      </c>
      <c r="E28">
        <v>0</v>
      </c>
      <c r="F28" s="1">
        <v>0</v>
      </c>
    </row>
    <row r="29" spans="1:6">
      <c r="A29" t="s">
        <v>29</v>
      </c>
      <c r="B29" s="1">
        <v>2.65270029125828</v>
      </c>
      <c r="C29">
        <v>-3.53590775</v>
      </c>
      <c r="D29">
        <v>0</v>
      </c>
      <c r="E29">
        <v>0</v>
      </c>
      <c r="F29" s="1">
        <v>0</v>
      </c>
    </row>
    <row r="35" spans="2:3">
      <c r="B35" s="2">
        <v>-37.453385</v>
      </c>
      <c r="C35">
        <f>B35/4</f>
        <v>-9.36334625</v>
      </c>
    </row>
    <row r="36" spans="2:3">
      <c r="B36" s="2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1" sqref="I1:I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29.5" customWidth="1"/>
    <col min="7" max="8" width="2.375" customWidth="1"/>
    <col min="9" max="9" width="13.875" customWidth="1"/>
  </cols>
  <sheetData>
    <row r="1" spans="1:9">
      <c r="A1" t="s">
        <v>31</v>
      </c>
      <c r="B1">
        <v>1</v>
      </c>
      <c r="C1" t="s">
        <v>32</v>
      </c>
      <c r="D1" s="2">
        <v>-37.198963</v>
      </c>
      <c r="E1" t="s">
        <v>33</v>
      </c>
      <c r="F1" s="2">
        <v>-37.198963</v>
      </c>
      <c r="G1" t="s">
        <v>7</v>
      </c>
      <c r="H1" t="s">
        <v>34</v>
      </c>
      <c r="I1">
        <f t="shared" ref="I1:I9" si="0">F1/4</f>
        <v>-9.29974075</v>
      </c>
    </row>
    <row r="2" spans="1:9">
      <c r="A2" t="s">
        <v>35</v>
      </c>
      <c r="B2">
        <v>1</v>
      </c>
      <c r="C2" t="s">
        <v>32</v>
      </c>
      <c r="D2" s="2">
        <v>-37.213084</v>
      </c>
      <c r="E2" t="s">
        <v>33</v>
      </c>
      <c r="F2" s="2">
        <v>-37.213084</v>
      </c>
      <c r="G2" t="s">
        <v>7</v>
      </c>
      <c r="H2" t="s">
        <v>34</v>
      </c>
      <c r="I2">
        <f t="shared" si="0"/>
        <v>-9.303271</v>
      </c>
    </row>
    <row r="3" spans="1:9">
      <c r="A3" t="s">
        <v>36</v>
      </c>
      <c r="B3">
        <v>1</v>
      </c>
      <c r="C3" t="s">
        <v>32</v>
      </c>
      <c r="D3" s="2">
        <v>-37.221192</v>
      </c>
      <c r="E3" t="s">
        <v>33</v>
      </c>
      <c r="F3" s="2">
        <v>-37.221192</v>
      </c>
      <c r="G3" t="s">
        <v>7</v>
      </c>
      <c r="H3" t="s">
        <v>34</v>
      </c>
      <c r="I3">
        <f t="shared" si="0"/>
        <v>-9.305298</v>
      </c>
    </row>
    <row r="4" spans="1:9">
      <c r="A4" t="s">
        <v>37</v>
      </c>
      <c r="B4">
        <v>1</v>
      </c>
      <c r="C4" t="s">
        <v>32</v>
      </c>
      <c r="D4" s="2">
        <v>-37.221673</v>
      </c>
      <c r="E4" t="s">
        <v>33</v>
      </c>
      <c r="F4" s="2">
        <v>-37.221673</v>
      </c>
      <c r="G4" t="s">
        <v>7</v>
      </c>
      <c r="H4" t="s">
        <v>34</v>
      </c>
      <c r="I4">
        <f t="shared" si="0"/>
        <v>-9.30541825</v>
      </c>
    </row>
    <row r="5" spans="1:9">
      <c r="A5" t="s">
        <v>38</v>
      </c>
      <c r="B5">
        <v>1</v>
      </c>
      <c r="C5" t="s">
        <v>32</v>
      </c>
      <c r="D5" s="2">
        <v>-37.221664</v>
      </c>
      <c r="E5" t="s">
        <v>33</v>
      </c>
      <c r="F5" s="2">
        <v>-37.221664</v>
      </c>
      <c r="G5" t="s">
        <v>7</v>
      </c>
      <c r="H5" t="s">
        <v>34</v>
      </c>
      <c r="I5">
        <f t="shared" si="0"/>
        <v>-9.305416</v>
      </c>
    </row>
    <row r="6" spans="1:9">
      <c r="A6" t="s">
        <v>39</v>
      </c>
      <c r="B6">
        <v>1</v>
      </c>
      <c r="C6" t="s">
        <v>32</v>
      </c>
      <c r="D6" s="2">
        <v>-37.221032</v>
      </c>
      <c r="E6" t="s">
        <v>33</v>
      </c>
      <c r="F6" s="2">
        <v>-37.221032</v>
      </c>
      <c r="G6" t="s">
        <v>7</v>
      </c>
      <c r="H6" t="s">
        <v>34</v>
      </c>
      <c r="I6">
        <f t="shared" si="0"/>
        <v>-9.305258</v>
      </c>
    </row>
    <row r="7" spans="1:9">
      <c r="A7" t="s">
        <v>40</v>
      </c>
      <c r="B7">
        <v>1</v>
      </c>
      <c r="C7" t="s">
        <v>32</v>
      </c>
      <c r="D7" s="2">
        <v>-37.219775</v>
      </c>
      <c r="E7" t="s">
        <v>33</v>
      </c>
      <c r="F7" s="2">
        <v>-37.219775</v>
      </c>
      <c r="G7" t="s">
        <v>7</v>
      </c>
      <c r="H7" t="s">
        <v>34</v>
      </c>
      <c r="I7">
        <f t="shared" si="0"/>
        <v>-9.30494375</v>
      </c>
    </row>
    <row r="8" spans="1:9">
      <c r="A8" t="s">
        <v>41</v>
      </c>
      <c r="B8">
        <v>1</v>
      </c>
      <c r="C8" t="s">
        <v>32</v>
      </c>
      <c r="D8" s="2">
        <v>-37.217743</v>
      </c>
      <c r="E8" t="s">
        <v>33</v>
      </c>
      <c r="F8" s="2">
        <v>-37.217743</v>
      </c>
      <c r="G8" t="s">
        <v>7</v>
      </c>
      <c r="H8" t="s">
        <v>34</v>
      </c>
      <c r="I8">
        <f t="shared" si="0"/>
        <v>-9.30443575</v>
      </c>
    </row>
    <row r="9" spans="1:9">
      <c r="A9" t="s">
        <v>42</v>
      </c>
      <c r="B9">
        <v>1</v>
      </c>
      <c r="C9" t="s">
        <v>32</v>
      </c>
      <c r="D9" s="2">
        <v>-37.214844</v>
      </c>
      <c r="E9" t="s">
        <v>33</v>
      </c>
      <c r="F9" s="2">
        <v>-37.214844</v>
      </c>
      <c r="G9" t="s">
        <v>7</v>
      </c>
      <c r="H9" t="s">
        <v>34</v>
      </c>
      <c r="I9">
        <f t="shared" si="0"/>
        <v>-9.303711</v>
      </c>
    </row>
    <row r="10" spans="1:9">
      <c r="A10" t="s">
        <v>43</v>
      </c>
      <c r="B10">
        <v>1</v>
      </c>
      <c r="C10" t="s">
        <v>32</v>
      </c>
      <c r="D10" s="2">
        <v>-37.210978</v>
      </c>
      <c r="E10" t="s">
        <v>33</v>
      </c>
      <c r="F10" s="2">
        <v>-37.210978</v>
      </c>
      <c r="G10" t="s">
        <v>7</v>
      </c>
      <c r="H10" t="s">
        <v>34</v>
      </c>
      <c r="I10">
        <f t="shared" ref="I10:I24" si="1">F10/4</f>
        <v>-9.3027445</v>
      </c>
    </row>
    <row r="11" spans="1:9">
      <c r="A11" t="s">
        <v>44</v>
      </c>
      <c r="B11">
        <v>1</v>
      </c>
      <c r="C11" t="s">
        <v>32</v>
      </c>
      <c r="D11" s="2">
        <v>-37.205987</v>
      </c>
      <c r="E11" t="s">
        <v>33</v>
      </c>
      <c r="F11" s="2">
        <v>-37.205987</v>
      </c>
      <c r="G11" t="s">
        <v>7</v>
      </c>
      <c r="H11" t="s">
        <v>34</v>
      </c>
      <c r="I11">
        <f t="shared" si="1"/>
        <v>-9.30149675</v>
      </c>
    </row>
    <row r="12" spans="1:9">
      <c r="A12" t="s">
        <v>45</v>
      </c>
      <c r="B12">
        <v>1</v>
      </c>
      <c r="C12" t="s">
        <v>32</v>
      </c>
      <c r="D12" s="2">
        <v>-37.199727</v>
      </c>
      <c r="E12" t="s">
        <v>33</v>
      </c>
      <c r="F12" s="2">
        <v>-37.199727</v>
      </c>
      <c r="G12" t="s">
        <v>7</v>
      </c>
      <c r="H12" t="s">
        <v>34</v>
      </c>
      <c r="I12">
        <f t="shared" si="1"/>
        <v>-9.29993175</v>
      </c>
    </row>
    <row r="13" spans="1:9">
      <c r="A13" t="s">
        <v>46</v>
      </c>
      <c r="B13">
        <v>1</v>
      </c>
      <c r="C13" t="s">
        <v>32</v>
      </c>
      <c r="D13" s="2">
        <v>-37.192026</v>
      </c>
      <c r="E13" t="s">
        <v>33</v>
      </c>
      <c r="F13" s="2">
        <v>-37.192026</v>
      </c>
      <c r="G13" t="s">
        <v>7</v>
      </c>
      <c r="H13" t="s">
        <v>34</v>
      </c>
      <c r="I13">
        <f t="shared" si="1"/>
        <v>-9.2980065</v>
      </c>
    </row>
    <row r="14" spans="1:9">
      <c r="A14" t="s">
        <v>47</v>
      </c>
      <c r="B14">
        <v>1</v>
      </c>
      <c r="C14" t="s">
        <v>32</v>
      </c>
      <c r="D14" s="2">
        <v>-37.125248</v>
      </c>
      <c r="E14" t="s">
        <v>33</v>
      </c>
      <c r="F14" s="2">
        <v>-37.125248</v>
      </c>
      <c r="G14" t="s">
        <v>7</v>
      </c>
      <c r="H14" t="s">
        <v>34</v>
      </c>
      <c r="I14">
        <f t="shared" si="1"/>
        <v>-9.281312</v>
      </c>
    </row>
    <row r="15" spans="1:9">
      <c r="A15" t="s">
        <v>48</v>
      </c>
      <c r="B15">
        <v>1</v>
      </c>
      <c r="C15" t="s">
        <v>32</v>
      </c>
      <c r="D15" s="2">
        <v>-36.987991</v>
      </c>
      <c r="E15" t="s">
        <v>33</v>
      </c>
      <c r="F15" s="2">
        <v>-36.987991</v>
      </c>
      <c r="G15" t="s">
        <v>7</v>
      </c>
      <c r="H15" t="s">
        <v>34</v>
      </c>
      <c r="I15">
        <f t="shared" si="1"/>
        <v>-9.24699775</v>
      </c>
    </row>
    <row r="16" spans="1:9">
      <c r="A16" t="s">
        <v>49</v>
      </c>
      <c r="B16">
        <v>1</v>
      </c>
      <c r="C16" t="s">
        <v>32</v>
      </c>
      <c r="D16" s="2">
        <v>-36.737023</v>
      </c>
      <c r="E16" t="s">
        <v>33</v>
      </c>
      <c r="F16" s="2">
        <v>-36.737023</v>
      </c>
      <c r="G16" t="s">
        <v>7</v>
      </c>
      <c r="H16" t="s">
        <v>34</v>
      </c>
      <c r="I16">
        <f t="shared" si="1"/>
        <v>-9.18425575</v>
      </c>
    </row>
    <row r="17" spans="1:9">
      <c r="A17" t="s">
        <v>50</v>
      </c>
      <c r="B17">
        <v>1</v>
      </c>
      <c r="C17" t="s">
        <v>32</v>
      </c>
      <c r="D17" s="2">
        <v>-36.306229</v>
      </c>
      <c r="E17" t="s">
        <v>33</v>
      </c>
      <c r="F17" s="2">
        <v>-36.306229</v>
      </c>
      <c r="G17" t="s">
        <v>7</v>
      </c>
      <c r="H17" t="s">
        <v>34</v>
      </c>
      <c r="I17">
        <f t="shared" si="1"/>
        <v>-9.07655725</v>
      </c>
    </row>
    <row r="18" spans="1:9">
      <c r="A18" t="s">
        <v>51</v>
      </c>
      <c r="B18">
        <v>1</v>
      </c>
      <c r="C18" t="s">
        <v>32</v>
      </c>
      <c r="D18" s="2">
        <v>-35.587047</v>
      </c>
      <c r="E18" t="s">
        <v>33</v>
      </c>
      <c r="F18" s="2">
        <v>-35.587047</v>
      </c>
      <c r="G18" t="s">
        <v>7</v>
      </c>
      <c r="H18" t="s">
        <v>34</v>
      </c>
      <c r="I18">
        <f t="shared" si="1"/>
        <v>-8.89676175</v>
      </c>
    </row>
    <row r="19" spans="1:9">
      <c r="A19" t="s">
        <v>52</v>
      </c>
      <c r="B19">
        <v>1</v>
      </c>
      <c r="C19" t="s">
        <v>32</v>
      </c>
      <c r="D19" s="2">
        <v>-34.443888</v>
      </c>
      <c r="E19" t="s">
        <v>33</v>
      </c>
      <c r="F19" s="2">
        <v>-34.443888</v>
      </c>
      <c r="G19" t="s">
        <v>7</v>
      </c>
      <c r="H19" t="s">
        <v>34</v>
      </c>
      <c r="I19">
        <f t="shared" si="1"/>
        <v>-8.610972</v>
      </c>
    </row>
    <row r="20" spans="1:9">
      <c r="A20" t="s">
        <v>53</v>
      </c>
      <c r="B20">
        <v>1</v>
      </c>
      <c r="C20" t="s">
        <v>32</v>
      </c>
      <c r="D20" s="2">
        <v>-32.739216</v>
      </c>
      <c r="E20" t="s">
        <v>33</v>
      </c>
      <c r="F20" s="2">
        <v>-32.739216</v>
      </c>
      <c r="G20" t="s">
        <v>7</v>
      </c>
      <c r="H20" t="s">
        <v>34</v>
      </c>
      <c r="I20">
        <f t="shared" si="1"/>
        <v>-8.184804</v>
      </c>
    </row>
    <row r="21" spans="1:9">
      <c r="A21" t="s">
        <v>54</v>
      </c>
      <c r="B21">
        <v>1</v>
      </c>
      <c r="C21" t="s">
        <v>32</v>
      </c>
      <c r="D21" s="2">
        <v>-30.244928</v>
      </c>
      <c r="E21" t="s">
        <v>33</v>
      </c>
      <c r="F21" s="2">
        <v>-30.244928</v>
      </c>
      <c r="G21" t="s">
        <v>7</v>
      </c>
      <c r="H21" t="s">
        <v>34</v>
      </c>
      <c r="I21">
        <f t="shared" si="1"/>
        <v>-7.561232</v>
      </c>
    </row>
    <row r="22" spans="1:9">
      <c r="A22" t="s">
        <v>55</v>
      </c>
      <c r="B22">
        <v>1</v>
      </c>
      <c r="C22" t="s">
        <v>32</v>
      </c>
      <c r="D22" s="2">
        <v>-26.487302</v>
      </c>
      <c r="E22" t="s">
        <v>33</v>
      </c>
      <c r="F22" s="2">
        <v>-26.487302</v>
      </c>
      <c r="G22" t="s">
        <v>7</v>
      </c>
      <c r="H22" t="s">
        <v>34</v>
      </c>
      <c r="I22">
        <f t="shared" si="1"/>
        <v>-6.6218255</v>
      </c>
    </row>
    <row r="23" spans="1:9">
      <c r="A23" t="s">
        <v>56</v>
      </c>
      <c r="B23">
        <v>1</v>
      </c>
      <c r="C23" t="s">
        <v>32</v>
      </c>
      <c r="D23" s="2">
        <v>-21.520284</v>
      </c>
      <c r="E23" t="s">
        <v>33</v>
      </c>
      <c r="F23" s="2">
        <v>-21.520284</v>
      </c>
      <c r="G23" t="s">
        <v>7</v>
      </c>
      <c r="H23" t="s">
        <v>34</v>
      </c>
      <c r="I23">
        <f t="shared" si="1"/>
        <v>-5.380071</v>
      </c>
    </row>
    <row r="24" spans="1:9">
      <c r="A24" t="s">
        <v>57</v>
      </c>
      <c r="B24">
        <v>1</v>
      </c>
      <c r="C24" t="s">
        <v>32</v>
      </c>
      <c r="D24" s="2">
        <v>-14.619444</v>
      </c>
      <c r="E24" t="s">
        <v>33</v>
      </c>
      <c r="F24" s="2">
        <v>-14.619444</v>
      </c>
      <c r="G24" t="s">
        <v>7</v>
      </c>
      <c r="H24" t="s">
        <v>34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workbookViewId="0">
      <selection activeCell="J1" sqref="J1:J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9.5" customWidth="1"/>
    <col min="7" max="8" width="2.375" customWidth="1"/>
    <col min="9" max="9" width="20.875" customWidth="1"/>
    <col min="10" max="10" width="12.625"/>
  </cols>
  <sheetData>
    <row r="1" spans="1:10">
      <c r="A1" t="s">
        <v>31</v>
      </c>
      <c r="B1">
        <v>1</v>
      </c>
      <c r="C1" t="s">
        <v>32</v>
      </c>
      <c r="D1" s="2">
        <v>-37.422843</v>
      </c>
      <c r="E1" t="s">
        <v>33</v>
      </c>
      <c r="F1" s="2">
        <v>-37.422843</v>
      </c>
      <c r="G1" t="s">
        <v>7</v>
      </c>
      <c r="H1" t="s">
        <v>34</v>
      </c>
      <c r="I1">
        <f>D1/4</f>
        <v>-9.35571075</v>
      </c>
      <c r="J1">
        <f>F1/4</f>
        <v>-9.35571075</v>
      </c>
    </row>
    <row r="2" spans="1:10">
      <c r="A2" t="s">
        <v>35</v>
      </c>
      <c r="B2">
        <v>1</v>
      </c>
      <c r="C2" t="s">
        <v>32</v>
      </c>
      <c r="D2" s="2">
        <v>-37.441657</v>
      </c>
      <c r="E2" t="s">
        <v>33</v>
      </c>
      <c r="F2" s="2">
        <v>-37.441657</v>
      </c>
      <c r="G2" t="s">
        <v>7</v>
      </c>
      <c r="H2" t="s">
        <v>34</v>
      </c>
      <c r="I2">
        <f>-37.4417</f>
        <v>-37.4417</v>
      </c>
      <c r="J2">
        <f t="shared" ref="J2:J32" si="0">F2/4</f>
        <v>-9.36041425</v>
      </c>
    </row>
    <row r="3" spans="1:10">
      <c r="A3" t="s">
        <v>36</v>
      </c>
      <c r="B3">
        <v>1</v>
      </c>
      <c r="C3" t="s">
        <v>32</v>
      </c>
      <c r="D3" s="2">
        <v>-37.455515</v>
      </c>
      <c r="E3" t="s">
        <v>33</v>
      </c>
      <c r="F3" s="2">
        <v>-37.455515</v>
      </c>
      <c r="G3" t="s">
        <v>7</v>
      </c>
      <c r="H3" t="s">
        <v>34</v>
      </c>
      <c r="I3">
        <f>-37.4555</f>
        <v>-37.4555</v>
      </c>
      <c r="J3">
        <f t="shared" si="0"/>
        <v>-9.36387875</v>
      </c>
    </row>
    <row r="4" spans="1:10">
      <c r="A4" t="s">
        <v>37</v>
      </c>
      <c r="B4">
        <v>1</v>
      </c>
      <c r="C4" t="s">
        <v>32</v>
      </c>
      <c r="D4" s="2">
        <v>-37.457164</v>
      </c>
      <c r="E4" t="s">
        <v>33</v>
      </c>
      <c r="F4" s="2">
        <v>-37.457164</v>
      </c>
      <c r="G4" t="s">
        <v>7</v>
      </c>
      <c r="H4" t="s">
        <v>34</v>
      </c>
      <c r="I4">
        <f>-37.4572</f>
        <v>-37.4572</v>
      </c>
      <c r="J4">
        <f t="shared" si="0"/>
        <v>-9.364291</v>
      </c>
    </row>
    <row r="5" spans="1:10">
      <c r="A5" t="s">
        <v>38</v>
      </c>
      <c r="B5">
        <v>1</v>
      </c>
      <c r="C5" t="s">
        <v>32</v>
      </c>
      <c r="D5" s="2">
        <v>-37.458323</v>
      </c>
      <c r="E5" t="s">
        <v>33</v>
      </c>
      <c r="F5" s="2">
        <v>-37.458323</v>
      </c>
      <c r="G5" t="s">
        <v>7</v>
      </c>
      <c r="H5" t="s">
        <v>34</v>
      </c>
      <c r="I5">
        <f>-37.4583</f>
        <v>-37.4583</v>
      </c>
      <c r="J5">
        <f t="shared" si="0"/>
        <v>-9.36458075</v>
      </c>
    </row>
    <row r="6" spans="1:10">
      <c r="A6" t="s">
        <v>39</v>
      </c>
      <c r="B6">
        <v>1</v>
      </c>
      <c r="C6" t="s">
        <v>32</v>
      </c>
      <c r="D6" s="2">
        <v>-37.458877</v>
      </c>
      <c r="E6" t="s">
        <v>33</v>
      </c>
      <c r="F6" s="2">
        <v>-37.458877</v>
      </c>
      <c r="G6" t="s">
        <v>7</v>
      </c>
      <c r="H6" t="s">
        <v>34</v>
      </c>
      <c r="I6">
        <f>-37.4589</f>
        <v>-37.4589</v>
      </c>
      <c r="J6">
        <f t="shared" si="0"/>
        <v>-9.36471925</v>
      </c>
    </row>
    <row r="7" spans="1:10">
      <c r="A7" t="s">
        <v>40</v>
      </c>
      <c r="B7">
        <v>1</v>
      </c>
      <c r="C7" t="s">
        <v>32</v>
      </c>
      <c r="D7" s="2">
        <v>-37.458736</v>
      </c>
      <c r="E7" t="s">
        <v>33</v>
      </c>
      <c r="F7" s="2">
        <v>-37.458736</v>
      </c>
      <c r="G7" t="s">
        <v>7</v>
      </c>
      <c r="H7" t="s">
        <v>34</v>
      </c>
      <c r="I7">
        <f>-37.4587</f>
        <v>-37.4587</v>
      </c>
      <c r="J7">
        <f t="shared" si="0"/>
        <v>-9.364684</v>
      </c>
    </row>
    <row r="8" spans="1:10">
      <c r="A8" t="s">
        <v>41</v>
      </c>
      <c r="B8">
        <v>1</v>
      </c>
      <c r="C8" t="s">
        <v>32</v>
      </c>
      <c r="D8" s="2">
        <v>-37.457845</v>
      </c>
      <c r="E8" t="s">
        <v>33</v>
      </c>
      <c r="F8" s="2">
        <v>-37.457845</v>
      </c>
      <c r="G8" t="s">
        <v>7</v>
      </c>
      <c r="H8" t="s">
        <v>34</v>
      </c>
      <c r="I8">
        <f>-37.4578</f>
        <v>-37.4578</v>
      </c>
      <c r="J8">
        <f t="shared" si="0"/>
        <v>-9.36446125</v>
      </c>
    </row>
    <row r="9" spans="1:10">
      <c r="A9" t="s">
        <v>42</v>
      </c>
      <c r="B9">
        <v>1</v>
      </c>
      <c r="C9" t="s">
        <v>32</v>
      </c>
      <c r="D9" s="2">
        <v>-37.456057</v>
      </c>
      <c r="E9" t="s">
        <v>33</v>
      </c>
      <c r="F9" s="2">
        <v>-37.456057</v>
      </c>
      <c r="G9" t="s">
        <v>7</v>
      </c>
      <c r="H9" t="s">
        <v>34</v>
      </c>
      <c r="I9">
        <f>-37.4561</f>
        <v>-37.4561</v>
      </c>
      <c r="J9">
        <f t="shared" si="0"/>
        <v>-9.36401425</v>
      </c>
    </row>
    <row r="10" spans="1:10">
      <c r="A10" t="s">
        <v>43</v>
      </c>
      <c r="B10">
        <v>1</v>
      </c>
      <c r="C10" t="s">
        <v>32</v>
      </c>
      <c r="D10" s="2">
        <v>-37.453272</v>
      </c>
      <c r="E10" t="s">
        <v>33</v>
      </c>
      <c r="F10" s="2">
        <v>-37.453272</v>
      </c>
      <c r="G10" t="s">
        <v>7</v>
      </c>
      <c r="H10" t="s">
        <v>34</v>
      </c>
      <c r="I10">
        <f>-37.4533</f>
        <v>-37.4533</v>
      </c>
      <c r="J10">
        <f t="shared" si="0"/>
        <v>-9.363318</v>
      </c>
    </row>
    <row r="11" spans="1:10">
      <c r="A11" t="s">
        <v>44</v>
      </c>
      <c r="B11">
        <v>1</v>
      </c>
      <c r="C11" t="s">
        <v>32</v>
      </c>
      <c r="D11" s="2">
        <v>-37.449309</v>
      </c>
      <c r="E11" t="s">
        <v>33</v>
      </c>
      <c r="F11" s="2">
        <v>-37.449309</v>
      </c>
      <c r="G11" t="s">
        <v>7</v>
      </c>
      <c r="H11" t="s">
        <v>34</v>
      </c>
      <c r="I11">
        <f>-37.4493</f>
        <v>-37.4493</v>
      </c>
      <c r="J11">
        <f t="shared" si="0"/>
        <v>-9.36232725</v>
      </c>
    </row>
    <row r="12" spans="1:10">
      <c r="A12" t="s">
        <v>45</v>
      </c>
      <c r="B12">
        <v>1</v>
      </c>
      <c r="C12" t="s">
        <v>32</v>
      </c>
      <c r="D12" s="2">
        <v>-37.444102</v>
      </c>
      <c r="E12" t="s">
        <v>33</v>
      </c>
      <c r="F12" s="2">
        <v>-37.444102</v>
      </c>
      <c r="G12" t="s">
        <v>7</v>
      </c>
      <c r="H12" t="s">
        <v>34</v>
      </c>
      <c r="I12">
        <f>-37.4441</f>
        <v>-37.4441</v>
      </c>
      <c r="J12">
        <f t="shared" si="0"/>
        <v>-9.3610255</v>
      </c>
    </row>
    <row r="13" spans="1:10">
      <c r="A13" t="s">
        <v>46</v>
      </c>
      <c r="B13">
        <v>1</v>
      </c>
      <c r="C13" t="s">
        <v>32</v>
      </c>
      <c r="D13" s="2">
        <v>-37.437452</v>
      </c>
      <c r="E13" t="s">
        <v>33</v>
      </c>
      <c r="F13" s="2">
        <v>-37.437452</v>
      </c>
      <c r="G13" t="s">
        <v>7</v>
      </c>
      <c r="H13" t="s">
        <v>34</v>
      </c>
      <c r="I13">
        <f>-37.4375</f>
        <v>-37.4375</v>
      </c>
      <c r="J13">
        <f t="shared" si="0"/>
        <v>-9.359363</v>
      </c>
    </row>
    <row r="14" spans="1:10">
      <c r="A14" t="s">
        <v>47</v>
      </c>
      <c r="B14">
        <v>1</v>
      </c>
      <c r="C14" t="s">
        <v>32</v>
      </c>
      <c r="D14" s="2">
        <v>-37.375678</v>
      </c>
      <c r="E14" t="s">
        <v>33</v>
      </c>
      <c r="F14" s="2">
        <v>-37.375678</v>
      </c>
      <c r="G14" t="s">
        <v>7</v>
      </c>
      <c r="H14" t="s">
        <v>34</v>
      </c>
      <c r="I14">
        <f>-37.3757</f>
        <v>-37.3757</v>
      </c>
      <c r="J14">
        <f t="shared" si="0"/>
        <v>-9.3439195</v>
      </c>
    </row>
    <row r="15" spans="1:10">
      <c r="A15" t="s">
        <v>48</v>
      </c>
      <c r="B15">
        <v>1</v>
      </c>
      <c r="C15" t="s">
        <v>32</v>
      </c>
      <c r="D15" s="2">
        <v>-37.242307</v>
      </c>
      <c r="E15" t="s">
        <v>33</v>
      </c>
      <c r="F15" s="2">
        <v>-37.242307</v>
      </c>
      <c r="G15" t="s">
        <v>7</v>
      </c>
      <c r="H15" t="s">
        <v>34</v>
      </c>
      <c r="I15">
        <f>-37.2423</f>
        <v>-37.2423</v>
      </c>
      <c r="J15">
        <f t="shared" si="0"/>
        <v>-9.31057675</v>
      </c>
    </row>
    <row r="16" spans="1:10">
      <c r="A16" t="s">
        <v>49</v>
      </c>
      <c r="B16">
        <v>1</v>
      </c>
      <c r="C16" t="s">
        <v>32</v>
      </c>
      <c r="D16" s="2">
        <v>-36.988366</v>
      </c>
      <c r="E16" t="s">
        <v>33</v>
      </c>
      <c r="F16" s="2">
        <v>-36.988366</v>
      </c>
      <c r="G16" t="s">
        <v>7</v>
      </c>
      <c r="H16" t="s">
        <v>34</v>
      </c>
      <c r="I16">
        <f>-36.9884</f>
        <v>-36.9884</v>
      </c>
      <c r="J16">
        <f t="shared" si="0"/>
        <v>-9.2470915</v>
      </c>
    </row>
    <row r="17" spans="1:10">
      <c r="A17" t="s">
        <v>50</v>
      </c>
      <c r="B17">
        <v>1</v>
      </c>
      <c r="C17" t="s">
        <v>32</v>
      </c>
      <c r="D17" s="2">
        <v>-36.533957</v>
      </c>
      <c r="E17" t="s">
        <v>33</v>
      </c>
      <c r="F17" s="2">
        <v>-36.533957</v>
      </c>
      <c r="G17" t="s">
        <v>7</v>
      </c>
      <c r="H17" t="s">
        <v>34</v>
      </c>
      <c r="I17">
        <f>-36.534</f>
        <v>-36.534</v>
      </c>
      <c r="J17">
        <f t="shared" si="0"/>
        <v>-9.13348925</v>
      </c>
    </row>
    <row r="18" spans="1:10">
      <c r="A18" t="s">
        <v>51</v>
      </c>
      <c r="B18">
        <v>1</v>
      </c>
      <c r="C18" t="s">
        <v>32</v>
      </c>
      <c r="D18" s="2">
        <v>-35.752314</v>
      </c>
      <c r="E18" t="s">
        <v>33</v>
      </c>
      <c r="F18" s="2">
        <v>-35.752314</v>
      </c>
      <c r="G18" t="s">
        <v>7</v>
      </c>
      <c r="H18" t="s">
        <v>34</v>
      </c>
      <c r="I18">
        <f>-35.7523</f>
        <v>-35.7523</v>
      </c>
      <c r="J18">
        <f t="shared" si="0"/>
        <v>-8.9380785</v>
      </c>
    </row>
    <row r="19" spans="1:10">
      <c r="A19" t="s">
        <v>52</v>
      </c>
      <c r="B19">
        <v>1</v>
      </c>
      <c r="C19" t="s">
        <v>32</v>
      </c>
      <c r="D19" s="2">
        <v>-34.526473</v>
      </c>
      <c r="E19" t="s">
        <v>33</v>
      </c>
      <c r="F19" s="2">
        <v>-34.526473</v>
      </c>
      <c r="G19" t="s">
        <v>7</v>
      </c>
      <c r="H19" t="s">
        <v>34</v>
      </c>
      <c r="I19">
        <f>-34.5265</f>
        <v>-34.5265</v>
      </c>
      <c r="J19">
        <f t="shared" si="0"/>
        <v>-8.63161825</v>
      </c>
    </row>
    <row r="20" spans="1:10">
      <c r="A20" t="s">
        <v>53</v>
      </c>
      <c r="B20">
        <v>3</v>
      </c>
      <c r="C20" t="s">
        <v>32</v>
      </c>
      <c r="D20" s="2">
        <v>-32.742931</v>
      </c>
      <c r="E20" t="s">
        <v>33</v>
      </c>
      <c r="F20" s="2">
        <v>-32.742931</v>
      </c>
      <c r="G20" t="s">
        <v>7</v>
      </c>
      <c r="H20" t="s">
        <v>34</v>
      </c>
      <c r="I20">
        <f>-0.0000126502</f>
        <v>-1.26502e-5</v>
      </c>
      <c r="J20">
        <f t="shared" si="0"/>
        <v>-8.18573275</v>
      </c>
    </row>
    <row r="21" spans="1:10">
      <c r="A21" t="s">
        <v>54</v>
      </c>
      <c r="B21">
        <v>3</v>
      </c>
      <c r="C21" t="s">
        <v>32</v>
      </c>
      <c r="D21" s="2">
        <v>-30.136836</v>
      </c>
      <c r="E21" t="s">
        <v>33</v>
      </c>
      <c r="F21" s="2">
        <v>-30.136836</v>
      </c>
      <c r="G21" t="s">
        <v>7</v>
      </c>
      <c r="H21" t="s">
        <v>34</v>
      </c>
      <c r="I21">
        <f>-0.0000235889</f>
        <v>-2.35889e-5</v>
      </c>
      <c r="J21">
        <f t="shared" si="0"/>
        <v>-7.534209</v>
      </c>
    </row>
    <row r="22" spans="1:10">
      <c r="A22" t="s">
        <v>55</v>
      </c>
      <c r="B22">
        <v>1</v>
      </c>
      <c r="C22" t="s">
        <v>32</v>
      </c>
      <c r="D22" s="2">
        <v>-26.261195</v>
      </c>
      <c r="E22" t="s">
        <v>33</v>
      </c>
      <c r="F22" s="2">
        <v>-26.261195</v>
      </c>
      <c r="G22" t="s">
        <v>7</v>
      </c>
      <c r="H22" t="s">
        <v>34</v>
      </c>
      <c r="I22">
        <f>-26.2612</f>
        <v>-26.2612</v>
      </c>
      <c r="J22">
        <f t="shared" si="0"/>
        <v>-6.56529875</v>
      </c>
    </row>
    <row r="23" spans="1:10">
      <c r="A23" t="s">
        <v>56</v>
      </c>
      <c r="B23">
        <v>3</v>
      </c>
      <c r="C23" t="s">
        <v>32</v>
      </c>
      <c r="D23" s="2">
        <v>-21.232114</v>
      </c>
      <c r="E23" t="s">
        <v>33</v>
      </c>
      <c r="F23" s="2">
        <v>-21.232114</v>
      </c>
      <c r="G23" t="s">
        <v>7</v>
      </c>
      <c r="H23" t="s">
        <v>34</v>
      </c>
      <c r="I23">
        <f>-0.000143453</f>
        <v>-0.000143453</v>
      </c>
      <c r="J23">
        <f t="shared" si="0"/>
        <v>-5.3080285</v>
      </c>
    </row>
    <row r="24" spans="1:10">
      <c r="A24" t="s">
        <v>57</v>
      </c>
      <c r="B24">
        <v>3</v>
      </c>
      <c r="C24" t="s">
        <v>32</v>
      </c>
      <c r="D24" s="2">
        <v>-14.143631</v>
      </c>
      <c r="E24" t="s">
        <v>33</v>
      </c>
      <c r="F24" s="2">
        <v>-14.143631</v>
      </c>
      <c r="G24" t="s">
        <v>7</v>
      </c>
      <c r="H24" t="s">
        <v>34</v>
      </c>
      <c r="I24">
        <f>-0.0000603664</f>
        <v>-6.03664e-5</v>
      </c>
      <c r="J24">
        <f t="shared" si="0"/>
        <v>-3.53590775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G5" sqref="G5"/>
    </sheetView>
  </sheetViews>
  <sheetFormatPr defaultColWidth="9" defaultRowHeight="15.75" outlineLevelCol="6"/>
  <cols>
    <col min="1" max="1" width="16.375" customWidth="1"/>
    <col min="2" max="2" width="2.375" customWidth="1"/>
    <col min="3" max="3" width="11.5" customWidth="1"/>
    <col min="4" max="5" width="2.375" customWidth="1"/>
    <col min="6" max="6" width="11.5" customWidth="1"/>
    <col min="7" max="7" width="12.625"/>
  </cols>
  <sheetData>
    <row r="1" spans="1:7">
      <c r="A1" t="s">
        <v>58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59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60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61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62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>C5*1000/6.022140857E+23*6242000000000000000/32</f>
        <v>0.0213018644695016</v>
      </c>
    </row>
    <row r="6" spans="1:7">
      <c r="A6" t="s">
        <v>63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64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65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66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67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68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69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70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71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72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73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74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75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76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77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78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79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80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81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4"/>
  <sheetViews>
    <sheetView topLeftCell="A7" workbookViewId="0">
      <selection activeCell="T1" sqref="T1:T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9.5" customWidth="1"/>
    <col min="7" max="9" width="2.375" customWidth="1"/>
    <col min="10" max="10" width="12.625"/>
    <col min="11" max="11" width="14" customWidth="1"/>
    <col min="12" max="12" width="2.875" customWidth="1"/>
    <col min="13" max="13" width="3.375" customWidth="1"/>
    <col min="14" max="16" width="11.5" customWidth="1"/>
    <col min="17" max="17" width="9.375" customWidth="1"/>
    <col min="18" max="19" width="2.375" customWidth="1"/>
    <col min="20" max="20" width="9.375"/>
  </cols>
  <sheetData>
    <row r="1" spans="1:20">
      <c r="A1" t="s">
        <v>31</v>
      </c>
      <c r="B1">
        <v>1</v>
      </c>
      <c r="C1" t="s">
        <v>32</v>
      </c>
      <c r="D1" s="2">
        <v>-37.198963</v>
      </c>
      <c r="E1" t="s">
        <v>33</v>
      </c>
      <c r="F1" s="2">
        <v>-37.198963</v>
      </c>
      <c r="G1" t="s">
        <v>7</v>
      </c>
      <c r="H1" t="s">
        <v>34</v>
      </c>
      <c r="I1">
        <f>-37.199</f>
        <v>-37.199</v>
      </c>
      <c r="J1">
        <f>F1/4</f>
        <v>-9.29974075</v>
      </c>
      <c r="K1" t="s">
        <v>82</v>
      </c>
      <c r="L1" t="s">
        <v>83</v>
      </c>
      <c r="M1" t="s">
        <v>84</v>
      </c>
      <c r="N1">
        <v>-2.70814</v>
      </c>
      <c r="O1">
        <v>-2.38469</v>
      </c>
      <c r="P1">
        <v>-17.4798</v>
      </c>
      <c r="Q1">
        <v>0.28012</v>
      </c>
      <c r="R1">
        <v>0</v>
      </c>
      <c r="S1">
        <v>0</v>
      </c>
      <c r="T1">
        <f>P1/10</f>
        <v>-1.74798</v>
      </c>
    </row>
    <row r="2" spans="1:20">
      <c r="A2" t="s">
        <v>35</v>
      </c>
      <c r="B2">
        <v>1</v>
      </c>
      <c r="C2" t="s">
        <v>32</v>
      </c>
      <c r="D2" s="2">
        <v>-37.213084</v>
      </c>
      <c r="E2" t="s">
        <v>33</v>
      </c>
      <c r="F2" s="2">
        <v>-37.213084</v>
      </c>
      <c r="G2" t="s">
        <v>7</v>
      </c>
      <c r="H2" t="s">
        <v>34</v>
      </c>
      <c r="I2">
        <f>-37.2131</f>
        <v>-37.2131</v>
      </c>
      <c r="J2">
        <f>F2/4</f>
        <v>-9.303271</v>
      </c>
      <c r="K2" t="s">
        <v>85</v>
      </c>
      <c r="L2" t="s">
        <v>83</v>
      </c>
      <c r="M2" t="s">
        <v>84</v>
      </c>
      <c r="N2">
        <v>-3.40202</v>
      </c>
      <c r="O2">
        <v>-3.18118</v>
      </c>
      <c r="P2">
        <v>-13.7949</v>
      </c>
      <c r="Q2">
        <v>0.19125</v>
      </c>
      <c r="R2">
        <v>0</v>
      </c>
      <c r="S2">
        <v>0</v>
      </c>
      <c r="T2">
        <f t="shared" ref="T2:T24" si="0">P2/10</f>
        <v>-1.37949</v>
      </c>
    </row>
    <row r="3" spans="1:20">
      <c r="A3" t="s">
        <v>36</v>
      </c>
      <c r="B3">
        <v>1</v>
      </c>
      <c r="C3" t="s">
        <v>32</v>
      </c>
      <c r="D3" s="2">
        <v>-37.221192</v>
      </c>
      <c r="E3" t="s">
        <v>33</v>
      </c>
      <c r="F3" s="2">
        <v>-37.221192</v>
      </c>
      <c r="G3" t="s">
        <v>7</v>
      </c>
      <c r="H3" t="s">
        <v>34</v>
      </c>
      <c r="I3">
        <f>-37.2212</f>
        <v>-37.2212</v>
      </c>
      <c r="K3" t="s">
        <v>86</v>
      </c>
      <c r="L3" t="s">
        <v>83</v>
      </c>
      <c r="M3" t="s">
        <v>84</v>
      </c>
      <c r="N3">
        <v>-4.50753</v>
      </c>
      <c r="O3">
        <v>-4.36693</v>
      </c>
      <c r="P3">
        <v>-6.49711</v>
      </c>
      <c r="Q3">
        <v>0.12176</v>
      </c>
      <c r="R3">
        <v>0</v>
      </c>
      <c r="S3">
        <v>0</v>
      </c>
      <c r="T3">
        <f t="shared" si="0"/>
        <v>-0.649711</v>
      </c>
    </row>
    <row r="4" spans="1:20">
      <c r="A4" t="s">
        <v>37</v>
      </c>
      <c r="B4">
        <v>1</v>
      </c>
      <c r="C4" t="s">
        <v>32</v>
      </c>
      <c r="D4" s="2">
        <v>-37.221673</v>
      </c>
      <c r="E4" t="s">
        <v>33</v>
      </c>
      <c r="F4" s="2">
        <v>-37.221673</v>
      </c>
      <c r="G4" t="s">
        <v>7</v>
      </c>
      <c r="H4" t="s">
        <v>34</v>
      </c>
      <c r="I4">
        <f>-37.2217</f>
        <v>-37.2217</v>
      </c>
      <c r="K4" t="s">
        <v>87</v>
      </c>
      <c r="L4" t="s">
        <v>83</v>
      </c>
      <c r="M4" t="s">
        <v>84</v>
      </c>
      <c r="N4">
        <v>-4.78273</v>
      </c>
      <c r="O4">
        <v>-4.65799</v>
      </c>
      <c r="P4">
        <v>-4.36941</v>
      </c>
      <c r="Q4">
        <v>0.10803</v>
      </c>
      <c r="R4">
        <v>0</v>
      </c>
      <c r="S4">
        <v>0</v>
      </c>
      <c r="T4">
        <f t="shared" si="0"/>
        <v>-0.436941</v>
      </c>
    </row>
    <row r="5" spans="1:20">
      <c r="A5" t="s">
        <v>38</v>
      </c>
      <c r="B5">
        <v>1</v>
      </c>
      <c r="C5" t="s">
        <v>32</v>
      </c>
      <c r="D5" s="2">
        <v>-37.221664</v>
      </c>
      <c r="E5" t="s">
        <v>33</v>
      </c>
      <c r="F5" s="2">
        <v>-37.221664</v>
      </c>
      <c r="G5" t="s">
        <v>7</v>
      </c>
      <c r="H5" t="s">
        <v>34</v>
      </c>
      <c r="I5">
        <f>-37.2217</f>
        <v>-37.2217</v>
      </c>
      <c r="K5" t="s">
        <v>88</v>
      </c>
      <c r="L5" t="s">
        <v>83</v>
      </c>
      <c r="M5" t="s">
        <v>84</v>
      </c>
      <c r="N5">
        <v>-5.08591</v>
      </c>
      <c r="O5">
        <v>-4.97691</v>
      </c>
      <c r="P5">
        <v>-1.94466</v>
      </c>
      <c r="Q5">
        <v>0.09439</v>
      </c>
      <c r="R5">
        <v>0</v>
      </c>
      <c r="S5">
        <v>0</v>
      </c>
      <c r="T5">
        <f t="shared" si="0"/>
        <v>-0.194466</v>
      </c>
    </row>
    <row r="6" spans="1:20">
      <c r="A6" t="s">
        <v>39</v>
      </c>
      <c r="B6">
        <v>1</v>
      </c>
      <c r="C6" t="s">
        <v>32</v>
      </c>
      <c r="D6" s="2">
        <v>-37.221032</v>
      </c>
      <c r="E6" t="s">
        <v>33</v>
      </c>
      <c r="F6" s="2">
        <v>-37.221032</v>
      </c>
      <c r="G6" t="s">
        <v>7</v>
      </c>
      <c r="H6" t="s">
        <v>34</v>
      </c>
      <c r="I6">
        <f>-37.221</f>
        <v>-37.221</v>
      </c>
      <c r="K6" t="s">
        <v>89</v>
      </c>
      <c r="L6" t="s">
        <v>83</v>
      </c>
      <c r="M6" t="s">
        <v>84</v>
      </c>
      <c r="N6">
        <v>-5.40348</v>
      </c>
      <c r="O6">
        <v>-5.31029</v>
      </c>
      <c r="P6">
        <v>0.83872</v>
      </c>
      <c r="Q6">
        <v>0.08071</v>
      </c>
      <c r="R6">
        <v>0</v>
      </c>
      <c r="S6">
        <v>0</v>
      </c>
      <c r="T6">
        <f t="shared" si="0"/>
        <v>0.083872</v>
      </c>
    </row>
    <row r="7" spans="1:20">
      <c r="A7" t="s">
        <v>40</v>
      </c>
      <c r="B7">
        <v>1</v>
      </c>
      <c r="C7" t="s">
        <v>32</v>
      </c>
      <c r="D7" s="2">
        <v>-37.219775</v>
      </c>
      <c r="E7" t="s">
        <v>33</v>
      </c>
      <c r="F7" s="2">
        <v>-37.219775</v>
      </c>
      <c r="G7" t="s">
        <v>7</v>
      </c>
      <c r="H7" t="s">
        <v>34</v>
      </c>
      <c r="I7">
        <f>-37.2198</f>
        <v>-37.2198</v>
      </c>
      <c r="K7" t="s">
        <v>90</v>
      </c>
      <c r="L7" t="s">
        <v>83</v>
      </c>
      <c r="M7" t="s">
        <v>84</v>
      </c>
      <c r="N7">
        <v>-5.75432</v>
      </c>
      <c r="O7">
        <v>-5.67703</v>
      </c>
      <c r="P7">
        <v>4.0474</v>
      </c>
      <c r="Q7">
        <v>0.06694</v>
      </c>
      <c r="R7">
        <v>0</v>
      </c>
      <c r="S7">
        <v>0</v>
      </c>
      <c r="T7">
        <f t="shared" si="0"/>
        <v>0.40474</v>
      </c>
    </row>
    <row r="8" spans="1:20">
      <c r="A8" t="s">
        <v>41</v>
      </c>
      <c r="B8">
        <v>1</v>
      </c>
      <c r="C8" t="s">
        <v>32</v>
      </c>
      <c r="D8" s="2">
        <v>-37.217743</v>
      </c>
      <c r="E8" t="s">
        <v>33</v>
      </c>
      <c r="F8" s="2">
        <v>-37.217743</v>
      </c>
      <c r="G8" t="s">
        <v>7</v>
      </c>
      <c r="H8" t="s">
        <v>34</v>
      </c>
      <c r="I8">
        <f>-37.2177</f>
        <v>-37.2177</v>
      </c>
      <c r="K8" t="s">
        <v>91</v>
      </c>
      <c r="L8" t="s">
        <v>83</v>
      </c>
      <c r="M8" t="s">
        <v>84</v>
      </c>
      <c r="N8">
        <v>-6.11871</v>
      </c>
      <c r="O8">
        <v>-6.05836</v>
      </c>
      <c r="P8">
        <v>7.66066</v>
      </c>
      <c r="Q8">
        <v>0.05226</v>
      </c>
      <c r="R8">
        <v>0</v>
      </c>
      <c r="S8">
        <v>0</v>
      </c>
      <c r="T8">
        <f t="shared" si="0"/>
        <v>0.766066</v>
      </c>
    </row>
    <row r="9" spans="1:20">
      <c r="A9" t="s">
        <v>42</v>
      </c>
      <c r="B9">
        <v>1</v>
      </c>
      <c r="C9" t="s">
        <v>32</v>
      </c>
      <c r="D9" s="2">
        <v>-37.214844</v>
      </c>
      <c r="E9" t="s">
        <v>33</v>
      </c>
      <c r="F9" s="2">
        <v>-37.214844</v>
      </c>
      <c r="G9" t="s">
        <v>7</v>
      </c>
      <c r="H9" t="s">
        <v>34</v>
      </c>
      <c r="I9">
        <f>-37.2148</f>
        <v>-37.2148</v>
      </c>
      <c r="K9" t="s">
        <v>92</v>
      </c>
      <c r="L9" t="s">
        <v>83</v>
      </c>
      <c r="M9" t="s">
        <v>84</v>
      </c>
      <c r="N9">
        <v>-6.54105</v>
      </c>
      <c r="O9">
        <v>-6.49676</v>
      </c>
      <c r="P9">
        <v>12.09655</v>
      </c>
      <c r="Q9">
        <v>0.03836</v>
      </c>
      <c r="R9">
        <v>0</v>
      </c>
      <c r="S9">
        <v>0</v>
      </c>
      <c r="T9">
        <f t="shared" si="0"/>
        <v>1.209655</v>
      </c>
    </row>
    <row r="10" spans="1:20">
      <c r="A10" t="s">
        <v>43</v>
      </c>
      <c r="B10">
        <v>1</v>
      </c>
      <c r="C10" t="s">
        <v>32</v>
      </c>
      <c r="D10" s="2">
        <v>-37.210978</v>
      </c>
      <c r="E10" t="s">
        <v>33</v>
      </c>
      <c r="F10" s="2">
        <v>-37.210978</v>
      </c>
      <c r="G10" t="s">
        <v>7</v>
      </c>
      <c r="H10" t="s">
        <v>34</v>
      </c>
      <c r="I10">
        <f>-37.211</f>
        <v>-37.211</v>
      </c>
      <c r="K10" t="s">
        <v>93</v>
      </c>
      <c r="L10" t="s">
        <v>83</v>
      </c>
      <c r="M10" t="s">
        <v>84</v>
      </c>
      <c r="N10">
        <v>-6.92346</v>
      </c>
      <c r="O10">
        <v>-6.89808</v>
      </c>
      <c r="P10">
        <v>16.50845</v>
      </c>
      <c r="Q10">
        <v>0.02197</v>
      </c>
      <c r="R10">
        <v>0</v>
      </c>
      <c r="S10">
        <v>0</v>
      </c>
      <c r="T10">
        <f t="shared" si="0"/>
        <v>1.650845</v>
      </c>
    </row>
    <row r="11" spans="1:20">
      <c r="A11" t="s">
        <v>44</v>
      </c>
      <c r="B11">
        <v>1</v>
      </c>
      <c r="C11" t="s">
        <v>32</v>
      </c>
      <c r="D11" s="2">
        <v>-37.205987</v>
      </c>
      <c r="E11" t="s">
        <v>33</v>
      </c>
      <c r="F11" s="2">
        <v>-37.205987</v>
      </c>
      <c r="G11" t="s">
        <v>7</v>
      </c>
      <c r="H11" t="s">
        <v>34</v>
      </c>
      <c r="I11">
        <f>-37.206</f>
        <v>-37.206</v>
      </c>
      <c r="K11" t="s">
        <v>94</v>
      </c>
      <c r="L11" t="s">
        <v>83</v>
      </c>
      <c r="M11" t="s">
        <v>84</v>
      </c>
      <c r="N11">
        <v>-7.3603</v>
      </c>
      <c r="O11">
        <v>-7.35282</v>
      </c>
      <c r="P11">
        <v>21.84954</v>
      </c>
      <c r="Q11">
        <v>0.00648</v>
      </c>
      <c r="R11">
        <v>0</v>
      </c>
      <c r="S11">
        <v>0</v>
      </c>
      <c r="T11">
        <f t="shared" si="0"/>
        <v>2.184954</v>
      </c>
    </row>
    <row r="12" spans="1:20">
      <c r="A12" t="s">
        <v>45</v>
      </c>
      <c r="B12">
        <v>1</v>
      </c>
      <c r="C12" t="s">
        <v>32</v>
      </c>
      <c r="D12" s="2">
        <v>-37.199727</v>
      </c>
      <c r="E12" t="s">
        <v>33</v>
      </c>
      <c r="F12" s="2">
        <v>-37.199727</v>
      </c>
      <c r="G12" t="s">
        <v>7</v>
      </c>
      <c r="H12" t="s">
        <v>34</v>
      </c>
      <c r="I12">
        <f>-37.1997</f>
        <v>-37.1997</v>
      </c>
      <c r="K12" t="s">
        <v>95</v>
      </c>
      <c r="L12" t="s">
        <v>83</v>
      </c>
      <c r="M12" t="s">
        <v>84</v>
      </c>
      <c r="N12">
        <v>-7.85094</v>
      </c>
      <c r="O12">
        <v>-7.86154</v>
      </c>
      <c r="P12">
        <v>28.1936</v>
      </c>
      <c r="Q12">
        <v>-0.00918</v>
      </c>
      <c r="R12">
        <v>0</v>
      </c>
      <c r="S12">
        <v>0</v>
      </c>
      <c r="T12">
        <f t="shared" si="0"/>
        <v>2.81936</v>
      </c>
    </row>
    <row r="13" spans="1:20">
      <c r="A13" t="s">
        <v>46</v>
      </c>
      <c r="B13">
        <v>1</v>
      </c>
      <c r="C13" t="s">
        <v>32</v>
      </c>
      <c r="D13" s="2">
        <v>-37.192026</v>
      </c>
      <c r="E13" t="s">
        <v>33</v>
      </c>
      <c r="F13" s="2">
        <v>-37.192026</v>
      </c>
      <c r="G13" t="s">
        <v>7</v>
      </c>
      <c r="H13" t="s">
        <v>34</v>
      </c>
      <c r="I13">
        <f>-37.192</f>
        <v>-37.192</v>
      </c>
      <c r="K13" t="s">
        <v>96</v>
      </c>
      <c r="L13" t="s">
        <v>83</v>
      </c>
      <c r="M13" t="s">
        <v>84</v>
      </c>
      <c r="N13">
        <v>-8.29527</v>
      </c>
      <c r="O13">
        <v>-8.3259</v>
      </c>
      <c r="P13">
        <v>34.70399</v>
      </c>
      <c r="Q13">
        <v>-0.02652</v>
      </c>
      <c r="R13">
        <v>0</v>
      </c>
      <c r="S13">
        <v>0</v>
      </c>
      <c r="T13">
        <f t="shared" si="0"/>
        <v>3.470399</v>
      </c>
    </row>
    <row r="14" spans="1:20">
      <c r="A14" t="s">
        <v>47</v>
      </c>
      <c r="B14">
        <v>1</v>
      </c>
      <c r="C14" t="s">
        <v>32</v>
      </c>
      <c r="D14" s="2">
        <v>-37.125248</v>
      </c>
      <c r="E14" t="s">
        <v>33</v>
      </c>
      <c r="F14" s="2">
        <v>-37.125248</v>
      </c>
      <c r="G14" t="s">
        <v>7</v>
      </c>
      <c r="H14" t="s">
        <v>34</v>
      </c>
      <c r="I14">
        <f>-37.1252</f>
        <v>-37.1252</v>
      </c>
      <c r="K14" t="s">
        <v>97</v>
      </c>
      <c r="L14" t="s">
        <v>83</v>
      </c>
      <c r="M14" t="s">
        <v>84</v>
      </c>
      <c r="N14">
        <v>-11.01718</v>
      </c>
      <c r="O14">
        <v>-11.15287</v>
      </c>
      <c r="P14">
        <v>83.13759</v>
      </c>
      <c r="Q14">
        <v>-0.11751</v>
      </c>
      <c r="R14">
        <v>0</v>
      </c>
      <c r="S14">
        <v>0</v>
      </c>
      <c r="T14">
        <f t="shared" si="0"/>
        <v>8.313759</v>
      </c>
    </row>
    <row r="15" spans="1:20">
      <c r="A15" t="s">
        <v>48</v>
      </c>
      <c r="B15">
        <v>1</v>
      </c>
      <c r="C15" t="s">
        <v>32</v>
      </c>
      <c r="D15" s="2">
        <v>-36.987991</v>
      </c>
      <c r="E15" t="s">
        <v>33</v>
      </c>
      <c r="F15" s="2">
        <v>-36.987991</v>
      </c>
      <c r="G15" t="s">
        <v>7</v>
      </c>
      <c r="H15" t="s">
        <v>34</v>
      </c>
      <c r="I15">
        <f>-36.988</f>
        <v>-36.988</v>
      </c>
      <c r="K15" t="s">
        <v>98</v>
      </c>
      <c r="L15" t="s">
        <v>83</v>
      </c>
      <c r="M15" t="s">
        <v>84</v>
      </c>
      <c r="N15">
        <v>-14.16293</v>
      </c>
      <c r="O15">
        <v>-14.41278</v>
      </c>
      <c r="P15">
        <v>163.64584</v>
      </c>
      <c r="Q15">
        <v>-0.21637</v>
      </c>
      <c r="R15">
        <v>0</v>
      </c>
      <c r="S15">
        <v>0</v>
      </c>
      <c r="T15">
        <f t="shared" si="0"/>
        <v>16.364584</v>
      </c>
    </row>
    <row r="16" spans="1:20">
      <c r="A16" t="s">
        <v>49</v>
      </c>
      <c r="B16">
        <v>1</v>
      </c>
      <c r="C16" t="s">
        <v>32</v>
      </c>
      <c r="D16" s="2">
        <v>-36.737023</v>
      </c>
      <c r="E16" t="s">
        <v>33</v>
      </c>
      <c r="F16" s="2">
        <v>-36.737023</v>
      </c>
      <c r="G16" t="s">
        <v>7</v>
      </c>
      <c r="H16" t="s">
        <v>34</v>
      </c>
      <c r="I16">
        <f>-36.737</f>
        <v>-36.737</v>
      </c>
      <c r="K16" t="s">
        <v>99</v>
      </c>
      <c r="L16" t="s">
        <v>83</v>
      </c>
      <c r="M16" t="s">
        <v>84</v>
      </c>
      <c r="N16">
        <v>-17.17197</v>
      </c>
      <c r="O16">
        <v>-17.51691</v>
      </c>
      <c r="P16">
        <v>291.62834</v>
      </c>
      <c r="Q16">
        <v>-0.29873</v>
      </c>
      <c r="R16">
        <v>0</v>
      </c>
      <c r="S16">
        <v>0</v>
      </c>
      <c r="T16">
        <f t="shared" si="0"/>
        <v>29.162834</v>
      </c>
    </row>
    <row r="17" spans="1:20">
      <c r="A17" t="s">
        <v>50</v>
      </c>
      <c r="B17">
        <v>1</v>
      </c>
      <c r="C17" t="s">
        <v>32</v>
      </c>
      <c r="D17" s="2">
        <v>-36.306229</v>
      </c>
      <c r="E17" t="s">
        <v>33</v>
      </c>
      <c r="F17" s="2">
        <v>-36.306229</v>
      </c>
      <c r="G17" t="s">
        <v>7</v>
      </c>
      <c r="H17" t="s">
        <v>34</v>
      </c>
      <c r="I17">
        <f>-36.3062</f>
        <v>-36.3062</v>
      </c>
      <c r="K17" t="s">
        <v>100</v>
      </c>
      <c r="L17" t="s">
        <v>83</v>
      </c>
      <c r="M17" t="s">
        <v>84</v>
      </c>
      <c r="N17">
        <v>-17.75908</v>
      </c>
      <c r="O17">
        <v>-18.06139</v>
      </c>
      <c r="P17">
        <v>495.90418</v>
      </c>
      <c r="Q17">
        <v>-0.26181</v>
      </c>
      <c r="R17">
        <v>0</v>
      </c>
      <c r="S17">
        <v>0</v>
      </c>
      <c r="T17">
        <f t="shared" si="0"/>
        <v>49.590418</v>
      </c>
    </row>
    <row r="18" spans="1:20">
      <c r="A18" t="s">
        <v>51</v>
      </c>
      <c r="B18">
        <v>1</v>
      </c>
      <c r="C18" t="s">
        <v>32</v>
      </c>
      <c r="D18" s="2">
        <v>-35.587047</v>
      </c>
      <c r="E18" t="s">
        <v>33</v>
      </c>
      <c r="F18" s="2">
        <v>-35.587047</v>
      </c>
      <c r="G18" t="s">
        <v>7</v>
      </c>
      <c r="H18" t="s">
        <v>34</v>
      </c>
      <c r="I18">
        <f>-35.587</f>
        <v>-35.587</v>
      </c>
      <c r="K18" t="s">
        <v>101</v>
      </c>
      <c r="L18" t="s">
        <v>83</v>
      </c>
      <c r="M18" t="s">
        <v>84</v>
      </c>
      <c r="N18">
        <v>-14.08485</v>
      </c>
      <c r="O18">
        <v>-13.98048</v>
      </c>
      <c r="P18">
        <v>817.95232</v>
      </c>
      <c r="Q18">
        <v>0.09039</v>
      </c>
      <c r="R18">
        <v>0</v>
      </c>
      <c r="S18">
        <v>0</v>
      </c>
      <c r="T18">
        <f t="shared" si="0"/>
        <v>81.795232</v>
      </c>
    </row>
    <row r="19" spans="1:20">
      <c r="A19" t="s">
        <v>52</v>
      </c>
      <c r="B19">
        <v>1</v>
      </c>
      <c r="C19" t="s">
        <v>32</v>
      </c>
      <c r="D19" s="2">
        <v>-34.443888</v>
      </c>
      <c r="E19" t="s">
        <v>33</v>
      </c>
      <c r="F19" s="2">
        <v>-34.443888</v>
      </c>
      <c r="G19" t="s">
        <v>7</v>
      </c>
      <c r="H19" t="s">
        <v>34</v>
      </c>
      <c r="I19">
        <f>-34.4439</f>
        <v>-34.4439</v>
      </c>
      <c r="K19" t="s">
        <v>102</v>
      </c>
      <c r="L19" t="s">
        <v>83</v>
      </c>
      <c r="M19" t="s">
        <v>84</v>
      </c>
      <c r="N19">
        <v>-9.69094</v>
      </c>
      <c r="O19">
        <v>-9.39747</v>
      </c>
      <c r="P19">
        <v>1262.64436</v>
      </c>
      <c r="Q19">
        <v>0.25415</v>
      </c>
      <c r="R19">
        <v>0</v>
      </c>
      <c r="S19">
        <v>0</v>
      </c>
      <c r="T19">
        <f t="shared" si="0"/>
        <v>126.264436</v>
      </c>
    </row>
    <row r="20" spans="1:20">
      <c r="A20" t="s">
        <v>53</v>
      </c>
      <c r="B20">
        <v>1</v>
      </c>
      <c r="C20" t="s">
        <v>32</v>
      </c>
      <c r="D20" s="2">
        <v>-32.739216</v>
      </c>
      <c r="E20" t="s">
        <v>33</v>
      </c>
      <c r="F20" s="2">
        <v>-32.739216</v>
      </c>
      <c r="G20" t="s">
        <v>7</v>
      </c>
      <c r="H20" t="s">
        <v>34</v>
      </c>
      <c r="I20">
        <f>-32.7392</f>
        <v>-32.7392</v>
      </c>
      <c r="K20" t="s">
        <v>103</v>
      </c>
      <c r="L20" t="s">
        <v>83</v>
      </c>
      <c r="M20" t="s">
        <v>84</v>
      </c>
      <c r="N20">
        <v>62.64671</v>
      </c>
      <c r="O20">
        <v>63.09021</v>
      </c>
      <c r="P20">
        <v>1845.37527</v>
      </c>
      <c r="Q20">
        <v>0.38408</v>
      </c>
      <c r="R20">
        <v>0</v>
      </c>
      <c r="S20">
        <v>0</v>
      </c>
      <c r="T20">
        <f t="shared" si="0"/>
        <v>184.537527</v>
      </c>
    </row>
    <row r="21" spans="1:20">
      <c r="A21" t="s">
        <v>54</v>
      </c>
      <c r="B21">
        <v>1</v>
      </c>
      <c r="C21" t="s">
        <v>32</v>
      </c>
      <c r="D21" s="2">
        <v>-30.244928</v>
      </c>
      <c r="E21" t="s">
        <v>33</v>
      </c>
      <c r="F21" s="2">
        <v>-30.244928</v>
      </c>
      <c r="G21" t="s">
        <v>7</v>
      </c>
      <c r="H21" t="s">
        <v>34</v>
      </c>
      <c r="I21">
        <f>-30.2449</f>
        <v>-30.2449</v>
      </c>
      <c r="K21" t="s">
        <v>104</v>
      </c>
      <c r="L21" t="s">
        <v>83</v>
      </c>
      <c r="M21" t="s">
        <v>84</v>
      </c>
      <c r="N21">
        <v>238.657</v>
      </c>
      <c r="O21">
        <v>238.98526</v>
      </c>
      <c r="P21">
        <v>2781.77108</v>
      </c>
      <c r="Q21">
        <v>0.28428</v>
      </c>
      <c r="R21">
        <v>0</v>
      </c>
      <c r="S21">
        <v>0</v>
      </c>
      <c r="T21">
        <f t="shared" si="0"/>
        <v>278.177108</v>
      </c>
    </row>
    <row r="22" spans="1:20">
      <c r="A22" t="s">
        <v>55</v>
      </c>
      <c r="B22">
        <v>1</v>
      </c>
      <c r="C22" t="s">
        <v>32</v>
      </c>
      <c r="D22" s="2">
        <v>-26.487302</v>
      </c>
      <c r="E22" t="s">
        <v>33</v>
      </c>
      <c r="F22" s="2">
        <v>-26.487302</v>
      </c>
      <c r="G22" t="s">
        <v>7</v>
      </c>
      <c r="H22" t="s">
        <v>34</v>
      </c>
      <c r="I22">
        <f>-26.4873</f>
        <v>-26.4873</v>
      </c>
      <c r="K22" t="s">
        <v>105</v>
      </c>
      <c r="L22" t="s">
        <v>83</v>
      </c>
      <c r="M22" t="s">
        <v>84</v>
      </c>
      <c r="N22">
        <v>709.01882</v>
      </c>
      <c r="O22">
        <v>708.28629</v>
      </c>
      <c r="P22">
        <v>4109.4174</v>
      </c>
      <c r="Q22">
        <v>-0.6344</v>
      </c>
      <c r="R22">
        <v>0</v>
      </c>
      <c r="S22">
        <v>0</v>
      </c>
      <c r="T22">
        <f t="shared" si="0"/>
        <v>410.94174</v>
      </c>
    </row>
    <row r="23" spans="1:20">
      <c r="A23" t="s">
        <v>56</v>
      </c>
      <c r="B23">
        <v>1</v>
      </c>
      <c r="C23" t="s">
        <v>32</v>
      </c>
      <c r="D23" s="2">
        <v>-21.520284</v>
      </c>
      <c r="E23" t="s">
        <v>33</v>
      </c>
      <c r="F23" s="2">
        <v>-21.520284</v>
      </c>
      <c r="G23" t="s">
        <v>7</v>
      </c>
      <c r="H23" t="s">
        <v>34</v>
      </c>
      <c r="I23">
        <f>-21.5203</f>
        <v>-21.5203</v>
      </c>
      <c r="K23" t="s">
        <v>106</v>
      </c>
      <c r="L23" t="s">
        <v>83</v>
      </c>
      <c r="M23" t="s">
        <v>84</v>
      </c>
      <c r="N23">
        <v>1922.70321</v>
      </c>
      <c r="O23">
        <v>1921.58153</v>
      </c>
      <c r="P23">
        <v>5152.91824</v>
      </c>
      <c r="Q23">
        <v>-0.9714</v>
      </c>
      <c r="R23">
        <v>0</v>
      </c>
      <c r="S23">
        <v>0</v>
      </c>
      <c r="T23">
        <f t="shared" si="0"/>
        <v>515.291824</v>
      </c>
    </row>
    <row r="24" spans="1:20">
      <c r="A24" t="s">
        <v>57</v>
      </c>
      <c r="B24">
        <v>1</v>
      </c>
      <c r="C24" t="s">
        <v>32</v>
      </c>
      <c r="D24" s="2">
        <v>-14.619444</v>
      </c>
      <c r="E24" t="s">
        <v>33</v>
      </c>
      <c r="F24" s="2">
        <v>-14.619444</v>
      </c>
      <c r="G24" t="s">
        <v>7</v>
      </c>
      <c r="H24" t="s">
        <v>34</v>
      </c>
      <c r="I24">
        <f>-14.6194</f>
        <v>-14.6194</v>
      </c>
      <c r="K24" t="s">
        <v>107</v>
      </c>
      <c r="L24" t="s">
        <v>83</v>
      </c>
      <c r="M24" t="s">
        <v>84</v>
      </c>
      <c r="N24">
        <v>3453.20136</v>
      </c>
      <c r="O24">
        <v>3452.14486</v>
      </c>
      <c r="P24">
        <v>7654.28943</v>
      </c>
      <c r="Q24">
        <v>-0.91496</v>
      </c>
      <c r="R24">
        <v>0</v>
      </c>
      <c r="S24">
        <v>0</v>
      </c>
      <c r="T24">
        <f t="shared" si="0"/>
        <v>765.428943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1" max="1" width="12.625"/>
    <col min="2" max="2" width="14" hidden="1" customWidth="1"/>
    <col min="3" max="3" width="2.875" hidden="1" customWidth="1"/>
    <col min="4" max="4" width="3.375" hidden="1" customWidth="1"/>
    <col min="5" max="6" width="11.5" hidden="1" customWidth="1"/>
    <col min="7" max="7" width="11.5" customWidth="1"/>
    <col min="8" max="8" width="9.375" customWidth="1"/>
    <col min="9" max="10" width="2.375" customWidth="1"/>
  </cols>
  <sheetData>
    <row r="1" spans="1:10">
      <c r="A1" s="1">
        <v>7.734603659</v>
      </c>
      <c r="B1" t="s">
        <v>82</v>
      </c>
      <c r="C1" t="s">
        <v>83</v>
      </c>
      <c r="D1" t="s">
        <v>84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85</v>
      </c>
      <c r="C2" t="s">
        <v>83</v>
      </c>
      <c r="D2" t="s">
        <v>84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86</v>
      </c>
      <c r="C3" t="s">
        <v>83</v>
      </c>
      <c r="D3" t="s">
        <v>84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87</v>
      </c>
      <c r="C4" t="s">
        <v>83</v>
      </c>
      <c r="D4" t="s">
        <v>84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88</v>
      </c>
      <c r="C5" t="s">
        <v>83</v>
      </c>
      <c r="D5" t="s">
        <v>84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89</v>
      </c>
      <c r="C6" t="s">
        <v>83</v>
      </c>
      <c r="D6" t="s">
        <v>84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90</v>
      </c>
      <c r="C7" t="s">
        <v>83</v>
      </c>
      <c r="D7" t="s">
        <v>84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91</v>
      </c>
      <c r="C8" t="s">
        <v>83</v>
      </c>
      <c r="D8" t="s">
        <v>84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92</v>
      </c>
      <c r="C9" t="s">
        <v>83</v>
      </c>
      <c r="D9" t="s">
        <v>84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93</v>
      </c>
      <c r="C10" t="s">
        <v>83</v>
      </c>
      <c r="D10" t="s">
        <v>84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94</v>
      </c>
      <c r="C11" t="s">
        <v>83</v>
      </c>
      <c r="D11" t="s">
        <v>84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95</v>
      </c>
      <c r="C12" t="s">
        <v>83</v>
      </c>
      <c r="D12" t="s">
        <v>84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96</v>
      </c>
      <c r="C13" t="s">
        <v>83</v>
      </c>
      <c r="D13" t="s">
        <v>84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97</v>
      </c>
      <c r="C14" t="s">
        <v>83</v>
      </c>
      <c r="D14" t="s">
        <v>84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98</v>
      </c>
      <c r="C15" t="s">
        <v>83</v>
      </c>
      <c r="D15" t="s">
        <v>84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99</v>
      </c>
      <c r="C16" t="s">
        <v>83</v>
      </c>
      <c r="D16" t="s">
        <v>84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100</v>
      </c>
      <c r="C17" t="s">
        <v>83</v>
      </c>
      <c r="D17" t="s">
        <v>84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101</v>
      </c>
      <c r="C18" t="s">
        <v>83</v>
      </c>
      <c r="D18" t="s">
        <v>84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102</v>
      </c>
      <c r="C19" t="s">
        <v>83</v>
      </c>
      <c r="D19" t="s">
        <v>84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103</v>
      </c>
      <c r="C20" t="s">
        <v>83</v>
      </c>
      <c r="D20" t="s">
        <v>84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104</v>
      </c>
      <c r="C21" t="s">
        <v>83</v>
      </c>
      <c r="D21" t="s">
        <v>84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105</v>
      </c>
      <c r="C22" t="s">
        <v>83</v>
      </c>
      <c r="D22" t="s">
        <v>84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106</v>
      </c>
      <c r="C23" t="s">
        <v>83</v>
      </c>
      <c r="D23" t="s">
        <v>84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107</v>
      </c>
      <c r="C24" t="s">
        <v>83</v>
      </c>
      <c r="D24" t="s">
        <v>84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G1" sqref="G1:G24"/>
    </sheetView>
  </sheetViews>
  <sheetFormatPr defaultColWidth="9" defaultRowHeight="15.75" outlineLevelCol="6"/>
  <cols>
    <col min="1" max="1" width="16.375" customWidth="1"/>
    <col min="2" max="2" width="2.375" customWidth="1"/>
    <col min="3" max="3" width="11.5" customWidth="1"/>
    <col min="4" max="5" width="2.375" customWidth="1"/>
    <col min="6" max="6" width="11.5" customWidth="1"/>
    <col min="7" max="7" width="12.625"/>
  </cols>
  <sheetData>
    <row r="1" spans="1:7">
      <c r="A1" t="s">
        <v>58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59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60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61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62</v>
      </c>
      <c r="B5">
        <v>0</v>
      </c>
      <c r="C5">
        <v>72.8132429</v>
      </c>
      <c r="D5">
        <v>0</v>
      </c>
      <c r="E5">
        <v>0</v>
      </c>
      <c r="F5">
        <v>72.8132429</v>
      </c>
      <c r="G5">
        <f t="shared" si="0"/>
        <v>0.0235848571636644</v>
      </c>
    </row>
    <row r="6" spans="1:7">
      <c r="A6" t="s">
        <v>63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64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65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66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67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68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69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70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71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72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73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74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75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76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77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78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79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80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81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data11</vt:lpstr>
      <vt:lpstr>data12</vt:lpstr>
      <vt:lpstr>Sheet1</vt:lpstr>
      <vt:lpstr>Sheet2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2016-08-31T08:53:25Z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