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tinyang/MITx_Supply_Chain_Management/SC0x/"/>
    </mc:Choice>
  </mc:AlternateContent>
  <xr:revisionPtr revIDLastSave="0" documentId="13_ncr:1_{4AA824BF-8307-BE40-ABE2-B119C16005F2}" xr6:coauthVersionLast="43" xr6:coauthVersionMax="43" xr10:uidLastSave="{00000000-0000-0000-0000-000000000000}"/>
  <bookViews>
    <workbookView xWindow="0" yWindow="460" windowWidth="38400" windowHeight="21140" activeTab="5" xr2:uid="{6348B25D-1396-C346-B2B9-9224556B9FDC}"/>
  </bookViews>
  <sheets>
    <sheet name="GA1" sheetId="1" r:id="rId1"/>
    <sheet name="GA2Q1" sheetId="3" r:id="rId2"/>
    <sheet name="GA2Q2" sheetId="4" r:id="rId3"/>
    <sheet name="GA3" sheetId="5" r:id="rId4"/>
    <sheet name="GA4Q1Q2" sheetId="6" r:id="rId5"/>
    <sheet name="GA4Q3Q4" sheetId="7" r:id="rId6"/>
  </sheets>
  <definedNames>
    <definedName name="_xlchart.v1.0" hidden="1">'GA1'!$A$10</definedName>
    <definedName name="_xlchart.v1.1" hidden="1">'GA1'!$A$11:$A$103</definedName>
    <definedName name="_xlchart.v1.10" hidden="1">'GA1'!$C$10</definedName>
    <definedName name="_xlchart.v1.11" hidden="1">'GA1'!$C$11:$C$103</definedName>
    <definedName name="_xlchart.v1.2" hidden="1">'GA1'!$B$10</definedName>
    <definedName name="_xlchart.v1.3" hidden="1">'GA1'!$B$11:$B$103</definedName>
    <definedName name="_xlchart.v1.4" hidden="1">'GA1'!$C$10</definedName>
    <definedName name="_xlchart.v1.5" hidden="1">'GA1'!$C$11:$C$103</definedName>
    <definedName name="_xlchart.v1.6" hidden="1">'GA1'!$A$10</definedName>
    <definedName name="_xlchart.v1.7" hidden="1">'GA1'!$A$11:$A$103</definedName>
    <definedName name="_xlchart.v1.8" hidden="1">'GA1'!$B$10</definedName>
    <definedName name="_xlchart.v1.9" hidden="1">'GA1'!$B$11:$B$103</definedName>
    <definedName name="solver_adj" localSheetId="1" hidden="1">GA2Q1!$B$12:$C$14</definedName>
    <definedName name="solver_adj" localSheetId="2" hidden="1">GA2Q2!$B$8:$B$10</definedName>
    <definedName name="solver_adj" localSheetId="4" hidden="1">GA4Q1Q2!$B$8:$F$10</definedName>
    <definedName name="solver_adj" localSheetId="5" hidden="1">GA4Q3Q4!$B$26:$Q$26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ng" localSheetId="5" hidden="1">2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1" hidden="1">GA2Q1!$D$12:$D$14</definedName>
    <definedName name="solver_lhs1" localSheetId="2" hidden="1">GA2Q2!$B$11</definedName>
    <definedName name="solver_lhs1" localSheetId="4" hidden="1">GA4Q1Q2!$B$11:$F$11</definedName>
    <definedName name="solver_lhs1" localSheetId="5" hidden="1">GA4Q3Q4!$B$19:$F$19</definedName>
    <definedName name="solver_lhs2" localSheetId="1" hidden="1">GA2Q1!$D$16:$D$17</definedName>
    <definedName name="solver_lhs2" localSheetId="2" hidden="1">GA2Q2!$B$8:$B$10</definedName>
    <definedName name="solver_lhs2" localSheetId="4" hidden="1">GA4Q1Q2!$G$8:$G$10</definedName>
    <definedName name="solver_lhs2" localSheetId="5" hidden="1">GA4Q3Q4!$H$20:$L$20</definedName>
    <definedName name="solver_lhs3" localSheetId="2" hidden="1">GA2Q2!$B$8:$B$10</definedName>
    <definedName name="solver_lhs3" localSheetId="5" hidden="1">GA4Q3Q4!$R$17:$R$18</definedName>
    <definedName name="solver_lin" localSheetId="1" hidden="1">1</definedName>
    <definedName name="solver_lin" localSheetId="2" hidden="1">1</definedName>
    <definedName name="solver_lin" localSheetId="4" hidden="1">1</definedName>
    <definedName name="solver_lin" localSheetId="5" hidden="1">1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1" hidden="1">2</definedName>
    <definedName name="solver_num" localSheetId="2" hidden="1">3</definedName>
    <definedName name="solver_num" localSheetId="4" hidden="1">2</definedName>
    <definedName name="solver_num" localSheetId="5" hidden="1">3</definedName>
    <definedName name="solver_opt" localSheetId="1" hidden="1">GA2Q1!$C$21</definedName>
    <definedName name="solver_opt" localSheetId="2" hidden="1">GA2Q2!$C$14</definedName>
    <definedName name="solver_opt" localSheetId="4" hidden="1">GA4Q1Q2!$C$17</definedName>
    <definedName name="solver_opt" localSheetId="5" hidden="1">GA4Q3Q4!$C$24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1" hidden="1">1</definedName>
    <definedName name="solver_rel1" localSheetId="2" hidden="1">3</definedName>
    <definedName name="solver_rel1" localSheetId="4" hidden="1">3</definedName>
    <definedName name="solver_rel1" localSheetId="5" hidden="1">1</definedName>
    <definedName name="solver_rel2" localSheetId="1" hidden="1">1</definedName>
    <definedName name="solver_rel2" localSheetId="2" hidden="1">1</definedName>
    <definedName name="solver_rel2" localSheetId="4" hidden="1">1</definedName>
    <definedName name="solver_rel2" localSheetId="5" hidden="1">3</definedName>
    <definedName name="solver_rel3" localSheetId="2" hidden="1">3</definedName>
    <definedName name="solver_rel3" localSheetId="5" hidden="1">2</definedName>
    <definedName name="solver_rhs1" localSheetId="1" hidden="1">GA2Q1!$E$12:$E$14</definedName>
    <definedName name="solver_rhs1" localSheetId="2" hidden="1">GA2Q2!$B$12</definedName>
    <definedName name="solver_rhs1" localSheetId="4" hidden="1">GA4Q1Q2!$B$12:$F$12</definedName>
    <definedName name="solver_rhs1" localSheetId="5" hidden="1">GA4Q3Q4!$B$20:$F$20</definedName>
    <definedName name="solver_rhs2" localSheetId="1" hidden="1">GA2Q1!$E$16:$E$17</definedName>
    <definedName name="solver_rhs2" localSheetId="2" hidden="1">GA2Q2!$E$2:$E$4</definedName>
    <definedName name="solver_rhs2" localSheetId="4" hidden="1">GA4Q1Q2!$H$8:$H$10</definedName>
    <definedName name="solver_rhs2" localSheetId="5" hidden="1">GA4Q3Q4!$H$21:$L$21</definedName>
    <definedName name="solver_rhs3" localSheetId="2" hidden="1">GA2Q2!$D$2:$D$4</definedName>
    <definedName name="solver_rhs3" localSheetId="5" hidden="1">GA4Q3Q4!$S$17:$S$18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5" hidden="1">1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1" hidden="1">1</definedName>
    <definedName name="solver_typ" localSheetId="2" hidden="1">2</definedName>
    <definedName name="solver_typ" localSheetId="4" hidden="1">2</definedName>
    <definedName name="solver_typ" localSheetId="5" hidden="1">2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1" hidden="1">2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7" l="1"/>
  <c r="Q18" i="7"/>
  <c r="P18" i="7"/>
  <c r="O18" i="7"/>
  <c r="N18" i="7"/>
  <c r="M18" i="7"/>
  <c r="L17" i="7"/>
  <c r="K17" i="7"/>
  <c r="J17" i="7"/>
  <c r="I17" i="7"/>
  <c r="H17" i="7"/>
  <c r="G18" i="7"/>
  <c r="F17" i="7"/>
  <c r="D17" i="7"/>
  <c r="E18" i="7"/>
  <c r="C18" i="7"/>
  <c r="B17" i="7"/>
  <c r="C11" i="6"/>
  <c r="D11" i="6"/>
  <c r="E11" i="6"/>
  <c r="F11" i="6"/>
  <c r="B11" i="6"/>
  <c r="G9" i="6"/>
  <c r="G10" i="6"/>
  <c r="G8" i="6"/>
  <c r="C17" i="6"/>
  <c r="E29" i="5"/>
  <c r="E27" i="5"/>
  <c r="E25" i="5"/>
  <c r="E22" i="5"/>
  <c r="E21" i="5"/>
  <c r="E20" i="5"/>
  <c r="B12" i="5"/>
  <c r="B8" i="5"/>
  <c r="B13" i="5" s="1"/>
  <c r="B4" i="5"/>
  <c r="B23" i="4"/>
  <c r="C14" i="4"/>
  <c r="B11" i="4"/>
  <c r="C15" i="3"/>
  <c r="C17" i="3" s="1"/>
  <c r="B15" i="3"/>
  <c r="D14" i="3"/>
  <c r="D13" i="3"/>
  <c r="D12" i="3"/>
  <c r="G64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I20" i="7" l="1"/>
  <c r="K20" i="7"/>
  <c r="J20" i="7"/>
  <c r="F19" i="7"/>
  <c r="H20" i="7"/>
  <c r="L20" i="7"/>
  <c r="R18" i="7"/>
  <c r="R17" i="7"/>
  <c r="D19" i="7"/>
  <c r="B19" i="7"/>
  <c r="B9" i="5"/>
  <c r="B10" i="5"/>
  <c r="C21" i="3"/>
  <c r="B16" i="3"/>
  <c r="B17" i="3"/>
  <c r="D17" i="3" s="1"/>
  <c r="C16" i="3"/>
  <c r="G6" i="1"/>
  <c r="G7" i="1" s="1"/>
  <c r="G3" i="1"/>
  <c r="G2" i="1"/>
  <c r="D16" i="3" l="1"/>
</calcChain>
</file>

<file path=xl/sharedStrings.xml><?xml version="1.0" encoding="utf-8"?>
<sst xmlns="http://schemas.openxmlformats.org/spreadsheetml/2006/main" count="169" uniqueCount="99">
  <si>
    <t>mean</t>
  </si>
  <si>
    <t>std</t>
  </si>
  <si>
    <t>sales</t>
  </si>
  <si>
    <t>min</t>
  </si>
  <si>
    <t>max</t>
  </si>
  <si>
    <t>employee</t>
  </si>
  <si>
    <t>thres</t>
  </si>
  <si>
    <t>Average Number of Employees</t>
  </si>
  <si>
    <t>Sales ($M)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</si>
  <si>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</si>
  <si>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</si>
  <si>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</si>
  <si>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</si>
  <si>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</si>
  <si>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</si>
  <si>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</si>
  <si>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</si>
  <si>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</si>
  <si>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</si>
  <si>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</si>
  <si>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</si>
  <si>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</si>
  <si>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</si>
  <si>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</si>
  <si>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</si>
  <si>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</si>
  <si>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</si>
  <si>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</si>
  <si>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</si>
  <si>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</si>
  <si>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</si>
  <si>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</si>
  <si>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</si>
  <si>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Square Average Number of Employees</t>
  </si>
  <si>
    <t>employtee</t>
  </si>
  <si>
    <t>wine bottle</t>
  </si>
  <si>
    <t>champ bottle</t>
  </si>
  <si>
    <t>PL1</t>
  </si>
  <si>
    <t>PL2</t>
  </si>
  <si>
    <t>PL3</t>
  </si>
  <si>
    <t>cost</t>
  </si>
  <si>
    <t>silica</t>
  </si>
  <si>
    <t>iron</t>
  </si>
  <si>
    <t>raw</t>
  </si>
  <si>
    <t>price</t>
  </si>
  <si>
    <t>profit</t>
  </si>
  <si>
    <t>cost per unit</t>
  </si>
  <si>
    <t>set up cost</t>
  </si>
  <si>
    <t>min production</t>
  </si>
  <si>
    <t>max production</t>
  </si>
  <si>
    <t>PL4</t>
  </si>
  <si>
    <t>PL5</t>
  </si>
  <si>
    <t>PL6</t>
  </si>
  <si>
    <t>Soda Bottles</t>
  </si>
  <si>
    <t>n</t>
  </si>
  <si>
    <t>std/sqrt(n)</t>
  </si>
  <si>
    <t>c</t>
  </si>
  <si>
    <t>interval</t>
  </si>
  <si>
    <t>lower pred</t>
  </si>
  <si>
    <t>higher pred</t>
  </si>
  <si>
    <t>higher confi</t>
  </si>
  <si>
    <t>lower confi</t>
  </si>
  <si>
    <t>Delivery #</t>
  </si>
  <si>
    <t>Quality Score</t>
  </si>
  <si>
    <t>sample_m</t>
  </si>
  <si>
    <t>sample_std</t>
  </si>
  <si>
    <t>std/sqrt</t>
  </si>
  <si>
    <t>Plant/Warehouse</t>
  </si>
  <si>
    <t>Barranquilla</t>
  </si>
  <si>
    <t>Bogota</t>
  </si>
  <si>
    <t>Cali</t>
  </si>
  <si>
    <t>Cartagena</t>
  </si>
  <si>
    <t>Medellin</t>
  </si>
  <si>
    <t>Caucasia</t>
  </si>
  <si>
    <t>Pereira</t>
  </si>
  <si>
    <t>Soacha</t>
  </si>
  <si>
    <t>Plant/DC</t>
  </si>
  <si>
    <t>Girardot</t>
  </si>
  <si>
    <t>Rionegro</t>
  </si>
  <si>
    <t>DC/Warehouse</t>
  </si>
  <si>
    <t>Path</t>
  </si>
  <si>
    <t>C-G</t>
  </si>
  <si>
    <t>C-R</t>
  </si>
  <si>
    <t>P-G</t>
  </si>
  <si>
    <t>P-R</t>
  </si>
  <si>
    <t>S-G</t>
  </si>
  <si>
    <t>S-R</t>
  </si>
  <si>
    <t>G-Ba</t>
  </si>
  <si>
    <t>G-Bo</t>
  </si>
  <si>
    <t>G-Cali</t>
  </si>
  <si>
    <t>G-Cart</t>
  </si>
  <si>
    <t>G-M</t>
  </si>
  <si>
    <t>R-Bo</t>
  </si>
  <si>
    <t>R-Cali</t>
  </si>
  <si>
    <t>R-Cart</t>
  </si>
  <si>
    <t>R-M</t>
  </si>
  <si>
    <t>R-Ba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</si>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</sst>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0DF7-C2DD-5042-A8BC-1CC52DAB6D6C}">
  <dimension ref="A1:N103"/>
  <sheetViews>
    <sheetView topLeftCell="A46" workbookViewId="0">
      <selection activeCell="F72" sqref="F72"/>
    </sheetView>
  </sheetViews>
  <sheetFormatPr baseColWidth="10" defaultRowHeight="16"/>
  <sheetData>
    <row r="1" spans="1:7">
      <c r="B1" t="s">
        <v>2</v>
      </c>
    </row>
    <row r="2" spans="1:7">
      <c r="A2" t="s">
        <v>0</v>
      </c>
      <c r="B2">
        <v>59.473959999999998</v>
      </c>
      <c r="D2" t="s">
        <v>6</v>
      </c>
      <c r="E2">
        <v>68.72587</v>
      </c>
      <c r="G2">
        <f>_xlfn.NORM.DIST(E2,B2,B3,TRUE)</f>
        <v>0.84134474606854304</v>
      </c>
    </row>
    <row r="3" spans="1:7">
      <c r="A3" t="s">
        <v>1</v>
      </c>
      <c r="B3">
        <v>9.2519100000000005</v>
      </c>
      <c r="G3">
        <f>1-G2</f>
        <v>0.15865525393145696</v>
      </c>
    </row>
    <row r="5" spans="1:7">
      <c r="B5" t="s">
        <v>5</v>
      </c>
    </row>
    <row r="6" spans="1:7">
      <c r="A6" t="s">
        <v>3</v>
      </c>
      <c r="B6">
        <v>10</v>
      </c>
      <c r="D6" t="s">
        <v>6</v>
      </c>
      <c r="E6">
        <v>80</v>
      </c>
      <c r="G6">
        <f>(E6-B6+1)/(B7-B6+1)</f>
        <v>0.65137614678899081</v>
      </c>
    </row>
    <row r="7" spans="1:7">
      <c r="A7" t="s">
        <v>4</v>
      </c>
      <c r="B7">
        <v>118</v>
      </c>
      <c r="G7">
        <f>1-G6</f>
        <v>0.34862385321100919</v>
      </c>
    </row>
    <row r="10" spans="1:7">
      <c r="A10" t="s">
        <v>7</v>
      </c>
      <c r="B10" t="s">
        <v>33</v>
      </c>
      <c r="C10" t="s">
        <v>8</v>
      </c>
    </row>
    <row r="11" spans="1:7">
      <c r="A11">
        <v>15.97</v>
      </c>
      <c r="B11">
        <f>A11^2</f>
        <v>255.04090000000002</v>
      </c>
      <c r="C11">
        <v>250.94</v>
      </c>
    </row>
    <row r="12" spans="1:7">
      <c r="A12">
        <v>23.14</v>
      </c>
      <c r="B12">
        <f>A12^2</f>
        <v>535.45960000000002</v>
      </c>
      <c r="C12">
        <v>287.87</v>
      </c>
    </row>
    <row r="13" spans="1:7">
      <c r="A13">
        <v>3.8</v>
      </c>
      <c r="B13">
        <f>A13^2</f>
        <v>14.44</v>
      </c>
      <c r="C13">
        <v>92.44</v>
      </c>
    </row>
    <row r="14" spans="1:7">
      <c r="A14">
        <v>23.75</v>
      </c>
      <c r="B14">
        <f>A14^2</f>
        <v>564.0625</v>
      </c>
      <c r="C14">
        <v>343.77</v>
      </c>
    </row>
    <row r="15" spans="1:7">
      <c r="A15">
        <v>23.12</v>
      </c>
      <c r="B15">
        <f>A15^2</f>
        <v>534.53440000000001</v>
      </c>
      <c r="C15">
        <v>326.83999999999997</v>
      </c>
    </row>
    <row r="16" spans="1:7">
      <c r="A16">
        <v>6.66</v>
      </c>
      <c r="B16">
        <f>A16^2</f>
        <v>44.355600000000003</v>
      </c>
      <c r="C16">
        <v>171.72</v>
      </c>
    </row>
    <row r="17" spans="1:11">
      <c r="A17">
        <v>19.54</v>
      </c>
      <c r="B17">
        <f>A17^2</f>
        <v>381.81159999999994</v>
      </c>
      <c r="C17">
        <v>266.97000000000003</v>
      </c>
    </row>
    <row r="18" spans="1:11">
      <c r="A18">
        <v>0.8</v>
      </c>
      <c r="B18">
        <f>A18^2</f>
        <v>0.64000000000000012</v>
      </c>
      <c r="C18">
        <v>110.14</v>
      </c>
    </row>
    <row r="19" spans="1:11">
      <c r="A19">
        <v>19.760000000000002</v>
      </c>
      <c r="B19">
        <f>A19^2</f>
        <v>390.45760000000007</v>
      </c>
      <c r="C19">
        <v>197.6</v>
      </c>
    </row>
    <row r="20" spans="1:11">
      <c r="A20">
        <v>16.88</v>
      </c>
      <c r="B20">
        <f>A20^2</f>
        <v>284.93439999999998</v>
      </c>
      <c r="C20">
        <v>241.93</v>
      </c>
      <c r="F20" t="s">
        <v>9</v>
      </c>
    </row>
    <row r="21" spans="1:11" ht="17" thickBot="1">
      <c r="A21">
        <v>11.53</v>
      </c>
      <c r="B21">
        <f>A21^2</f>
        <v>132.9409</v>
      </c>
      <c r="C21">
        <v>170.83</v>
      </c>
    </row>
    <row r="22" spans="1:11">
      <c r="A22">
        <v>10.41</v>
      </c>
      <c r="B22">
        <f>A22^2</f>
        <v>108.3681</v>
      </c>
      <c r="C22">
        <v>205.88</v>
      </c>
      <c r="F22" s="4" t="s">
        <v>10</v>
      </c>
      <c r="G22" s="4"/>
    </row>
    <row r="23" spans="1:11">
      <c r="A23">
        <v>15.5</v>
      </c>
      <c r="B23">
        <f>A23^2</f>
        <v>240.25</v>
      </c>
      <c r="C23">
        <v>232.62</v>
      </c>
      <c r="F23" s="1" t="s">
        <v>11</v>
      </c>
      <c r="G23" s="1">
        <v>0.88540318474904001</v>
      </c>
    </row>
    <row r="24" spans="1:11">
      <c r="A24">
        <v>8.67</v>
      </c>
      <c r="B24">
        <f>A24^2</f>
        <v>75.168899999999994</v>
      </c>
      <c r="C24">
        <v>173.57</v>
      </c>
      <c r="F24" s="1" t="s">
        <v>12</v>
      </c>
      <c r="G24" s="1">
        <v>0.78393879956374268</v>
      </c>
    </row>
    <row r="25" spans="1:11">
      <c r="A25">
        <v>18.64</v>
      </c>
      <c r="B25">
        <f>A25^2</f>
        <v>347.44960000000003</v>
      </c>
      <c r="C25">
        <v>263.52</v>
      </c>
      <c r="F25" s="1" t="s">
        <v>13</v>
      </c>
      <c r="G25" s="1">
        <v>0.78156450065784977</v>
      </c>
    </row>
    <row r="26" spans="1:11">
      <c r="A26">
        <v>17.87</v>
      </c>
      <c r="B26">
        <f>A26^2</f>
        <v>319.33690000000001</v>
      </c>
      <c r="C26">
        <v>245.52</v>
      </c>
      <c r="F26" s="1" t="s">
        <v>14</v>
      </c>
      <c r="G26" s="1">
        <v>43.788733401542991</v>
      </c>
    </row>
    <row r="27" spans="1:11" ht="17" thickBot="1">
      <c r="A27">
        <v>23.16</v>
      </c>
      <c r="B27">
        <f>A27^2</f>
        <v>536.38559999999995</v>
      </c>
      <c r="C27">
        <v>351.12</v>
      </c>
      <c r="F27" s="2" t="s">
        <v>15</v>
      </c>
      <c r="G27" s="2">
        <v>93</v>
      </c>
    </row>
    <row r="28" spans="1:11">
      <c r="A28">
        <v>4.26</v>
      </c>
      <c r="B28">
        <f>A28^2</f>
        <v>18.147599999999997</v>
      </c>
      <c r="C28">
        <v>188.56</v>
      </c>
    </row>
    <row r="29" spans="1:11" ht="17" thickBot="1">
      <c r="A29">
        <v>9.0299999999999994</v>
      </c>
      <c r="B29">
        <f>A29^2</f>
        <v>81.540899999999993</v>
      </c>
      <c r="C29">
        <v>182.09</v>
      </c>
      <c r="F29" t="s">
        <v>16</v>
      </c>
    </row>
    <row r="30" spans="1:11">
      <c r="A30">
        <v>10.79</v>
      </c>
      <c r="B30">
        <f>A30^2</f>
        <v>116.42409999999998</v>
      </c>
      <c r="C30">
        <v>128.44999999999999</v>
      </c>
      <c r="F30" s="3"/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</row>
    <row r="31" spans="1:11">
      <c r="A31">
        <v>23.46</v>
      </c>
      <c r="B31">
        <f>A31^2</f>
        <v>550.37160000000006</v>
      </c>
      <c r="C31">
        <v>322.76</v>
      </c>
      <c r="F31" s="1" t="s">
        <v>17</v>
      </c>
      <c r="G31" s="1">
        <v>1</v>
      </c>
      <c r="H31" s="1">
        <v>633098.8633575351</v>
      </c>
      <c r="I31" s="1">
        <v>633098.8633575351</v>
      </c>
      <c r="J31" s="1">
        <v>330.17696197308197</v>
      </c>
      <c r="K31" s="1">
        <v>4.9665065503876291E-32</v>
      </c>
    </row>
    <row r="32" spans="1:11">
      <c r="A32">
        <v>4.5199999999999996</v>
      </c>
      <c r="B32">
        <f>A32^2</f>
        <v>20.430399999999995</v>
      </c>
      <c r="C32">
        <v>103.19</v>
      </c>
      <c r="F32" s="1" t="s">
        <v>18</v>
      </c>
      <c r="G32" s="1">
        <v>91</v>
      </c>
      <c r="H32" s="1">
        <v>174488.23873493806</v>
      </c>
      <c r="I32" s="1">
        <v>1917.4531729114071</v>
      </c>
      <c r="J32" s="1"/>
      <c r="K32" s="1"/>
    </row>
    <row r="33" spans="1:14" ht="17" thickBot="1">
      <c r="A33">
        <v>1.92</v>
      </c>
      <c r="B33">
        <f>A33^2</f>
        <v>3.6863999999999999</v>
      </c>
      <c r="C33">
        <v>43.09</v>
      </c>
      <c r="F33" s="2" t="s">
        <v>19</v>
      </c>
      <c r="G33" s="2">
        <v>92</v>
      </c>
      <c r="H33" s="2">
        <v>807587.10209247319</v>
      </c>
      <c r="I33" s="2"/>
      <c r="J33" s="2"/>
      <c r="K33" s="2"/>
    </row>
    <row r="34" spans="1:14" ht="17" thickBot="1">
      <c r="A34">
        <v>11.6</v>
      </c>
      <c r="B34">
        <f>A34^2</f>
        <v>134.56</v>
      </c>
      <c r="C34">
        <v>236.06</v>
      </c>
    </row>
    <row r="35" spans="1:14">
      <c r="A35">
        <v>14.32</v>
      </c>
      <c r="B35">
        <f>A35^2</f>
        <v>205.0624</v>
      </c>
      <c r="C35">
        <v>197.08</v>
      </c>
      <c r="F35" s="3"/>
      <c r="G35" s="3" t="s">
        <v>26</v>
      </c>
      <c r="H35" s="3" t="s">
        <v>14</v>
      </c>
      <c r="I35" s="3" t="s">
        <v>27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32</v>
      </c>
    </row>
    <row r="36" spans="1:14">
      <c r="A36">
        <v>5.64</v>
      </c>
      <c r="B36">
        <f>A36^2</f>
        <v>31.809599999999996</v>
      </c>
      <c r="C36">
        <v>74.36</v>
      </c>
      <c r="F36" s="1" t="s">
        <v>20</v>
      </c>
      <c r="G36" s="1">
        <v>59.473958779430376</v>
      </c>
      <c r="H36" s="1">
        <v>9.2519093443091229</v>
      </c>
      <c r="I36" s="1">
        <v>6.4282902659452654</v>
      </c>
      <c r="J36" s="1">
        <v>5.8369854700143685E-9</v>
      </c>
      <c r="K36" s="1">
        <v>41.096177423142578</v>
      </c>
      <c r="L36" s="1">
        <v>77.851740135718174</v>
      </c>
      <c r="M36" s="1">
        <v>41.096177423142578</v>
      </c>
      <c r="N36" s="1">
        <v>77.851740135718174</v>
      </c>
    </row>
    <row r="37" spans="1:14" ht="17" thickBot="1">
      <c r="A37">
        <v>19.399999999999999</v>
      </c>
      <c r="B37">
        <f>A37^2</f>
        <v>376.35999999999996</v>
      </c>
      <c r="C37">
        <v>292.2</v>
      </c>
      <c r="F37" s="2" t="s">
        <v>7</v>
      </c>
      <c r="G37" s="2">
        <v>11.491042998931189</v>
      </c>
      <c r="H37" s="2">
        <v>0.63239156150946396</v>
      </c>
      <c r="I37" s="2">
        <v>18.170772189785492</v>
      </c>
      <c r="J37" s="2">
        <v>4.9665065503876291E-32</v>
      </c>
      <c r="K37" s="2">
        <v>10.234874848501672</v>
      </c>
      <c r="L37" s="2">
        <v>12.747211149360705</v>
      </c>
      <c r="M37" s="2">
        <v>10.234874848501672</v>
      </c>
      <c r="N37" s="2">
        <v>12.747211149360705</v>
      </c>
    </row>
    <row r="38" spans="1:14">
      <c r="A38">
        <v>6.83</v>
      </c>
      <c r="B38">
        <f>A38^2</f>
        <v>46.648899999999998</v>
      </c>
      <c r="C38">
        <v>160.33000000000001</v>
      </c>
    </row>
    <row r="39" spans="1:14">
      <c r="A39">
        <v>19.66</v>
      </c>
      <c r="B39">
        <f>A39^2</f>
        <v>386.51560000000001</v>
      </c>
      <c r="C39">
        <v>310.89</v>
      </c>
    </row>
    <row r="40" spans="1:14">
      <c r="A40">
        <v>8.48</v>
      </c>
      <c r="B40">
        <f>A40^2</f>
        <v>71.91040000000001</v>
      </c>
      <c r="C40">
        <v>195.94</v>
      </c>
    </row>
    <row r="41" spans="1:14">
      <c r="A41">
        <v>4.57</v>
      </c>
      <c r="B41">
        <f>A41^2</f>
        <v>20.884900000000002</v>
      </c>
      <c r="C41">
        <v>192.39</v>
      </c>
    </row>
    <row r="42" spans="1:14">
      <c r="A42">
        <v>8.3699999999999992</v>
      </c>
      <c r="B42">
        <f>A42^2</f>
        <v>70.056899999999985</v>
      </c>
      <c r="C42">
        <v>162.35</v>
      </c>
      <c r="F42" t="s">
        <v>9</v>
      </c>
    </row>
    <row r="43" spans="1:14" ht="17" thickBot="1">
      <c r="A43">
        <v>19.8</v>
      </c>
      <c r="B43">
        <f>A43^2</f>
        <v>392.04</v>
      </c>
      <c r="C43">
        <v>332.58</v>
      </c>
    </row>
    <row r="44" spans="1:14">
      <c r="A44">
        <v>19.73</v>
      </c>
      <c r="B44">
        <f>A44^2</f>
        <v>389.27289999999999</v>
      </c>
      <c r="C44">
        <v>274.17</v>
      </c>
      <c r="F44" s="4" t="s">
        <v>10</v>
      </c>
      <c r="G44" s="4"/>
    </row>
    <row r="45" spans="1:14">
      <c r="A45">
        <v>5.31</v>
      </c>
      <c r="B45">
        <f>A45^2</f>
        <v>28.196099999999994</v>
      </c>
      <c r="C45">
        <v>109.03</v>
      </c>
      <c r="F45" s="1" t="s">
        <v>11</v>
      </c>
      <c r="G45" s="1">
        <v>0.88982750935980204</v>
      </c>
    </row>
    <row r="46" spans="1:14">
      <c r="A46">
        <v>18</v>
      </c>
      <c r="B46">
        <f>A46^2</f>
        <v>324</v>
      </c>
      <c r="C46">
        <v>220.44</v>
      </c>
      <c r="F46" s="1" t="s">
        <v>12</v>
      </c>
      <c r="G46" s="1">
        <v>0.79179299641346867</v>
      </c>
    </row>
    <row r="47" spans="1:14">
      <c r="A47">
        <v>19.920000000000002</v>
      </c>
      <c r="B47">
        <f>A47^2</f>
        <v>396.80640000000005</v>
      </c>
      <c r="C47">
        <v>228.11</v>
      </c>
      <c r="F47" s="1" t="s">
        <v>13</v>
      </c>
      <c r="G47" s="1">
        <v>0.78716617411154566</v>
      </c>
    </row>
    <row r="48" spans="1:14">
      <c r="A48">
        <v>13.72</v>
      </c>
      <c r="B48">
        <f>A48^2</f>
        <v>188.23840000000001</v>
      </c>
      <c r="C48">
        <v>218.18</v>
      </c>
      <c r="F48" s="1" t="s">
        <v>14</v>
      </c>
      <c r="G48" s="1">
        <v>43.223616315081479</v>
      </c>
    </row>
    <row r="49" spans="1:14" ht="17" thickBot="1">
      <c r="A49">
        <v>8.59</v>
      </c>
      <c r="B49">
        <f>A49^2</f>
        <v>73.7881</v>
      </c>
      <c r="C49">
        <v>130.75</v>
      </c>
      <c r="F49" s="2" t="s">
        <v>15</v>
      </c>
      <c r="G49" s="2">
        <v>93</v>
      </c>
    </row>
    <row r="50" spans="1:14">
      <c r="A50">
        <v>8.7899999999999991</v>
      </c>
      <c r="B50">
        <f>A50^2</f>
        <v>77.264099999999985</v>
      </c>
      <c r="C50">
        <v>227.81</v>
      </c>
    </row>
    <row r="51" spans="1:14" ht="17" thickBot="1">
      <c r="A51">
        <v>7.29</v>
      </c>
      <c r="B51">
        <f>A51^2</f>
        <v>53.144100000000002</v>
      </c>
      <c r="C51">
        <v>127.91</v>
      </c>
      <c r="F51" t="s">
        <v>16</v>
      </c>
    </row>
    <row r="52" spans="1:14">
      <c r="A52">
        <v>13.2</v>
      </c>
      <c r="B52">
        <f>A52^2</f>
        <v>174.23999999999998</v>
      </c>
      <c r="C52">
        <v>170.31</v>
      </c>
      <c r="F52" s="3"/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</row>
    <row r="53" spans="1:14">
      <c r="A53">
        <v>15.52</v>
      </c>
      <c r="B53">
        <f>A53^2</f>
        <v>240.87039999999999</v>
      </c>
      <c r="C53">
        <v>174.39</v>
      </c>
      <c r="F53" s="1" t="s">
        <v>17</v>
      </c>
      <c r="G53" s="1">
        <v>2</v>
      </c>
      <c r="H53" s="1">
        <v>639441.81143066916</v>
      </c>
      <c r="I53" s="1">
        <v>319720.90571533458</v>
      </c>
      <c r="J53" s="1">
        <v>171.13105815289202</v>
      </c>
      <c r="K53" s="1">
        <v>2.1492653257392717E-31</v>
      </c>
    </row>
    <row r="54" spans="1:14">
      <c r="A54">
        <v>8.5</v>
      </c>
      <c r="B54">
        <f>A54^2</f>
        <v>72.25</v>
      </c>
      <c r="C54">
        <v>148.66</v>
      </c>
      <c r="F54" s="1" t="s">
        <v>18</v>
      </c>
      <c r="G54" s="1">
        <v>90</v>
      </c>
      <c r="H54" s="1">
        <v>168145.290661804</v>
      </c>
      <c r="I54" s="1">
        <v>1868.2810073533778</v>
      </c>
      <c r="J54" s="1"/>
      <c r="K54" s="1"/>
    </row>
    <row r="55" spans="1:14" ht="17" thickBot="1">
      <c r="A55">
        <v>13.19</v>
      </c>
      <c r="B55">
        <f>A55^2</f>
        <v>173.97609999999997</v>
      </c>
      <c r="C55">
        <v>189.58</v>
      </c>
      <c r="F55" s="2" t="s">
        <v>19</v>
      </c>
      <c r="G55" s="2">
        <v>92</v>
      </c>
      <c r="H55" s="2">
        <v>807587.10209247319</v>
      </c>
      <c r="I55" s="2"/>
      <c r="J55" s="2"/>
      <c r="K55" s="2"/>
    </row>
    <row r="56" spans="1:14" ht="17" thickBot="1">
      <c r="A56">
        <v>4.96</v>
      </c>
      <c r="B56">
        <f>A56^2</f>
        <v>24.601600000000001</v>
      </c>
      <c r="C56">
        <v>167.74</v>
      </c>
    </row>
    <row r="57" spans="1:14">
      <c r="A57">
        <v>10.01</v>
      </c>
      <c r="B57">
        <f>A57^2</f>
        <v>100.20009999999999</v>
      </c>
      <c r="C57">
        <v>171.65</v>
      </c>
      <c r="F57" s="3"/>
      <c r="G57" s="3" t="s">
        <v>26</v>
      </c>
      <c r="H57" s="3" t="s">
        <v>14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</row>
    <row r="58" spans="1:14">
      <c r="A58">
        <v>18.54</v>
      </c>
      <c r="B58">
        <f>A58^2</f>
        <v>343.73159999999996</v>
      </c>
      <c r="C58">
        <v>247.62</v>
      </c>
      <c r="F58" s="1" t="s">
        <v>20</v>
      </c>
      <c r="G58" s="1">
        <v>81.963559842031046</v>
      </c>
      <c r="H58" s="1">
        <v>15.243953114469404</v>
      </c>
      <c r="I58" s="1">
        <v>5.376791651519321</v>
      </c>
      <c r="J58" s="1">
        <v>5.9314303992144589E-7</v>
      </c>
      <c r="K58" s="1">
        <v>51.678786289832708</v>
      </c>
      <c r="L58" s="1">
        <v>112.24833339422938</v>
      </c>
      <c r="M58" s="1">
        <v>51.678786289832708</v>
      </c>
      <c r="N58" s="1">
        <v>112.24833339422938</v>
      </c>
    </row>
    <row r="59" spans="1:14">
      <c r="A59">
        <v>19.41</v>
      </c>
      <c r="B59">
        <f>A59^2</f>
        <v>376.74810000000002</v>
      </c>
      <c r="C59">
        <v>390.32</v>
      </c>
      <c r="F59" s="1" t="s">
        <v>7</v>
      </c>
      <c r="G59" s="1">
        <v>6.591761264464437</v>
      </c>
      <c r="H59" s="1">
        <v>2.7312278722247783</v>
      </c>
      <c r="I59" s="1">
        <v>2.4134790551529415</v>
      </c>
      <c r="J59" s="1">
        <v>1.7827327890776217E-2</v>
      </c>
      <c r="K59" s="1">
        <v>1.1657003858549349</v>
      </c>
      <c r="L59" s="1">
        <v>12.017822143073939</v>
      </c>
      <c r="M59" s="1">
        <v>1.1657003858549349</v>
      </c>
      <c r="N59" s="1">
        <v>12.017822143073939</v>
      </c>
    </row>
    <row r="60" spans="1:14" ht="17" thickBot="1">
      <c r="A60">
        <v>11.09</v>
      </c>
      <c r="B60">
        <f>A60^2</f>
        <v>122.9881</v>
      </c>
      <c r="C60">
        <v>144.84</v>
      </c>
      <c r="F60" s="2" t="s">
        <v>33</v>
      </c>
      <c r="G60" s="2">
        <v>0.1867004429966444</v>
      </c>
      <c r="H60" s="2">
        <v>0.10132599330227908</v>
      </c>
      <c r="I60" s="2">
        <v>1.8425720480200318</v>
      </c>
      <c r="J60" s="2">
        <v>6.8683903203594868E-2</v>
      </c>
      <c r="K60" s="2">
        <v>-1.4601328208514369E-2</v>
      </c>
      <c r="L60" s="2">
        <v>0.38800221420180314</v>
      </c>
      <c r="M60" s="2">
        <v>-1.4601328208514369E-2</v>
      </c>
      <c r="N60" s="2">
        <v>0.38800221420180314</v>
      </c>
    </row>
    <row r="61" spans="1:14">
      <c r="A61">
        <v>8.27</v>
      </c>
      <c r="B61">
        <f>A61^2</f>
        <v>68.392899999999997</v>
      </c>
      <c r="C61">
        <v>205.62</v>
      </c>
    </row>
    <row r="62" spans="1:14">
      <c r="A62">
        <v>15.85</v>
      </c>
      <c r="B62">
        <f>A62^2</f>
        <v>251.2225</v>
      </c>
      <c r="C62">
        <v>239.09</v>
      </c>
    </row>
    <row r="63" spans="1:14">
      <c r="A63">
        <v>24.15</v>
      </c>
      <c r="B63">
        <f>A63^2</f>
        <v>583.22249999999997</v>
      </c>
      <c r="C63">
        <v>335.68</v>
      </c>
      <c r="F63" t="s">
        <v>34</v>
      </c>
      <c r="G63">
        <v>13</v>
      </c>
    </row>
    <row r="64" spans="1:14">
      <c r="A64">
        <v>4.16</v>
      </c>
      <c r="B64">
        <f>A64^2</f>
        <v>17.305600000000002</v>
      </c>
      <c r="C64">
        <v>111.84</v>
      </c>
      <c r="F64" t="s">
        <v>2</v>
      </c>
      <c r="G64">
        <f>G59*G63+G60*13^2+G58</f>
        <v>199.20883114650161</v>
      </c>
    </row>
    <row r="65" spans="1:3">
      <c r="A65">
        <v>1.58</v>
      </c>
      <c r="B65">
        <f>A65^2</f>
        <v>2.4964000000000004</v>
      </c>
      <c r="C65">
        <v>33.729999999999997</v>
      </c>
    </row>
    <row r="66" spans="1:3">
      <c r="A66">
        <v>22.05</v>
      </c>
      <c r="B66">
        <f>A66^2</f>
        <v>486.20250000000004</v>
      </c>
      <c r="C66">
        <v>339.89</v>
      </c>
    </row>
    <row r="67" spans="1:3">
      <c r="A67">
        <v>3.26</v>
      </c>
      <c r="B67">
        <f>A67^2</f>
        <v>10.627599999999999</v>
      </c>
      <c r="C67">
        <v>164.63</v>
      </c>
    </row>
    <row r="68" spans="1:3">
      <c r="A68">
        <v>14.34</v>
      </c>
      <c r="B68">
        <f>A68^2</f>
        <v>205.63559999999998</v>
      </c>
      <c r="C68">
        <v>255.9</v>
      </c>
    </row>
    <row r="69" spans="1:3">
      <c r="A69">
        <v>4.71</v>
      </c>
      <c r="B69">
        <f>A69^2</f>
        <v>22.184100000000001</v>
      </c>
      <c r="C69">
        <v>188.84</v>
      </c>
    </row>
    <row r="70" spans="1:3">
      <c r="A70">
        <v>7.28</v>
      </c>
      <c r="B70">
        <f>A70^2</f>
        <v>52.998400000000004</v>
      </c>
      <c r="C70">
        <v>119.99</v>
      </c>
    </row>
    <row r="71" spans="1:3">
      <c r="A71">
        <v>5.64</v>
      </c>
      <c r="B71">
        <f>A71^2</f>
        <v>31.809599999999996</v>
      </c>
      <c r="C71">
        <v>3.91</v>
      </c>
    </row>
    <row r="72" spans="1:3">
      <c r="A72">
        <v>1.64</v>
      </c>
      <c r="B72">
        <f>A72^2</f>
        <v>2.6895999999999995</v>
      </c>
      <c r="C72">
        <v>103.04</v>
      </c>
    </row>
    <row r="73" spans="1:3">
      <c r="A73">
        <v>17.82</v>
      </c>
      <c r="B73">
        <f>A73^2</f>
        <v>317.55240000000003</v>
      </c>
      <c r="C73">
        <v>293.95999999999998</v>
      </c>
    </row>
    <row r="74" spans="1:3">
      <c r="A74">
        <v>24.91</v>
      </c>
      <c r="B74">
        <f>A74^2</f>
        <v>620.50810000000001</v>
      </c>
      <c r="C74">
        <v>428.84</v>
      </c>
    </row>
    <row r="75" spans="1:3">
      <c r="A75">
        <v>6.63</v>
      </c>
      <c r="B75">
        <f>A75^2</f>
        <v>43.956899999999997</v>
      </c>
      <c r="C75">
        <v>59.92</v>
      </c>
    </row>
    <row r="76" spans="1:3">
      <c r="A76">
        <v>4.5999999999999996</v>
      </c>
      <c r="B76">
        <f>A76^2</f>
        <v>21.159999999999997</v>
      </c>
      <c r="C76">
        <v>106.31</v>
      </c>
    </row>
    <row r="77" spans="1:3">
      <c r="A77">
        <v>0.1</v>
      </c>
      <c r="B77">
        <f>A77^2</f>
        <v>1.0000000000000002E-2</v>
      </c>
      <c r="C77">
        <v>76.39</v>
      </c>
    </row>
    <row r="78" spans="1:3">
      <c r="A78">
        <v>4.37</v>
      </c>
      <c r="B78">
        <f>A78^2</f>
        <v>19.096900000000002</v>
      </c>
      <c r="C78">
        <v>113.8</v>
      </c>
    </row>
    <row r="79" spans="1:3">
      <c r="A79">
        <v>4.4000000000000004</v>
      </c>
      <c r="B79">
        <f>A79^2</f>
        <v>19.360000000000003</v>
      </c>
      <c r="C79">
        <v>88.26</v>
      </c>
    </row>
    <row r="80" spans="1:3">
      <c r="A80">
        <v>19.239999999999998</v>
      </c>
      <c r="B80">
        <f>A80^2</f>
        <v>370.17759999999993</v>
      </c>
      <c r="C80">
        <v>290.5</v>
      </c>
    </row>
    <row r="81" spans="1:3">
      <c r="A81">
        <v>6.53</v>
      </c>
      <c r="B81">
        <f>A81^2</f>
        <v>42.640900000000002</v>
      </c>
      <c r="C81">
        <v>174.99</v>
      </c>
    </row>
    <row r="82" spans="1:3">
      <c r="A82">
        <v>4.49</v>
      </c>
      <c r="B82">
        <f>A82^2</f>
        <v>20.160100000000003</v>
      </c>
      <c r="C82">
        <v>57.28</v>
      </c>
    </row>
    <row r="83" spans="1:3">
      <c r="A83">
        <v>24.36</v>
      </c>
      <c r="B83">
        <f>A83^2</f>
        <v>593.40959999999995</v>
      </c>
      <c r="C83">
        <v>403.22</v>
      </c>
    </row>
    <row r="84" spans="1:3">
      <c r="A84">
        <v>16.95</v>
      </c>
      <c r="B84">
        <f>A84^2</f>
        <v>287.30249999999995</v>
      </c>
      <c r="C84">
        <v>290</v>
      </c>
    </row>
    <row r="85" spans="1:3">
      <c r="A85">
        <v>23.05</v>
      </c>
      <c r="B85">
        <f>A85^2</f>
        <v>531.30250000000001</v>
      </c>
      <c r="C85">
        <v>345.4</v>
      </c>
    </row>
    <row r="86" spans="1:3">
      <c r="A86">
        <v>15.82</v>
      </c>
      <c r="B86">
        <f>A86^2</f>
        <v>250.2724</v>
      </c>
      <c r="C86">
        <v>127.91</v>
      </c>
    </row>
    <row r="87" spans="1:3">
      <c r="A87">
        <v>16.29</v>
      </c>
      <c r="B87">
        <f>A87^2</f>
        <v>265.36409999999995</v>
      </c>
      <c r="C87">
        <v>247.06</v>
      </c>
    </row>
    <row r="88" spans="1:3">
      <c r="A88">
        <v>24.86</v>
      </c>
      <c r="B88">
        <f>A88^2</f>
        <v>618.01959999999997</v>
      </c>
      <c r="C88">
        <v>375.95</v>
      </c>
    </row>
    <row r="89" spans="1:3">
      <c r="A89">
        <v>11.96</v>
      </c>
      <c r="B89">
        <f>A89^2</f>
        <v>143.04160000000002</v>
      </c>
      <c r="C89">
        <v>165.87</v>
      </c>
    </row>
    <row r="90" spans="1:3">
      <c r="A90">
        <v>25.13</v>
      </c>
      <c r="B90">
        <f>A90^2</f>
        <v>631.51689999999996</v>
      </c>
      <c r="C90">
        <v>331.13</v>
      </c>
    </row>
    <row r="91" spans="1:3">
      <c r="A91">
        <v>20.81</v>
      </c>
      <c r="B91">
        <f>A91^2</f>
        <v>433.05609999999996</v>
      </c>
      <c r="C91">
        <v>314.69</v>
      </c>
    </row>
    <row r="92" spans="1:3">
      <c r="A92">
        <v>14.48</v>
      </c>
      <c r="B92">
        <f>A92^2</f>
        <v>209.6704</v>
      </c>
      <c r="C92">
        <v>237.42</v>
      </c>
    </row>
    <row r="93" spans="1:3">
      <c r="A93">
        <v>1.69</v>
      </c>
      <c r="B93">
        <f>A93^2</f>
        <v>2.8560999999999996</v>
      </c>
      <c r="C93">
        <v>74.44</v>
      </c>
    </row>
    <row r="94" spans="1:3">
      <c r="A94">
        <v>6.22</v>
      </c>
      <c r="B94">
        <f>A94^2</f>
        <v>38.688399999999994</v>
      </c>
      <c r="C94">
        <v>82.85</v>
      </c>
    </row>
    <row r="95" spans="1:3">
      <c r="A95">
        <v>17.43</v>
      </c>
      <c r="B95">
        <f>A95^2</f>
        <v>303.80489999999998</v>
      </c>
      <c r="C95">
        <v>193.96</v>
      </c>
    </row>
    <row r="96" spans="1:3">
      <c r="A96">
        <v>22.52</v>
      </c>
      <c r="B96">
        <f>A96^2</f>
        <v>507.15039999999999</v>
      </c>
      <c r="C96">
        <v>292.31</v>
      </c>
    </row>
    <row r="97" spans="1:3">
      <c r="A97">
        <v>19.260000000000002</v>
      </c>
      <c r="B97">
        <f>A97^2</f>
        <v>370.94760000000008</v>
      </c>
      <c r="C97">
        <v>301.31</v>
      </c>
    </row>
    <row r="98" spans="1:3">
      <c r="A98">
        <v>8.2200000000000006</v>
      </c>
      <c r="B98">
        <f>A98^2</f>
        <v>67.568400000000011</v>
      </c>
      <c r="C98">
        <v>188.88</v>
      </c>
    </row>
    <row r="99" spans="1:3">
      <c r="A99">
        <v>9.1300000000000008</v>
      </c>
      <c r="B99">
        <f>A99^2</f>
        <v>83.35690000000001</v>
      </c>
      <c r="C99">
        <v>250.33</v>
      </c>
    </row>
    <row r="100" spans="1:3">
      <c r="A100">
        <v>24.14</v>
      </c>
      <c r="B100">
        <f>A100^2</f>
        <v>582.7396</v>
      </c>
      <c r="C100">
        <v>341.89</v>
      </c>
    </row>
    <row r="101" spans="1:3">
      <c r="A101">
        <v>12.41</v>
      </c>
      <c r="B101">
        <f>A101^2</f>
        <v>154.00810000000001</v>
      </c>
      <c r="C101">
        <v>187.74</v>
      </c>
    </row>
    <row r="102" spans="1:3">
      <c r="A102">
        <v>11.98</v>
      </c>
      <c r="B102">
        <f>A102^2</f>
        <v>143.52040000000002</v>
      </c>
      <c r="C102">
        <v>111.13</v>
      </c>
    </row>
    <row r="103" spans="1:3">
      <c r="A103">
        <v>5.1100000000000003</v>
      </c>
      <c r="B103">
        <f>A103^2</f>
        <v>26.112100000000002</v>
      </c>
      <c r="C103">
        <v>100.24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2601-9F09-6C4A-A220-AD4DE022B2C8}">
  <dimension ref="A1:G21"/>
  <sheetViews>
    <sheetView workbookViewId="0">
      <selection activeCell="A25" sqref="A25"/>
    </sheetView>
  </sheetViews>
  <sheetFormatPr baseColWidth="10" defaultRowHeight="16"/>
  <sheetData>
    <row r="1" spans="1:7">
      <c r="A1" t="s">
        <v>40</v>
      </c>
      <c r="B1" t="s">
        <v>35</v>
      </c>
      <c r="C1" t="s">
        <v>36</v>
      </c>
      <c r="F1" t="s">
        <v>35</v>
      </c>
      <c r="G1" t="s">
        <v>36</v>
      </c>
    </row>
    <row r="2" spans="1:7">
      <c r="A2" t="s">
        <v>37</v>
      </c>
      <c r="B2">
        <v>0.81</v>
      </c>
      <c r="C2">
        <v>1.05</v>
      </c>
      <c r="E2" t="s">
        <v>44</v>
      </c>
      <c r="F2">
        <v>3</v>
      </c>
      <c r="G2">
        <v>3.5</v>
      </c>
    </row>
    <row r="3" spans="1:7">
      <c r="A3" t="s">
        <v>38</v>
      </c>
      <c r="B3">
        <v>0.73</v>
      </c>
      <c r="C3">
        <v>0.31</v>
      </c>
    </row>
    <row r="4" spans="1:7">
      <c r="A4" t="s">
        <v>39</v>
      </c>
      <c r="B4">
        <v>1.28</v>
      </c>
      <c r="C4">
        <v>0.35</v>
      </c>
    </row>
    <row r="6" spans="1:7">
      <c r="A6" t="s">
        <v>43</v>
      </c>
      <c r="B6" t="s">
        <v>35</v>
      </c>
      <c r="C6" t="s">
        <v>36</v>
      </c>
    </row>
    <row r="7" spans="1:7">
      <c r="A7" t="s">
        <v>41</v>
      </c>
      <c r="B7">
        <v>0.2</v>
      </c>
      <c r="C7">
        <v>0.25</v>
      </c>
    </row>
    <row r="8" spans="1:7">
      <c r="A8" t="s">
        <v>42</v>
      </c>
      <c r="B8">
        <v>0.08</v>
      </c>
      <c r="C8">
        <v>0.06</v>
      </c>
    </row>
    <row r="11" spans="1:7">
      <c r="B11" t="s">
        <v>35</v>
      </c>
      <c r="C11" t="s">
        <v>36</v>
      </c>
    </row>
    <row r="12" spans="1:7">
      <c r="A12" t="s">
        <v>37</v>
      </c>
      <c r="B12">
        <v>0</v>
      </c>
      <c r="C12">
        <v>0</v>
      </c>
      <c r="D12">
        <f>SUM(B12:C12)</f>
        <v>0</v>
      </c>
      <c r="E12">
        <v>1000</v>
      </c>
    </row>
    <row r="13" spans="1:7">
      <c r="A13" t="s">
        <v>38</v>
      </c>
      <c r="B13">
        <v>0</v>
      </c>
      <c r="C13">
        <v>1500</v>
      </c>
      <c r="D13">
        <f>SUM(B13:C13)</f>
        <v>1500</v>
      </c>
      <c r="E13">
        <v>1500</v>
      </c>
    </row>
    <row r="14" spans="1:7">
      <c r="A14" t="s">
        <v>39</v>
      </c>
      <c r="B14">
        <v>0</v>
      </c>
      <c r="C14">
        <v>2500</v>
      </c>
      <c r="D14">
        <f>SUM(B14:C14)</f>
        <v>2500</v>
      </c>
      <c r="E14">
        <v>2800</v>
      </c>
    </row>
    <row r="15" spans="1:7">
      <c r="B15">
        <f>SUM(B12:B14)</f>
        <v>0</v>
      </c>
      <c r="C15">
        <f>SUM(C12:C14)</f>
        <v>4000</v>
      </c>
    </row>
    <row r="16" spans="1:7">
      <c r="B16">
        <f>B15*B7</f>
        <v>0</v>
      </c>
      <c r="C16">
        <f>C15*C7</f>
        <v>1000</v>
      </c>
      <c r="D16">
        <f>SUM(B16:C16)</f>
        <v>1000</v>
      </c>
      <c r="E16">
        <v>1000</v>
      </c>
    </row>
    <row r="17" spans="2:5">
      <c r="B17">
        <f>B15*B8</f>
        <v>0</v>
      </c>
      <c r="C17">
        <f>C15*C8</f>
        <v>240</v>
      </c>
      <c r="D17">
        <f>SUM(B17:C17)</f>
        <v>240</v>
      </c>
      <c r="E17">
        <v>300</v>
      </c>
    </row>
    <row r="21" spans="2:5">
      <c r="B21" t="s">
        <v>45</v>
      </c>
      <c r="C21">
        <f>SUMPRODUCT(B15:C15,F2:G2) - SUMPRODUCT(B12:C14,B2:C4)</f>
        <v>12660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27F9-893F-BC44-A7DF-67C04C4B625C}">
  <dimension ref="A1:E23"/>
  <sheetViews>
    <sheetView workbookViewId="0">
      <selection activeCell="B25" sqref="B25"/>
    </sheetView>
  </sheetViews>
  <sheetFormatPr baseColWidth="10" defaultRowHeight="16"/>
  <sheetData>
    <row r="1" spans="1:5"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50</v>
      </c>
      <c r="B2">
        <v>0.06</v>
      </c>
      <c r="C2">
        <v>500</v>
      </c>
      <c r="D2">
        <v>1000</v>
      </c>
      <c r="E2">
        <v>3000</v>
      </c>
    </row>
    <row r="3" spans="1:5">
      <c r="A3" t="s">
        <v>51</v>
      </c>
      <c r="B3">
        <v>0.04</v>
      </c>
      <c r="C3">
        <v>700</v>
      </c>
      <c r="D3">
        <v>500</v>
      </c>
      <c r="E3">
        <v>4000</v>
      </c>
    </row>
    <row r="4" spans="1:5">
      <c r="A4" t="s">
        <v>52</v>
      </c>
      <c r="B4">
        <v>0.69</v>
      </c>
      <c r="C4">
        <v>400</v>
      </c>
      <c r="D4">
        <v>900</v>
      </c>
      <c r="E4">
        <v>2500</v>
      </c>
    </row>
    <row r="7" spans="1:5">
      <c r="B7" t="s">
        <v>53</v>
      </c>
    </row>
    <row r="8" spans="1:5">
      <c r="A8" t="s">
        <v>50</v>
      </c>
      <c r="B8">
        <v>1000</v>
      </c>
    </row>
    <row r="9" spans="1:5">
      <c r="A9" t="s">
        <v>51</v>
      </c>
      <c r="B9">
        <v>3100</v>
      </c>
    </row>
    <row r="10" spans="1:5">
      <c r="A10" t="s">
        <v>52</v>
      </c>
      <c r="B10">
        <v>900</v>
      </c>
    </row>
    <row r="11" spans="1:5">
      <c r="B11">
        <f>SUM(B8:B10)</f>
        <v>5000</v>
      </c>
    </row>
    <row r="12" spans="1:5">
      <c r="B12">
        <v>5000</v>
      </c>
    </row>
    <row r="14" spans="1:5">
      <c r="B14" t="s">
        <v>40</v>
      </c>
      <c r="C14">
        <f>SUMPRODUCT(B2:B4,B8:B10)+SUM(C2:C4)</f>
        <v>2405</v>
      </c>
    </row>
    <row r="23" spans="2:2">
      <c r="B23">
        <f>1000/638</f>
        <v>1.567398119122257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5C3E-94C1-EE44-AA56-08EE6068FB83}">
  <dimension ref="A1:E34"/>
  <sheetViews>
    <sheetView workbookViewId="0">
      <selection activeCell="E25" sqref="E25"/>
    </sheetView>
  </sheetViews>
  <sheetFormatPr baseColWidth="10" defaultRowHeight="16"/>
  <sheetData>
    <row r="1" spans="1:2">
      <c r="A1" t="s">
        <v>0</v>
      </c>
      <c r="B1">
        <v>848</v>
      </c>
    </row>
    <row r="2" spans="1:2">
      <c r="A2" t="s">
        <v>1</v>
      </c>
      <c r="B2">
        <v>86.8</v>
      </c>
    </row>
    <row r="3" spans="1:2">
      <c r="A3" t="s">
        <v>54</v>
      </c>
      <c r="B3">
        <v>161</v>
      </c>
    </row>
    <row r="4" spans="1:2">
      <c r="A4" t="s">
        <v>55</v>
      </c>
      <c r="B4">
        <f>B2/SQRT(B3)</f>
        <v>6.8407983261553937</v>
      </c>
    </row>
    <row r="6" spans="1:2">
      <c r="A6" t="s">
        <v>57</v>
      </c>
      <c r="B6">
        <v>0.95</v>
      </c>
    </row>
    <row r="8" spans="1:2">
      <c r="A8" t="s">
        <v>56</v>
      </c>
      <c r="B8">
        <f>_xlfn.NORM.S.INV(B6)</f>
        <v>1.6448536269514715</v>
      </c>
    </row>
    <row r="9" spans="1:2">
      <c r="A9" t="s">
        <v>58</v>
      </c>
      <c r="B9">
        <f>B1-B2*B8</f>
        <v>705.22670518061227</v>
      </c>
    </row>
    <row r="10" spans="1:2">
      <c r="A10" t="s">
        <v>59</v>
      </c>
      <c r="B10">
        <f>B1+B2*B8</f>
        <v>990.77329481938773</v>
      </c>
    </row>
    <row r="12" spans="1:2">
      <c r="A12" t="s">
        <v>61</v>
      </c>
      <c r="B12">
        <f>B1-B4*B8</f>
        <v>836.74788806197978</v>
      </c>
    </row>
    <row r="13" spans="1:2">
      <c r="A13" t="s">
        <v>60</v>
      </c>
      <c r="B13">
        <f>B1+B8*B4</f>
        <v>859.25211193802022</v>
      </c>
    </row>
    <row r="19" spans="1:5">
      <c r="A19" t="s">
        <v>62</v>
      </c>
      <c r="B19" t="s">
        <v>63</v>
      </c>
      <c r="D19" t="s">
        <v>0</v>
      </c>
      <c r="E19">
        <v>792</v>
      </c>
    </row>
    <row r="20" spans="1:5">
      <c r="A20">
        <v>1</v>
      </c>
      <c r="B20">
        <v>869</v>
      </c>
      <c r="D20" t="s">
        <v>64</v>
      </c>
      <c r="E20">
        <f>AVERAGE(B20:B34)</f>
        <v>820.26666666666665</v>
      </c>
    </row>
    <row r="21" spans="1:5">
      <c r="A21">
        <v>2</v>
      </c>
      <c r="B21">
        <v>872</v>
      </c>
      <c r="D21" t="s">
        <v>65</v>
      </c>
      <c r="E21">
        <f>STDEV(B20:B34)</f>
        <v>63.340876743747927</v>
      </c>
    </row>
    <row r="22" spans="1:5">
      <c r="A22">
        <v>3</v>
      </c>
      <c r="B22">
        <v>738</v>
      </c>
      <c r="D22" t="s">
        <v>66</v>
      </c>
      <c r="E22">
        <f>E21/SQRT(15)</f>
        <v>16.354544050847494</v>
      </c>
    </row>
    <row r="23" spans="1:5">
      <c r="A23">
        <v>4</v>
      </c>
      <c r="B23">
        <v>823</v>
      </c>
    </row>
    <row r="24" spans="1:5">
      <c r="A24">
        <v>5</v>
      </c>
      <c r="B24">
        <v>799</v>
      </c>
    </row>
    <row r="25" spans="1:5">
      <c r="A25">
        <v>6</v>
      </c>
      <c r="B25">
        <v>768</v>
      </c>
      <c r="D25" t="s">
        <v>56</v>
      </c>
      <c r="E25">
        <f>(E20-E19)/E22</f>
        <v>1.7283677599805585</v>
      </c>
    </row>
    <row r="26" spans="1:5">
      <c r="A26">
        <v>7</v>
      </c>
      <c r="B26">
        <v>892</v>
      </c>
    </row>
    <row r="27" spans="1:5">
      <c r="A27">
        <v>8</v>
      </c>
      <c r="B27">
        <v>772</v>
      </c>
      <c r="E27">
        <f>_xlfn.T.DIST(E25,14,TRUE)</f>
        <v>0.94704854051706733</v>
      </c>
    </row>
    <row r="28" spans="1:5">
      <c r="A28">
        <v>9</v>
      </c>
      <c r="B28">
        <v>873</v>
      </c>
    </row>
    <row r="29" spans="1:5">
      <c r="A29">
        <v>10</v>
      </c>
      <c r="B29">
        <v>843</v>
      </c>
      <c r="E29">
        <f>1-E27</f>
        <v>5.2951459482932672E-2</v>
      </c>
    </row>
    <row r="30" spans="1:5">
      <c r="A30">
        <v>11</v>
      </c>
      <c r="B30">
        <v>712</v>
      </c>
    </row>
    <row r="31" spans="1:5">
      <c r="A31">
        <v>12</v>
      </c>
      <c r="B31">
        <v>878</v>
      </c>
    </row>
    <row r="32" spans="1:5">
      <c r="A32">
        <v>13</v>
      </c>
      <c r="B32">
        <v>890</v>
      </c>
    </row>
    <row r="33" spans="1:2">
      <c r="A33">
        <v>14</v>
      </c>
      <c r="B33">
        <v>723</v>
      </c>
    </row>
    <row r="34" spans="1:2">
      <c r="A34">
        <v>15</v>
      </c>
      <c r="B34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747A-AA3C-394E-8BDF-98024981206B}">
  <dimension ref="A1:H17"/>
  <sheetViews>
    <sheetView workbookViewId="0">
      <selection activeCell="H8" sqref="H8:H10"/>
    </sheetView>
  </sheetViews>
  <sheetFormatPr baseColWidth="10" defaultRowHeight="16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8">
      <c r="A2" t="s">
        <v>73</v>
      </c>
      <c r="B2">
        <v>263</v>
      </c>
      <c r="C2">
        <v>417</v>
      </c>
      <c r="D2">
        <v>436</v>
      </c>
      <c r="E2">
        <v>215</v>
      </c>
      <c r="F2">
        <v>176</v>
      </c>
    </row>
    <row r="3" spans="1:8">
      <c r="A3" t="s">
        <v>74</v>
      </c>
      <c r="B3">
        <v>672</v>
      </c>
      <c r="C3">
        <v>199</v>
      </c>
      <c r="D3">
        <v>130</v>
      </c>
      <c r="E3">
        <v>544</v>
      </c>
      <c r="F3">
        <v>153</v>
      </c>
    </row>
    <row r="4" spans="1:8">
      <c r="A4" t="s">
        <v>75</v>
      </c>
      <c r="B4">
        <v>624</v>
      </c>
      <c r="C4">
        <v>16</v>
      </c>
      <c r="D4">
        <v>272</v>
      </c>
      <c r="E4">
        <v>661</v>
      </c>
      <c r="F4">
        <v>261</v>
      </c>
    </row>
    <row r="7" spans="1:8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</row>
    <row r="8" spans="1:8">
      <c r="A8" t="s">
        <v>73</v>
      </c>
      <c r="B8">
        <v>120000</v>
      </c>
      <c r="C8">
        <v>0</v>
      </c>
      <c r="D8">
        <v>0</v>
      </c>
      <c r="E8">
        <v>98000</v>
      </c>
      <c r="F8">
        <v>230000</v>
      </c>
      <c r="G8">
        <f>SUM(B8:F8)</f>
        <v>448000</v>
      </c>
      <c r="H8">
        <v>500000</v>
      </c>
    </row>
    <row r="9" spans="1:8">
      <c r="A9" t="s">
        <v>74</v>
      </c>
      <c r="B9">
        <v>0</v>
      </c>
      <c r="C9">
        <v>260000</v>
      </c>
      <c r="D9">
        <v>230000</v>
      </c>
      <c r="E9">
        <v>0</v>
      </c>
      <c r="F9">
        <v>10000</v>
      </c>
      <c r="G9">
        <f t="shared" ref="G9:G10" si="0">SUM(B9:F9)</f>
        <v>500000</v>
      </c>
      <c r="H9">
        <v>500000</v>
      </c>
    </row>
    <row r="10" spans="1:8">
      <c r="A10" t="s">
        <v>75</v>
      </c>
      <c r="B10">
        <v>0</v>
      </c>
      <c r="C10">
        <v>500000</v>
      </c>
      <c r="D10">
        <v>0</v>
      </c>
      <c r="E10">
        <v>0</v>
      </c>
      <c r="F10">
        <v>0</v>
      </c>
      <c r="G10">
        <f t="shared" si="0"/>
        <v>500000</v>
      </c>
      <c r="H10">
        <v>500000</v>
      </c>
    </row>
    <row r="11" spans="1:8">
      <c r="B11">
        <f>SUM(B8:B10)</f>
        <v>120000</v>
      </c>
      <c r="C11">
        <f t="shared" ref="C11:F11" si="1">SUM(C8:C10)</f>
        <v>760000</v>
      </c>
      <c r="D11">
        <f t="shared" si="1"/>
        <v>230000</v>
      </c>
      <c r="E11">
        <f t="shared" si="1"/>
        <v>98000</v>
      </c>
      <c r="F11">
        <f t="shared" si="1"/>
        <v>240000</v>
      </c>
    </row>
    <row r="12" spans="1:8">
      <c r="B12">
        <v>120000</v>
      </c>
      <c r="C12">
        <v>760000</v>
      </c>
      <c r="D12">
        <v>230000</v>
      </c>
      <c r="E12">
        <v>98000</v>
      </c>
      <c r="F12">
        <v>240000</v>
      </c>
    </row>
    <row r="17" spans="2:3">
      <c r="B17" t="s">
        <v>40</v>
      </c>
      <c r="C17">
        <f>SUMPRODUCT(B2:F4,B8:F10)*0.197</f>
        <v>36303160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E289-2DC0-E146-BEDB-640211B1FCEC}">
  <dimension ref="A1:S26"/>
  <sheetViews>
    <sheetView tabSelected="1" workbookViewId="0">
      <selection activeCell="C25" sqref="C25"/>
    </sheetView>
  </sheetViews>
  <sheetFormatPr baseColWidth="10" defaultRowHeight="16"/>
  <sheetData>
    <row r="1" spans="1:17">
      <c r="A1" t="s">
        <v>76</v>
      </c>
      <c r="B1" t="s">
        <v>77</v>
      </c>
      <c r="C1" t="s">
        <v>78</v>
      </c>
    </row>
    <row r="2" spans="1:17">
      <c r="A2" t="s">
        <v>73</v>
      </c>
      <c r="B2">
        <v>415</v>
      </c>
      <c r="C2">
        <v>189</v>
      </c>
    </row>
    <row r="3" spans="1:17">
      <c r="A3" t="s">
        <v>74</v>
      </c>
      <c r="B3">
        <v>117</v>
      </c>
      <c r="C3">
        <v>175</v>
      </c>
    </row>
    <row r="4" spans="1:17">
      <c r="A4" t="s">
        <v>75</v>
      </c>
      <c r="B4">
        <v>72</v>
      </c>
      <c r="C4">
        <v>239</v>
      </c>
    </row>
    <row r="7" spans="1:17">
      <c r="A7" t="s">
        <v>79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</row>
    <row r="8" spans="1:17">
      <c r="A8" t="s">
        <v>77</v>
      </c>
      <c r="B8">
        <v>621</v>
      </c>
      <c r="C8">
        <v>87</v>
      </c>
      <c r="D8">
        <v>204</v>
      </c>
      <c r="E8">
        <v>657</v>
      </c>
      <c r="F8">
        <v>258</v>
      </c>
    </row>
    <row r="9" spans="1:17">
      <c r="A9" t="s">
        <v>78</v>
      </c>
      <c r="B9">
        <v>451</v>
      </c>
      <c r="C9">
        <v>234</v>
      </c>
      <c r="D9">
        <v>292</v>
      </c>
      <c r="E9">
        <v>403</v>
      </c>
      <c r="F9">
        <v>30</v>
      </c>
    </row>
    <row r="12" spans="1:17">
      <c r="A12" t="s">
        <v>80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85</v>
      </c>
      <c r="G12" s="5" t="s">
        <v>86</v>
      </c>
      <c r="H12" s="6" t="s">
        <v>87</v>
      </c>
      <c r="I12" s="6" t="s">
        <v>88</v>
      </c>
      <c r="J12" s="6" t="s">
        <v>89</v>
      </c>
      <c r="K12" s="6" t="s">
        <v>90</v>
      </c>
      <c r="L12" s="6" t="s">
        <v>91</v>
      </c>
      <c r="M12" s="6" t="s">
        <v>96</v>
      </c>
      <c r="N12" s="6" t="s">
        <v>92</v>
      </c>
      <c r="O12" s="6" t="s">
        <v>93</v>
      </c>
      <c r="P12" s="6" t="s">
        <v>94</v>
      </c>
      <c r="Q12" s="6" t="s">
        <v>95</v>
      </c>
    </row>
    <row r="13" spans="1:17">
      <c r="A13" t="s">
        <v>97</v>
      </c>
      <c r="B13">
        <v>415</v>
      </c>
      <c r="C13">
        <v>189</v>
      </c>
      <c r="D13">
        <v>117</v>
      </c>
      <c r="E13">
        <v>175</v>
      </c>
      <c r="F13">
        <v>72</v>
      </c>
      <c r="G13">
        <v>239</v>
      </c>
      <c r="H13">
        <v>621</v>
      </c>
      <c r="I13">
        <v>87</v>
      </c>
      <c r="J13">
        <v>204</v>
      </c>
      <c r="K13">
        <v>657</v>
      </c>
      <c r="L13">
        <v>258</v>
      </c>
      <c r="M13">
        <v>451</v>
      </c>
      <c r="N13">
        <v>234</v>
      </c>
      <c r="O13">
        <v>292</v>
      </c>
      <c r="P13">
        <v>403</v>
      </c>
      <c r="Q13">
        <v>30</v>
      </c>
    </row>
    <row r="17" spans="1:19">
      <c r="A17" t="s">
        <v>77</v>
      </c>
      <c r="B17">
        <f>B26</f>
        <v>0</v>
      </c>
      <c r="D17">
        <f>D26</f>
        <v>490000</v>
      </c>
      <c r="F17">
        <f>F26</f>
        <v>500000</v>
      </c>
      <c r="H17">
        <f>H26</f>
        <v>0</v>
      </c>
      <c r="I17">
        <f t="shared" ref="I17:Q18" si="0">I26</f>
        <v>760000</v>
      </c>
      <c r="J17">
        <f t="shared" si="0"/>
        <v>230000</v>
      </c>
      <c r="K17">
        <f t="shared" si="0"/>
        <v>0</v>
      </c>
      <c r="L17">
        <f t="shared" si="0"/>
        <v>0</v>
      </c>
      <c r="R17">
        <f>SUM(B17:G17)-SUM(H17:Q17)</f>
        <v>0</v>
      </c>
      <c r="S17">
        <v>0</v>
      </c>
    </row>
    <row r="18" spans="1:19">
      <c r="A18" t="s">
        <v>78</v>
      </c>
      <c r="C18">
        <f>C26</f>
        <v>448000</v>
      </c>
      <c r="E18">
        <f>E26</f>
        <v>10000</v>
      </c>
      <c r="G18">
        <f>G26</f>
        <v>0</v>
      </c>
      <c r="M18">
        <f>M26</f>
        <v>120000</v>
      </c>
      <c r="N18">
        <f t="shared" ref="N18:Q18" si="1">N26</f>
        <v>0</v>
      </c>
      <c r="O18">
        <f t="shared" si="1"/>
        <v>0</v>
      </c>
      <c r="P18">
        <f t="shared" si="1"/>
        <v>98000</v>
      </c>
      <c r="Q18">
        <f t="shared" si="1"/>
        <v>240000</v>
      </c>
      <c r="R18">
        <f>SUM(B18:G18)-SUM(H18:Q18)</f>
        <v>0</v>
      </c>
      <c r="S18">
        <v>0</v>
      </c>
    </row>
    <row r="19" spans="1:19">
      <c r="B19">
        <f>B17+C18</f>
        <v>448000</v>
      </c>
      <c r="D19">
        <f>D17+E18</f>
        <v>500000</v>
      </c>
      <c r="F19">
        <f>F17+G18</f>
        <v>500000</v>
      </c>
    </row>
    <row r="20" spans="1:19">
      <c r="B20">
        <v>500000</v>
      </c>
      <c r="D20">
        <v>500000</v>
      </c>
      <c r="F20">
        <v>500000</v>
      </c>
      <c r="H20">
        <f>H17+M18</f>
        <v>120000</v>
      </c>
      <c r="I20">
        <f t="shared" ref="I20:L20" si="2">I17+N18</f>
        <v>760000</v>
      </c>
      <c r="J20">
        <f t="shared" si="2"/>
        <v>230000</v>
      </c>
      <c r="K20">
        <f t="shared" si="2"/>
        <v>98000</v>
      </c>
      <c r="L20">
        <f t="shared" si="2"/>
        <v>240000</v>
      </c>
    </row>
    <row r="21" spans="1:19">
      <c r="H21">
        <v>120000</v>
      </c>
      <c r="I21">
        <v>760000</v>
      </c>
      <c r="J21">
        <v>230000</v>
      </c>
      <c r="K21">
        <v>98000</v>
      </c>
      <c r="L21">
        <v>240000</v>
      </c>
    </row>
    <row r="24" spans="1:19">
      <c r="B24" t="s">
        <v>98</v>
      </c>
      <c r="C24">
        <f>SUMPRODUCT(B13:G13,B26:G26)*0.065+SUMPRODUCT(H26:Q26,H13:Q13)*0.197</f>
        <v>53813118</v>
      </c>
    </row>
    <row r="26" spans="1:19">
      <c r="B26">
        <v>0</v>
      </c>
      <c r="C26">
        <v>448000</v>
      </c>
      <c r="D26">
        <v>490000</v>
      </c>
      <c r="E26">
        <v>10000</v>
      </c>
      <c r="F26">
        <v>500000</v>
      </c>
      <c r="G26">
        <v>0</v>
      </c>
      <c r="H26">
        <v>0</v>
      </c>
      <c r="I26">
        <v>760000</v>
      </c>
      <c r="J26">
        <v>230000</v>
      </c>
      <c r="K26">
        <v>0</v>
      </c>
      <c r="L26">
        <v>0</v>
      </c>
      <c r="M26">
        <v>120000</v>
      </c>
      <c r="N26">
        <v>0</v>
      </c>
      <c r="O26">
        <v>0</v>
      </c>
      <c r="P26">
        <v>98000</v>
      </c>
      <c r="Q26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GA1</vt:lpstr>
      <vt:lpstr>GA2Q1</vt:lpstr>
      <vt:lpstr>GA2Q2</vt:lpstr>
      <vt:lpstr>GA3</vt:lpstr>
      <vt:lpstr>GA4Q1Q2</vt:lpstr>
      <vt:lpstr>GA4Q3Q4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Yang</dc:creator>
  <cp:lastModifiedBy>Yue Yang</cp:lastModifiedBy>
  <dcterms:created xsi:type="dcterms:W3CDTF">2019-06-21T09:08:27Z</dcterms:created>
  <dcterms:modified xsi:type="dcterms:W3CDTF">2019-06-21T12:48:55Z</dcterms:modified>
</cp:coreProperties>
</file>